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elaryea_miners_utep_edu/Documents/CAS Predictive Modelling/Model/Final/"/>
    </mc:Choice>
  </mc:AlternateContent>
  <xr:revisionPtr revIDLastSave="207" documentId="11_026BFB7BA8BE4009D6D75F57AE637D7D8A8E8197" xr6:coauthVersionLast="47" xr6:coauthVersionMax="47" xr10:uidLastSave="{E513E5F5-B5AE-4FB5-8272-9E1BCE657CA6}"/>
  <bookViews>
    <workbookView xWindow="57480" yWindow="-120" windowWidth="29040" windowHeight="15720" tabRatio="500" firstSheet="4" activeTab="10" xr2:uid="{00000000-000D-0000-FFFF-FFFF00000000}"/>
  </bookViews>
  <sheets>
    <sheet name="README" sheetId="1" r:id="rId1"/>
    <sheet name="Assumptions" sheetId="2" r:id="rId2"/>
    <sheet name="ModelOutput" sheetId="3" r:id="rId3"/>
    <sheet name="RateBuildup" sheetId="4" r:id="rId4"/>
    <sheet name="QuoteCalc" sheetId="5" r:id="rId5"/>
    <sheet name="Segments" sheetId="6" r:id="rId6"/>
    <sheet name="Dislocation" sheetId="7" r:id="rId7"/>
    <sheet name="ProFormaA" sheetId="8" r:id="rId8"/>
    <sheet name="ProFormaB" sheetId="9" r:id="rId9"/>
    <sheet name="ProFormaC" sheetId="10" r:id="rId10"/>
    <sheet name="PlanCompare" sheetId="11" r:id="rId11"/>
  </sheets>
  <definedNames>
    <definedName name="_xlchart.v2.0" hidden="1">Dislocation!$B$8:$B$15</definedName>
    <definedName name="_xlchart.v2.1" hidden="1">Dislocation!$D$8:$D$15</definedName>
    <definedName name="APPLICANTS_PER_YEAR">Assumptions!$C$34</definedName>
    <definedName name="BASE_CONVERSION">Assumptions!$C$30</definedName>
    <definedName name="BASE_RETENTION">Assumptions!$C$29</definedName>
    <definedName name="CAP_DOWN">Assumptions!$C$26</definedName>
    <definedName name="CAP_UP">Assumptions!$C$25</definedName>
    <definedName name="COMMISSION_NB">Assumptions!$C$11</definedName>
    <definedName name="COMMISSION_RN">Assumptions!$C$12</definedName>
    <definedName name="CONV_CEIL">Assumptions!$C$39</definedName>
    <definedName name="CONV_FLOOR">Assumptions!$C$38</definedName>
    <definedName name="CURRENT_FLAT">Assumptions!$C$27</definedName>
    <definedName name="ELAST_INCREASE">Assumptions!$C$32</definedName>
    <definedName name="ELAST_MARKET">Assumptions!$C$31</definedName>
    <definedName name="EXPECTED_NB_SHARE">Assumptions!$C$16</definedName>
    <definedName name="FIXED_BLENDED">Assumptions!$C$22</definedName>
    <definedName name="FIXED_PER_POLICY">Assumptions!$C$14</definedName>
    <definedName name="GRAD_CONTINUE">Assumptions!$C$35</definedName>
    <definedName name="GROSS_MULT">Assumptions!$C$21</definedName>
    <definedName name="LAE_RATIO">Assumptions!$C$8</definedName>
    <definedName name="LOSS_TREND">Assumptions!$C$6</definedName>
    <definedName name="MARKET_RISK_WEIGHT">Assumptions!$C$33</definedName>
    <definedName name="NB_ACQUISITION">Assumptions!$C$15</definedName>
    <definedName name="OTHER_VARIABLE">Assumptions!$C$10</definedName>
    <definedName name="PERMISSIBLE">Assumptions!$C$19</definedName>
    <definedName name="POLICY_FEE">Assumptions!$C$23</definedName>
    <definedName name="PREMIUM_TAX">Assumptions!$C$9</definedName>
    <definedName name="PROFIT_LOAD">Assumptions!$C$13</definedName>
    <definedName name="RET_CEIL">Assumptions!$C$37</definedName>
    <definedName name="RET_FLOOR">Assumptions!$C$36</definedName>
    <definedName name="TREND_FACTOR">Assumptions!$C$20</definedName>
    <definedName name="TREND_YEARS">Assumptions!$C$7</definedName>
    <definedName name="VAR_EXPENSE">Assumptions!$C$18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9" i="2" l="1"/>
  <c r="AH4" i="6" l="1" a="1"/>
  <c r="AH4" i="6" s="1"/>
  <c r="H10" i="3"/>
  <c r="H11" i="3"/>
  <c r="H9" i="3"/>
  <c r="H424" i="10"/>
  <c r="G424" i="10"/>
  <c r="F424" i="10"/>
  <c r="E424" i="10"/>
  <c r="D424" i="10"/>
  <c r="C424" i="10"/>
  <c r="B424" i="10"/>
  <c r="A424" i="10"/>
  <c r="H423" i="10"/>
  <c r="G423" i="10"/>
  <c r="F423" i="10"/>
  <c r="E423" i="10"/>
  <c r="D423" i="10"/>
  <c r="C423" i="10"/>
  <c r="B423" i="10"/>
  <c r="A423" i="10"/>
  <c r="H422" i="10"/>
  <c r="G422" i="10"/>
  <c r="F422" i="10"/>
  <c r="E422" i="10"/>
  <c r="D422" i="10"/>
  <c r="C422" i="10"/>
  <c r="B422" i="10"/>
  <c r="A422" i="10"/>
  <c r="H421" i="10"/>
  <c r="G421" i="10"/>
  <c r="F421" i="10"/>
  <c r="E421" i="10"/>
  <c r="D421" i="10"/>
  <c r="C421" i="10"/>
  <c r="B421" i="10"/>
  <c r="A421" i="10"/>
  <c r="AT420" i="10"/>
  <c r="AF420" i="10"/>
  <c r="R420" i="10"/>
  <c r="H420" i="10"/>
  <c r="G420" i="10"/>
  <c r="F420" i="10"/>
  <c r="E420" i="10"/>
  <c r="D420" i="10"/>
  <c r="C420" i="10"/>
  <c r="B420" i="10"/>
  <c r="A420" i="10"/>
  <c r="H419" i="10"/>
  <c r="G419" i="10"/>
  <c r="F419" i="10"/>
  <c r="E419" i="10"/>
  <c r="D419" i="10"/>
  <c r="C419" i="10"/>
  <c r="B419" i="10"/>
  <c r="A419" i="10"/>
  <c r="H418" i="10"/>
  <c r="G418" i="10"/>
  <c r="F418" i="10"/>
  <c r="E418" i="10"/>
  <c r="D418" i="10"/>
  <c r="C418" i="10"/>
  <c r="B418" i="10"/>
  <c r="A418" i="10"/>
  <c r="H417" i="10"/>
  <c r="G417" i="10"/>
  <c r="F417" i="10"/>
  <c r="E417" i="10"/>
  <c r="D417" i="10"/>
  <c r="C417" i="10"/>
  <c r="B417" i="10"/>
  <c r="A417" i="10"/>
  <c r="H416" i="10"/>
  <c r="G416" i="10"/>
  <c r="F416" i="10"/>
  <c r="E416" i="10"/>
  <c r="D416" i="10"/>
  <c r="C416" i="10"/>
  <c r="B416" i="10"/>
  <c r="A416" i="10"/>
  <c r="AT415" i="10"/>
  <c r="AF415" i="10"/>
  <c r="R415" i="10"/>
  <c r="H415" i="10"/>
  <c r="G415" i="10"/>
  <c r="F415" i="10"/>
  <c r="E415" i="10"/>
  <c r="D415" i="10"/>
  <c r="C415" i="10"/>
  <c r="B415" i="10"/>
  <c r="A415" i="10"/>
  <c r="H414" i="10"/>
  <c r="G414" i="10"/>
  <c r="F414" i="10"/>
  <c r="E414" i="10"/>
  <c r="D414" i="10"/>
  <c r="C414" i="10"/>
  <c r="B414" i="10"/>
  <c r="A414" i="10"/>
  <c r="H413" i="10"/>
  <c r="G413" i="10"/>
  <c r="F413" i="10"/>
  <c r="E413" i="10"/>
  <c r="D413" i="10"/>
  <c r="C413" i="10"/>
  <c r="B413" i="10"/>
  <c r="A413" i="10"/>
  <c r="H412" i="10"/>
  <c r="G412" i="10"/>
  <c r="F412" i="10"/>
  <c r="E412" i="10"/>
  <c r="D412" i="10"/>
  <c r="C412" i="10"/>
  <c r="B412" i="10"/>
  <c r="A412" i="10"/>
  <c r="H411" i="10"/>
  <c r="G411" i="10"/>
  <c r="F411" i="10"/>
  <c r="E411" i="10"/>
  <c r="D411" i="10"/>
  <c r="C411" i="10"/>
  <c r="B411" i="10"/>
  <c r="A411" i="10"/>
  <c r="AT410" i="10"/>
  <c r="AF410" i="10"/>
  <c r="R410" i="10"/>
  <c r="H410" i="10"/>
  <c r="G410" i="10"/>
  <c r="F410" i="10"/>
  <c r="E410" i="10"/>
  <c r="D410" i="10"/>
  <c r="C410" i="10"/>
  <c r="B410" i="10"/>
  <c r="A410" i="10"/>
  <c r="H409" i="10"/>
  <c r="G409" i="10"/>
  <c r="F409" i="10"/>
  <c r="E409" i="10"/>
  <c r="D409" i="10"/>
  <c r="C409" i="10"/>
  <c r="B409" i="10"/>
  <c r="A409" i="10"/>
  <c r="H408" i="10"/>
  <c r="G408" i="10"/>
  <c r="F408" i="10"/>
  <c r="E408" i="10"/>
  <c r="D408" i="10"/>
  <c r="C408" i="10"/>
  <c r="B408" i="10"/>
  <c r="A408" i="10"/>
  <c r="H407" i="10"/>
  <c r="G407" i="10"/>
  <c r="F407" i="10"/>
  <c r="E407" i="10"/>
  <c r="D407" i="10"/>
  <c r="C407" i="10"/>
  <c r="B407" i="10"/>
  <c r="A407" i="10"/>
  <c r="H406" i="10"/>
  <c r="G406" i="10"/>
  <c r="F406" i="10"/>
  <c r="E406" i="10"/>
  <c r="D406" i="10"/>
  <c r="C406" i="10"/>
  <c r="B406" i="10"/>
  <c r="A406" i="10"/>
  <c r="AT405" i="10"/>
  <c r="AF405" i="10"/>
  <c r="R405" i="10"/>
  <c r="H405" i="10"/>
  <c r="G405" i="10"/>
  <c r="F405" i="10"/>
  <c r="E405" i="10"/>
  <c r="D405" i="10"/>
  <c r="C405" i="10"/>
  <c r="B405" i="10"/>
  <c r="A405" i="10"/>
  <c r="H404" i="10"/>
  <c r="G404" i="10"/>
  <c r="F404" i="10"/>
  <c r="E404" i="10"/>
  <c r="D404" i="10"/>
  <c r="C404" i="10"/>
  <c r="B404" i="10"/>
  <c r="A404" i="10"/>
  <c r="H403" i="10"/>
  <c r="G403" i="10"/>
  <c r="F403" i="10"/>
  <c r="E403" i="10"/>
  <c r="D403" i="10"/>
  <c r="C403" i="10"/>
  <c r="B403" i="10"/>
  <c r="A403" i="10"/>
  <c r="H402" i="10"/>
  <c r="G402" i="10"/>
  <c r="F402" i="10"/>
  <c r="E402" i="10"/>
  <c r="D402" i="10"/>
  <c r="C402" i="10"/>
  <c r="B402" i="10"/>
  <c r="A402" i="10"/>
  <c r="H401" i="10"/>
  <c r="G401" i="10"/>
  <c r="F401" i="10"/>
  <c r="E401" i="10"/>
  <c r="D401" i="10"/>
  <c r="C401" i="10"/>
  <c r="B401" i="10"/>
  <c r="A401" i="10"/>
  <c r="AT400" i="10"/>
  <c r="AF400" i="10"/>
  <c r="R400" i="10"/>
  <c r="H400" i="10"/>
  <c r="G400" i="10"/>
  <c r="F400" i="10"/>
  <c r="E400" i="10"/>
  <c r="D400" i="10"/>
  <c r="C400" i="10"/>
  <c r="B400" i="10"/>
  <c r="A400" i="10"/>
  <c r="H399" i="10"/>
  <c r="G399" i="10"/>
  <c r="F399" i="10"/>
  <c r="E399" i="10"/>
  <c r="D399" i="10"/>
  <c r="C399" i="10"/>
  <c r="B399" i="10"/>
  <c r="A399" i="10"/>
  <c r="H398" i="10"/>
  <c r="G398" i="10"/>
  <c r="F398" i="10"/>
  <c r="E398" i="10"/>
  <c r="D398" i="10"/>
  <c r="C398" i="10"/>
  <c r="B398" i="10"/>
  <c r="A398" i="10"/>
  <c r="H397" i="10"/>
  <c r="G397" i="10"/>
  <c r="F397" i="10"/>
  <c r="E397" i="10"/>
  <c r="D397" i="10"/>
  <c r="C397" i="10"/>
  <c r="B397" i="10"/>
  <c r="A397" i="10"/>
  <c r="H396" i="10"/>
  <c r="G396" i="10"/>
  <c r="F396" i="10"/>
  <c r="E396" i="10"/>
  <c r="D396" i="10"/>
  <c r="C396" i="10"/>
  <c r="B396" i="10"/>
  <c r="A396" i="10"/>
  <c r="AT395" i="10"/>
  <c r="AF395" i="10"/>
  <c r="R395" i="10"/>
  <c r="H395" i="10"/>
  <c r="G395" i="10"/>
  <c r="F395" i="10"/>
  <c r="E395" i="10"/>
  <c r="D395" i="10"/>
  <c r="C395" i="10"/>
  <c r="B395" i="10"/>
  <c r="A395" i="10"/>
  <c r="H394" i="10"/>
  <c r="G394" i="10"/>
  <c r="F394" i="10"/>
  <c r="E394" i="10"/>
  <c r="D394" i="10"/>
  <c r="C394" i="10"/>
  <c r="B394" i="10"/>
  <c r="A394" i="10"/>
  <c r="H393" i="10"/>
  <c r="G393" i="10"/>
  <c r="F393" i="10"/>
  <c r="E393" i="10"/>
  <c r="D393" i="10"/>
  <c r="C393" i="10"/>
  <c r="B393" i="10"/>
  <c r="A393" i="10"/>
  <c r="H392" i="10"/>
  <c r="G392" i="10"/>
  <c r="F392" i="10"/>
  <c r="E392" i="10"/>
  <c r="D392" i="10"/>
  <c r="C392" i="10"/>
  <c r="B392" i="10"/>
  <c r="A392" i="10"/>
  <c r="H391" i="10"/>
  <c r="G391" i="10"/>
  <c r="F391" i="10"/>
  <c r="E391" i="10"/>
  <c r="D391" i="10"/>
  <c r="C391" i="10"/>
  <c r="B391" i="10"/>
  <c r="A391" i="10"/>
  <c r="AT390" i="10"/>
  <c r="AF390" i="10"/>
  <c r="R390" i="10"/>
  <c r="H390" i="10"/>
  <c r="G390" i="10"/>
  <c r="F390" i="10"/>
  <c r="E390" i="10"/>
  <c r="D390" i="10"/>
  <c r="C390" i="10"/>
  <c r="B390" i="10"/>
  <c r="A390" i="10"/>
  <c r="H389" i="10"/>
  <c r="G389" i="10"/>
  <c r="F389" i="10"/>
  <c r="E389" i="10"/>
  <c r="D389" i="10"/>
  <c r="C389" i="10"/>
  <c r="B389" i="10"/>
  <c r="A389" i="10"/>
  <c r="H388" i="10"/>
  <c r="G388" i="10"/>
  <c r="F388" i="10"/>
  <c r="E388" i="10"/>
  <c r="D388" i="10"/>
  <c r="C388" i="10"/>
  <c r="B388" i="10"/>
  <c r="A388" i="10"/>
  <c r="H387" i="10"/>
  <c r="G387" i="10"/>
  <c r="F387" i="10"/>
  <c r="E387" i="10"/>
  <c r="D387" i="10"/>
  <c r="C387" i="10"/>
  <c r="B387" i="10"/>
  <c r="A387" i="10"/>
  <c r="H386" i="10"/>
  <c r="G386" i="10"/>
  <c r="F386" i="10"/>
  <c r="E386" i="10"/>
  <c r="D386" i="10"/>
  <c r="C386" i="10"/>
  <c r="B386" i="10"/>
  <c r="A386" i="10"/>
  <c r="AT385" i="10"/>
  <c r="AF385" i="10"/>
  <c r="R385" i="10"/>
  <c r="H385" i="10"/>
  <c r="G385" i="10"/>
  <c r="F385" i="10"/>
  <c r="E385" i="10"/>
  <c r="D385" i="10"/>
  <c r="C385" i="10"/>
  <c r="B385" i="10"/>
  <c r="A385" i="10"/>
  <c r="H384" i="10"/>
  <c r="G384" i="10"/>
  <c r="F384" i="10"/>
  <c r="E384" i="10"/>
  <c r="D384" i="10"/>
  <c r="C384" i="10"/>
  <c r="B384" i="10"/>
  <c r="A384" i="10"/>
  <c r="H383" i="10"/>
  <c r="G383" i="10"/>
  <c r="F383" i="10"/>
  <c r="E383" i="10"/>
  <c r="D383" i="10"/>
  <c r="C383" i="10"/>
  <c r="B383" i="10"/>
  <c r="A383" i="10"/>
  <c r="H382" i="10"/>
  <c r="G382" i="10"/>
  <c r="F382" i="10"/>
  <c r="E382" i="10"/>
  <c r="D382" i="10"/>
  <c r="C382" i="10"/>
  <c r="B382" i="10"/>
  <c r="A382" i="10"/>
  <c r="H381" i="10"/>
  <c r="G381" i="10"/>
  <c r="F381" i="10"/>
  <c r="E381" i="10"/>
  <c r="D381" i="10"/>
  <c r="C381" i="10"/>
  <c r="B381" i="10"/>
  <c r="A381" i="10"/>
  <c r="AT380" i="10"/>
  <c r="AF380" i="10"/>
  <c r="R380" i="10"/>
  <c r="H380" i="10"/>
  <c r="G380" i="10"/>
  <c r="F380" i="10"/>
  <c r="E380" i="10"/>
  <c r="D380" i="10"/>
  <c r="C380" i="10"/>
  <c r="B380" i="10"/>
  <c r="A380" i="10"/>
  <c r="H379" i="10"/>
  <c r="G379" i="10"/>
  <c r="F379" i="10"/>
  <c r="E379" i="10"/>
  <c r="D379" i="10"/>
  <c r="C379" i="10"/>
  <c r="B379" i="10"/>
  <c r="A379" i="10"/>
  <c r="H378" i="10"/>
  <c r="G378" i="10"/>
  <c r="F378" i="10"/>
  <c r="E378" i="10"/>
  <c r="D378" i="10"/>
  <c r="C378" i="10"/>
  <c r="B378" i="10"/>
  <c r="A378" i="10"/>
  <c r="H377" i="10"/>
  <c r="G377" i="10"/>
  <c r="F377" i="10"/>
  <c r="E377" i="10"/>
  <c r="D377" i="10"/>
  <c r="C377" i="10"/>
  <c r="B377" i="10"/>
  <c r="A377" i="10"/>
  <c r="H376" i="10"/>
  <c r="G376" i="10"/>
  <c r="F376" i="10"/>
  <c r="E376" i="10"/>
  <c r="D376" i="10"/>
  <c r="C376" i="10"/>
  <c r="B376" i="10"/>
  <c r="A376" i="10"/>
  <c r="AT375" i="10"/>
  <c r="AF375" i="10"/>
  <c r="R375" i="10"/>
  <c r="H375" i="10"/>
  <c r="G375" i="10"/>
  <c r="F375" i="10"/>
  <c r="E375" i="10"/>
  <c r="D375" i="10"/>
  <c r="C375" i="10"/>
  <c r="B375" i="10"/>
  <c r="A375" i="10"/>
  <c r="H374" i="10"/>
  <c r="G374" i="10"/>
  <c r="F374" i="10"/>
  <c r="E374" i="10"/>
  <c r="D374" i="10"/>
  <c r="C374" i="10"/>
  <c r="B374" i="10"/>
  <c r="A374" i="10"/>
  <c r="H373" i="10"/>
  <c r="G373" i="10"/>
  <c r="F373" i="10"/>
  <c r="E373" i="10"/>
  <c r="D373" i="10"/>
  <c r="C373" i="10"/>
  <c r="B373" i="10"/>
  <c r="A373" i="10"/>
  <c r="H372" i="10"/>
  <c r="G372" i="10"/>
  <c r="F372" i="10"/>
  <c r="E372" i="10"/>
  <c r="D372" i="10"/>
  <c r="C372" i="10"/>
  <c r="B372" i="10"/>
  <c r="A372" i="10"/>
  <c r="H371" i="10"/>
  <c r="G371" i="10"/>
  <c r="F371" i="10"/>
  <c r="E371" i="10"/>
  <c r="D371" i="10"/>
  <c r="C371" i="10"/>
  <c r="B371" i="10"/>
  <c r="A371" i="10"/>
  <c r="AT370" i="10"/>
  <c r="AF370" i="10"/>
  <c r="R370" i="10"/>
  <c r="H370" i="10"/>
  <c r="G370" i="10"/>
  <c r="F370" i="10"/>
  <c r="E370" i="10"/>
  <c r="D370" i="10"/>
  <c r="C370" i="10"/>
  <c r="B370" i="10"/>
  <c r="A370" i="10"/>
  <c r="H369" i="10"/>
  <c r="G369" i="10"/>
  <c r="F369" i="10"/>
  <c r="E369" i="10"/>
  <c r="D369" i="10"/>
  <c r="C369" i="10"/>
  <c r="B369" i="10"/>
  <c r="A369" i="10"/>
  <c r="H368" i="10"/>
  <c r="G368" i="10"/>
  <c r="F368" i="10"/>
  <c r="E368" i="10"/>
  <c r="D368" i="10"/>
  <c r="C368" i="10"/>
  <c r="B368" i="10"/>
  <c r="A368" i="10"/>
  <c r="H367" i="10"/>
  <c r="G367" i="10"/>
  <c r="F367" i="10"/>
  <c r="E367" i="10"/>
  <c r="D367" i="10"/>
  <c r="C367" i="10"/>
  <c r="B367" i="10"/>
  <c r="A367" i="10"/>
  <c r="H366" i="10"/>
  <c r="G366" i="10"/>
  <c r="F366" i="10"/>
  <c r="E366" i="10"/>
  <c r="D366" i="10"/>
  <c r="C366" i="10"/>
  <c r="B366" i="10"/>
  <c r="A366" i="10"/>
  <c r="AT365" i="10"/>
  <c r="AF365" i="10"/>
  <c r="R365" i="10"/>
  <c r="H365" i="10"/>
  <c r="G365" i="10"/>
  <c r="F365" i="10"/>
  <c r="E365" i="10"/>
  <c r="D365" i="10"/>
  <c r="C365" i="10"/>
  <c r="B365" i="10"/>
  <c r="A365" i="10"/>
  <c r="H364" i="10"/>
  <c r="G364" i="10"/>
  <c r="F364" i="10"/>
  <c r="E364" i="10"/>
  <c r="D364" i="10"/>
  <c r="C364" i="10"/>
  <c r="B364" i="10"/>
  <c r="A364" i="10"/>
  <c r="H363" i="10"/>
  <c r="G363" i="10"/>
  <c r="F363" i="10"/>
  <c r="E363" i="10"/>
  <c r="D363" i="10"/>
  <c r="C363" i="10"/>
  <c r="B363" i="10"/>
  <c r="A363" i="10"/>
  <c r="H362" i="10"/>
  <c r="G362" i="10"/>
  <c r="F362" i="10"/>
  <c r="E362" i="10"/>
  <c r="D362" i="10"/>
  <c r="C362" i="10"/>
  <c r="B362" i="10"/>
  <c r="A362" i="10"/>
  <c r="H361" i="10"/>
  <c r="G361" i="10"/>
  <c r="F361" i="10"/>
  <c r="E361" i="10"/>
  <c r="D361" i="10"/>
  <c r="C361" i="10"/>
  <c r="B361" i="10"/>
  <c r="A361" i="10"/>
  <c r="AT360" i="10"/>
  <c r="AF360" i="10"/>
  <c r="R360" i="10"/>
  <c r="H360" i="10"/>
  <c r="G360" i="10"/>
  <c r="F360" i="10"/>
  <c r="E360" i="10"/>
  <c r="D360" i="10"/>
  <c r="C360" i="10"/>
  <c r="B360" i="10"/>
  <c r="A360" i="10"/>
  <c r="H359" i="10"/>
  <c r="G359" i="10"/>
  <c r="F359" i="10"/>
  <c r="E359" i="10"/>
  <c r="D359" i="10"/>
  <c r="C359" i="10"/>
  <c r="B359" i="10"/>
  <c r="A359" i="10"/>
  <c r="H358" i="10"/>
  <c r="G358" i="10"/>
  <c r="F358" i="10"/>
  <c r="E358" i="10"/>
  <c r="D358" i="10"/>
  <c r="C358" i="10"/>
  <c r="B358" i="10"/>
  <c r="A358" i="10"/>
  <c r="H357" i="10"/>
  <c r="G357" i="10"/>
  <c r="F357" i="10"/>
  <c r="E357" i="10"/>
  <c r="D357" i="10"/>
  <c r="C357" i="10"/>
  <c r="B357" i="10"/>
  <c r="A357" i="10"/>
  <c r="H356" i="10"/>
  <c r="G356" i="10"/>
  <c r="F356" i="10"/>
  <c r="E356" i="10"/>
  <c r="D356" i="10"/>
  <c r="C356" i="10"/>
  <c r="B356" i="10"/>
  <c r="A356" i="10"/>
  <c r="AT355" i="10"/>
  <c r="AF355" i="10"/>
  <c r="R355" i="10"/>
  <c r="H355" i="10"/>
  <c r="G355" i="10"/>
  <c r="F355" i="10"/>
  <c r="E355" i="10"/>
  <c r="D355" i="10"/>
  <c r="C355" i="10"/>
  <c r="B355" i="10"/>
  <c r="A355" i="10"/>
  <c r="H354" i="10"/>
  <c r="G354" i="10"/>
  <c r="F354" i="10"/>
  <c r="E354" i="10"/>
  <c r="D354" i="10"/>
  <c r="C354" i="10"/>
  <c r="B354" i="10"/>
  <c r="A354" i="10"/>
  <c r="H353" i="10"/>
  <c r="G353" i="10"/>
  <c r="F353" i="10"/>
  <c r="E353" i="10"/>
  <c r="D353" i="10"/>
  <c r="C353" i="10"/>
  <c r="B353" i="10"/>
  <c r="A353" i="10"/>
  <c r="H352" i="10"/>
  <c r="G352" i="10"/>
  <c r="F352" i="10"/>
  <c r="E352" i="10"/>
  <c r="D352" i="10"/>
  <c r="C352" i="10"/>
  <c r="B352" i="10"/>
  <c r="A352" i="10"/>
  <c r="H351" i="10"/>
  <c r="G351" i="10"/>
  <c r="F351" i="10"/>
  <c r="E351" i="10"/>
  <c r="D351" i="10"/>
  <c r="C351" i="10"/>
  <c r="B351" i="10"/>
  <c r="A351" i="10"/>
  <c r="AT350" i="10"/>
  <c r="AF350" i="10"/>
  <c r="R350" i="10"/>
  <c r="H350" i="10"/>
  <c r="G350" i="10"/>
  <c r="F350" i="10"/>
  <c r="E350" i="10"/>
  <c r="D350" i="10"/>
  <c r="C350" i="10"/>
  <c r="B350" i="10"/>
  <c r="A350" i="10"/>
  <c r="H349" i="10"/>
  <c r="G349" i="10"/>
  <c r="F349" i="10"/>
  <c r="E349" i="10"/>
  <c r="D349" i="10"/>
  <c r="C349" i="10"/>
  <c r="B349" i="10"/>
  <c r="A349" i="10"/>
  <c r="H348" i="10"/>
  <c r="G348" i="10"/>
  <c r="F348" i="10"/>
  <c r="E348" i="10"/>
  <c r="D348" i="10"/>
  <c r="C348" i="10"/>
  <c r="B348" i="10"/>
  <c r="A348" i="10"/>
  <c r="H347" i="10"/>
  <c r="G347" i="10"/>
  <c r="F347" i="10"/>
  <c r="E347" i="10"/>
  <c r="D347" i="10"/>
  <c r="C347" i="10"/>
  <c r="B347" i="10"/>
  <c r="A347" i="10"/>
  <c r="H346" i="10"/>
  <c r="G346" i="10"/>
  <c r="F346" i="10"/>
  <c r="E346" i="10"/>
  <c r="D346" i="10"/>
  <c r="C346" i="10"/>
  <c r="B346" i="10"/>
  <c r="A346" i="10"/>
  <c r="AT345" i="10"/>
  <c r="AF345" i="10"/>
  <c r="R345" i="10"/>
  <c r="H345" i="10"/>
  <c r="G345" i="10"/>
  <c r="F345" i="10"/>
  <c r="E345" i="10"/>
  <c r="D345" i="10"/>
  <c r="C345" i="10"/>
  <c r="B345" i="10"/>
  <c r="A345" i="10"/>
  <c r="H344" i="10"/>
  <c r="G344" i="10"/>
  <c r="F344" i="10"/>
  <c r="E344" i="10"/>
  <c r="D344" i="10"/>
  <c r="C344" i="10"/>
  <c r="B344" i="10"/>
  <c r="A344" i="10"/>
  <c r="H343" i="10"/>
  <c r="G343" i="10"/>
  <c r="F343" i="10"/>
  <c r="E343" i="10"/>
  <c r="D343" i="10"/>
  <c r="C343" i="10"/>
  <c r="B343" i="10"/>
  <c r="A343" i="10"/>
  <c r="H342" i="10"/>
  <c r="G342" i="10"/>
  <c r="F342" i="10"/>
  <c r="E342" i="10"/>
  <c r="D342" i="10"/>
  <c r="C342" i="10"/>
  <c r="B342" i="10"/>
  <c r="A342" i="10"/>
  <c r="H341" i="10"/>
  <c r="G341" i="10"/>
  <c r="F341" i="10"/>
  <c r="E341" i="10"/>
  <c r="D341" i="10"/>
  <c r="C341" i="10"/>
  <c r="B341" i="10"/>
  <c r="A341" i="10"/>
  <c r="AT340" i="10"/>
  <c r="AF340" i="10"/>
  <c r="R340" i="10"/>
  <c r="H340" i="10"/>
  <c r="G340" i="10"/>
  <c r="F340" i="10"/>
  <c r="E340" i="10"/>
  <c r="D340" i="10"/>
  <c r="C340" i="10"/>
  <c r="B340" i="10"/>
  <c r="A340" i="10"/>
  <c r="H339" i="10"/>
  <c r="G339" i="10"/>
  <c r="F339" i="10"/>
  <c r="E339" i="10"/>
  <c r="D339" i="10"/>
  <c r="C339" i="10"/>
  <c r="B339" i="10"/>
  <c r="A339" i="10"/>
  <c r="H338" i="10"/>
  <c r="G338" i="10"/>
  <c r="F338" i="10"/>
  <c r="E338" i="10"/>
  <c r="D338" i="10"/>
  <c r="C338" i="10"/>
  <c r="B338" i="10"/>
  <c r="A338" i="10"/>
  <c r="H337" i="10"/>
  <c r="G337" i="10"/>
  <c r="F337" i="10"/>
  <c r="E337" i="10"/>
  <c r="D337" i="10"/>
  <c r="C337" i="10"/>
  <c r="B337" i="10"/>
  <c r="A337" i="10"/>
  <c r="H336" i="10"/>
  <c r="G336" i="10"/>
  <c r="F336" i="10"/>
  <c r="E336" i="10"/>
  <c r="D336" i="10"/>
  <c r="C336" i="10"/>
  <c r="B336" i="10"/>
  <c r="A336" i="10"/>
  <c r="AT335" i="10"/>
  <c r="AF335" i="10"/>
  <c r="R335" i="10"/>
  <c r="H335" i="10"/>
  <c r="G335" i="10"/>
  <c r="F335" i="10"/>
  <c r="E335" i="10"/>
  <c r="D335" i="10"/>
  <c r="C335" i="10"/>
  <c r="B335" i="10"/>
  <c r="A335" i="10"/>
  <c r="H334" i="10"/>
  <c r="G334" i="10"/>
  <c r="F334" i="10"/>
  <c r="E334" i="10"/>
  <c r="D334" i="10"/>
  <c r="C334" i="10"/>
  <c r="B334" i="10"/>
  <c r="A334" i="10"/>
  <c r="H333" i="10"/>
  <c r="G333" i="10"/>
  <c r="F333" i="10"/>
  <c r="E333" i="10"/>
  <c r="D333" i="10"/>
  <c r="C333" i="10"/>
  <c r="B333" i="10"/>
  <c r="A333" i="10"/>
  <c r="H332" i="10"/>
  <c r="G332" i="10"/>
  <c r="F332" i="10"/>
  <c r="E332" i="10"/>
  <c r="D332" i="10"/>
  <c r="C332" i="10"/>
  <c r="B332" i="10"/>
  <c r="A332" i="10"/>
  <c r="H331" i="10"/>
  <c r="G331" i="10"/>
  <c r="F331" i="10"/>
  <c r="E331" i="10"/>
  <c r="D331" i="10"/>
  <c r="C331" i="10"/>
  <c r="B331" i="10"/>
  <c r="A331" i="10"/>
  <c r="AT330" i="10"/>
  <c r="AF330" i="10"/>
  <c r="R330" i="10"/>
  <c r="H330" i="10"/>
  <c r="G330" i="10"/>
  <c r="F330" i="10"/>
  <c r="E330" i="10"/>
  <c r="D330" i="10"/>
  <c r="C330" i="10"/>
  <c r="B330" i="10"/>
  <c r="A330" i="10"/>
  <c r="H329" i="10"/>
  <c r="G329" i="10"/>
  <c r="F329" i="10"/>
  <c r="E329" i="10"/>
  <c r="D329" i="10"/>
  <c r="C329" i="10"/>
  <c r="B329" i="10"/>
  <c r="A329" i="10"/>
  <c r="H328" i="10"/>
  <c r="G328" i="10"/>
  <c r="F328" i="10"/>
  <c r="E328" i="10"/>
  <c r="D328" i="10"/>
  <c r="C328" i="10"/>
  <c r="B328" i="10"/>
  <c r="A328" i="10"/>
  <c r="H327" i="10"/>
  <c r="G327" i="10"/>
  <c r="F327" i="10"/>
  <c r="E327" i="10"/>
  <c r="D327" i="10"/>
  <c r="C327" i="10"/>
  <c r="B327" i="10"/>
  <c r="A327" i="10"/>
  <c r="H326" i="10"/>
  <c r="G326" i="10"/>
  <c r="F326" i="10"/>
  <c r="E326" i="10"/>
  <c r="D326" i="10"/>
  <c r="C326" i="10"/>
  <c r="B326" i="10"/>
  <c r="A326" i="10"/>
  <c r="AT325" i="10"/>
  <c r="AF325" i="10"/>
  <c r="R325" i="10"/>
  <c r="H325" i="10"/>
  <c r="G325" i="10"/>
  <c r="F325" i="10"/>
  <c r="E325" i="10"/>
  <c r="D325" i="10"/>
  <c r="C325" i="10"/>
  <c r="B325" i="10"/>
  <c r="A325" i="10"/>
  <c r="H324" i="10"/>
  <c r="G324" i="10"/>
  <c r="F324" i="10"/>
  <c r="E324" i="10"/>
  <c r="D324" i="10"/>
  <c r="C324" i="10"/>
  <c r="B324" i="10"/>
  <c r="A324" i="10"/>
  <c r="H323" i="10"/>
  <c r="G323" i="10"/>
  <c r="F323" i="10"/>
  <c r="E323" i="10"/>
  <c r="D323" i="10"/>
  <c r="C323" i="10"/>
  <c r="B323" i="10"/>
  <c r="A323" i="10"/>
  <c r="H322" i="10"/>
  <c r="G322" i="10"/>
  <c r="F322" i="10"/>
  <c r="E322" i="10"/>
  <c r="D322" i="10"/>
  <c r="C322" i="10"/>
  <c r="B322" i="10"/>
  <c r="A322" i="10"/>
  <c r="H321" i="10"/>
  <c r="G321" i="10"/>
  <c r="F321" i="10"/>
  <c r="E321" i="10"/>
  <c r="D321" i="10"/>
  <c r="C321" i="10"/>
  <c r="B321" i="10"/>
  <c r="A321" i="10"/>
  <c r="AT320" i="10"/>
  <c r="AF320" i="10"/>
  <c r="R320" i="10"/>
  <c r="H320" i="10"/>
  <c r="G320" i="10"/>
  <c r="F320" i="10"/>
  <c r="E320" i="10"/>
  <c r="D320" i="10"/>
  <c r="C320" i="10"/>
  <c r="B320" i="10"/>
  <c r="A320" i="10"/>
  <c r="H319" i="10"/>
  <c r="G319" i="10"/>
  <c r="F319" i="10"/>
  <c r="E319" i="10"/>
  <c r="D319" i="10"/>
  <c r="C319" i="10"/>
  <c r="B319" i="10"/>
  <c r="A319" i="10"/>
  <c r="H318" i="10"/>
  <c r="G318" i="10"/>
  <c r="F318" i="10"/>
  <c r="E318" i="10"/>
  <c r="D318" i="10"/>
  <c r="C318" i="10"/>
  <c r="B318" i="10"/>
  <c r="A318" i="10"/>
  <c r="H317" i="10"/>
  <c r="G317" i="10"/>
  <c r="F317" i="10"/>
  <c r="E317" i="10"/>
  <c r="D317" i="10"/>
  <c r="C317" i="10"/>
  <c r="B317" i="10"/>
  <c r="A317" i="10"/>
  <c r="H316" i="10"/>
  <c r="G316" i="10"/>
  <c r="F316" i="10"/>
  <c r="E316" i="10"/>
  <c r="D316" i="10"/>
  <c r="C316" i="10"/>
  <c r="B316" i="10"/>
  <c r="A316" i="10"/>
  <c r="AT315" i="10"/>
  <c r="AF315" i="10"/>
  <c r="R315" i="10"/>
  <c r="H315" i="10"/>
  <c r="G315" i="10"/>
  <c r="F315" i="10"/>
  <c r="E315" i="10"/>
  <c r="D315" i="10"/>
  <c r="C315" i="10"/>
  <c r="B315" i="10"/>
  <c r="A315" i="10"/>
  <c r="H314" i="10"/>
  <c r="G314" i="10"/>
  <c r="F314" i="10"/>
  <c r="E314" i="10"/>
  <c r="D314" i="10"/>
  <c r="C314" i="10"/>
  <c r="B314" i="10"/>
  <c r="A314" i="10"/>
  <c r="H313" i="10"/>
  <c r="G313" i="10"/>
  <c r="F313" i="10"/>
  <c r="E313" i="10"/>
  <c r="D313" i="10"/>
  <c r="C313" i="10"/>
  <c r="B313" i="10"/>
  <c r="A313" i="10"/>
  <c r="H312" i="10"/>
  <c r="G312" i="10"/>
  <c r="F312" i="10"/>
  <c r="E312" i="10"/>
  <c r="D312" i="10"/>
  <c r="C312" i="10"/>
  <c r="B312" i="10"/>
  <c r="A312" i="10"/>
  <c r="H311" i="10"/>
  <c r="G311" i="10"/>
  <c r="F311" i="10"/>
  <c r="E311" i="10"/>
  <c r="D311" i="10"/>
  <c r="C311" i="10"/>
  <c r="B311" i="10"/>
  <c r="A311" i="10"/>
  <c r="AT310" i="10"/>
  <c r="AF310" i="10"/>
  <c r="R310" i="10"/>
  <c r="H310" i="10"/>
  <c r="G310" i="10"/>
  <c r="F310" i="10"/>
  <c r="E310" i="10"/>
  <c r="D310" i="10"/>
  <c r="C310" i="10"/>
  <c r="B310" i="10"/>
  <c r="A310" i="10"/>
  <c r="H309" i="10"/>
  <c r="G309" i="10"/>
  <c r="F309" i="10"/>
  <c r="E309" i="10"/>
  <c r="D309" i="10"/>
  <c r="C309" i="10"/>
  <c r="B309" i="10"/>
  <c r="A309" i="10"/>
  <c r="H308" i="10"/>
  <c r="G308" i="10"/>
  <c r="F308" i="10"/>
  <c r="E308" i="10"/>
  <c r="D308" i="10"/>
  <c r="C308" i="10"/>
  <c r="B308" i="10"/>
  <c r="A308" i="10"/>
  <c r="H307" i="10"/>
  <c r="G307" i="10"/>
  <c r="F307" i="10"/>
  <c r="E307" i="10"/>
  <c r="D307" i="10"/>
  <c r="C307" i="10"/>
  <c r="B307" i="10"/>
  <c r="A307" i="10"/>
  <c r="H306" i="10"/>
  <c r="G306" i="10"/>
  <c r="F306" i="10"/>
  <c r="E306" i="10"/>
  <c r="D306" i="10"/>
  <c r="C306" i="10"/>
  <c r="B306" i="10"/>
  <c r="A306" i="10"/>
  <c r="AT305" i="10"/>
  <c r="AF305" i="10"/>
  <c r="R305" i="10"/>
  <c r="H305" i="10"/>
  <c r="G305" i="10"/>
  <c r="F305" i="10"/>
  <c r="E305" i="10"/>
  <c r="D305" i="10"/>
  <c r="C305" i="10"/>
  <c r="B305" i="10"/>
  <c r="A305" i="10"/>
  <c r="H304" i="10"/>
  <c r="G304" i="10"/>
  <c r="F304" i="10"/>
  <c r="E304" i="10"/>
  <c r="D304" i="10"/>
  <c r="C304" i="10"/>
  <c r="B304" i="10"/>
  <c r="A304" i="10"/>
  <c r="H303" i="10"/>
  <c r="G303" i="10"/>
  <c r="F303" i="10"/>
  <c r="E303" i="10"/>
  <c r="D303" i="10"/>
  <c r="C303" i="10"/>
  <c r="B303" i="10"/>
  <c r="A303" i="10"/>
  <c r="H302" i="10"/>
  <c r="G302" i="10"/>
  <c r="F302" i="10"/>
  <c r="E302" i="10"/>
  <c r="D302" i="10"/>
  <c r="C302" i="10"/>
  <c r="B302" i="10"/>
  <c r="A302" i="10"/>
  <c r="H301" i="10"/>
  <c r="G301" i="10"/>
  <c r="F301" i="10"/>
  <c r="E301" i="10"/>
  <c r="D301" i="10"/>
  <c r="C301" i="10"/>
  <c r="B301" i="10"/>
  <c r="A301" i="10"/>
  <c r="AT300" i="10"/>
  <c r="AF300" i="10"/>
  <c r="R300" i="10"/>
  <c r="H300" i="10"/>
  <c r="G300" i="10"/>
  <c r="F300" i="10"/>
  <c r="E300" i="10"/>
  <c r="D300" i="10"/>
  <c r="C300" i="10"/>
  <c r="B300" i="10"/>
  <c r="A300" i="10"/>
  <c r="H299" i="10"/>
  <c r="G299" i="10"/>
  <c r="F299" i="10"/>
  <c r="E299" i="10"/>
  <c r="D299" i="10"/>
  <c r="C299" i="10"/>
  <c r="B299" i="10"/>
  <c r="A299" i="10"/>
  <c r="H298" i="10"/>
  <c r="G298" i="10"/>
  <c r="F298" i="10"/>
  <c r="E298" i="10"/>
  <c r="D298" i="10"/>
  <c r="C298" i="10"/>
  <c r="B298" i="10"/>
  <c r="A298" i="10"/>
  <c r="H297" i="10"/>
  <c r="G297" i="10"/>
  <c r="F297" i="10"/>
  <c r="E297" i="10"/>
  <c r="D297" i="10"/>
  <c r="C297" i="10"/>
  <c r="B297" i="10"/>
  <c r="A297" i="10"/>
  <c r="H296" i="10"/>
  <c r="G296" i="10"/>
  <c r="F296" i="10"/>
  <c r="E296" i="10"/>
  <c r="D296" i="10"/>
  <c r="C296" i="10"/>
  <c r="B296" i="10"/>
  <c r="A296" i="10"/>
  <c r="AT295" i="10"/>
  <c r="AF295" i="10"/>
  <c r="R295" i="10"/>
  <c r="H295" i="10"/>
  <c r="G295" i="10"/>
  <c r="F295" i="10"/>
  <c r="E295" i="10"/>
  <c r="D295" i="10"/>
  <c r="C295" i="10"/>
  <c r="B295" i="10"/>
  <c r="A295" i="10"/>
  <c r="H294" i="10"/>
  <c r="G294" i="10"/>
  <c r="F294" i="10"/>
  <c r="E294" i="10"/>
  <c r="D294" i="10"/>
  <c r="C294" i="10"/>
  <c r="B294" i="10"/>
  <c r="A294" i="10"/>
  <c r="H293" i="10"/>
  <c r="G293" i="10"/>
  <c r="F293" i="10"/>
  <c r="E293" i="10"/>
  <c r="D293" i="10"/>
  <c r="C293" i="10"/>
  <c r="B293" i="10"/>
  <c r="A293" i="10"/>
  <c r="H292" i="10"/>
  <c r="G292" i="10"/>
  <c r="F292" i="10"/>
  <c r="E292" i="10"/>
  <c r="D292" i="10"/>
  <c r="C292" i="10"/>
  <c r="B292" i="10"/>
  <c r="A292" i="10"/>
  <c r="H291" i="10"/>
  <c r="G291" i="10"/>
  <c r="F291" i="10"/>
  <c r="E291" i="10"/>
  <c r="D291" i="10"/>
  <c r="C291" i="10"/>
  <c r="B291" i="10"/>
  <c r="A291" i="10"/>
  <c r="AT290" i="10"/>
  <c r="AF290" i="10"/>
  <c r="R290" i="10"/>
  <c r="H290" i="10"/>
  <c r="G290" i="10"/>
  <c r="F290" i="10"/>
  <c r="E290" i="10"/>
  <c r="D290" i="10"/>
  <c r="C290" i="10"/>
  <c r="B290" i="10"/>
  <c r="A290" i="10"/>
  <c r="H289" i="10"/>
  <c r="G289" i="10"/>
  <c r="F289" i="10"/>
  <c r="E289" i="10"/>
  <c r="D289" i="10"/>
  <c r="C289" i="10"/>
  <c r="B289" i="10"/>
  <c r="A289" i="10"/>
  <c r="H288" i="10"/>
  <c r="G288" i="10"/>
  <c r="F288" i="10"/>
  <c r="E288" i="10"/>
  <c r="D288" i="10"/>
  <c r="C288" i="10"/>
  <c r="B288" i="10"/>
  <c r="A288" i="10"/>
  <c r="H287" i="10"/>
  <c r="G287" i="10"/>
  <c r="F287" i="10"/>
  <c r="E287" i="10"/>
  <c r="D287" i="10"/>
  <c r="C287" i="10"/>
  <c r="B287" i="10"/>
  <c r="A287" i="10"/>
  <c r="H286" i="10"/>
  <c r="G286" i="10"/>
  <c r="F286" i="10"/>
  <c r="E286" i="10"/>
  <c r="D286" i="10"/>
  <c r="C286" i="10"/>
  <c r="B286" i="10"/>
  <c r="A286" i="10"/>
  <c r="AT285" i="10"/>
  <c r="AF285" i="10"/>
  <c r="R285" i="10"/>
  <c r="H285" i="10"/>
  <c r="G285" i="10"/>
  <c r="F285" i="10"/>
  <c r="E285" i="10"/>
  <c r="D285" i="10"/>
  <c r="C285" i="10"/>
  <c r="B285" i="10"/>
  <c r="A285" i="10"/>
  <c r="H284" i="10"/>
  <c r="G284" i="10"/>
  <c r="F284" i="10"/>
  <c r="E284" i="10"/>
  <c r="D284" i="10"/>
  <c r="C284" i="10"/>
  <c r="B284" i="10"/>
  <c r="A284" i="10"/>
  <c r="H283" i="10"/>
  <c r="G283" i="10"/>
  <c r="F283" i="10"/>
  <c r="E283" i="10"/>
  <c r="D283" i="10"/>
  <c r="C283" i="10"/>
  <c r="B283" i="10"/>
  <c r="A283" i="10"/>
  <c r="H282" i="10"/>
  <c r="G282" i="10"/>
  <c r="F282" i="10"/>
  <c r="E282" i="10"/>
  <c r="D282" i="10"/>
  <c r="C282" i="10"/>
  <c r="B282" i="10"/>
  <c r="A282" i="10"/>
  <c r="H281" i="10"/>
  <c r="G281" i="10"/>
  <c r="F281" i="10"/>
  <c r="E281" i="10"/>
  <c r="D281" i="10"/>
  <c r="C281" i="10"/>
  <c r="B281" i="10"/>
  <c r="A281" i="10"/>
  <c r="AT280" i="10"/>
  <c r="AF280" i="10"/>
  <c r="R280" i="10"/>
  <c r="H280" i="10"/>
  <c r="G280" i="10"/>
  <c r="F280" i="10"/>
  <c r="E280" i="10"/>
  <c r="D280" i="10"/>
  <c r="C280" i="10"/>
  <c r="B280" i="10"/>
  <c r="A280" i="10"/>
  <c r="H279" i="10"/>
  <c r="G279" i="10"/>
  <c r="F279" i="10"/>
  <c r="E279" i="10"/>
  <c r="D279" i="10"/>
  <c r="C279" i="10"/>
  <c r="B279" i="10"/>
  <c r="A279" i="10"/>
  <c r="H278" i="10"/>
  <c r="G278" i="10"/>
  <c r="F278" i="10"/>
  <c r="E278" i="10"/>
  <c r="D278" i="10"/>
  <c r="C278" i="10"/>
  <c r="B278" i="10"/>
  <c r="A278" i="10"/>
  <c r="H277" i="10"/>
  <c r="G277" i="10"/>
  <c r="F277" i="10"/>
  <c r="E277" i="10"/>
  <c r="D277" i="10"/>
  <c r="C277" i="10"/>
  <c r="B277" i="10"/>
  <c r="A277" i="10"/>
  <c r="H276" i="10"/>
  <c r="G276" i="10"/>
  <c r="F276" i="10"/>
  <c r="E276" i="10"/>
  <c r="D276" i="10"/>
  <c r="C276" i="10"/>
  <c r="B276" i="10"/>
  <c r="A276" i="10"/>
  <c r="AT275" i="10"/>
  <c r="AF275" i="10"/>
  <c r="R275" i="10"/>
  <c r="H275" i="10"/>
  <c r="G275" i="10"/>
  <c r="F275" i="10"/>
  <c r="E275" i="10"/>
  <c r="D275" i="10"/>
  <c r="C275" i="10"/>
  <c r="B275" i="10"/>
  <c r="A275" i="10"/>
  <c r="H274" i="10"/>
  <c r="G274" i="10"/>
  <c r="F274" i="10"/>
  <c r="E274" i="10"/>
  <c r="D274" i="10"/>
  <c r="C274" i="10"/>
  <c r="B274" i="10"/>
  <c r="A274" i="10"/>
  <c r="H273" i="10"/>
  <c r="G273" i="10"/>
  <c r="F273" i="10"/>
  <c r="E273" i="10"/>
  <c r="D273" i="10"/>
  <c r="C273" i="10"/>
  <c r="B273" i="10"/>
  <c r="A273" i="10"/>
  <c r="H272" i="10"/>
  <c r="G272" i="10"/>
  <c r="F272" i="10"/>
  <c r="E272" i="10"/>
  <c r="D272" i="10"/>
  <c r="C272" i="10"/>
  <c r="B272" i="10"/>
  <c r="A272" i="10"/>
  <c r="H271" i="10"/>
  <c r="G271" i="10"/>
  <c r="F271" i="10"/>
  <c r="E271" i="10"/>
  <c r="D271" i="10"/>
  <c r="C271" i="10"/>
  <c r="B271" i="10"/>
  <c r="A271" i="10"/>
  <c r="AT270" i="10"/>
  <c r="AF270" i="10"/>
  <c r="R270" i="10"/>
  <c r="H270" i="10"/>
  <c r="G270" i="10"/>
  <c r="F270" i="10"/>
  <c r="E270" i="10"/>
  <c r="D270" i="10"/>
  <c r="C270" i="10"/>
  <c r="B270" i="10"/>
  <c r="A270" i="10"/>
  <c r="H269" i="10"/>
  <c r="G269" i="10"/>
  <c r="F269" i="10"/>
  <c r="E269" i="10"/>
  <c r="D269" i="10"/>
  <c r="C269" i="10"/>
  <c r="B269" i="10"/>
  <c r="A269" i="10"/>
  <c r="H268" i="10"/>
  <c r="G268" i="10"/>
  <c r="F268" i="10"/>
  <c r="E268" i="10"/>
  <c r="D268" i="10"/>
  <c r="C268" i="10"/>
  <c r="B268" i="10"/>
  <c r="A268" i="10"/>
  <c r="H267" i="10"/>
  <c r="G267" i="10"/>
  <c r="F267" i="10"/>
  <c r="E267" i="10"/>
  <c r="D267" i="10"/>
  <c r="C267" i="10"/>
  <c r="B267" i="10"/>
  <c r="A267" i="10"/>
  <c r="H266" i="10"/>
  <c r="G266" i="10"/>
  <c r="F266" i="10"/>
  <c r="E266" i="10"/>
  <c r="D266" i="10"/>
  <c r="C266" i="10"/>
  <c r="B266" i="10"/>
  <c r="A266" i="10"/>
  <c r="AT265" i="10"/>
  <c r="AF265" i="10"/>
  <c r="R265" i="10"/>
  <c r="H265" i="10"/>
  <c r="G265" i="10"/>
  <c r="F265" i="10"/>
  <c r="E265" i="10"/>
  <c r="D265" i="10"/>
  <c r="C265" i="10"/>
  <c r="B265" i="10"/>
  <c r="A265" i="10"/>
  <c r="H264" i="10"/>
  <c r="G264" i="10"/>
  <c r="F264" i="10"/>
  <c r="E264" i="10"/>
  <c r="D264" i="10"/>
  <c r="C264" i="10"/>
  <c r="B264" i="10"/>
  <c r="A264" i="10"/>
  <c r="H263" i="10"/>
  <c r="G263" i="10"/>
  <c r="F263" i="10"/>
  <c r="E263" i="10"/>
  <c r="D263" i="10"/>
  <c r="C263" i="10"/>
  <c r="B263" i="10"/>
  <c r="A263" i="10"/>
  <c r="H262" i="10"/>
  <c r="G262" i="10"/>
  <c r="F262" i="10"/>
  <c r="E262" i="10"/>
  <c r="D262" i="10"/>
  <c r="C262" i="10"/>
  <c r="B262" i="10"/>
  <c r="A262" i="10"/>
  <c r="H261" i="10"/>
  <c r="G261" i="10"/>
  <c r="F261" i="10"/>
  <c r="E261" i="10"/>
  <c r="D261" i="10"/>
  <c r="C261" i="10"/>
  <c r="B261" i="10"/>
  <c r="A261" i="10"/>
  <c r="AT260" i="10"/>
  <c r="AF260" i="10"/>
  <c r="R260" i="10"/>
  <c r="H260" i="10"/>
  <c r="G260" i="10"/>
  <c r="F260" i="10"/>
  <c r="E260" i="10"/>
  <c r="D260" i="10"/>
  <c r="C260" i="10"/>
  <c r="B260" i="10"/>
  <c r="A260" i="10"/>
  <c r="H259" i="10"/>
  <c r="G259" i="10"/>
  <c r="F259" i="10"/>
  <c r="E259" i="10"/>
  <c r="D259" i="10"/>
  <c r="C259" i="10"/>
  <c r="B259" i="10"/>
  <c r="A259" i="10"/>
  <c r="H258" i="10"/>
  <c r="G258" i="10"/>
  <c r="F258" i="10"/>
  <c r="E258" i="10"/>
  <c r="D258" i="10"/>
  <c r="C258" i="10"/>
  <c r="B258" i="10"/>
  <c r="A258" i="10"/>
  <c r="H257" i="10"/>
  <c r="G257" i="10"/>
  <c r="F257" i="10"/>
  <c r="E257" i="10"/>
  <c r="D257" i="10"/>
  <c r="C257" i="10"/>
  <c r="B257" i="10"/>
  <c r="A257" i="10"/>
  <c r="H256" i="10"/>
  <c r="G256" i="10"/>
  <c r="F256" i="10"/>
  <c r="E256" i="10"/>
  <c r="D256" i="10"/>
  <c r="C256" i="10"/>
  <c r="B256" i="10"/>
  <c r="A256" i="10"/>
  <c r="AT255" i="10"/>
  <c r="AF255" i="10"/>
  <c r="R255" i="10"/>
  <c r="H255" i="10"/>
  <c r="G255" i="10"/>
  <c r="F255" i="10"/>
  <c r="E255" i="10"/>
  <c r="D255" i="10"/>
  <c r="C255" i="10"/>
  <c r="B255" i="10"/>
  <c r="A255" i="10"/>
  <c r="H254" i="10"/>
  <c r="G254" i="10"/>
  <c r="F254" i="10"/>
  <c r="E254" i="10"/>
  <c r="D254" i="10"/>
  <c r="C254" i="10"/>
  <c r="B254" i="10"/>
  <c r="A254" i="10"/>
  <c r="H253" i="10"/>
  <c r="G253" i="10"/>
  <c r="F253" i="10"/>
  <c r="E253" i="10"/>
  <c r="D253" i="10"/>
  <c r="C253" i="10"/>
  <c r="B253" i="10"/>
  <c r="A253" i="10"/>
  <c r="H252" i="10"/>
  <c r="G252" i="10"/>
  <c r="F252" i="10"/>
  <c r="E252" i="10"/>
  <c r="D252" i="10"/>
  <c r="C252" i="10"/>
  <c r="B252" i="10"/>
  <c r="A252" i="10"/>
  <c r="H251" i="10"/>
  <c r="G251" i="10"/>
  <c r="F251" i="10"/>
  <c r="E251" i="10"/>
  <c r="D251" i="10"/>
  <c r="C251" i="10"/>
  <c r="B251" i="10"/>
  <c r="A251" i="10"/>
  <c r="AT250" i="10"/>
  <c r="AF250" i="10"/>
  <c r="R250" i="10"/>
  <c r="H250" i="10"/>
  <c r="G250" i="10"/>
  <c r="F250" i="10"/>
  <c r="E250" i="10"/>
  <c r="D250" i="10"/>
  <c r="C250" i="10"/>
  <c r="B250" i="10"/>
  <c r="A250" i="10"/>
  <c r="H249" i="10"/>
  <c r="G249" i="10"/>
  <c r="F249" i="10"/>
  <c r="E249" i="10"/>
  <c r="D249" i="10"/>
  <c r="C249" i="10"/>
  <c r="B249" i="10"/>
  <c r="A249" i="10"/>
  <c r="H248" i="10"/>
  <c r="G248" i="10"/>
  <c r="F248" i="10"/>
  <c r="E248" i="10"/>
  <c r="D248" i="10"/>
  <c r="C248" i="10"/>
  <c r="B248" i="10"/>
  <c r="A248" i="10"/>
  <c r="H247" i="10"/>
  <c r="G247" i="10"/>
  <c r="F247" i="10"/>
  <c r="E247" i="10"/>
  <c r="D247" i="10"/>
  <c r="C247" i="10"/>
  <c r="B247" i="10"/>
  <c r="A247" i="10"/>
  <c r="H246" i="10"/>
  <c r="G246" i="10"/>
  <c r="F246" i="10"/>
  <c r="E246" i="10"/>
  <c r="D246" i="10"/>
  <c r="C246" i="10"/>
  <c r="B246" i="10"/>
  <c r="A246" i="10"/>
  <c r="AT245" i="10"/>
  <c r="AF245" i="10"/>
  <c r="R245" i="10"/>
  <c r="H245" i="10"/>
  <c r="G245" i="10"/>
  <c r="F245" i="10"/>
  <c r="E245" i="10"/>
  <c r="D245" i="10"/>
  <c r="C245" i="10"/>
  <c r="B245" i="10"/>
  <c r="A245" i="10"/>
  <c r="H244" i="10"/>
  <c r="G244" i="10"/>
  <c r="F244" i="10"/>
  <c r="E244" i="10"/>
  <c r="D244" i="10"/>
  <c r="C244" i="10"/>
  <c r="B244" i="10"/>
  <c r="A244" i="10"/>
  <c r="H243" i="10"/>
  <c r="G243" i="10"/>
  <c r="F243" i="10"/>
  <c r="E243" i="10"/>
  <c r="D243" i="10"/>
  <c r="C243" i="10"/>
  <c r="B243" i="10"/>
  <c r="A243" i="10"/>
  <c r="H242" i="10"/>
  <c r="G242" i="10"/>
  <c r="F242" i="10"/>
  <c r="E242" i="10"/>
  <c r="D242" i="10"/>
  <c r="C242" i="10"/>
  <c r="B242" i="10"/>
  <c r="A242" i="10"/>
  <c r="H241" i="10"/>
  <c r="G241" i="10"/>
  <c r="F241" i="10"/>
  <c r="E241" i="10"/>
  <c r="D241" i="10"/>
  <c r="C241" i="10"/>
  <c r="B241" i="10"/>
  <c r="A241" i="10"/>
  <c r="AT240" i="10"/>
  <c r="AF240" i="10"/>
  <c r="R240" i="10"/>
  <c r="H240" i="10"/>
  <c r="G240" i="10"/>
  <c r="F240" i="10"/>
  <c r="E240" i="10"/>
  <c r="D240" i="10"/>
  <c r="C240" i="10"/>
  <c r="B240" i="10"/>
  <c r="A240" i="10"/>
  <c r="H239" i="10"/>
  <c r="G239" i="10"/>
  <c r="F239" i="10"/>
  <c r="E239" i="10"/>
  <c r="D239" i="10"/>
  <c r="C239" i="10"/>
  <c r="B239" i="10"/>
  <c r="A239" i="10"/>
  <c r="H238" i="10"/>
  <c r="G238" i="10"/>
  <c r="F238" i="10"/>
  <c r="E238" i="10"/>
  <c r="D238" i="10"/>
  <c r="C238" i="10"/>
  <c r="B238" i="10"/>
  <c r="A238" i="10"/>
  <c r="H237" i="10"/>
  <c r="G237" i="10"/>
  <c r="F237" i="10"/>
  <c r="E237" i="10"/>
  <c r="D237" i="10"/>
  <c r="C237" i="10"/>
  <c r="B237" i="10"/>
  <c r="A237" i="10"/>
  <c r="H236" i="10"/>
  <c r="G236" i="10"/>
  <c r="F236" i="10"/>
  <c r="E236" i="10"/>
  <c r="D236" i="10"/>
  <c r="C236" i="10"/>
  <c r="B236" i="10"/>
  <c r="A236" i="10"/>
  <c r="AT235" i="10"/>
  <c r="AF235" i="10"/>
  <c r="R235" i="10"/>
  <c r="H235" i="10"/>
  <c r="G235" i="10"/>
  <c r="F235" i="10"/>
  <c r="E235" i="10"/>
  <c r="D235" i="10"/>
  <c r="C235" i="10"/>
  <c r="B235" i="10"/>
  <c r="A235" i="10"/>
  <c r="H234" i="10"/>
  <c r="G234" i="10"/>
  <c r="F234" i="10"/>
  <c r="E234" i="10"/>
  <c r="D234" i="10"/>
  <c r="C234" i="10"/>
  <c r="B234" i="10"/>
  <c r="A234" i="10"/>
  <c r="H233" i="10"/>
  <c r="G233" i="10"/>
  <c r="F233" i="10"/>
  <c r="E233" i="10"/>
  <c r="D233" i="10"/>
  <c r="C233" i="10"/>
  <c r="B233" i="10"/>
  <c r="A233" i="10"/>
  <c r="H232" i="10"/>
  <c r="G232" i="10"/>
  <c r="F232" i="10"/>
  <c r="E232" i="10"/>
  <c r="D232" i="10"/>
  <c r="C232" i="10"/>
  <c r="B232" i="10"/>
  <c r="A232" i="10"/>
  <c r="H231" i="10"/>
  <c r="G231" i="10"/>
  <c r="F231" i="10"/>
  <c r="E231" i="10"/>
  <c r="D231" i="10"/>
  <c r="C231" i="10"/>
  <c r="B231" i="10"/>
  <c r="A231" i="10"/>
  <c r="AT230" i="10"/>
  <c r="AF230" i="10"/>
  <c r="R230" i="10"/>
  <c r="H230" i="10"/>
  <c r="G230" i="10"/>
  <c r="F230" i="10"/>
  <c r="E230" i="10"/>
  <c r="D230" i="10"/>
  <c r="C230" i="10"/>
  <c r="B230" i="10"/>
  <c r="A230" i="10"/>
  <c r="H229" i="10"/>
  <c r="G229" i="10"/>
  <c r="F229" i="10"/>
  <c r="E229" i="10"/>
  <c r="D229" i="10"/>
  <c r="C229" i="10"/>
  <c r="B229" i="10"/>
  <c r="A229" i="10"/>
  <c r="H228" i="10"/>
  <c r="G228" i="10"/>
  <c r="F228" i="10"/>
  <c r="E228" i="10"/>
  <c r="D228" i="10"/>
  <c r="C228" i="10"/>
  <c r="B228" i="10"/>
  <c r="A228" i="10"/>
  <c r="H227" i="10"/>
  <c r="G227" i="10"/>
  <c r="F227" i="10"/>
  <c r="E227" i="10"/>
  <c r="D227" i="10"/>
  <c r="C227" i="10"/>
  <c r="B227" i="10"/>
  <c r="A227" i="10"/>
  <c r="H226" i="10"/>
  <c r="G226" i="10"/>
  <c r="F226" i="10"/>
  <c r="E226" i="10"/>
  <c r="D226" i="10"/>
  <c r="C226" i="10"/>
  <c r="B226" i="10"/>
  <c r="A226" i="10"/>
  <c r="AT225" i="10"/>
  <c r="AF225" i="10"/>
  <c r="R225" i="10"/>
  <c r="H225" i="10"/>
  <c r="G225" i="10"/>
  <c r="F225" i="10"/>
  <c r="E225" i="10"/>
  <c r="D225" i="10"/>
  <c r="C225" i="10"/>
  <c r="B225" i="10"/>
  <c r="A225" i="10"/>
  <c r="H224" i="10"/>
  <c r="G224" i="10"/>
  <c r="F224" i="10"/>
  <c r="E224" i="10"/>
  <c r="D224" i="10"/>
  <c r="C224" i="10"/>
  <c r="B224" i="10"/>
  <c r="A224" i="10"/>
  <c r="H223" i="10"/>
  <c r="G223" i="10"/>
  <c r="F223" i="10"/>
  <c r="E223" i="10"/>
  <c r="D223" i="10"/>
  <c r="C223" i="10"/>
  <c r="B223" i="10"/>
  <c r="A223" i="10"/>
  <c r="H222" i="10"/>
  <c r="G222" i="10"/>
  <c r="F222" i="10"/>
  <c r="E222" i="10"/>
  <c r="D222" i="10"/>
  <c r="C222" i="10"/>
  <c r="B222" i="10"/>
  <c r="A222" i="10"/>
  <c r="H221" i="10"/>
  <c r="G221" i="10"/>
  <c r="F221" i="10"/>
  <c r="E221" i="10"/>
  <c r="D221" i="10"/>
  <c r="C221" i="10"/>
  <c r="B221" i="10"/>
  <c r="A221" i="10"/>
  <c r="AT220" i="10"/>
  <c r="AF220" i="10"/>
  <c r="R220" i="10"/>
  <c r="H220" i="10"/>
  <c r="G220" i="10"/>
  <c r="F220" i="10"/>
  <c r="E220" i="10"/>
  <c r="D220" i="10"/>
  <c r="C220" i="10"/>
  <c r="B220" i="10"/>
  <c r="A220" i="10"/>
  <c r="H219" i="10"/>
  <c r="G219" i="10"/>
  <c r="F219" i="10"/>
  <c r="E219" i="10"/>
  <c r="D219" i="10"/>
  <c r="C219" i="10"/>
  <c r="B219" i="10"/>
  <c r="A219" i="10"/>
  <c r="H218" i="10"/>
  <c r="G218" i="10"/>
  <c r="F218" i="10"/>
  <c r="E218" i="10"/>
  <c r="D218" i="10"/>
  <c r="C218" i="10"/>
  <c r="B218" i="10"/>
  <c r="A218" i="10"/>
  <c r="H217" i="10"/>
  <c r="G217" i="10"/>
  <c r="F217" i="10"/>
  <c r="E217" i="10"/>
  <c r="D217" i="10"/>
  <c r="C217" i="10"/>
  <c r="B217" i="10"/>
  <c r="A217" i="10"/>
  <c r="H216" i="10"/>
  <c r="G216" i="10"/>
  <c r="F216" i="10"/>
  <c r="E216" i="10"/>
  <c r="D216" i="10"/>
  <c r="C216" i="10"/>
  <c r="B216" i="10"/>
  <c r="A216" i="10"/>
  <c r="AT215" i="10"/>
  <c r="AF215" i="10"/>
  <c r="R215" i="10"/>
  <c r="H215" i="10"/>
  <c r="G215" i="10"/>
  <c r="F215" i="10"/>
  <c r="E215" i="10"/>
  <c r="D215" i="10"/>
  <c r="C215" i="10"/>
  <c r="B215" i="10"/>
  <c r="A215" i="10"/>
  <c r="H214" i="10"/>
  <c r="G214" i="10"/>
  <c r="F214" i="10"/>
  <c r="E214" i="10"/>
  <c r="D214" i="10"/>
  <c r="C214" i="10"/>
  <c r="B214" i="10"/>
  <c r="A214" i="10"/>
  <c r="H213" i="10"/>
  <c r="G213" i="10"/>
  <c r="F213" i="10"/>
  <c r="E213" i="10"/>
  <c r="D213" i="10"/>
  <c r="C213" i="10"/>
  <c r="B213" i="10"/>
  <c r="A213" i="10"/>
  <c r="H212" i="10"/>
  <c r="G212" i="10"/>
  <c r="F212" i="10"/>
  <c r="E212" i="10"/>
  <c r="D212" i="10"/>
  <c r="C212" i="10"/>
  <c r="B212" i="10"/>
  <c r="A212" i="10"/>
  <c r="H211" i="10"/>
  <c r="G211" i="10"/>
  <c r="F211" i="10"/>
  <c r="E211" i="10"/>
  <c r="D211" i="10"/>
  <c r="C211" i="10"/>
  <c r="B211" i="10"/>
  <c r="A211" i="10"/>
  <c r="AT210" i="10"/>
  <c r="AF210" i="10"/>
  <c r="R210" i="10"/>
  <c r="H210" i="10"/>
  <c r="G210" i="10"/>
  <c r="F210" i="10"/>
  <c r="E210" i="10"/>
  <c r="D210" i="10"/>
  <c r="C210" i="10"/>
  <c r="B210" i="10"/>
  <c r="A210" i="10"/>
  <c r="H209" i="10"/>
  <c r="G209" i="10"/>
  <c r="F209" i="10"/>
  <c r="E209" i="10"/>
  <c r="D209" i="10"/>
  <c r="C209" i="10"/>
  <c r="B209" i="10"/>
  <c r="A209" i="10"/>
  <c r="H208" i="10"/>
  <c r="G208" i="10"/>
  <c r="F208" i="10"/>
  <c r="E208" i="10"/>
  <c r="D208" i="10"/>
  <c r="C208" i="10"/>
  <c r="B208" i="10"/>
  <c r="A208" i="10"/>
  <c r="H207" i="10"/>
  <c r="G207" i="10"/>
  <c r="F207" i="10"/>
  <c r="E207" i="10"/>
  <c r="D207" i="10"/>
  <c r="C207" i="10"/>
  <c r="B207" i="10"/>
  <c r="A207" i="10"/>
  <c r="H206" i="10"/>
  <c r="G206" i="10"/>
  <c r="F206" i="10"/>
  <c r="E206" i="10"/>
  <c r="D206" i="10"/>
  <c r="C206" i="10"/>
  <c r="B206" i="10"/>
  <c r="A206" i="10"/>
  <c r="AT205" i="10"/>
  <c r="AF205" i="10"/>
  <c r="R205" i="10"/>
  <c r="H205" i="10"/>
  <c r="G205" i="10"/>
  <c r="F205" i="10"/>
  <c r="E205" i="10"/>
  <c r="D205" i="10"/>
  <c r="C205" i="10"/>
  <c r="B205" i="10"/>
  <c r="A205" i="10"/>
  <c r="H204" i="10"/>
  <c r="G204" i="10"/>
  <c r="F204" i="10"/>
  <c r="E204" i="10"/>
  <c r="D204" i="10"/>
  <c r="C204" i="10"/>
  <c r="B204" i="10"/>
  <c r="A204" i="10"/>
  <c r="H203" i="10"/>
  <c r="G203" i="10"/>
  <c r="F203" i="10"/>
  <c r="E203" i="10"/>
  <c r="D203" i="10"/>
  <c r="C203" i="10"/>
  <c r="B203" i="10"/>
  <c r="A203" i="10"/>
  <c r="H202" i="10"/>
  <c r="G202" i="10"/>
  <c r="F202" i="10"/>
  <c r="E202" i="10"/>
  <c r="D202" i="10"/>
  <c r="C202" i="10"/>
  <c r="B202" i="10"/>
  <c r="A202" i="10"/>
  <c r="H201" i="10"/>
  <c r="G201" i="10"/>
  <c r="F201" i="10"/>
  <c r="E201" i="10"/>
  <c r="D201" i="10"/>
  <c r="C201" i="10"/>
  <c r="B201" i="10"/>
  <c r="A201" i="10"/>
  <c r="AT200" i="10"/>
  <c r="AF200" i="10"/>
  <c r="R200" i="10"/>
  <c r="H200" i="10"/>
  <c r="G200" i="10"/>
  <c r="F200" i="10"/>
  <c r="E200" i="10"/>
  <c r="D200" i="10"/>
  <c r="C200" i="10"/>
  <c r="B200" i="10"/>
  <c r="A200" i="10"/>
  <c r="H199" i="10"/>
  <c r="G199" i="10"/>
  <c r="F199" i="10"/>
  <c r="E199" i="10"/>
  <c r="D199" i="10"/>
  <c r="C199" i="10"/>
  <c r="B199" i="10"/>
  <c r="A199" i="10"/>
  <c r="H198" i="10"/>
  <c r="G198" i="10"/>
  <c r="F198" i="10"/>
  <c r="E198" i="10"/>
  <c r="D198" i="10"/>
  <c r="C198" i="10"/>
  <c r="B198" i="10"/>
  <c r="A198" i="10"/>
  <c r="H197" i="10"/>
  <c r="G197" i="10"/>
  <c r="F197" i="10"/>
  <c r="E197" i="10"/>
  <c r="D197" i="10"/>
  <c r="C197" i="10"/>
  <c r="B197" i="10"/>
  <c r="A197" i="10"/>
  <c r="H196" i="10"/>
  <c r="G196" i="10"/>
  <c r="F196" i="10"/>
  <c r="E196" i="10"/>
  <c r="D196" i="10"/>
  <c r="C196" i="10"/>
  <c r="B196" i="10"/>
  <c r="A196" i="10"/>
  <c r="AT195" i="10"/>
  <c r="AF195" i="10"/>
  <c r="R195" i="10"/>
  <c r="H195" i="10"/>
  <c r="G195" i="10"/>
  <c r="F195" i="10"/>
  <c r="E195" i="10"/>
  <c r="D195" i="10"/>
  <c r="C195" i="10"/>
  <c r="B195" i="10"/>
  <c r="A195" i="10"/>
  <c r="H194" i="10"/>
  <c r="G194" i="10"/>
  <c r="F194" i="10"/>
  <c r="E194" i="10"/>
  <c r="D194" i="10"/>
  <c r="C194" i="10"/>
  <c r="B194" i="10"/>
  <c r="A194" i="10"/>
  <c r="H193" i="10"/>
  <c r="G193" i="10"/>
  <c r="F193" i="10"/>
  <c r="E193" i="10"/>
  <c r="D193" i="10"/>
  <c r="C193" i="10"/>
  <c r="B193" i="10"/>
  <c r="A193" i="10"/>
  <c r="H192" i="10"/>
  <c r="G192" i="10"/>
  <c r="F192" i="10"/>
  <c r="E192" i="10"/>
  <c r="D192" i="10"/>
  <c r="C192" i="10"/>
  <c r="B192" i="10"/>
  <c r="A192" i="10"/>
  <c r="H191" i="10"/>
  <c r="G191" i="10"/>
  <c r="F191" i="10"/>
  <c r="E191" i="10"/>
  <c r="D191" i="10"/>
  <c r="C191" i="10"/>
  <c r="B191" i="10"/>
  <c r="A191" i="10"/>
  <c r="AT190" i="10"/>
  <c r="AF190" i="10"/>
  <c r="R190" i="10"/>
  <c r="H190" i="10"/>
  <c r="G190" i="10"/>
  <c r="F190" i="10"/>
  <c r="E190" i="10"/>
  <c r="D190" i="10"/>
  <c r="C190" i="10"/>
  <c r="B190" i="10"/>
  <c r="A190" i="10"/>
  <c r="H189" i="10"/>
  <c r="G189" i="10"/>
  <c r="F189" i="10"/>
  <c r="E189" i="10"/>
  <c r="D189" i="10"/>
  <c r="C189" i="10"/>
  <c r="B189" i="10"/>
  <c r="A189" i="10"/>
  <c r="H188" i="10"/>
  <c r="G188" i="10"/>
  <c r="F188" i="10"/>
  <c r="E188" i="10"/>
  <c r="D188" i="10"/>
  <c r="C188" i="10"/>
  <c r="B188" i="10"/>
  <c r="A188" i="10"/>
  <c r="H187" i="10"/>
  <c r="G187" i="10"/>
  <c r="F187" i="10"/>
  <c r="E187" i="10"/>
  <c r="D187" i="10"/>
  <c r="C187" i="10"/>
  <c r="B187" i="10"/>
  <c r="A187" i="10"/>
  <c r="H186" i="10"/>
  <c r="G186" i="10"/>
  <c r="F186" i="10"/>
  <c r="E186" i="10"/>
  <c r="D186" i="10"/>
  <c r="C186" i="10"/>
  <c r="B186" i="10"/>
  <c r="A186" i="10"/>
  <c r="AT185" i="10"/>
  <c r="AF185" i="10"/>
  <c r="R185" i="10"/>
  <c r="H185" i="10"/>
  <c r="G185" i="10"/>
  <c r="F185" i="10"/>
  <c r="E185" i="10"/>
  <c r="D185" i="10"/>
  <c r="C185" i="10"/>
  <c r="B185" i="10"/>
  <c r="A185" i="10"/>
  <c r="H184" i="10"/>
  <c r="G184" i="10"/>
  <c r="F184" i="10"/>
  <c r="E184" i="10"/>
  <c r="D184" i="10"/>
  <c r="C184" i="10"/>
  <c r="B184" i="10"/>
  <c r="A184" i="10"/>
  <c r="H183" i="10"/>
  <c r="G183" i="10"/>
  <c r="F183" i="10"/>
  <c r="E183" i="10"/>
  <c r="D183" i="10"/>
  <c r="C183" i="10"/>
  <c r="B183" i="10"/>
  <c r="A183" i="10"/>
  <c r="H182" i="10"/>
  <c r="G182" i="10"/>
  <c r="F182" i="10"/>
  <c r="E182" i="10"/>
  <c r="D182" i="10"/>
  <c r="C182" i="10"/>
  <c r="B182" i="10"/>
  <c r="A182" i="10"/>
  <c r="H181" i="10"/>
  <c r="G181" i="10"/>
  <c r="F181" i="10"/>
  <c r="E181" i="10"/>
  <c r="D181" i="10"/>
  <c r="C181" i="10"/>
  <c r="B181" i="10"/>
  <c r="A181" i="10"/>
  <c r="AT180" i="10"/>
  <c r="AF180" i="10"/>
  <c r="R180" i="10"/>
  <c r="H180" i="10"/>
  <c r="G180" i="10"/>
  <c r="F180" i="10"/>
  <c r="E180" i="10"/>
  <c r="D180" i="10"/>
  <c r="C180" i="10"/>
  <c r="B180" i="10"/>
  <c r="A180" i="10"/>
  <c r="H179" i="10"/>
  <c r="G179" i="10"/>
  <c r="F179" i="10"/>
  <c r="E179" i="10"/>
  <c r="D179" i="10"/>
  <c r="C179" i="10"/>
  <c r="B179" i="10"/>
  <c r="A179" i="10"/>
  <c r="H178" i="10"/>
  <c r="G178" i="10"/>
  <c r="F178" i="10"/>
  <c r="E178" i="10"/>
  <c r="D178" i="10"/>
  <c r="C178" i="10"/>
  <c r="B178" i="10"/>
  <c r="A178" i="10"/>
  <c r="H177" i="10"/>
  <c r="G177" i="10"/>
  <c r="F177" i="10"/>
  <c r="E177" i="10"/>
  <c r="D177" i="10"/>
  <c r="C177" i="10"/>
  <c r="B177" i="10"/>
  <c r="A177" i="10"/>
  <c r="H176" i="10"/>
  <c r="G176" i="10"/>
  <c r="F176" i="10"/>
  <c r="E176" i="10"/>
  <c r="D176" i="10"/>
  <c r="C176" i="10"/>
  <c r="B176" i="10"/>
  <c r="A176" i="10"/>
  <c r="AT175" i="10"/>
  <c r="AF175" i="10"/>
  <c r="R175" i="10"/>
  <c r="H175" i="10"/>
  <c r="G175" i="10"/>
  <c r="F175" i="10"/>
  <c r="E175" i="10"/>
  <c r="D175" i="10"/>
  <c r="C175" i="10"/>
  <c r="B175" i="10"/>
  <c r="A175" i="10"/>
  <c r="H174" i="10"/>
  <c r="G174" i="10"/>
  <c r="F174" i="10"/>
  <c r="E174" i="10"/>
  <c r="D174" i="10"/>
  <c r="C174" i="10"/>
  <c r="B174" i="10"/>
  <c r="A174" i="10"/>
  <c r="H173" i="10"/>
  <c r="G173" i="10"/>
  <c r="F173" i="10"/>
  <c r="E173" i="10"/>
  <c r="D173" i="10"/>
  <c r="C173" i="10"/>
  <c r="B173" i="10"/>
  <c r="A173" i="10"/>
  <c r="H172" i="10"/>
  <c r="G172" i="10"/>
  <c r="F172" i="10"/>
  <c r="E172" i="10"/>
  <c r="D172" i="10"/>
  <c r="C172" i="10"/>
  <c r="B172" i="10"/>
  <c r="A172" i="10"/>
  <c r="H171" i="10"/>
  <c r="G171" i="10"/>
  <c r="F171" i="10"/>
  <c r="E171" i="10"/>
  <c r="D171" i="10"/>
  <c r="C171" i="10"/>
  <c r="B171" i="10"/>
  <c r="A171" i="10"/>
  <c r="AT170" i="10"/>
  <c r="AF170" i="10"/>
  <c r="R170" i="10"/>
  <c r="H170" i="10"/>
  <c r="G170" i="10"/>
  <c r="F170" i="10"/>
  <c r="E170" i="10"/>
  <c r="D170" i="10"/>
  <c r="C170" i="10"/>
  <c r="B170" i="10"/>
  <c r="A170" i="10"/>
  <c r="H169" i="10"/>
  <c r="G169" i="10"/>
  <c r="F169" i="10"/>
  <c r="E169" i="10"/>
  <c r="D169" i="10"/>
  <c r="C169" i="10"/>
  <c r="B169" i="10"/>
  <c r="A169" i="10"/>
  <c r="H168" i="10"/>
  <c r="G168" i="10"/>
  <c r="F168" i="10"/>
  <c r="E168" i="10"/>
  <c r="D168" i="10"/>
  <c r="C168" i="10"/>
  <c r="B168" i="10"/>
  <c r="A168" i="10"/>
  <c r="H167" i="10"/>
  <c r="G167" i="10"/>
  <c r="F167" i="10"/>
  <c r="E167" i="10"/>
  <c r="D167" i="10"/>
  <c r="C167" i="10"/>
  <c r="B167" i="10"/>
  <c r="A167" i="10"/>
  <c r="H166" i="10"/>
  <c r="G166" i="10"/>
  <c r="F166" i="10"/>
  <c r="E166" i="10"/>
  <c r="D166" i="10"/>
  <c r="C166" i="10"/>
  <c r="B166" i="10"/>
  <c r="A166" i="10"/>
  <c r="AT165" i="10"/>
  <c r="AF165" i="10"/>
  <c r="R165" i="10"/>
  <c r="H165" i="10"/>
  <c r="G165" i="10"/>
  <c r="F165" i="10"/>
  <c r="E165" i="10"/>
  <c r="D165" i="10"/>
  <c r="C165" i="10"/>
  <c r="B165" i="10"/>
  <c r="A165" i="10"/>
  <c r="H164" i="10"/>
  <c r="G164" i="10"/>
  <c r="F164" i="10"/>
  <c r="E164" i="10"/>
  <c r="D164" i="10"/>
  <c r="C164" i="10"/>
  <c r="B164" i="10"/>
  <c r="A164" i="10"/>
  <c r="H163" i="10"/>
  <c r="G163" i="10"/>
  <c r="F163" i="10"/>
  <c r="E163" i="10"/>
  <c r="D163" i="10"/>
  <c r="C163" i="10"/>
  <c r="B163" i="10"/>
  <c r="A163" i="10"/>
  <c r="H162" i="10"/>
  <c r="G162" i="10"/>
  <c r="F162" i="10"/>
  <c r="E162" i="10"/>
  <c r="D162" i="10"/>
  <c r="C162" i="10"/>
  <c r="B162" i="10"/>
  <c r="A162" i="10"/>
  <c r="H161" i="10"/>
  <c r="G161" i="10"/>
  <c r="F161" i="10"/>
  <c r="E161" i="10"/>
  <c r="D161" i="10"/>
  <c r="C161" i="10"/>
  <c r="B161" i="10"/>
  <c r="A161" i="10"/>
  <c r="AT160" i="10"/>
  <c r="AF160" i="10"/>
  <c r="R160" i="10"/>
  <c r="H160" i="10"/>
  <c r="G160" i="10"/>
  <c r="F160" i="10"/>
  <c r="E160" i="10"/>
  <c r="D160" i="10"/>
  <c r="C160" i="10"/>
  <c r="B160" i="10"/>
  <c r="A160" i="10"/>
  <c r="H159" i="10"/>
  <c r="G159" i="10"/>
  <c r="F159" i="10"/>
  <c r="E159" i="10"/>
  <c r="D159" i="10"/>
  <c r="C159" i="10"/>
  <c r="B159" i="10"/>
  <c r="A159" i="10"/>
  <c r="H158" i="10"/>
  <c r="G158" i="10"/>
  <c r="F158" i="10"/>
  <c r="E158" i="10"/>
  <c r="D158" i="10"/>
  <c r="C158" i="10"/>
  <c r="B158" i="10"/>
  <c r="A158" i="10"/>
  <c r="H157" i="10"/>
  <c r="G157" i="10"/>
  <c r="F157" i="10"/>
  <c r="E157" i="10"/>
  <c r="D157" i="10"/>
  <c r="C157" i="10"/>
  <c r="B157" i="10"/>
  <c r="A157" i="10"/>
  <c r="H156" i="10"/>
  <c r="G156" i="10"/>
  <c r="F156" i="10"/>
  <c r="E156" i="10"/>
  <c r="D156" i="10"/>
  <c r="C156" i="10"/>
  <c r="B156" i="10"/>
  <c r="A156" i="10"/>
  <c r="AT155" i="10"/>
  <c r="AF155" i="10"/>
  <c r="R155" i="10"/>
  <c r="H155" i="10"/>
  <c r="G155" i="10"/>
  <c r="F155" i="10"/>
  <c r="E155" i="10"/>
  <c r="D155" i="10"/>
  <c r="C155" i="10"/>
  <c r="B155" i="10"/>
  <c r="A155" i="10"/>
  <c r="H154" i="10"/>
  <c r="G154" i="10"/>
  <c r="F154" i="10"/>
  <c r="E154" i="10"/>
  <c r="D154" i="10"/>
  <c r="C154" i="10"/>
  <c r="B154" i="10"/>
  <c r="A154" i="10"/>
  <c r="H153" i="10"/>
  <c r="G153" i="10"/>
  <c r="F153" i="10"/>
  <c r="E153" i="10"/>
  <c r="D153" i="10"/>
  <c r="C153" i="10"/>
  <c r="B153" i="10"/>
  <c r="A153" i="10"/>
  <c r="H152" i="10"/>
  <c r="G152" i="10"/>
  <c r="F152" i="10"/>
  <c r="E152" i="10"/>
  <c r="D152" i="10"/>
  <c r="C152" i="10"/>
  <c r="B152" i="10"/>
  <c r="A152" i="10"/>
  <c r="H151" i="10"/>
  <c r="G151" i="10"/>
  <c r="F151" i="10"/>
  <c r="E151" i="10"/>
  <c r="D151" i="10"/>
  <c r="C151" i="10"/>
  <c r="B151" i="10"/>
  <c r="A151" i="10"/>
  <c r="AT150" i="10"/>
  <c r="AF150" i="10"/>
  <c r="R150" i="10"/>
  <c r="H150" i="10"/>
  <c r="G150" i="10"/>
  <c r="F150" i="10"/>
  <c r="E150" i="10"/>
  <c r="D150" i="10"/>
  <c r="C150" i="10"/>
  <c r="B150" i="10"/>
  <c r="A150" i="10"/>
  <c r="H149" i="10"/>
  <c r="G149" i="10"/>
  <c r="F149" i="10"/>
  <c r="E149" i="10"/>
  <c r="D149" i="10"/>
  <c r="C149" i="10"/>
  <c r="B149" i="10"/>
  <c r="A149" i="10"/>
  <c r="H148" i="10"/>
  <c r="G148" i="10"/>
  <c r="F148" i="10"/>
  <c r="E148" i="10"/>
  <c r="D148" i="10"/>
  <c r="C148" i="10"/>
  <c r="B148" i="10"/>
  <c r="A148" i="10"/>
  <c r="H147" i="10"/>
  <c r="G147" i="10"/>
  <c r="F147" i="10"/>
  <c r="E147" i="10"/>
  <c r="D147" i="10"/>
  <c r="C147" i="10"/>
  <c r="B147" i="10"/>
  <c r="A147" i="10"/>
  <c r="H146" i="10"/>
  <c r="G146" i="10"/>
  <c r="F146" i="10"/>
  <c r="E146" i="10"/>
  <c r="D146" i="10"/>
  <c r="C146" i="10"/>
  <c r="B146" i="10"/>
  <c r="A146" i="10"/>
  <c r="AT145" i="10"/>
  <c r="AF145" i="10"/>
  <c r="R145" i="10"/>
  <c r="H145" i="10"/>
  <c r="G145" i="10"/>
  <c r="F145" i="10"/>
  <c r="E145" i="10"/>
  <c r="D145" i="10"/>
  <c r="C145" i="10"/>
  <c r="B145" i="10"/>
  <c r="A145" i="10"/>
  <c r="H144" i="10"/>
  <c r="G144" i="10"/>
  <c r="F144" i="10"/>
  <c r="E144" i="10"/>
  <c r="D144" i="10"/>
  <c r="C144" i="10"/>
  <c r="B144" i="10"/>
  <c r="A144" i="10"/>
  <c r="H143" i="10"/>
  <c r="G143" i="10"/>
  <c r="F143" i="10"/>
  <c r="E143" i="10"/>
  <c r="D143" i="10"/>
  <c r="C143" i="10"/>
  <c r="B143" i="10"/>
  <c r="A143" i="10"/>
  <c r="H142" i="10"/>
  <c r="G142" i="10"/>
  <c r="F142" i="10"/>
  <c r="E142" i="10"/>
  <c r="D142" i="10"/>
  <c r="C142" i="10"/>
  <c r="B142" i="10"/>
  <c r="A142" i="10"/>
  <c r="H141" i="10"/>
  <c r="G141" i="10"/>
  <c r="F141" i="10"/>
  <c r="E141" i="10"/>
  <c r="D141" i="10"/>
  <c r="C141" i="10"/>
  <c r="B141" i="10"/>
  <c r="A141" i="10"/>
  <c r="AT140" i="10"/>
  <c r="AF140" i="10"/>
  <c r="R140" i="10"/>
  <c r="H140" i="10"/>
  <c r="G140" i="10"/>
  <c r="F140" i="10"/>
  <c r="E140" i="10"/>
  <c r="D140" i="10"/>
  <c r="C140" i="10"/>
  <c r="B140" i="10"/>
  <c r="A140" i="10"/>
  <c r="H139" i="10"/>
  <c r="G139" i="10"/>
  <c r="F139" i="10"/>
  <c r="E139" i="10"/>
  <c r="D139" i="10"/>
  <c r="C139" i="10"/>
  <c r="B139" i="10"/>
  <c r="A139" i="10"/>
  <c r="H138" i="10"/>
  <c r="G138" i="10"/>
  <c r="F138" i="10"/>
  <c r="E138" i="10"/>
  <c r="D138" i="10"/>
  <c r="C138" i="10"/>
  <c r="B138" i="10"/>
  <c r="A138" i="10"/>
  <c r="H137" i="10"/>
  <c r="G137" i="10"/>
  <c r="F137" i="10"/>
  <c r="E137" i="10"/>
  <c r="D137" i="10"/>
  <c r="C137" i="10"/>
  <c r="B137" i="10"/>
  <c r="A137" i="10"/>
  <c r="H136" i="10"/>
  <c r="G136" i="10"/>
  <c r="F136" i="10"/>
  <c r="E136" i="10"/>
  <c r="D136" i="10"/>
  <c r="C136" i="10"/>
  <c r="B136" i="10"/>
  <c r="A136" i="10"/>
  <c r="AT135" i="10"/>
  <c r="AF135" i="10"/>
  <c r="R135" i="10"/>
  <c r="H135" i="10"/>
  <c r="G135" i="10"/>
  <c r="F135" i="10"/>
  <c r="E135" i="10"/>
  <c r="D135" i="10"/>
  <c r="C135" i="10"/>
  <c r="B135" i="10"/>
  <c r="A135" i="10"/>
  <c r="H134" i="10"/>
  <c r="G134" i="10"/>
  <c r="F134" i="10"/>
  <c r="E134" i="10"/>
  <c r="D134" i="10"/>
  <c r="C134" i="10"/>
  <c r="B134" i="10"/>
  <c r="A134" i="10"/>
  <c r="H133" i="10"/>
  <c r="G133" i="10"/>
  <c r="F133" i="10"/>
  <c r="E133" i="10"/>
  <c r="D133" i="10"/>
  <c r="C133" i="10"/>
  <c r="B133" i="10"/>
  <c r="A133" i="10"/>
  <c r="H132" i="10"/>
  <c r="G132" i="10"/>
  <c r="F132" i="10"/>
  <c r="E132" i="10"/>
  <c r="D132" i="10"/>
  <c r="C132" i="10"/>
  <c r="B132" i="10"/>
  <c r="A132" i="10"/>
  <c r="H131" i="10"/>
  <c r="G131" i="10"/>
  <c r="F131" i="10"/>
  <c r="E131" i="10"/>
  <c r="D131" i="10"/>
  <c r="C131" i="10"/>
  <c r="B131" i="10"/>
  <c r="A131" i="10"/>
  <c r="AT130" i="10"/>
  <c r="AF130" i="10"/>
  <c r="R130" i="10"/>
  <c r="H130" i="10"/>
  <c r="G130" i="10"/>
  <c r="F130" i="10"/>
  <c r="E130" i="10"/>
  <c r="D130" i="10"/>
  <c r="C130" i="10"/>
  <c r="B130" i="10"/>
  <c r="A130" i="10"/>
  <c r="H129" i="10"/>
  <c r="G129" i="10"/>
  <c r="F129" i="10"/>
  <c r="E129" i="10"/>
  <c r="D129" i="10"/>
  <c r="C129" i="10"/>
  <c r="B129" i="10"/>
  <c r="A129" i="10"/>
  <c r="H128" i="10"/>
  <c r="G128" i="10"/>
  <c r="F128" i="10"/>
  <c r="E128" i="10"/>
  <c r="D128" i="10"/>
  <c r="C128" i="10"/>
  <c r="B128" i="10"/>
  <c r="A128" i="10"/>
  <c r="H127" i="10"/>
  <c r="G127" i="10"/>
  <c r="F127" i="10"/>
  <c r="E127" i="10"/>
  <c r="D127" i="10"/>
  <c r="C127" i="10"/>
  <c r="B127" i="10"/>
  <c r="A127" i="10"/>
  <c r="H126" i="10"/>
  <c r="G126" i="10"/>
  <c r="F126" i="10"/>
  <c r="E126" i="10"/>
  <c r="D126" i="10"/>
  <c r="C126" i="10"/>
  <c r="B126" i="10"/>
  <c r="A126" i="10"/>
  <c r="AT125" i="10"/>
  <c r="AF125" i="10"/>
  <c r="R125" i="10"/>
  <c r="H125" i="10"/>
  <c r="G125" i="10"/>
  <c r="F125" i="10"/>
  <c r="E125" i="10"/>
  <c r="D125" i="10"/>
  <c r="C125" i="10"/>
  <c r="B125" i="10"/>
  <c r="A125" i="10"/>
  <c r="H124" i="10"/>
  <c r="G124" i="10"/>
  <c r="F124" i="10"/>
  <c r="E124" i="10"/>
  <c r="D124" i="10"/>
  <c r="C124" i="10"/>
  <c r="B124" i="10"/>
  <c r="A124" i="10"/>
  <c r="H123" i="10"/>
  <c r="G123" i="10"/>
  <c r="F123" i="10"/>
  <c r="E123" i="10"/>
  <c r="D123" i="10"/>
  <c r="C123" i="10"/>
  <c r="B123" i="10"/>
  <c r="A123" i="10"/>
  <c r="H122" i="10"/>
  <c r="G122" i="10"/>
  <c r="F122" i="10"/>
  <c r="E122" i="10"/>
  <c r="D122" i="10"/>
  <c r="C122" i="10"/>
  <c r="B122" i="10"/>
  <c r="A122" i="10"/>
  <c r="H121" i="10"/>
  <c r="G121" i="10"/>
  <c r="F121" i="10"/>
  <c r="E121" i="10"/>
  <c r="D121" i="10"/>
  <c r="C121" i="10"/>
  <c r="B121" i="10"/>
  <c r="A121" i="10"/>
  <c r="AT120" i="10"/>
  <c r="AF120" i="10"/>
  <c r="R120" i="10"/>
  <c r="H120" i="10"/>
  <c r="G120" i="10"/>
  <c r="F120" i="10"/>
  <c r="E120" i="10"/>
  <c r="D120" i="10"/>
  <c r="C120" i="10"/>
  <c r="B120" i="10"/>
  <c r="A120" i="10"/>
  <c r="H119" i="10"/>
  <c r="G119" i="10"/>
  <c r="F119" i="10"/>
  <c r="E119" i="10"/>
  <c r="D119" i="10"/>
  <c r="C119" i="10"/>
  <c r="B119" i="10"/>
  <c r="A119" i="10"/>
  <c r="H118" i="10"/>
  <c r="G118" i="10"/>
  <c r="F118" i="10"/>
  <c r="E118" i="10"/>
  <c r="D118" i="10"/>
  <c r="C118" i="10"/>
  <c r="B118" i="10"/>
  <c r="A118" i="10"/>
  <c r="H117" i="10"/>
  <c r="G117" i="10"/>
  <c r="F117" i="10"/>
  <c r="E117" i="10"/>
  <c r="D117" i="10"/>
  <c r="C117" i="10"/>
  <c r="B117" i="10"/>
  <c r="A117" i="10"/>
  <c r="H116" i="10"/>
  <c r="G116" i="10"/>
  <c r="F116" i="10"/>
  <c r="E116" i="10"/>
  <c r="D116" i="10"/>
  <c r="C116" i="10"/>
  <c r="B116" i="10"/>
  <c r="A116" i="10"/>
  <c r="AT115" i="10"/>
  <c r="AF115" i="10"/>
  <c r="R115" i="10"/>
  <c r="H115" i="10"/>
  <c r="G115" i="10"/>
  <c r="F115" i="10"/>
  <c r="E115" i="10"/>
  <c r="D115" i="10"/>
  <c r="C115" i="10"/>
  <c r="B115" i="10"/>
  <c r="A115" i="10"/>
  <c r="H114" i="10"/>
  <c r="G114" i="10"/>
  <c r="F114" i="10"/>
  <c r="E114" i="10"/>
  <c r="D114" i="10"/>
  <c r="C114" i="10"/>
  <c r="B114" i="10"/>
  <c r="A114" i="10"/>
  <c r="H113" i="10"/>
  <c r="G113" i="10"/>
  <c r="F113" i="10"/>
  <c r="E113" i="10"/>
  <c r="D113" i="10"/>
  <c r="C113" i="10"/>
  <c r="B113" i="10"/>
  <c r="A113" i="10"/>
  <c r="H112" i="10"/>
  <c r="G112" i="10"/>
  <c r="F112" i="10"/>
  <c r="E112" i="10"/>
  <c r="D112" i="10"/>
  <c r="C112" i="10"/>
  <c r="B112" i="10"/>
  <c r="A112" i="10"/>
  <c r="H111" i="10"/>
  <c r="G111" i="10"/>
  <c r="F111" i="10"/>
  <c r="E111" i="10"/>
  <c r="D111" i="10"/>
  <c r="C111" i="10"/>
  <c r="B111" i="10"/>
  <c r="A111" i="10"/>
  <c r="AT110" i="10"/>
  <c r="AF110" i="10"/>
  <c r="R110" i="10"/>
  <c r="H110" i="10"/>
  <c r="G110" i="10"/>
  <c r="F110" i="10"/>
  <c r="E110" i="10"/>
  <c r="D110" i="10"/>
  <c r="C110" i="10"/>
  <c r="B110" i="10"/>
  <c r="A110" i="10"/>
  <c r="H109" i="10"/>
  <c r="G109" i="10"/>
  <c r="F109" i="10"/>
  <c r="E109" i="10"/>
  <c r="D109" i="10"/>
  <c r="C109" i="10"/>
  <c r="B109" i="10"/>
  <c r="A109" i="10"/>
  <c r="H108" i="10"/>
  <c r="G108" i="10"/>
  <c r="F108" i="10"/>
  <c r="E108" i="10"/>
  <c r="D108" i="10"/>
  <c r="C108" i="10"/>
  <c r="B108" i="10"/>
  <c r="A108" i="10"/>
  <c r="H107" i="10"/>
  <c r="G107" i="10"/>
  <c r="F107" i="10"/>
  <c r="E107" i="10"/>
  <c r="D107" i="10"/>
  <c r="C107" i="10"/>
  <c r="B107" i="10"/>
  <c r="A107" i="10"/>
  <c r="H106" i="10"/>
  <c r="G106" i="10"/>
  <c r="F106" i="10"/>
  <c r="E106" i="10"/>
  <c r="D106" i="10"/>
  <c r="C106" i="10"/>
  <c r="B106" i="10"/>
  <c r="A106" i="10"/>
  <c r="AT105" i="10"/>
  <c r="AF105" i="10"/>
  <c r="R105" i="10"/>
  <c r="H105" i="10"/>
  <c r="G105" i="10"/>
  <c r="F105" i="10"/>
  <c r="E105" i="10"/>
  <c r="D105" i="10"/>
  <c r="C105" i="10"/>
  <c r="B105" i="10"/>
  <c r="A105" i="10"/>
  <c r="H104" i="10"/>
  <c r="G104" i="10"/>
  <c r="F104" i="10"/>
  <c r="E104" i="10"/>
  <c r="D104" i="10"/>
  <c r="C104" i="10"/>
  <c r="B104" i="10"/>
  <c r="A104" i="10"/>
  <c r="H103" i="10"/>
  <c r="G103" i="10"/>
  <c r="F103" i="10"/>
  <c r="E103" i="10"/>
  <c r="D103" i="10"/>
  <c r="C103" i="10"/>
  <c r="B103" i="10"/>
  <c r="A103" i="10"/>
  <c r="H102" i="10"/>
  <c r="G102" i="10"/>
  <c r="F102" i="10"/>
  <c r="E102" i="10"/>
  <c r="D102" i="10"/>
  <c r="C102" i="10"/>
  <c r="B102" i="10"/>
  <c r="A102" i="10"/>
  <c r="H101" i="10"/>
  <c r="G101" i="10"/>
  <c r="F101" i="10"/>
  <c r="E101" i="10"/>
  <c r="D101" i="10"/>
  <c r="C101" i="10"/>
  <c r="B101" i="10"/>
  <c r="A101" i="10"/>
  <c r="AT100" i="10"/>
  <c r="AF100" i="10"/>
  <c r="R100" i="10"/>
  <c r="H100" i="10"/>
  <c r="G100" i="10"/>
  <c r="F100" i="10"/>
  <c r="E100" i="10"/>
  <c r="D100" i="10"/>
  <c r="C100" i="10"/>
  <c r="B100" i="10"/>
  <c r="A100" i="10"/>
  <c r="H99" i="10"/>
  <c r="G99" i="10"/>
  <c r="F99" i="10"/>
  <c r="E99" i="10"/>
  <c r="D99" i="10"/>
  <c r="C99" i="10"/>
  <c r="B99" i="10"/>
  <c r="A99" i="10"/>
  <c r="H98" i="10"/>
  <c r="G98" i="10"/>
  <c r="F98" i="10"/>
  <c r="E98" i="10"/>
  <c r="D98" i="10"/>
  <c r="C98" i="10"/>
  <c r="B98" i="10"/>
  <c r="A98" i="10"/>
  <c r="H97" i="10"/>
  <c r="G97" i="10"/>
  <c r="F97" i="10"/>
  <c r="E97" i="10"/>
  <c r="D97" i="10"/>
  <c r="C97" i="10"/>
  <c r="B97" i="10"/>
  <c r="A97" i="10"/>
  <c r="H96" i="10"/>
  <c r="G96" i="10"/>
  <c r="F96" i="10"/>
  <c r="E96" i="10"/>
  <c r="D96" i="10"/>
  <c r="C96" i="10"/>
  <c r="B96" i="10"/>
  <c r="A96" i="10"/>
  <c r="AT95" i="10"/>
  <c r="AF95" i="10"/>
  <c r="R95" i="10"/>
  <c r="H95" i="10"/>
  <c r="G95" i="10"/>
  <c r="F95" i="10"/>
  <c r="E95" i="10"/>
  <c r="D95" i="10"/>
  <c r="C95" i="10"/>
  <c r="B95" i="10"/>
  <c r="A95" i="10"/>
  <c r="H94" i="10"/>
  <c r="G94" i="10"/>
  <c r="F94" i="10"/>
  <c r="E94" i="10"/>
  <c r="D94" i="10"/>
  <c r="C94" i="10"/>
  <c r="B94" i="10"/>
  <c r="A94" i="10"/>
  <c r="H93" i="10"/>
  <c r="G93" i="10"/>
  <c r="F93" i="10"/>
  <c r="E93" i="10"/>
  <c r="D93" i="10"/>
  <c r="C93" i="10"/>
  <c r="B93" i="10"/>
  <c r="A93" i="10"/>
  <c r="H92" i="10"/>
  <c r="G92" i="10"/>
  <c r="F92" i="10"/>
  <c r="E92" i="10"/>
  <c r="D92" i="10"/>
  <c r="C92" i="10"/>
  <c r="B92" i="10"/>
  <c r="A92" i="10"/>
  <c r="H91" i="10"/>
  <c r="G91" i="10"/>
  <c r="F91" i="10"/>
  <c r="E91" i="10"/>
  <c r="D91" i="10"/>
  <c r="C91" i="10"/>
  <c r="B91" i="10"/>
  <c r="A91" i="10"/>
  <c r="AT90" i="10"/>
  <c r="AF90" i="10"/>
  <c r="R90" i="10"/>
  <c r="H90" i="10"/>
  <c r="G90" i="10"/>
  <c r="F90" i="10"/>
  <c r="E90" i="10"/>
  <c r="D90" i="10"/>
  <c r="C90" i="10"/>
  <c r="B90" i="10"/>
  <c r="A90" i="10"/>
  <c r="H89" i="10"/>
  <c r="G89" i="10"/>
  <c r="F89" i="10"/>
  <c r="E89" i="10"/>
  <c r="D89" i="10"/>
  <c r="C89" i="10"/>
  <c r="B89" i="10"/>
  <c r="A89" i="10"/>
  <c r="H88" i="10"/>
  <c r="G88" i="10"/>
  <c r="F88" i="10"/>
  <c r="E88" i="10"/>
  <c r="D88" i="10"/>
  <c r="C88" i="10"/>
  <c r="B88" i="10"/>
  <c r="A88" i="10"/>
  <c r="H87" i="10"/>
  <c r="G87" i="10"/>
  <c r="F87" i="10"/>
  <c r="E87" i="10"/>
  <c r="D87" i="10"/>
  <c r="C87" i="10"/>
  <c r="B87" i="10"/>
  <c r="A87" i="10"/>
  <c r="H86" i="10"/>
  <c r="G86" i="10"/>
  <c r="F86" i="10"/>
  <c r="E86" i="10"/>
  <c r="D86" i="10"/>
  <c r="C86" i="10"/>
  <c r="B86" i="10"/>
  <c r="A86" i="10"/>
  <c r="AT85" i="10"/>
  <c r="AF85" i="10"/>
  <c r="R85" i="10"/>
  <c r="H85" i="10"/>
  <c r="G85" i="10"/>
  <c r="F85" i="10"/>
  <c r="E85" i="10"/>
  <c r="D85" i="10"/>
  <c r="C85" i="10"/>
  <c r="B85" i="10"/>
  <c r="A85" i="10"/>
  <c r="H84" i="10"/>
  <c r="G84" i="10"/>
  <c r="F84" i="10"/>
  <c r="E84" i="10"/>
  <c r="D84" i="10"/>
  <c r="C84" i="10"/>
  <c r="B84" i="10"/>
  <c r="A84" i="10"/>
  <c r="H83" i="10"/>
  <c r="G83" i="10"/>
  <c r="F83" i="10"/>
  <c r="E83" i="10"/>
  <c r="D83" i="10"/>
  <c r="C83" i="10"/>
  <c r="B83" i="10"/>
  <c r="A83" i="10"/>
  <c r="H82" i="10"/>
  <c r="G82" i="10"/>
  <c r="F82" i="10"/>
  <c r="E82" i="10"/>
  <c r="D82" i="10"/>
  <c r="C82" i="10"/>
  <c r="B82" i="10"/>
  <c r="A82" i="10"/>
  <c r="H81" i="10"/>
  <c r="G81" i="10"/>
  <c r="F81" i="10"/>
  <c r="E81" i="10"/>
  <c r="D81" i="10"/>
  <c r="C81" i="10"/>
  <c r="B81" i="10"/>
  <c r="A81" i="10"/>
  <c r="AT80" i="10"/>
  <c r="AF80" i="10"/>
  <c r="R80" i="10"/>
  <c r="H80" i="10"/>
  <c r="G80" i="10"/>
  <c r="F80" i="10"/>
  <c r="E80" i="10"/>
  <c r="D80" i="10"/>
  <c r="C80" i="10"/>
  <c r="B80" i="10"/>
  <c r="A80" i="10"/>
  <c r="H79" i="10"/>
  <c r="G79" i="10"/>
  <c r="F79" i="10"/>
  <c r="E79" i="10"/>
  <c r="D79" i="10"/>
  <c r="C79" i="10"/>
  <c r="B79" i="10"/>
  <c r="A79" i="10"/>
  <c r="H78" i="10"/>
  <c r="G78" i="10"/>
  <c r="F78" i="10"/>
  <c r="E78" i="10"/>
  <c r="D78" i="10"/>
  <c r="C78" i="10"/>
  <c r="B78" i="10"/>
  <c r="A78" i="10"/>
  <c r="H77" i="10"/>
  <c r="G77" i="10"/>
  <c r="F77" i="10"/>
  <c r="E77" i="10"/>
  <c r="D77" i="10"/>
  <c r="C77" i="10"/>
  <c r="B77" i="10"/>
  <c r="A77" i="10"/>
  <c r="H76" i="10"/>
  <c r="G76" i="10"/>
  <c r="F76" i="10"/>
  <c r="E76" i="10"/>
  <c r="D76" i="10"/>
  <c r="C76" i="10"/>
  <c r="B76" i="10"/>
  <c r="A76" i="10"/>
  <c r="AT75" i="10"/>
  <c r="AF75" i="10"/>
  <c r="R75" i="10"/>
  <c r="H75" i="10"/>
  <c r="G75" i="10"/>
  <c r="F75" i="10"/>
  <c r="E75" i="10"/>
  <c r="D75" i="10"/>
  <c r="C75" i="10"/>
  <c r="B75" i="10"/>
  <c r="A75" i="10"/>
  <c r="H74" i="10"/>
  <c r="G74" i="10"/>
  <c r="F74" i="10"/>
  <c r="E74" i="10"/>
  <c r="D74" i="10"/>
  <c r="C74" i="10"/>
  <c r="B74" i="10"/>
  <c r="A74" i="10"/>
  <c r="H73" i="10"/>
  <c r="G73" i="10"/>
  <c r="F73" i="10"/>
  <c r="E73" i="10"/>
  <c r="D73" i="10"/>
  <c r="C73" i="10"/>
  <c r="B73" i="10"/>
  <c r="A73" i="10"/>
  <c r="H72" i="10"/>
  <c r="G72" i="10"/>
  <c r="F72" i="10"/>
  <c r="E72" i="10"/>
  <c r="D72" i="10"/>
  <c r="C72" i="10"/>
  <c r="B72" i="10"/>
  <c r="A72" i="10"/>
  <c r="H71" i="10"/>
  <c r="G71" i="10"/>
  <c r="F71" i="10"/>
  <c r="E71" i="10"/>
  <c r="D71" i="10"/>
  <c r="C71" i="10"/>
  <c r="B71" i="10"/>
  <c r="A71" i="10"/>
  <c r="AT70" i="10"/>
  <c r="AF70" i="10"/>
  <c r="R70" i="10"/>
  <c r="H70" i="10"/>
  <c r="G70" i="10"/>
  <c r="F70" i="10"/>
  <c r="E70" i="10"/>
  <c r="D70" i="10"/>
  <c r="C70" i="10"/>
  <c r="B70" i="10"/>
  <c r="A70" i="10"/>
  <c r="H69" i="10"/>
  <c r="G69" i="10"/>
  <c r="F69" i="10"/>
  <c r="E69" i="10"/>
  <c r="D69" i="10"/>
  <c r="C69" i="10"/>
  <c r="B69" i="10"/>
  <c r="A69" i="10"/>
  <c r="H68" i="10"/>
  <c r="G68" i="10"/>
  <c r="F68" i="10"/>
  <c r="E68" i="10"/>
  <c r="D68" i="10"/>
  <c r="C68" i="10"/>
  <c r="B68" i="10"/>
  <c r="A68" i="10"/>
  <c r="H67" i="10"/>
  <c r="G67" i="10"/>
  <c r="F67" i="10"/>
  <c r="E67" i="10"/>
  <c r="D67" i="10"/>
  <c r="C67" i="10"/>
  <c r="B67" i="10"/>
  <c r="A67" i="10"/>
  <c r="H66" i="10"/>
  <c r="G66" i="10"/>
  <c r="F66" i="10"/>
  <c r="E66" i="10"/>
  <c r="D66" i="10"/>
  <c r="C66" i="10"/>
  <c r="B66" i="10"/>
  <c r="A66" i="10"/>
  <c r="AT65" i="10"/>
  <c r="AF65" i="10"/>
  <c r="R65" i="10"/>
  <c r="H65" i="10"/>
  <c r="G65" i="10"/>
  <c r="F65" i="10"/>
  <c r="E65" i="10"/>
  <c r="D65" i="10"/>
  <c r="C65" i="10"/>
  <c r="B65" i="10"/>
  <c r="A65" i="10"/>
  <c r="H64" i="10"/>
  <c r="G64" i="10"/>
  <c r="F64" i="10"/>
  <c r="E64" i="10"/>
  <c r="D64" i="10"/>
  <c r="C64" i="10"/>
  <c r="B64" i="10"/>
  <c r="A64" i="10"/>
  <c r="H63" i="10"/>
  <c r="G63" i="10"/>
  <c r="F63" i="10"/>
  <c r="E63" i="10"/>
  <c r="D63" i="10"/>
  <c r="C63" i="10"/>
  <c r="B63" i="10"/>
  <c r="A63" i="10"/>
  <c r="H62" i="10"/>
  <c r="G62" i="10"/>
  <c r="F62" i="10"/>
  <c r="E62" i="10"/>
  <c r="D62" i="10"/>
  <c r="C62" i="10"/>
  <c r="B62" i="10"/>
  <c r="A62" i="10"/>
  <c r="H61" i="10"/>
  <c r="G61" i="10"/>
  <c r="F61" i="10"/>
  <c r="E61" i="10"/>
  <c r="D61" i="10"/>
  <c r="C61" i="10"/>
  <c r="B61" i="10"/>
  <c r="A61" i="10"/>
  <c r="AT60" i="10"/>
  <c r="AF60" i="10"/>
  <c r="R60" i="10"/>
  <c r="H60" i="10"/>
  <c r="G60" i="10"/>
  <c r="F60" i="10"/>
  <c r="E60" i="10"/>
  <c r="D60" i="10"/>
  <c r="C60" i="10"/>
  <c r="B60" i="10"/>
  <c r="A60" i="10"/>
  <c r="H59" i="10"/>
  <c r="G59" i="10"/>
  <c r="F59" i="10"/>
  <c r="E59" i="10"/>
  <c r="D59" i="10"/>
  <c r="C59" i="10"/>
  <c r="B59" i="10"/>
  <c r="A59" i="10"/>
  <c r="H58" i="10"/>
  <c r="G58" i="10"/>
  <c r="F58" i="10"/>
  <c r="E58" i="10"/>
  <c r="D58" i="10"/>
  <c r="C58" i="10"/>
  <c r="B58" i="10"/>
  <c r="A58" i="10"/>
  <c r="H57" i="10"/>
  <c r="G57" i="10"/>
  <c r="F57" i="10"/>
  <c r="E57" i="10"/>
  <c r="D57" i="10"/>
  <c r="C57" i="10"/>
  <c r="B57" i="10"/>
  <c r="A57" i="10"/>
  <c r="H56" i="10"/>
  <c r="G56" i="10"/>
  <c r="F56" i="10"/>
  <c r="E56" i="10"/>
  <c r="D56" i="10"/>
  <c r="C56" i="10"/>
  <c r="B56" i="10"/>
  <c r="A56" i="10"/>
  <c r="AT55" i="10"/>
  <c r="AF55" i="10"/>
  <c r="R55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AT50" i="10"/>
  <c r="AF50" i="10"/>
  <c r="R50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AT45" i="10"/>
  <c r="AF45" i="10"/>
  <c r="R45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H41" i="10"/>
  <c r="G41" i="10"/>
  <c r="F41" i="10"/>
  <c r="E41" i="10"/>
  <c r="D41" i="10"/>
  <c r="C41" i="10"/>
  <c r="B41" i="10"/>
  <c r="A41" i="10"/>
  <c r="AT40" i="10"/>
  <c r="AF40" i="10"/>
  <c r="R40" i="10"/>
  <c r="H40" i="10"/>
  <c r="G40" i="10"/>
  <c r="F40" i="10"/>
  <c r="E40" i="10"/>
  <c r="D40" i="10"/>
  <c r="C40" i="10"/>
  <c r="B40" i="10"/>
  <c r="A40" i="10"/>
  <c r="H39" i="10"/>
  <c r="G39" i="10"/>
  <c r="F39" i="10"/>
  <c r="E39" i="10"/>
  <c r="D39" i="10"/>
  <c r="C39" i="10"/>
  <c r="B39" i="10"/>
  <c r="A39" i="10"/>
  <c r="H38" i="10"/>
  <c r="G38" i="10"/>
  <c r="F38" i="10"/>
  <c r="E38" i="10"/>
  <c r="D38" i="10"/>
  <c r="C38" i="10"/>
  <c r="B38" i="10"/>
  <c r="A38" i="10"/>
  <c r="H37" i="10"/>
  <c r="G37" i="10"/>
  <c r="F37" i="10"/>
  <c r="E37" i="10"/>
  <c r="D37" i="10"/>
  <c r="C37" i="10"/>
  <c r="B37" i="10"/>
  <c r="A37" i="10"/>
  <c r="H36" i="10"/>
  <c r="G36" i="10"/>
  <c r="F36" i="10"/>
  <c r="E36" i="10"/>
  <c r="D36" i="10"/>
  <c r="C36" i="10"/>
  <c r="B36" i="10"/>
  <c r="A36" i="10"/>
  <c r="AT35" i="10"/>
  <c r="AF35" i="10"/>
  <c r="R35" i="10"/>
  <c r="H35" i="10"/>
  <c r="G35" i="10"/>
  <c r="F35" i="10"/>
  <c r="E35" i="10"/>
  <c r="D35" i="10"/>
  <c r="C35" i="10"/>
  <c r="B35" i="10"/>
  <c r="A35" i="10"/>
  <c r="H34" i="10"/>
  <c r="G34" i="10"/>
  <c r="F34" i="10"/>
  <c r="E34" i="10"/>
  <c r="D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F32" i="10"/>
  <c r="E32" i="10"/>
  <c r="D32" i="10"/>
  <c r="C32" i="10"/>
  <c r="B32" i="10"/>
  <c r="A32" i="10"/>
  <c r="H31" i="10"/>
  <c r="G31" i="10"/>
  <c r="F31" i="10"/>
  <c r="E31" i="10"/>
  <c r="D31" i="10"/>
  <c r="C31" i="10"/>
  <c r="B31" i="10"/>
  <c r="A31" i="10"/>
  <c r="AT30" i="10"/>
  <c r="AF30" i="10"/>
  <c r="R30" i="10"/>
  <c r="H30" i="10"/>
  <c r="G30" i="10"/>
  <c r="F30" i="10"/>
  <c r="E30" i="10"/>
  <c r="D30" i="10"/>
  <c r="C30" i="10"/>
  <c r="B30" i="10"/>
  <c r="A30" i="10"/>
  <c r="H29" i="10"/>
  <c r="G29" i="10"/>
  <c r="F29" i="10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H27" i="10"/>
  <c r="G27" i="10"/>
  <c r="F27" i="10"/>
  <c r="E27" i="10"/>
  <c r="D27" i="10"/>
  <c r="C27" i="10"/>
  <c r="B27" i="10"/>
  <c r="A27" i="10"/>
  <c r="H26" i="10"/>
  <c r="G26" i="10"/>
  <c r="F26" i="10"/>
  <c r="E26" i="10"/>
  <c r="D26" i="10"/>
  <c r="C26" i="10"/>
  <c r="B26" i="10"/>
  <c r="A26" i="10"/>
  <c r="AT25" i="10"/>
  <c r="AF25" i="10"/>
  <c r="R25" i="10"/>
  <c r="H25" i="10"/>
  <c r="G25" i="10"/>
  <c r="F25" i="10"/>
  <c r="E25" i="10"/>
  <c r="D25" i="10"/>
  <c r="C25" i="10"/>
  <c r="B25" i="10"/>
  <c r="A25" i="10"/>
  <c r="H424" i="9"/>
  <c r="G424" i="9"/>
  <c r="F424" i="9"/>
  <c r="E424" i="9"/>
  <c r="D424" i="9"/>
  <c r="C424" i="9"/>
  <c r="B424" i="9"/>
  <c r="A424" i="9"/>
  <c r="H423" i="9"/>
  <c r="G423" i="9"/>
  <c r="F423" i="9"/>
  <c r="E423" i="9"/>
  <c r="D423" i="9"/>
  <c r="C423" i="9"/>
  <c r="B423" i="9"/>
  <c r="A423" i="9"/>
  <c r="H422" i="9"/>
  <c r="G422" i="9"/>
  <c r="F422" i="9"/>
  <c r="E422" i="9"/>
  <c r="D422" i="9"/>
  <c r="C422" i="9"/>
  <c r="B422" i="9"/>
  <c r="A422" i="9"/>
  <c r="H421" i="9"/>
  <c r="G421" i="9"/>
  <c r="F421" i="9"/>
  <c r="E421" i="9"/>
  <c r="D421" i="9"/>
  <c r="C421" i="9"/>
  <c r="B421" i="9"/>
  <c r="A421" i="9"/>
  <c r="AT420" i="9"/>
  <c r="AF420" i="9"/>
  <c r="R420" i="9"/>
  <c r="H420" i="9"/>
  <c r="G420" i="9"/>
  <c r="F420" i="9"/>
  <c r="E420" i="9"/>
  <c r="D420" i="9"/>
  <c r="C420" i="9"/>
  <c r="B420" i="9"/>
  <c r="A420" i="9"/>
  <c r="H419" i="9"/>
  <c r="G419" i="9"/>
  <c r="F419" i="9"/>
  <c r="E419" i="9"/>
  <c r="D419" i="9"/>
  <c r="C419" i="9"/>
  <c r="B419" i="9"/>
  <c r="A419" i="9"/>
  <c r="H418" i="9"/>
  <c r="G418" i="9"/>
  <c r="F418" i="9"/>
  <c r="E418" i="9"/>
  <c r="D418" i="9"/>
  <c r="C418" i="9"/>
  <c r="B418" i="9"/>
  <c r="A418" i="9"/>
  <c r="H417" i="9"/>
  <c r="G417" i="9"/>
  <c r="F417" i="9"/>
  <c r="E417" i="9"/>
  <c r="D417" i="9"/>
  <c r="C417" i="9"/>
  <c r="B417" i="9"/>
  <c r="A417" i="9"/>
  <c r="H416" i="9"/>
  <c r="G416" i="9"/>
  <c r="F416" i="9"/>
  <c r="E416" i="9"/>
  <c r="D416" i="9"/>
  <c r="C416" i="9"/>
  <c r="B416" i="9"/>
  <c r="A416" i="9"/>
  <c r="AT415" i="9"/>
  <c r="AF415" i="9"/>
  <c r="R415" i="9"/>
  <c r="H415" i="9"/>
  <c r="G415" i="9"/>
  <c r="F415" i="9"/>
  <c r="E415" i="9"/>
  <c r="D415" i="9"/>
  <c r="C415" i="9"/>
  <c r="B415" i="9"/>
  <c r="A415" i="9"/>
  <c r="H414" i="9"/>
  <c r="G414" i="9"/>
  <c r="F414" i="9"/>
  <c r="E414" i="9"/>
  <c r="D414" i="9"/>
  <c r="C414" i="9"/>
  <c r="B414" i="9"/>
  <c r="A414" i="9"/>
  <c r="H413" i="9"/>
  <c r="G413" i="9"/>
  <c r="F413" i="9"/>
  <c r="E413" i="9"/>
  <c r="D413" i="9"/>
  <c r="C413" i="9"/>
  <c r="B413" i="9"/>
  <c r="A413" i="9"/>
  <c r="H412" i="9"/>
  <c r="G412" i="9"/>
  <c r="F412" i="9"/>
  <c r="E412" i="9"/>
  <c r="D412" i="9"/>
  <c r="C412" i="9"/>
  <c r="B412" i="9"/>
  <c r="A412" i="9"/>
  <c r="H411" i="9"/>
  <c r="G411" i="9"/>
  <c r="F411" i="9"/>
  <c r="E411" i="9"/>
  <c r="D411" i="9"/>
  <c r="C411" i="9"/>
  <c r="B411" i="9"/>
  <c r="A411" i="9"/>
  <c r="AT410" i="9"/>
  <c r="AF410" i="9"/>
  <c r="R410" i="9"/>
  <c r="H410" i="9"/>
  <c r="G410" i="9"/>
  <c r="F410" i="9"/>
  <c r="E410" i="9"/>
  <c r="D410" i="9"/>
  <c r="C410" i="9"/>
  <c r="B410" i="9"/>
  <c r="A410" i="9"/>
  <c r="H409" i="9"/>
  <c r="G409" i="9"/>
  <c r="F409" i="9"/>
  <c r="E409" i="9"/>
  <c r="D409" i="9"/>
  <c r="C409" i="9"/>
  <c r="B409" i="9"/>
  <c r="A409" i="9"/>
  <c r="H408" i="9"/>
  <c r="G408" i="9"/>
  <c r="F408" i="9"/>
  <c r="E408" i="9"/>
  <c r="D408" i="9"/>
  <c r="C408" i="9"/>
  <c r="B408" i="9"/>
  <c r="A408" i="9"/>
  <c r="H407" i="9"/>
  <c r="G407" i="9"/>
  <c r="F407" i="9"/>
  <c r="E407" i="9"/>
  <c r="D407" i="9"/>
  <c r="C407" i="9"/>
  <c r="B407" i="9"/>
  <c r="A407" i="9"/>
  <c r="H406" i="9"/>
  <c r="G406" i="9"/>
  <c r="F406" i="9"/>
  <c r="E406" i="9"/>
  <c r="D406" i="9"/>
  <c r="C406" i="9"/>
  <c r="B406" i="9"/>
  <c r="A406" i="9"/>
  <c r="AT405" i="9"/>
  <c r="AF405" i="9"/>
  <c r="R405" i="9"/>
  <c r="H405" i="9"/>
  <c r="G405" i="9"/>
  <c r="F405" i="9"/>
  <c r="E405" i="9"/>
  <c r="D405" i="9"/>
  <c r="C405" i="9"/>
  <c r="B405" i="9"/>
  <c r="A405" i="9"/>
  <c r="H404" i="9"/>
  <c r="G404" i="9"/>
  <c r="F404" i="9"/>
  <c r="E404" i="9"/>
  <c r="D404" i="9"/>
  <c r="C404" i="9"/>
  <c r="B404" i="9"/>
  <c r="A404" i="9"/>
  <c r="H403" i="9"/>
  <c r="G403" i="9"/>
  <c r="F403" i="9"/>
  <c r="E403" i="9"/>
  <c r="D403" i="9"/>
  <c r="C403" i="9"/>
  <c r="B403" i="9"/>
  <c r="A403" i="9"/>
  <c r="H402" i="9"/>
  <c r="G402" i="9"/>
  <c r="F402" i="9"/>
  <c r="E402" i="9"/>
  <c r="D402" i="9"/>
  <c r="C402" i="9"/>
  <c r="B402" i="9"/>
  <c r="A402" i="9"/>
  <c r="H401" i="9"/>
  <c r="G401" i="9"/>
  <c r="F401" i="9"/>
  <c r="E401" i="9"/>
  <c r="D401" i="9"/>
  <c r="C401" i="9"/>
  <c r="B401" i="9"/>
  <c r="A401" i="9"/>
  <c r="AT400" i="9"/>
  <c r="AF400" i="9"/>
  <c r="R400" i="9"/>
  <c r="H400" i="9"/>
  <c r="G400" i="9"/>
  <c r="F400" i="9"/>
  <c r="E400" i="9"/>
  <c r="D400" i="9"/>
  <c r="C400" i="9"/>
  <c r="B400" i="9"/>
  <c r="A400" i="9"/>
  <c r="H399" i="9"/>
  <c r="G399" i="9"/>
  <c r="F399" i="9"/>
  <c r="E399" i="9"/>
  <c r="D399" i="9"/>
  <c r="C399" i="9"/>
  <c r="B399" i="9"/>
  <c r="A399" i="9"/>
  <c r="H398" i="9"/>
  <c r="G398" i="9"/>
  <c r="F398" i="9"/>
  <c r="E398" i="9"/>
  <c r="D398" i="9"/>
  <c r="C398" i="9"/>
  <c r="B398" i="9"/>
  <c r="A398" i="9"/>
  <c r="H397" i="9"/>
  <c r="G397" i="9"/>
  <c r="F397" i="9"/>
  <c r="E397" i="9"/>
  <c r="D397" i="9"/>
  <c r="C397" i="9"/>
  <c r="B397" i="9"/>
  <c r="A397" i="9"/>
  <c r="H396" i="9"/>
  <c r="G396" i="9"/>
  <c r="F396" i="9"/>
  <c r="E396" i="9"/>
  <c r="D396" i="9"/>
  <c r="C396" i="9"/>
  <c r="B396" i="9"/>
  <c r="A396" i="9"/>
  <c r="AT395" i="9"/>
  <c r="AF395" i="9"/>
  <c r="R395" i="9"/>
  <c r="H395" i="9"/>
  <c r="G395" i="9"/>
  <c r="F395" i="9"/>
  <c r="E395" i="9"/>
  <c r="D395" i="9"/>
  <c r="C395" i="9"/>
  <c r="B395" i="9"/>
  <c r="A395" i="9"/>
  <c r="H394" i="9"/>
  <c r="G394" i="9"/>
  <c r="F394" i="9"/>
  <c r="E394" i="9"/>
  <c r="D394" i="9"/>
  <c r="C394" i="9"/>
  <c r="B394" i="9"/>
  <c r="A394" i="9"/>
  <c r="H393" i="9"/>
  <c r="G393" i="9"/>
  <c r="F393" i="9"/>
  <c r="E393" i="9"/>
  <c r="D393" i="9"/>
  <c r="C393" i="9"/>
  <c r="B393" i="9"/>
  <c r="A393" i="9"/>
  <c r="H392" i="9"/>
  <c r="G392" i="9"/>
  <c r="F392" i="9"/>
  <c r="E392" i="9"/>
  <c r="D392" i="9"/>
  <c r="C392" i="9"/>
  <c r="B392" i="9"/>
  <c r="A392" i="9"/>
  <c r="H391" i="9"/>
  <c r="G391" i="9"/>
  <c r="F391" i="9"/>
  <c r="E391" i="9"/>
  <c r="D391" i="9"/>
  <c r="C391" i="9"/>
  <c r="B391" i="9"/>
  <c r="A391" i="9"/>
  <c r="AT390" i="9"/>
  <c r="AF390" i="9"/>
  <c r="R390" i="9"/>
  <c r="H390" i="9"/>
  <c r="G390" i="9"/>
  <c r="F390" i="9"/>
  <c r="E390" i="9"/>
  <c r="D390" i="9"/>
  <c r="C390" i="9"/>
  <c r="B390" i="9"/>
  <c r="A390" i="9"/>
  <c r="H389" i="9"/>
  <c r="G389" i="9"/>
  <c r="F389" i="9"/>
  <c r="E389" i="9"/>
  <c r="D389" i="9"/>
  <c r="C389" i="9"/>
  <c r="B389" i="9"/>
  <c r="A389" i="9"/>
  <c r="H388" i="9"/>
  <c r="G388" i="9"/>
  <c r="F388" i="9"/>
  <c r="E388" i="9"/>
  <c r="D388" i="9"/>
  <c r="C388" i="9"/>
  <c r="B388" i="9"/>
  <c r="A388" i="9"/>
  <c r="H387" i="9"/>
  <c r="G387" i="9"/>
  <c r="F387" i="9"/>
  <c r="E387" i="9"/>
  <c r="D387" i="9"/>
  <c r="C387" i="9"/>
  <c r="B387" i="9"/>
  <c r="A387" i="9"/>
  <c r="H386" i="9"/>
  <c r="G386" i="9"/>
  <c r="F386" i="9"/>
  <c r="E386" i="9"/>
  <c r="D386" i="9"/>
  <c r="C386" i="9"/>
  <c r="B386" i="9"/>
  <c r="A386" i="9"/>
  <c r="AT385" i="9"/>
  <c r="AF385" i="9"/>
  <c r="R385" i="9"/>
  <c r="H385" i="9"/>
  <c r="G385" i="9"/>
  <c r="F385" i="9"/>
  <c r="E385" i="9"/>
  <c r="D385" i="9"/>
  <c r="C385" i="9"/>
  <c r="B385" i="9"/>
  <c r="A385" i="9"/>
  <c r="H384" i="9"/>
  <c r="G384" i="9"/>
  <c r="F384" i="9"/>
  <c r="E384" i="9"/>
  <c r="D384" i="9"/>
  <c r="C384" i="9"/>
  <c r="B384" i="9"/>
  <c r="A384" i="9"/>
  <c r="H383" i="9"/>
  <c r="G383" i="9"/>
  <c r="F383" i="9"/>
  <c r="E383" i="9"/>
  <c r="D383" i="9"/>
  <c r="C383" i="9"/>
  <c r="B383" i="9"/>
  <c r="A383" i="9"/>
  <c r="H382" i="9"/>
  <c r="G382" i="9"/>
  <c r="F382" i="9"/>
  <c r="E382" i="9"/>
  <c r="D382" i="9"/>
  <c r="C382" i="9"/>
  <c r="B382" i="9"/>
  <c r="A382" i="9"/>
  <c r="H381" i="9"/>
  <c r="G381" i="9"/>
  <c r="F381" i="9"/>
  <c r="E381" i="9"/>
  <c r="D381" i="9"/>
  <c r="C381" i="9"/>
  <c r="B381" i="9"/>
  <c r="A381" i="9"/>
  <c r="AT380" i="9"/>
  <c r="AF380" i="9"/>
  <c r="R380" i="9"/>
  <c r="H380" i="9"/>
  <c r="G380" i="9"/>
  <c r="F380" i="9"/>
  <c r="E380" i="9"/>
  <c r="D380" i="9"/>
  <c r="C380" i="9"/>
  <c r="B380" i="9"/>
  <c r="A380" i="9"/>
  <c r="H379" i="9"/>
  <c r="G379" i="9"/>
  <c r="F379" i="9"/>
  <c r="E379" i="9"/>
  <c r="D379" i="9"/>
  <c r="C379" i="9"/>
  <c r="B379" i="9"/>
  <c r="A379" i="9"/>
  <c r="H378" i="9"/>
  <c r="G378" i="9"/>
  <c r="F378" i="9"/>
  <c r="E378" i="9"/>
  <c r="D378" i="9"/>
  <c r="C378" i="9"/>
  <c r="B378" i="9"/>
  <c r="A378" i="9"/>
  <c r="H377" i="9"/>
  <c r="G377" i="9"/>
  <c r="F377" i="9"/>
  <c r="E377" i="9"/>
  <c r="D377" i="9"/>
  <c r="C377" i="9"/>
  <c r="B377" i="9"/>
  <c r="A377" i="9"/>
  <c r="H376" i="9"/>
  <c r="G376" i="9"/>
  <c r="F376" i="9"/>
  <c r="E376" i="9"/>
  <c r="D376" i="9"/>
  <c r="C376" i="9"/>
  <c r="B376" i="9"/>
  <c r="A376" i="9"/>
  <c r="AT375" i="9"/>
  <c r="AF375" i="9"/>
  <c r="R375" i="9"/>
  <c r="H375" i="9"/>
  <c r="G375" i="9"/>
  <c r="F375" i="9"/>
  <c r="E375" i="9"/>
  <c r="D375" i="9"/>
  <c r="C375" i="9"/>
  <c r="B375" i="9"/>
  <c r="A375" i="9"/>
  <c r="H374" i="9"/>
  <c r="G374" i="9"/>
  <c r="F374" i="9"/>
  <c r="E374" i="9"/>
  <c r="D374" i="9"/>
  <c r="C374" i="9"/>
  <c r="B374" i="9"/>
  <c r="A374" i="9"/>
  <c r="H373" i="9"/>
  <c r="G373" i="9"/>
  <c r="F373" i="9"/>
  <c r="E373" i="9"/>
  <c r="D373" i="9"/>
  <c r="C373" i="9"/>
  <c r="B373" i="9"/>
  <c r="A373" i="9"/>
  <c r="H372" i="9"/>
  <c r="G372" i="9"/>
  <c r="F372" i="9"/>
  <c r="E372" i="9"/>
  <c r="D372" i="9"/>
  <c r="C372" i="9"/>
  <c r="B372" i="9"/>
  <c r="A372" i="9"/>
  <c r="H371" i="9"/>
  <c r="G371" i="9"/>
  <c r="F371" i="9"/>
  <c r="E371" i="9"/>
  <c r="D371" i="9"/>
  <c r="C371" i="9"/>
  <c r="B371" i="9"/>
  <c r="A371" i="9"/>
  <c r="AT370" i="9"/>
  <c r="AF370" i="9"/>
  <c r="R370" i="9"/>
  <c r="H370" i="9"/>
  <c r="G370" i="9"/>
  <c r="F370" i="9"/>
  <c r="E370" i="9"/>
  <c r="D370" i="9"/>
  <c r="C370" i="9"/>
  <c r="B370" i="9"/>
  <c r="A370" i="9"/>
  <c r="H369" i="9"/>
  <c r="G369" i="9"/>
  <c r="F369" i="9"/>
  <c r="E369" i="9"/>
  <c r="D369" i="9"/>
  <c r="C369" i="9"/>
  <c r="B369" i="9"/>
  <c r="A369" i="9"/>
  <c r="H368" i="9"/>
  <c r="G368" i="9"/>
  <c r="F368" i="9"/>
  <c r="E368" i="9"/>
  <c r="D368" i="9"/>
  <c r="C368" i="9"/>
  <c r="B368" i="9"/>
  <c r="A368" i="9"/>
  <c r="H367" i="9"/>
  <c r="G367" i="9"/>
  <c r="F367" i="9"/>
  <c r="E367" i="9"/>
  <c r="D367" i="9"/>
  <c r="C367" i="9"/>
  <c r="B367" i="9"/>
  <c r="A367" i="9"/>
  <c r="H366" i="9"/>
  <c r="G366" i="9"/>
  <c r="F366" i="9"/>
  <c r="E366" i="9"/>
  <c r="D366" i="9"/>
  <c r="C366" i="9"/>
  <c r="B366" i="9"/>
  <c r="A366" i="9"/>
  <c r="AT365" i="9"/>
  <c r="AF365" i="9"/>
  <c r="R365" i="9"/>
  <c r="H365" i="9"/>
  <c r="G365" i="9"/>
  <c r="F365" i="9"/>
  <c r="E365" i="9"/>
  <c r="D365" i="9"/>
  <c r="C365" i="9"/>
  <c r="B365" i="9"/>
  <c r="A365" i="9"/>
  <c r="H364" i="9"/>
  <c r="G364" i="9"/>
  <c r="F364" i="9"/>
  <c r="E364" i="9"/>
  <c r="D364" i="9"/>
  <c r="C364" i="9"/>
  <c r="B364" i="9"/>
  <c r="A364" i="9"/>
  <c r="H363" i="9"/>
  <c r="G363" i="9"/>
  <c r="F363" i="9"/>
  <c r="E363" i="9"/>
  <c r="D363" i="9"/>
  <c r="C363" i="9"/>
  <c r="B363" i="9"/>
  <c r="A363" i="9"/>
  <c r="H362" i="9"/>
  <c r="G362" i="9"/>
  <c r="F362" i="9"/>
  <c r="E362" i="9"/>
  <c r="D362" i="9"/>
  <c r="C362" i="9"/>
  <c r="B362" i="9"/>
  <c r="A362" i="9"/>
  <c r="H361" i="9"/>
  <c r="G361" i="9"/>
  <c r="F361" i="9"/>
  <c r="E361" i="9"/>
  <c r="D361" i="9"/>
  <c r="C361" i="9"/>
  <c r="B361" i="9"/>
  <c r="A361" i="9"/>
  <c r="AT360" i="9"/>
  <c r="AF360" i="9"/>
  <c r="R360" i="9"/>
  <c r="H360" i="9"/>
  <c r="G360" i="9"/>
  <c r="F360" i="9"/>
  <c r="E360" i="9"/>
  <c r="D360" i="9"/>
  <c r="C360" i="9"/>
  <c r="B360" i="9"/>
  <c r="A360" i="9"/>
  <c r="H359" i="9"/>
  <c r="G359" i="9"/>
  <c r="F359" i="9"/>
  <c r="E359" i="9"/>
  <c r="D359" i="9"/>
  <c r="C359" i="9"/>
  <c r="B359" i="9"/>
  <c r="A359" i="9"/>
  <c r="H358" i="9"/>
  <c r="G358" i="9"/>
  <c r="F358" i="9"/>
  <c r="E358" i="9"/>
  <c r="D358" i="9"/>
  <c r="C358" i="9"/>
  <c r="B358" i="9"/>
  <c r="A358" i="9"/>
  <c r="H357" i="9"/>
  <c r="G357" i="9"/>
  <c r="F357" i="9"/>
  <c r="E357" i="9"/>
  <c r="D357" i="9"/>
  <c r="C357" i="9"/>
  <c r="B357" i="9"/>
  <c r="A357" i="9"/>
  <c r="H356" i="9"/>
  <c r="G356" i="9"/>
  <c r="F356" i="9"/>
  <c r="E356" i="9"/>
  <c r="D356" i="9"/>
  <c r="C356" i="9"/>
  <c r="B356" i="9"/>
  <c r="A356" i="9"/>
  <c r="AT355" i="9"/>
  <c r="AF355" i="9"/>
  <c r="R355" i="9"/>
  <c r="H355" i="9"/>
  <c r="G355" i="9"/>
  <c r="F355" i="9"/>
  <c r="E355" i="9"/>
  <c r="D355" i="9"/>
  <c r="C355" i="9"/>
  <c r="B355" i="9"/>
  <c r="A355" i="9"/>
  <c r="H354" i="9"/>
  <c r="G354" i="9"/>
  <c r="F354" i="9"/>
  <c r="E354" i="9"/>
  <c r="D354" i="9"/>
  <c r="C354" i="9"/>
  <c r="B354" i="9"/>
  <c r="A354" i="9"/>
  <c r="H353" i="9"/>
  <c r="G353" i="9"/>
  <c r="F353" i="9"/>
  <c r="E353" i="9"/>
  <c r="D353" i="9"/>
  <c r="C353" i="9"/>
  <c r="B353" i="9"/>
  <c r="A353" i="9"/>
  <c r="H352" i="9"/>
  <c r="G352" i="9"/>
  <c r="F352" i="9"/>
  <c r="E352" i="9"/>
  <c r="D352" i="9"/>
  <c r="C352" i="9"/>
  <c r="B352" i="9"/>
  <c r="A352" i="9"/>
  <c r="H351" i="9"/>
  <c r="G351" i="9"/>
  <c r="F351" i="9"/>
  <c r="E351" i="9"/>
  <c r="D351" i="9"/>
  <c r="C351" i="9"/>
  <c r="B351" i="9"/>
  <c r="A351" i="9"/>
  <c r="AT350" i="9"/>
  <c r="AF350" i="9"/>
  <c r="R350" i="9"/>
  <c r="H350" i="9"/>
  <c r="G350" i="9"/>
  <c r="F350" i="9"/>
  <c r="E350" i="9"/>
  <c r="D350" i="9"/>
  <c r="C350" i="9"/>
  <c r="B350" i="9"/>
  <c r="A350" i="9"/>
  <c r="H349" i="9"/>
  <c r="G349" i="9"/>
  <c r="F349" i="9"/>
  <c r="E349" i="9"/>
  <c r="D349" i="9"/>
  <c r="C349" i="9"/>
  <c r="B349" i="9"/>
  <c r="A349" i="9"/>
  <c r="H348" i="9"/>
  <c r="G348" i="9"/>
  <c r="F348" i="9"/>
  <c r="E348" i="9"/>
  <c r="D348" i="9"/>
  <c r="C348" i="9"/>
  <c r="B348" i="9"/>
  <c r="A348" i="9"/>
  <c r="H347" i="9"/>
  <c r="G347" i="9"/>
  <c r="F347" i="9"/>
  <c r="E347" i="9"/>
  <c r="D347" i="9"/>
  <c r="C347" i="9"/>
  <c r="B347" i="9"/>
  <c r="A347" i="9"/>
  <c r="H346" i="9"/>
  <c r="G346" i="9"/>
  <c r="F346" i="9"/>
  <c r="E346" i="9"/>
  <c r="D346" i="9"/>
  <c r="C346" i="9"/>
  <c r="B346" i="9"/>
  <c r="A346" i="9"/>
  <c r="AT345" i="9"/>
  <c r="AF345" i="9"/>
  <c r="R345" i="9"/>
  <c r="H345" i="9"/>
  <c r="G345" i="9"/>
  <c r="F345" i="9"/>
  <c r="E345" i="9"/>
  <c r="D345" i="9"/>
  <c r="C345" i="9"/>
  <c r="B345" i="9"/>
  <c r="A345" i="9"/>
  <c r="H344" i="9"/>
  <c r="G344" i="9"/>
  <c r="F344" i="9"/>
  <c r="E344" i="9"/>
  <c r="D344" i="9"/>
  <c r="C344" i="9"/>
  <c r="B344" i="9"/>
  <c r="A344" i="9"/>
  <c r="H343" i="9"/>
  <c r="G343" i="9"/>
  <c r="F343" i="9"/>
  <c r="E343" i="9"/>
  <c r="D343" i="9"/>
  <c r="C343" i="9"/>
  <c r="B343" i="9"/>
  <c r="A343" i="9"/>
  <c r="H342" i="9"/>
  <c r="G342" i="9"/>
  <c r="F342" i="9"/>
  <c r="E342" i="9"/>
  <c r="D342" i="9"/>
  <c r="C342" i="9"/>
  <c r="B342" i="9"/>
  <c r="A342" i="9"/>
  <c r="H341" i="9"/>
  <c r="G341" i="9"/>
  <c r="F341" i="9"/>
  <c r="E341" i="9"/>
  <c r="D341" i="9"/>
  <c r="C341" i="9"/>
  <c r="B341" i="9"/>
  <c r="A341" i="9"/>
  <c r="AT340" i="9"/>
  <c r="AF340" i="9"/>
  <c r="R340" i="9"/>
  <c r="H340" i="9"/>
  <c r="G340" i="9"/>
  <c r="F340" i="9"/>
  <c r="E340" i="9"/>
  <c r="D340" i="9"/>
  <c r="C340" i="9"/>
  <c r="B340" i="9"/>
  <c r="A340" i="9"/>
  <c r="H339" i="9"/>
  <c r="G339" i="9"/>
  <c r="F339" i="9"/>
  <c r="E339" i="9"/>
  <c r="D339" i="9"/>
  <c r="C339" i="9"/>
  <c r="B339" i="9"/>
  <c r="A339" i="9"/>
  <c r="H338" i="9"/>
  <c r="G338" i="9"/>
  <c r="F338" i="9"/>
  <c r="E338" i="9"/>
  <c r="D338" i="9"/>
  <c r="C338" i="9"/>
  <c r="B338" i="9"/>
  <c r="A338" i="9"/>
  <c r="H337" i="9"/>
  <c r="G337" i="9"/>
  <c r="F337" i="9"/>
  <c r="E337" i="9"/>
  <c r="D337" i="9"/>
  <c r="C337" i="9"/>
  <c r="B337" i="9"/>
  <c r="A337" i="9"/>
  <c r="H336" i="9"/>
  <c r="G336" i="9"/>
  <c r="F336" i="9"/>
  <c r="E336" i="9"/>
  <c r="D336" i="9"/>
  <c r="C336" i="9"/>
  <c r="B336" i="9"/>
  <c r="A336" i="9"/>
  <c r="AT335" i="9"/>
  <c r="AF335" i="9"/>
  <c r="R335" i="9"/>
  <c r="H335" i="9"/>
  <c r="G335" i="9"/>
  <c r="F335" i="9"/>
  <c r="E335" i="9"/>
  <c r="D335" i="9"/>
  <c r="C335" i="9"/>
  <c r="B335" i="9"/>
  <c r="A335" i="9"/>
  <c r="H334" i="9"/>
  <c r="G334" i="9"/>
  <c r="F334" i="9"/>
  <c r="E334" i="9"/>
  <c r="D334" i="9"/>
  <c r="C334" i="9"/>
  <c r="B334" i="9"/>
  <c r="A334" i="9"/>
  <c r="H333" i="9"/>
  <c r="G333" i="9"/>
  <c r="F333" i="9"/>
  <c r="E333" i="9"/>
  <c r="D333" i="9"/>
  <c r="C333" i="9"/>
  <c r="B333" i="9"/>
  <c r="A333" i="9"/>
  <c r="H332" i="9"/>
  <c r="G332" i="9"/>
  <c r="F332" i="9"/>
  <c r="E332" i="9"/>
  <c r="D332" i="9"/>
  <c r="C332" i="9"/>
  <c r="B332" i="9"/>
  <c r="A332" i="9"/>
  <c r="H331" i="9"/>
  <c r="G331" i="9"/>
  <c r="F331" i="9"/>
  <c r="E331" i="9"/>
  <c r="D331" i="9"/>
  <c r="C331" i="9"/>
  <c r="B331" i="9"/>
  <c r="A331" i="9"/>
  <c r="AT330" i="9"/>
  <c r="AF330" i="9"/>
  <c r="R330" i="9"/>
  <c r="H330" i="9"/>
  <c r="G330" i="9"/>
  <c r="F330" i="9"/>
  <c r="E330" i="9"/>
  <c r="D330" i="9"/>
  <c r="C330" i="9"/>
  <c r="B330" i="9"/>
  <c r="A330" i="9"/>
  <c r="H329" i="9"/>
  <c r="G329" i="9"/>
  <c r="F329" i="9"/>
  <c r="E329" i="9"/>
  <c r="D329" i="9"/>
  <c r="C329" i="9"/>
  <c r="B329" i="9"/>
  <c r="A329" i="9"/>
  <c r="H328" i="9"/>
  <c r="G328" i="9"/>
  <c r="F328" i="9"/>
  <c r="E328" i="9"/>
  <c r="D328" i="9"/>
  <c r="C328" i="9"/>
  <c r="B328" i="9"/>
  <c r="A328" i="9"/>
  <c r="H327" i="9"/>
  <c r="G327" i="9"/>
  <c r="F327" i="9"/>
  <c r="E327" i="9"/>
  <c r="D327" i="9"/>
  <c r="C327" i="9"/>
  <c r="B327" i="9"/>
  <c r="A327" i="9"/>
  <c r="H326" i="9"/>
  <c r="G326" i="9"/>
  <c r="F326" i="9"/>
  <c r="E326" i="9"/>
  <c r="D326" i="9"/>
  <c r="C326" i="9"/>
  <c r="B326" i="9"/>
  <c r="A326" i="9"/>
  <c r="AT325" i="9"/>
  <c r="AF325" i="9"/>
  <c r="R325" i="9"/>
  <c r="H325" i="9"/>
  <c r="G325" i="9"/>
  <c r="F325" i="9"/>
  <c r="E325" i="9"/>
  <c r="D325" i="9"/>
  <c r="C325" i="9"/>
  <c r="B325" i="9"/>
  <c r="A325" i="9"/>
  <c r="H324" i="9"/>
  <c r="G324" i="9"/>
  <c r="F324" i="9"/>
  <c r="E324" i="9"/>
  <c r="D324" i="9"/>
  <c r="C324" i="9"/>
  <c r="B324" i="9"/>
  <c r="A324" i="9"/>
  <c r="H323" i="9"/>
  <c r="G323" i="9"/>
  <c r="F323" i="9"/>
  <c r="E323" i="9"/>
  <c r="D323" i="9"/>
  <c r="C323" i="9"/>
  <c r="B323" i="9"/>
  <c r="A323" i="9"/>
  <c r="H322" i="9"/>
  <c r="G322" i="9"/>
  <c r="F322" i="9"/>
  <c r="E322" i="9"/>
  <c r="D322" i="9"/>
  <c r="C322" i="9"/>
  <c r="B322" i="9"/>
  <c r="A322" i="9"/>
  <c r="H321" i="9"/>
  <c r="G321" i="9"/>
  <c r="F321" i="9"/>
  <c r="E321" i="9"/>
  <c r="D321" i="9"/>
  <c r="C321" i="9"/>
  <c r="B321" i="9"/>
  <c r="A321" i="9"/>
  <c r="AT320" i="9"/>
  <c r="AF320" i="9"/>
  <c r="R320" i="9"/>
  <c r="H320" i="9"/>
  <c r="G320" i="9"/>
  <c r="F320" i="9"/>
  <c r="E320" i="9"/>
  <c r="D320" i="9"/>
  <c r="C320" i="9"/>
  <c r="B320" i="9"/>
  <c r="A320" i="9"/>
  <c r="H319" i="9"/>
  <c r="G319" i="9"/>
  <c r="F319" i="9"/>
  <c r="E319" i="9"/>
  <c r="D319" i="9"/>
  <c r="C319" i="9"/>
  <c r="B319" i="9"/>
  <c r="A319" i="9"/>
  <c r="H318" i="9"/>
  <c r="G318" i="9"/>
  <c r="F318" i="9"/>
  <c r="E318" i="9"/>
  <c r="D318" i="9"/>
  <c r="C318" i="9"/>
  <c r="B318" i="9"/>
  <c r="A318" i="9"/>
  <c r="H317" i="9"/>
  <c r="G317" i="9"/>
  <c r="F317" i="9"/>
  <c r="E317" i="9"/>
  <c r="D317" i="9"/>
  <c r="C317" i="9"/>
  <c r="B317" i="9"/>
  <c r="A317" i="9"/>
  <c r="H316" i="9"/>
  <c r="G316" i="9"/>
  <c r="F316" i="9"/>
  <c r="E316" i="9"/>
  <c r="D316" i="9"/>
  <c r="C316" i="9"/>
  <c r="B316" i="9"/>
  <c r="A316" i="9"/>
  <c r="AT315" i="9"/>
  <c r="AF315" i="9"/>
  <c r="R315" i="9"/>
  <c r="H315" i="9"/>
  <c r="G315" i="9"/>
  <c r="F315" i="9"/>
  <c r="E315" i="9"/>
  <c r="D315" i="9"/>
  <c r="C315" i="9"/>
  <c r="B315" i="9"/>
  <c r="A315" i="9"/>
  <c r="H314" i="9"/>
  <c r="G314" i="9"/>
  <c r="F314" i="9"/>
  <c r="E314" i="9"/>
  <c r="D314" i="9"/>
  <c r="C314" i="9"/>
  <c r="B314" i="9"/>
  <c r="A314" i="9"/>
  <c r="H313" i="9"/>
  <c r="G313" i="9"/>
  <c r="F313" i="9"/>
  <c r="E313" i="9"/>
  <c r="D313" i="9"/>
  <c r="C313" i="9"/>
  <c r="B313" i="9"/>
  <c r="A313" i="9"/>
  <c r="H312" i="9"/>
  <c r="G312" i="9"/>
  <c r="F312" i="9"/>
  <c r="E312" i="9"/>
  <c r="D312" i="9"/>
  <c r="C312" i="9"/>
  <c r="B312" i="9"/>
  <c r="A312" i="9"/>
  <c r="H311" i="9"/>
  <c r="G311" i="9"/>
  <c r="F311" i="9"/>
  <c r="E311" i="9"/>
  <c r="D311" i="9"/>
  <c r="C311" i="9"/>
  <c r="B311" i="9"/>
  <c r="A311" i="9"/>
  <c r="AT310" i="9"/>
  <c r="AF310" i="9"/>
  <c r="R310" i="9"/>
  <c r="H310" i="9"/>
  <c r="G310" i="9"/>
  <c r="F310" i="9"/>
  <c r="E310" i="9"/>
  <c r="D310" i="9"/>
  <c r="C310" i="9"/>
  <c r="B310" i="9"/>
  <c r="A310" i="9"/>
  <c r="H309" i="9"/>
  <c r="G309" i="9"/>
  <c r="F309" i="9"/>
  <c r="E309" i="9"/>
  <c r="D309" i="9"/>
  <c r="C309" i="9"/>
  <c r="B309" i="9"/>
  <c r="A309" i="9"/>
  <c r="H308" i="9"/>
  <c r="G308" i="9"/>
  <c r="F308" i="9"/>
  <c r="E308" i="9"/>
  <c r="D308" i="9"/>
  <c r="C308" i="9"/>
  <c r="B308" i="9"/>
  <c r="A308" i="9"/>
  <c r="H307" i="9"/>
  <c r="G307" i="9"/>
  <c r="F307" i="9"/>
  <c r="E307" i="9"/>
  <c r="D307" i="9"/>
  <c r="C307" i="9"/>
  <c r="B307" i="9"/>
  <c r="A307" i="9"/>
  <c r="H306" i="9"/>
  <c r="G306" i="9"/>
  <c r="F306" i="9"/>
  <c r="E306" i="9"/>
  <c r="D306" i="9"/>
  <c r="C306" i="9"/>
  <c r="B306" i="9"/>
  <c r="A306" i="9"/>
  <c r="AT305" i="9"/>
  <c r="AF305" i="9"/>
  <c r="R305" i="9"/>
  <c r="H305" i="9"/>
  <c r="G305" i="9"/>
  <c r="F305" i="9"/>
  <c r="E305" i="9"/>
  <c r="D305" i="9"/>
  <c r="C305" i="9"/>
  <c r="B305" i="9"/>
  <c r="A305" i="9"/>
  <c r="H304" i="9"/>
  <c r="G304" i="9"/>
  <c r="F304" i="9"/>
  <c r="E304" i="9"/>
  <c r="D304" i="9"/>
  <c r="C304" i="9"/>
  <c r="B304" i="9"/>
  <c r="A304" i="9"/>
  <c r="H303" i="9"/>
  <c r="G303" i="9"/>
  <c r="F303" i="9"/>
  <c r="E303" i="9"/>
  <c r="D303" i="9"/>
  <c r="C303" i="9"/>
  <c r="B303" i="9"/>
  <c r="A303" i="9"/>
  <c r="H302" i="9"/>
  <c r="G302" i="9"/>
  <c r="F302" i="9"/>
  <c r="E302" i="9"/>
  <c r="D302" i="9"/>
  <c r="C302" i="9"/>
  <c r="B302" i="9"/>
  <c r="A302" i="9"/>
  <c r="H301" i="9"/>
  <c r="G301" i="9"/>
  <c r="F301" i="9"/>
  <c r="E301" i="9"/>
  <c r="D301" i="9"/>
  <c r="C301" i="9"/>
  <c r="B301" i="9"/>
  <c r="A301" i="9"/>
  <c r="AT300" i="9"/>
  <c r="AF300" i="9"/>
  <c r="R300" i="9"/>
  <c r="H300" i="9"/>
  <c r="G300" i="9"/>
  <c r="F300" i="9"/>
  <c r="E300" i="9"/>
  <c r="D300" i="9"/>
  <c r="C300" i="9"/>
  <c r="B300" i="9"/>
  <c r="A300" i="9"/>
  <c r="H299" i="9"/>
  <c r="G299" i="9"/>
  <c r="F299" i="9"/>
  <c r="E299" i="9"/>
  <c r="D299" i="9"/>
  <c r="C299" i="9"/>
  <c r="B299" i="9"/>
  <c r="A299" i="9"/>
  <c r="H298" i="9"/>
  <c r="G298" i="9"/>
  <c r="F298" i="9"/>
  <c r="E298" i="9"/>
  <c r="D298" i="9"/>
  <c r="C298" i="9"/>
  <c r="B298" i="9"/>
  <c r="A298" i="9"/>
  <c r="H297" i="9"/>
  <c r="G297" i="9"/>
  <c r="F297" i="9"/>
  <c r="E297" i="9"/>
  <c r="D297" i="9"/>
  <c r="C297" i="9"/>
  <c r="B297" i="9"/>
  <c r="A297" i="9"/>
  <c r="H296" i="9"/>
  <c r="G296" i="9"/>
  <c r="F296" i="9"/>
  <c r="E296" i="9"/>
  <c r="D296" i="9"/>
  <c r="C296" i="9"/>
  <c r="B296" i="9"/>
  <c r="A296" i="9"/>
  <c r="AT295" i="9"/>
  <c r="AF295" i="9"/>
  <c r="R295" i="9"/>
  <c r="H295" i="9"/>
  <c r="G295" i="9"/>
  <c r="F295" i="9"/>
  <c r="E295" i="9"/>
  <c r="D295" i="9"/>
  <c r="C295" i="9"/>
  <c r="B295" i="9"/>
  <c r="A295" i="9"/>
  <c r="H294" i="9"/>
  <c r="G294" i="9"/>
  <c r="F294" i="9"/>
  <c r="E294" i="9"/>
  <c r="D294" i="9"/>
  <c r="C294" i="9"/>
  <c r="B294" i="9"/>
  <c r="A294" i="9"/>
  <c r="H293" i="9"/>
  <c r="G293" i="9"/>
  <c r="F293" i="9"/>
  <c r="E293" i="9"/>
  <c r="D293" i="9"/>
  <c r="C293" i="9"/>
  <c r="B293" i="9"/>
  <c r="A293" i="9"/>
  <c r="H292" i="9"/>
  <c r="G292" i="9"/>
  <c r="F292" i="9"/>
  <c r="E292" i="9"/>
  <c r="D292" i="9"/>
  <c r="C292" i="9"/>
  <c r="B292" i="9"/>
  <c r="A292" i="9"/>
  <c r="H291" i="9"/>
  <c r="G291" i="9"/>
  <c r="F291" i="9"/>
  <c r="E291" i="9"/>
  <c r="D291" i="9"/>
  <c r="C291" i="9"/>
  <c r="B291" i="9"/>
  <c r="A291" i="9"/>
  <c r="AT290" i="9"/>
  <c r="AF290" i="9"/>
  <c r="R290" i="9"/>
  <c r="H290" i="9"/>
  <c r="G290" i="9"/>
  <c r="F290" i="9"/>
  <c r="E290" i="9"/>
  <c r="D290" i="9"/>
  <c r="C290" i="9"/>
  <c r="B290" i="9"/>
  <c r="A290" i="9"/>
  <c r="H289" i="9"/>
  <c r="G289" i="9"/>
  <c r="F289" i="9"/>
  <c r="E289" i="9"/>
  <c r="D289" i="9"/>
  <c r="C289" i="9"/>
  <c r="B289" i="9"/>
  <c r="A289" i="9"/>
  <c r="H288" i="9"/>
  <c r="G288" i="9"/>
  <c r="F288" i="9"/>
  <c r="E288" i="9"/>
  <c r="D288" i="9"/>
  <c r="C288" i="9"/>
  <c r="B288" i="9"/>
  <c r="A288" i="9"/>
  <c r="H287" i="9"/>
  <c r="G287" i="9"/>
  <c r="F287" i="9"/>
  <c r="E287" i="9"/>
  <c r="D287" i="9"/>
  <c r="C287" i="9"/>
  <c r="B287" i="9"/>
  <c r="A287" i="9"/>
  <c r="H286" i="9"/>
  <c r="G286" i="9"/>
  <c r="F286" i="9"/>
  <c r="E286" i="9"/>
  <c r="D286" i="9"/>
  <c r="C286" i="9"/>
  <c r="B286" i="9"/>
  <c r="A286" i="9"/>
  <c r="AT285" i="9"/>
  <c r="AF285" i="9"/>
  <c r="R285" i="9"/>
  <c r="H285" i="9"/>
  <c r="G285" i="9"/>
  <c r="F285" i="9"/>
  <c r="E285" i="9"/>
  <c r="D285" i="9"/>
  <c r="C285" i="9"/>
  <c r="B285" i="9"/>
  <c r="A285" i="9"/>
  <c r="H284" i="9"/>
  <c r="G284" i="9"/>
  <c r="F284" i="9"/>
  <c r="E284" i="9"/>
  <c r="D284" i="9"/>
  <c r="C284" i="9"/>
  <c r="B284" i="9"/>
  <c r="A284" i="9"/>
  <c r="H283" i="9"/>
  <c r="G283" i="9"/>
  <c r="F283" i="9"/>
  <c r="E283" i="9"/>
  <c r="D283" i="9"/>
  <c r="C283" i="9"/>
  <c r="B283" i="9"/>
  <c r="A283" i="9"/>
  <c r="H282" i="9"/>
  <c r="G282" i="9"/>
  <c r="F282" i="9"/>
  <c r="E282" i="9"/>
  <c r="D282" i="9"/>
  <c r="C282" i="9"/>
  <c r="B282" i="9"/>
  <c r="A282" i="9"/>
  <c r="H281" i="9"/>
  <c r="G281" i="9"/>
  <c r="F281" i="9"/>
  <c r="E281" i="9"/>
  <c r="D281" i="9"/>
  <c r="C281" i="9"/>
  <c r="B281" i="9"/>
  <c r="A281" i="9"/>
  <c r="AT280" i="9"/>
  <c r="AF280" i="9"/>
  <c r="R280" i="9"/>
  <c r="H280" i="9"/>
  <c r="G280" i="9"/>
  <c r="F280" i="9"/>
  <c r="E280" i="9"/>
  <c r="D280" i="9"/>
  <c r="C280" i="9"/>
  <c r="B280" i="9"/>
  <c r="A280" i="9"/>
  <c r="H279" i="9"/>
  <c r="G279" i="9"/>
  <c r="F279" i="9"/>
  <c r="E279" i="9"/>
  <c r="D279" i="9"/>
  <c r="C279" i="9"/>
  <c r="B279" i="9"/>
  <c r="A279" i="9"/>
  <c r="H278" i="9"/>
  <c r="G278" i="9"/>
  <c r="F278" i="9"/>
  <c r="E278" i="9"/>
  <c r="D278" i="9"/>
  <c r="C278" i="9"/>
  <c r="B278" i="9"/>
  <c r="A278" i="9"/>
  <c r="H277" i="9"/>
  <c r="G277" i="9"/>
  <c r="F277" i="9"/>
  <c r="E277" i="9"/>
  <c r="D277" i="9"/>
  <c r="C277" i="9"/>
  <c r="B277" i="9"/>
  <c r="A277" i="9"/>
  <c r="H276" i="9"/>
  <c r="G276" i="9"/>
  <c r="F276" i="9"/>
  <c r="E276" i="9"/>
  <c r="D276" i="9"/>
  <c r="C276" i="9"/>
  <c r="B276" i="9"/>
  <c r="A276" i="9"/>
  <c r="AT275" i="9"/>
  <c r="AF275" i="9"/>
  <c r="R275" i="9"/>
  <c r="H275" i="9"/>
  <c r="G275" i="9"/>
  <c r="F275" i="9"/>
  <c r="E275" i="9"/>
  <c r="D275" i="9"/>
  <c r="C275" i="9"/>
  <c r="B275" i="9"/>
  <c r="A275" i="9"/>
  <c r="H274" i="9"/>
  <c r="G274" i="9"/>
  <c r="F274" i="9"/>
  <c r="E274" i="9"/>
  <c r="D274" i="9"/>
  <c r="C274" i="9"/>
  <c r="B274" i="9"/>
  <c r="A274" i="9"/>
  <c r="H273" i="9"/>
  <c r="G273" i="9"/>
  <c r="F273" i="9"/>
  <c r="E273" i="9"/>
  <c r="D273" i="9"/>
  <c r="C273" i="9"/>
  <c r="B273" i="9"/>
  <c r="A273" i="9"/>
  <c r="H272" i="9"/>
  <c r="G272" i="9"/>
  <c r="F272" i="9"/>
  <c r="E272" i="9"/>
  <c r="D272" i="9"/>
  <c r="C272" i="9"/>
  <c r="B272" i="9"/>
  <c r="A272" i="9"/>
  <c r="H271" i="9"/>
  <c r="G271" i="9"/>
  <c r="F271" i="9"/>
  <c r="E271" i="9"/>
  <c r="D271" i="9"/>
  <c r="C271" i="9"/>
  <c r="B271" i="9"/>
  <c r="A271" i="9"/>
  <c r="AT270" i="9"/>
  <c r="AF270" i="9"/>
  <c r="R270" i="9"/>
  <c r="H270" i="9"/>
  <c r="G270" i="9"/>
  <c r="F270" i="9"/>
  <c r="E270" i="9"/>
  <c r="D270" i="9"/>
  <c r="C270" i="9"/>
  <c r="B270" i="9"/>
  <c r="A270" i="9"/>
  <c r="H269" i="9"/>
  <c r="G269" i="9"/>
  <c r="F269" i="9"/>
  <c r="E269" i="9"/>
  <c r="D269" i="9"/>
  <c r="C269" i="9"/>
  <c r="B269" i="9"/>
  <c r="A269" i="9"/>
  <c r="H268" i="9"/>
  <c r="G268" i="9"/>
  <c r="F268" i="9"/>
  <c r="E268" i="9"/>
  <c r="D268" i="9"/>
  <c r="C268" i="9"/>
  <c r="B268" i="9"/>
  <c r="A268" i="9"/>
  <c r="H267" i="9"/>
  <c r="G267" i="9"/>
  <c r="F267" i="9"/>
  <c r="E267" i="9"/>
  <c r="D267" i="9"/>
  <c r="C267" i="9"/>
  <c r="B267" i="9"/>
  <c r="A267" i="9"/>
  <c r="H266" i="9"/>
  <c r="G266" i="9"/>
  <c r="F266" i="9"/>
  <c r="E266" i="9"/>
  <c r="D266" i="9"/>
  <c r="C266" i="9"/>
  <c r="B266" i="9"/>
  <c r="A266" i="9"/>
  <c r="AT265" i="9"/>
  <c r="AF265" i="9"/>
  <c r="R265" i="9"/>
  <c r="H265" i="9"/>
  <c r="G265" i="9"/>
  <c r="F265" i="9"/>
  <c r="E265" i="9"/>
  <c r="D265" i="9"/>
  <c r="C265" i="9"/>
  <c r="B265" i="9"/>
  <c r="A265" i="9"/>
  <c r="H264" i="9"/>
  <c r="G264" i="9"/>
  <c r="F264" i="9"/>
  <c r="E264" i="9"/>
  <c r="D264" i="9"/>
  <c r="C264" i="9"/>
  <c r="B264" i="9"/>
  <c r="A264" i="9"/>
  <c r="H263" i="9"/>
  <c r="G263" i="9"/>
  <c r="F263" i="9"/>
  <c r="E263" i="9"/>
  <c r="D263" i="9"/>
  <c r="C263" i="9"/>
  <c r="B263" i="9"/>
  <c r="A263" i="9"/>
  <c r="H262" i="9"/>
  <c r="G262" i="9"/>
  <c r="F262" i="9"/>
  <c r="E262" i="9"/>
  <c r="D262" i="9"/>
  <c r="C262" i="9"/>
  <c r="B262" i="9"/>
  <c r="A262" i="9"/>
  <c r="H261" i="9"/>
  <c r="G261" i="9"/>
  <c r="F261" i="9"/>
  <c r="E261" i="9"/>
  <c r="D261" i="9"/>
  <c r="C261" i="9"/>
  <c r="B261" i="9"/>
  <c r="A261" i="9"/>
  <c r="AT260" i="9"/>
  <c r="AF260" i="9"/>
  <c r="R260" i="9"/>
  <c r="H260" i="9"/>
  <c r="G260" i="9"/>
  <c r="F260" i="9"/>
  <c r="E260" i="9"/>
  <c r="D260" i="9"/>
  <c r="C260" i="9"/>
  <c r="B260" i="9"/>
  <c r="A260" i="9"/>
  <c r="H259" i="9"/>
  <c r="G259" i="9"/>
  <c r="F259" i="9"/>
  <c r="E259" i="9"/>
  <c r="D259" i="9"/>
  <c r="C259" i="9"/>
  <c r="B259" i="9"/>
  <c r="A259" i="9"/>
  <c r="H258" i="9"/>
  <c r="G258" i="9"/>
  <c r="F258" i="9"/>
  <c r="E258" i="9"/>
  <c r="D258" i="9"/>
  <c r="C258" i="9"/>
  <c r="B258" i="9"/>
  <c r="A258" i="9"/>
  <c r="H257" i="9"/>
  <c r="G257" i="9"/>
  <c r="F257" i="9"/>
  <c r="E257" i="9"/>
  <c r="D257" i="9"/>
  <c r="C257" i="9"/>
  <c r="B257" i="9"/>
  <c r="A257" i="9"/>
  <c r="H256" i="9"/>
  <c r="G256" i="9"/>
  <c r="F256" i="9"/>
  <c r="E256" i="9"/>
  <c r="D256" i="9"/>
  <c r="C256" i="9"/>
  <c r="B256" i="9"/>
  <c r="A256" i="9"/>
  <c r="AT255" i="9"/>
  <c r="AF255" i="9"/>
  <c r="R255" i="9"/>
  <c r="H255" i="9"/>
  <c r="G255" i="9"/>
  <c r="F255" i="9"/>
  <c r="E255" i="9"/>
  <c r="D255" i="9"/>
  <c r="C255" i="9"/>
  <c r="B255" i="9"/>
  <c r="A255" i="9"/>
  <c r="H254" i="9"/>
  <c r="G254" i="9"/>
  <c r="F254" i="9"/>
  <c r="E254" i="9"/>
  <c r="D254" i="9"/>
  <c r="C254" i="9"/>
  <c r="B254" i="9"/>
  <c r="A254" i="9"/>
  <c r="H253" i="9"/>
  <c r="G253" i="9"/>
  <c r="F253" i="9"/>
  <c r="E253" i="9"/>
  <c r="D253" i="9"/>
  <c r="C253" i="9"/>
  <c r="B253" i="9"/>
  <c r="A253" i="9"/>
  <c r="H252" i="9"/>
  <c r="G252" i="9"/>
  <c r="F252" i="9"/>
  <c r="E252" i="9"/>
  <c r="D252" i="9"/>
  <c r="C252" i="9"/>
  <c r="B252" i="9"/>
  <c r="A252" i="9"/>
  <c r="H251" i="9"/>
  <c r="G251" i="9"/>
  <c r="F251" i="9"/>
  <c r="E251" i="9"/>
  <c r="D251" i="9"/>
  <c r="C251" i="9"/>
  <c r="B251" i="9"/>
  <c r="A251" i="9"/>
  <c r="AT250" i="9"/>
  <c r="AF250" i="9"/>
  <c r="R250" i="9"/>
  <c r="H250" i="9"/>
  <c r="G250" i="9"/>
  <c r="F250" i="9"/>
  <c r="E250" i="9"/>
  <c r="D250" i="9"/>
  <c r="C250" i="9"/>
  <c r="B250" i="9"/>
  <c r="A250" i="9"/>
  <c r="H249" i="9"/>
  <c r="G249" i="9"/>
  <c r="F249" i="9"/>
  <c r="E249" i="9"/>
  <c r="D249" i="9"/>
  <c r="C249" i="9"/>
  <c r="B249" i="9"/>
  <c r="A249" i="9"/>
  <c r="H248" i="9"/>
  <c r="G248" i="9"/>
  <c r="F248" i="9"/>
  <c r="E248" i="9"/>
  <c r="D248" i="9"/>
  <c r="C248" i="9"/>
  <c r="B248" i="9"/>
  <c r="A248" i="9"/>
  <c r="H247" i="9"/>
  <c r="G247" i="9"/>
  <c r="F247" i="9"/>
  <c r="E247" i="9"/>
  <c r="D247" i="9"/>
  <c r="C247" i="9"/>
  <c r="B247" i="9"/>
  <c r="A247" i="9"/>
  <c r="H246" i="9"/>
  <c r="G246" i="9"/>
  <c r="F246" i="9"/>
  <c r="E246" i="9"/>
  <c r="D246" i="9"/>
  <c r="C246" i="9"/>
  <c r="B246" i="9"/>
  <c r="A246" i="9"/>
  <c r="AT245" i="9"/>
  <c r="AF245" i="9"/>
  <c r="R245" i="9"/>
  <c r="H245" i="9"/>
  <c r="G245" i="9"/>
  <c r="F245" i="9"/>
  <c r="E245" i="9"/>
  <c r="D245" i="9"/>
  <c r="C245" i="9"/>
  <c r="B245" i="9"/>
  <c r="A245" i="9"/>
  <c r="H244" i="9"/>
  <c r="G244" i="9"/>
  <c r="F244" i="9"/>
  <c r="E244" i="9"/>
  <c r="D244" i="9"/>
  <c r="C244" i="9"/>
  <c r="B244" i="9"/>
  <c r="A244" i="9"/>
  <c r="H243" i="9"/>
  <c r="G243" i="9"/>
  <c r="F243" i="9"/>
  <c r="E243" i="9"/>
  <c r="D243" i="9"/>
  <c r="C243" i="9"/>
  <c r="B243" i="9"/>
  <c r="A243" i="9"/>
  <c r="H242" i="9"/>
  <c r="G242" i="9"/>
  <c r="F242" i="9"/>
  <c r="E242" i="9"/>
  <c r="D242" i="9"/>
  <c r="C242" i="9"/>
  <c r="B242" i="9"/>
  <c r="A242" i="9"/>
  <c r="H241" i="9"/>
  <c r="G241" i="9"/>
  <c r="F241" i="9"/>
  <c r="E241" i="9"/>
  <c r="D241" i="9"/>
  <c r="C241" i="9"/>
  <c r="B241" i="9"/>
  <c r="A241" i="9"/>
  <c r="AT240" i="9"/>
  <c r="AF240" i="9"/>
  <c r="R240" i="9"/>
  <c r="H240" i="9"/>
  <c r="G240" i="9"/>
  <c r="F240" i="9"/>
  <c r="E240" i="9"/>
  <c r="D240" i="9"/>
  <c r="C240" i="9"/>
  <c r="B240" i="9"/>
  <c r="A240" i="9"/>
  <c r="H239" i="9"/>
  <c r="G239" i="9"/>
  <c r="F239" i="9"/>
  <c r="E239" i="9"/>
  <c r="D239" i="9"/>
  <c r="C239" i="9"/>
  <c r="B239" i="9"/>
  <c r="A239" i="9"/>
  <c r="H238" i="9"/>
  <c r="G238" i="9"/>
  <c r="F238" i="9"/>
  <c r="E238" i="9"/>
  <c r="D238" i="9"/>
  <c r="C238" i="9"/>
  <c r="B238" i="9"/>
  <c r="A238" i="9"/>
  <c r="H237" i="9"/>
  <c r="G237" i="9"/>
  <c r="F237" i="9"/>
  <c r="E237" i="9"/>
  <c r="D237" i="9"/>
  <c r="C237" i="9"/>
  <c r="B237" i="9"/>
  <c r="A237" i="9"/>
  <c r="H236" i="9"/>
  <c r="G236" i="9"/>
  <c r="F236" i="9"/>
  <c r="E236" i="9"/>
  <c r="D236" i="9"/>
  <c r="C236" i="9"/>
  <c r="B236" i="9"/>
  <c r="A236" i="9"/>
  <c r="AT235" i="9"/>
  <c r="AF235" i="9"/>
  <c r="R235" i="9"/>
  <c r="H235" i="9"/>
  <c r="G235" i="9"/>
  <c r="F235" i="9"/>
  <c r="E235" i="9"/>
  <c r="D235" i="9"/>
  <c r="C235" i="9"/>
  <c r="B235" i="9"/>
  <c r="A235" i="9"/>
  <c r="H234" i="9"/>
  <c r="G234" i="9"/>
  <c r="F234" i="9"/>
  <c r="E234" i="9"/>
  <c r="D234" i="9"/>
  <c r="C234" i="9"/>
  <c r="B234" i="9"/>
  <c r="A234" i="9"/>
  <c r="H233" i="9"/>
  <c r="G233" i="9"/>
  <c r="F233" i="9"/>
  <c r="E233" i="9"/>
  <c r="D233" i="9"/>
  <c r="C233" i="9"/>
  <c r="B233" i="9"/>
  <c r="A233" i="9"/>
  <c r="H232" i="9"/>
  <c r="G232" i="9"/>
  <c r="F232" i="9"/>
  <c r="E232" i="9"/>
  <c r="D232" i="9"/>
  <c r="C232" i="9"/>
  <c r="B232" i="9"/>
  <c r="A232" i="9"/>
  <c r="H231" i="9"/>
  <c r="G231" i="9"/>
  <c r="F231" i="9"/>
  <c r="E231" i="9"/>
  <c r="D231" i="9"/>
  <c r="C231" i="9"/>
  <c r="B231" i="9"/>
  <c r="A231" i="9"/>
  <c r="AT230" i="9"/>
  <c r="AF230" i="9"/>
  <c r="R230" i="9"/>
  <c r="H230" i="9"/>
  <c r="G230" i="9"/>
  <c r="F230" i="9"/>
  <c r="E230" i="9"/>
  <c r="D230" i="9"/>
  <c r="C230" i="9"/>
  <c r="B230" i="9"/>
  <c r="A230" i="9"/>
  <c r="H229" i="9"/>
  <c r="G229" i="9"/>
  <c r="F229" i="9"/>
  <c r="E229" i="9"/>
  <c r="D229" i="9"/>
  <c r="C229" i="9"/>
  <c r="B229" i="9"/>
  <c r="A229" i="9"/>
  <c r="H228" i="9"/>
  <c r="G228" i="9"/>
  <c r="F228" i="9"/>
  <c r="E228" i="9"/>
  <c r="D228" i="9"/>
  <c r="C228" i="9"/>
  <c r="B228" i="9"/>
  <c r="A228" i="9"/>
  <c r="H227" i="9"/>
  <c r="G227" i="9"/>
  <c r="F227" i="9"/>
  <c r="E227" i="9"/>
  <c r="D227" i="9"/>
  <c r="C227" i="9"/>
  <c r="B227" i="9"/>
  <c r="A227" i="9"/>
  <c r="H226" i="9"/>
  <c r="G226" i="9"/>
  <c r="F226" i="9"/>
  <c r="E226" i="9"/>
  <c r="D226" i="9"/>
  <c r="C226" i="9"/>
  <c r="B226" i="9"/>
  <c r="A226" i="9"/>
  <c r="AT225" i="9"/>
  <c r="AF225" i="9"/>
  <c r="R225" i="9"/>
  <c r="H225" i="9"/>
  <c r="G225" i="9"/>
  <c r="F225" i="9"/>
  <c r="E225" i="9"/>
  <c r="D225" i="9"/>
  <c r="C225" i="9"/>
  <c r="B225" i="9"/>
  <c r="A225" i="9"/>
  <c r="H224" i="9"/>
  <c r="G224" i="9"/>
  <c r="F224" i="9"/>
  <c r="E224" i="9"/>
  <c r="D224" i="9"/>
  <c r="C224" i="9"/>
  <c r="B224" i="9"/>
  <c r="A224" i="9"/>
  <c r="H223" i="9"/>
  <c r="G223" i="9"/>
  <c r="F223" i="9"/>
  <c r="E223" i="9"/>
  <c r="D223" i="9"/>
  <c r="C223" i="9"/>
  <c r="B223" i="9"/>
  <c r="A223" i="9"/>
  <c r="H222" i="9"/>
  <c r="G222" i="9"/>
  <c r="F222" i="9"/>
  <c r="E222" i="9"/>
  <c r="D222" i="9"/>
  <c r="C222" i="9"/>
  <c r="B222" i="9"/>
  <c r="A222" i="9"/>
  <c r="H221" i="9"/>
  <c r="G221" i="9"/>
  <c r="F221" i="9"/>
  <c r="E221" i="9"/>
  <c r="D221" i="9"/>
  <c r="C221" i="9"/>
  <c r="B221" i="9"/>
  <c r="A221" i="9"/>
  <c r="AT220" i="9"/>
  <c r="AF220" i="9"/>
  <c r="R220" i="9"/>
  <c r="H220" i="9"/>
  <c r="G220" i="9"/>
  <c r="F220" i="9"/>
  <c r="E220" i="9"/>
  <c r="D220" i="9"/>
  <c r="C220" i="9"/>
  <c r="B220" i="9"/>
  <c r="A220" i="9"/>
  <c r="H219" i="9"/>
  <c r="G219" i="9"/>
  <c r="F219" i="9"/>
  <c r="E219" i="9"/>
  <c r="D219" i="9"/>
  <c r="C219" i="9"/>
  <c r="B219" i="9"/>
  <c r="A219" i="9"/>
  <c r="H218" i="9"/>
  <c r="G218" i="9"/>
  <c r="F218" i="9"/>
  <c r="E218" i="9"/>
  <c r="D218" i="9"/>
  <c r="C218" i="9"/>
  <c r="B218" i="9"/>
  <c r="A218" i="9"/>
  <c r="H217" i="9"/>
  <c r="G217" i="9"/>
  <c r="F217" i="9"/>
  <c r="E217" i="9"/>
  <c r="D217" i="9"/>
  <c r="C217" i="9"/>
  <c r="B217" i="9"/>
  <c r="A217" i="9"/>
  <c r="H216" i="9"/>
  <c r="G216" i="9"/>
  <c r="F216" i="9"/>
  <c r="E216" i="9"/>
  <c r="D216" i="9"/>
  <c r="C216" i="9"/>
  <c r="B216" i="9"/>
  <c r="A216" i="9"/>
  <c r="AT215" i="9"/>
  <c r="AF215" i="9"/>
  <c r="R215" i="9"/>
  <c r="H215" i="9"/>
  <c r="G215" i="9"/>
  <c r="F215" i="9"/>
  <c r="E215" i="9"/>
  <c r="D215" i="9"/>
  <c r="C215" i="9"/>
  <c r="B215" i="9"/>
  <c r="A215" i="9"/>
  <c r="H214" i="9"/>
  <c r="G214" i="9"/>
  <c r="F214" i="9"/>
  <c r="E214" i="9"/>
  <c r="D214" i="9"/>
  <c r="C214" i="9"/>
  <c r="B214" i="9"/>
  <c r="A214" i="9"/>
  <c r="H213" i="9"/>
  <c r="G213" i="9"/>
  <c r="F213" i="9"/>
  <c r="E213" i="9"/>
  <c r="D213" i="9"/>
  <c r="C213" i="9"/>
  <c r="B213" i="9"/>
  <c r="A213" i="9"/>
  <c r="H212" i="9"/>
  <c r="G212" i="9"/>
  <c r="F212" i="9"/>
  <c r="E212" i="9"/>
  <c r="D212" i="9"/>
  <c r="C212" i="9"/>
  <c r="B212" i="9"/>
  <c r="A212" i="9"/>
  <c r="H211" i="9"/>
  <c r="G211" i="9"/>
  <c r="F211" i="9"/>
  <c r="E211" i="9"/>
  <c r="D211" i="9"/>
  <c r="C211" i="9"/>
  <c r="B211" i="9"/>
  <c r="A211" i="9"/>
  <c r="AT210" i="9"/>
  <c r="AF210" i="9"/>
  <c r="R210" i="9"/>
  <c r="H210" i="9"/>
  <c r="G210" i="9"/>
  <c r="F210" i="9"/>
  <c r="E210" i="9"/>
  <c r="D210" i="9"/>
  <c r="C210" i="9"/>
  <c r="B210" i="9"/>
  <c r="A210" i="9"/>
  <c r="H209" i="9"/>
  <c r="G209" i="9"/>
  <c r="F209" i="9"/>
  <c r="E209" i="9"/>
  <c r="D209" i="9"/>
  <c r="C209" i="9"/>
  <c r="B209" i="9"/>
  <c r="A209" i="9"/>
  <c r="H208" i="9"/>
  <c r="G208" i="9"/>
  <c r="F208" i="9"/>
  <c r="E208" i="9"/>
  <c r="D208" i="9"/>
  <c r="C208" i="9"/>
  <c r="B208" i="9"/>
  <c r="A208" i="9"/>
  <c r="H207" i="9"/>
  <c r="G207" i="9"/>
  <c r="F207" i="9"/>
  <c r="E207" i="9"/>
  <c r="D207" i="9"/>
  <c r="C207" i="9"/>
  <c r="B207" i="9"/>
  <c r="A207" i="9"/>
  <c r="H206" i="9"/>
  <c r="G206" i="9"/>
  <c r="F206" i="9"/>
  <c r="E206" i="9"/>
  <c r="D206" i="9"/>
  <c r="C206" i="9"/>
  <c r="B206" i="9"/>
  <c r="A206" i="9"/>
  <c r="AT205" i="9"/>
  <c r="AF205" i="9"/>
  <c r="R205" i="9"/>
  <c r="H205" i="9"/>
  <c r="G205" i="9"/>
  <c r="F205" i="9"/>
  <c r="E205" i="9"/>
  <c r="D205" i="9"/>
  <c r="C205" i="9"/>
  <c r="B205" i="9"/>
  <c r="A205" i="9"/>
  <c r="H204" i="9"/>
  <c r="G204" i="9"/>
  <c r="F204" i="9"/>
  <c r="E204" i="9"/>
  <c r="D204" i="9"/>
  <c r="C204" i="9"/>
  <c r="B204" i="9"/>
  <c r="A204" i="9"/>
  <c r="H203" i="9"/>
  <c r="G203" i="9"/>
  <c r="F203" i="9"/>
  <c r="E203" i="9"/>
  <c r="D203" i="9"/>
  <c r="C203" i="9"/>
  <c r="B203" i="9"/>
  <c r="A203" i="9"/>
  <c r="H202" i="9"/>
  <c r="G202" i="9"/>
  <c r="F202" i="9"/>
  <c r="E202" i="9"/>
  <c r="D202" i="9"/>
  <c r="C202" i="9"/>
  <c r="B202" i="9"/>
  <c r="A202" i="9"/>
  <c r="H201" i="9"/>
  <c r="G201" i="9"/>
  <c r="F201" i="9"/>
  <c r="E201" i="9"/>
  <c r="D201" i="9"/>
  <c r="C201" i="9"/>
  <c r="B201" i="9"/>
  <c r="A201" i="9"/>
  <c r="AT200" i="9"/>
  <c r="AF200" i="9"/>
  <c r="R200" i="9"/>
  <c r="H200" i="9"/>
  <c r="G200" i="9"/>
  <c r="F200" i="9"/>
  <c r="E200" i="9"/>
  <c r="D200" i="9"/>
  <c r="C200" i="9"/>
  <c r="B200" i="9"/>
  <c r="A200" i="9"/>
  <c r="H199" i="9"/>
  <c r="G199" i="9"/>
  <c r="F199" i="9"/>
  <c r="E199" i="9"/>
  <c r="D199" i="9"/>
  <c r="C199" i="9"/>
  <c r="B199" i="9"/>
  <c r="A199" i="9"/>
  <c r="H198" i="9"/>
  <c r="G198" i="9"/>
  <c r="F198" i="9"/>
  <c r="E198" i="9"/>
  <c r="D198" i="9"/>
  <c r="C198" i="9"/>
  <c r="B198" i="9"/>
  <c r="A198" i="9"/>
  <c r="H197" i="9"/>
  <c r="G197" i="9"/>
  <c r="F197" i="9"/>
  <c r="E197" i="9"/>
  <c r="D197" i="9"/>
  <c r="C197" i="9"/>
  <c r="B197" i="9"/>
  <c r="A197" i="9"/>
  <c r="H196" i="9"/>
  <c r="G196" i="9"/>
  <c r="F196" i="9"/>
  <c r="E196" i="9"/>
  <c r="D196" i="9"/>
  <c r="C196" i="9"/>
  <c r="B196" i="9"/>
  <c r="A196" i="9"/>
  <c r="AT195" i="9"/>
  <c r="AF195" i="9"/>
  <c r="R195" i="9"/>
  <c r="H195" i="9"/>
  <c r="G195" i="9"/>
  <c r="F195" i="9"/>
  <c r="E195" i="9"/>
  <c r="D195" i="9"/>
  <c r="C195" i="9"/>
  <c r="B195" i="9"/>
  <c r="A195" i="9"/>
  <c r="H194" i="9"/>
  <c r="G194" i="9"/>
  <c r="F194" i="9"/>
  <c r="E194" i="9"/>
  <c r="D194" i="9"/>
  <c r="C194" i="9"/>
  <c r="B194" i="9"/>
  <c r="A194" i="9"/>
  <c r="H193" i="9"/>
  <c r="G193" i="9"/>
  <c r="F193" i="9"/>
  <c r="E193" i="9"/>
  <c r="D193" i="9"/>
  <c r="C193" i="9"/>
  <c r="B193" i="9"/>
  <c r="A193" i="9"/>
  <c r="H192" i="9"/>
  <c r="G192" i="9"/>
  <c r="F192" i="9"/>
  <c r="E192" i="9"/>
  <c r="D192" i="9"/>
  <c r="C192" i="9"/>
  <c r="B192" i="9"/>
  <c r="A192" i="9"/>
  <c r="H191" i="9"/>
  <c r="G191" i="9"/>
  <c r="F191" i="9"/>
  <c r="E191" i="9"/>
  <c r="D191" i="9"/>
  <c r="C191" i="9"/>
  <c r="B191" i="9"/>
  <c r="A191" i="9"/>
  <c r="AT190" i="9"/>
  <c r="AF190" i="9"/>
  <c r="R190" i="9"/>
  <c r="H190" i="9"/>
  <c r="G190" i="9"/>
  <c r="F190" i="9"/>
  <c r="E190" i="9"/>
  <c r="D190" i="9"/>
  <c r="C190" i="9"/>
  <c r="B190" i="9"/>
  <c r="A190" i="9"/>
  <c r="H189" i="9"/>
  <c r="G189" i="9"/>
  <c r="F189" i="9"/>
  <c r="E189" i="9"/>
  <c r="D189" i="9"/>
  <c r="C189" i="9"/>
  <c r="B189" i="9"/>
  <c r="A189" i="9"/>
  <c r="H188" i="9"/>
  <c r="G188" i="9"/>
  <c r="F188" i="9"/>
  <c r="E188" i="9"/>
  <c r="D188" i="9"/>
  <c r="C188" i="9"/>
  <c r="B188" i="9"/>
  <c r="A188" i="9"/>
  <c r="H187" i="9"/>
  <c r="G187" i="9"/>
  <c r="F187" i="9"/>
  <c r="E187" i="9"/>
  <c r="D187" i="9"/>
  <c r="C187" i="9"/>
  <c r="B187" i="9"/>
  <c r="A187" i="9"/>
  <c r="H186" i="9"/>
  <c r="G186" i="9"/>
  <c r="F186" i="9"/>
  <c r="E186" i="9"/>
  <c r="D186" i="9"/>
  <c r="C186" i="9"/>
  <c r="B186" i="9"/>
  <c r="A186" i="9"/>
  <c r="AT185" i="9"/>
  <c r="AF185" i="9"/>
  <c r="R185" i="9"/>
  <c r="H185" i="9"/>
  <c r="G185" i="9"/>
  <c r="F185" i="9"/>
  <c r="E185" i="9"/>
  <c r="D185" i="9"/>
  <c r="C185" i="9"/>
  <c r="B185" i="9"/>
  <c r="A185" i="9"/>
  <c r="H184" i="9"/>
  <c r="G184" i="9"/>
  <c r="F184" i="9"/>
  <c r="E184" i="9"/>
  <c r="D184" i="9"/>
  <c r="C184" i="9"/>
  <c r="B184" i="9"/>
  <c r="A184" i="9"/>
  <c r="H183" i="9"/>
  <c r="G183" i="9"/>
  <c r="F183" i="9"/>
  <c r="E183" i="9"/>
  <c r="D183" i="9"/>
  <c r="C183" i="9"/>
  <c r="B183" i="9"/>
  <c r="A183" i="9"/>
  <c r="H182" i="9"/>
  <c r="G182" i="9"/>
  <c r="F182" i="9"/>
  <c r="E182" i="9"/>
  <c r="D182" i="9"/>
  <c r="C182" i="9"/>
  <c r="B182" i="9"/>
  <c r="A182" i="9"/>
  <c r="H181" i="9"/>
  <c r="G181" i="9"/>
  <c r="F181" i="9"/>
  <c r="E181" i="9"/>
  <c r="D181" i="9"/>
  <c r="C181" i="9"/>
  <c r="B181" i="9"/>
  <c r="A181" i="9"/>
  <c r="AT180" i="9"/>
  <c r="AF180" i="9"/>
  <c r="R180" i="9"/>
  <c r="H180" i="9"/>
  <c r="G180" i="9"/>
  <c r="F180" i="9"/>
  <c r="E180" i="9"/>
  <c r="D180" i="9"/>
  <c r="C180" i="9"/>
  <c r="B180" i="9"/>
  <c r="A180" i="9"/>
  <c r="H179" i="9"/>
  <c r="G179" i="9"/>
  <c r="F179" i="9"/>
  <c r="E179" i="9"/>
  <c r="D179" i="9"/>
  <c r="C179" i="9"/>
  <c r="B179" i="9"/>
  <c r="A179" i="9"/>
  <c r="H178" i="9"/>
  <c r="G178" i="9"/>
  <c r="F178" i="9"/>
  <c r="E178" i="9"/>
  <c r="D178" i="9"/>
  <c r="C178" i="9"/>
  <c r="B178" i="9"/>
  <c r="A178" i="9"/>
  <c r="H177" i="9"/>
  <c r="G177" i="9"/>
  <c r="F177" i="9"/>
  <c r="E177" i="9"/>
  <c r="D177" i="9"/>
  <c r="C177" i="9"/>
  <c r="B177" i="9"/>
  <c r="A177" i="9"/>
  <c r="H176" i="9"/>
  <c r="G176" i="9"/>
  <c r="F176" i="9"/>
  <c r="E176" i="9"/>
  <c r="D176" i="9"/>
  <c r="C176" i="9"/>
  <c r="B176" i="9"/>
  <c r="A176" i="9"/>
  <c r="AT175" i="9"/>
  <c r="AF175" i="9"/>
  <c r="R175" i="9"/>
  <c r="H175" i="9"/>
  <c r="G175" i="9"/>
  <c r="F175" i="9"/>
  <c r="E175" i="9"/>
  <c r="D175" i="9"/>
  <c r="C175" i="9"/>
  <c r="B175" i="9"/>
  <c r="A175" i="9"/>
  <c r="H174" i="9"/>
  <c r="G174" i="9"/>
  <c r="F174" i="9"/>
  <c r="E174" i="9"/>
  <c r="D174" i="9"/>
  <c r="C174" i="9"/>
  <c r="B174" i="9"/>
  <c r="A174" i="9"/>
  <c r="H173" i="9"/>
  <c r="G173" i="9"/>
  <c r="F173" i="9"/>
  <c r="E173" i="9"/>
  <c r="D173" i="9"/>
  <c r="C173" i="9"/>
  <c r="B173" i="9"/>
  <c r="A173" i="9"/>
  <c r="H172" i="9"/>
  <c r="G172" i="9"/>
  <c r="F172" i="9"/>
  <c r="E172" i="9"/>
  <c r="D172" i="9"/>
  <c r="C172" i="9"/>
  <c r="B172" i="9"/>
  <c r="A172" i="9"/>
  <c r="H171" i="9"/>
  <c r="G171" i="9"/>
  <c r="F171" i="9"/>
  <c r="E171" i="9"/>
  <c r="D171" i="9"/>
  <c r="C171" i="9"/>
  <c r="B171" i="9"/>
  <c r="A171" i="9"/>
  <c r="AT170" i="9"/>
  <c r="AF170" i="9"/>
  <c r="R170" i="9"/>
  <c r="H170" i="9"/>
  <c r="G170" i="9"/>
  <c r="F170" i="9"/>
  <c r="E170" i="9"/>
  <c r="D170" i="9"/>
  <c r="C170" i="9"/>
  <c r="B170" i="9"/>
  <c r="A170" i="9"/>
  <c r="H169" i="9"/>
  <c r="G169" i="9"/>
  <c r="F169" i="9"/>
  <c r="E169" i="9"/>
  <c r="D169" i="9"/>
  <c r="C169" i="9"/>
  <c r="B169" i="9"/>
  <c r="A169" i="9"/>
  <c r="H168" i="9"/>
  <c r="G168" i="9"/>
  <c r="F168" i="9"/>
  <c r="E168" i="9"/>
  <c r="D168" i="9"/>
  <c r="C168" i="9"/>
  <c r="B168" i="9"/>
  <c r="A168" i="9"/>
  <c r="H167" i="9"/>
  <c r="G167" i="9"/>
  <c r="F167" i="9"/>
  <c r="E167" i="9"/>
  <c r="D167" i="9"/>
  <c r="C167" i="9"/>
  <c r="B167" i="9"/>
  <c r="A167" i="9"/>
  <c r="H166" i="9"/>
  <c r="G166" i="9"/>
  <c r="F166" i="9"/>
  <c r="E166" i="9"/>
  <c r="D166" i="9"/>
  <c r="C166" i="9"/>
  <c r="B166" i="9"/>
  <c r="A166" i="9"/>
  <c r="AT165" i="9"/>
  <c r="AF165" i="9"/>
  <c r="R165" i="9"/>
  <c r="H165" i="9"/>
  <c r="G165" i="9"/>
  <c r="F165" i="9"/>
  <c r="E165" i="9"/>
  <c r="D165" i="9"/>
  <c r="C165" i="9"/>
  <c r="B165" i="9"/>
  <c r="A165" i="9"/>
  <c r="H164" i="9"/>
  <c r="G164" i="9"/>
  <c r="F164" i="9"/>
  <c r="E164" i="9"/>
  <c r="D164" i="9"/>
  <c r="C164" i="9"/>
  <c r="B164" i="9"/>
  <c r="A164" i="9"/>
  <c r="H163" i="9"/>
  <c r="G163" i="9"/>
  <c r="F163" i="9"/>
  <c r="E163" i="9"/>
  <c r="D163" i="9"/>
  <c r="C163" i="9"/>
  <c r="B163" i="9"/>
  <c r="A163" i="9"/>
  <c r="H162" i="9"/>
  <c r="G162" i="9"/>
  <c r="F162" i="9"/>
  <c r="E162" i="9"/>
  <c r="D162" i="9"/>
  <c r="C162" i="9"/>
  <c r="B162" i="9"/>
  <c r="A162" i="9"/>
  <c r="H161" i="9"/>
  <c r="G161" i="9"/>
  <c r="F161" i="9"/>
  <c r="E161" i="9"/>
  <c r="D161" i="9"/>
  <c r="C161" i="9"/>
  <c r="B161" i="9"/>
  <c r="A161" i="9"/>
  <c r="AT160" i="9"/>
  <c r="AF160" i="9"/>
  <c r="R160" i="9"/>
  <c r="H160" i="9"/>
  <c r="G160" i="9"/>
  <c r="F160" i="9"/>
  <c r="E160" i="9"/>
  <c r="D160" i="9"/>
  <c r="C160" i="9"/>
  <c r="B160" i="9"/>
  <c r="A160" i="9"/>
  <c r="H159" i="9"/>
  <c r="G159" i="9"/>
  <c r="F159" i="9"/>
  <c r="E159" i="9"/>
  <c r="D159" i="9"/>
  <c r="C159" i="9"/>
  <c r="B159" i="9"/>
  <c r="A159" i="9"/>
  <c r="H158" i="9"/>
  <c r="G158" i="9"/>
  <c r="F158" i="9"/>
  <c r="E158" i="9"/>
  <c r="D158" i="9"/>
  <c r="C158" i="9"/>
  <c r="B158" i="9"/>
  <c r="A158" i="9"/>
  <c r="H157" i="9"/>
  <c r="G157" i="9"/>
  <c r="F157" i="9"/>
  <c r="E157" i="9"/>
  <c r="D157" i="9"/>
  <c r="C157" i="9"/>
  <c r="B157" i="9"/>
  <c r="A157" i="9"/>
  <c r="H156" i="9"/>
  <c r="G156" i="9"/>
  <c r="F156" i="9"/>
  <c r="E156" i="9"/>
  <c r="D156" i="9"/>
  <c r="C156" i="9"/>
  <c r="B156" i="9"/>
  <c r="A156" i="9"/>
  <c r="AT155" i="9"/>
  <c r="AF155" i="9"/>
  <c r="R155" i="9"/>
  <c r="H155" i="9"/>
  <c r="G155" i="9"/>
  <c r="F155" i="9"/>
  <c r="E155" i="9"/>
  <c r="D155" i="9"/>
  <c r="C155" i="9"/>
  <c r="B155" i="9"/>
  <c r="A155" i="9"/>
  <c r="H154" i="9"/>
  <c r="G154" i="9"/>
  <c r="F154" i="9"/>
  <c r="E154" i="9"/>
  <c r="D154" i="9"/>
  <c r="C154" i="9"/>
  <c r="B154" i="9"/>
  <c r="A154" i="9"/>
  <c r="H153" i="9"/>
  <c r="G153" i="9"/>
  <c r="F153" i="9"/>
  <c r="E153" i="9"/>
  <c r="D153" i="9"/>
  <c r="C153" i="9"/>
  <c r="B153" i="9"/>
  <c r="A153" i="9"/>
  <c r="H152" i="9"/>
  <c r="G152" i="9"/>
  <c r="F152" i="9"/>
  <c r="E152" i="9"/>
  <c r="D152" i="9"/>
  <c r="C152" i="9"/>
  <c r="B152" i="9"/>
  <c r="A152" i="9"/>
  <c r="H151" i="9"/>
  <c r="G151" i="9"/>
  <c r="F151" i="9"/>
  <c r="E151" i="9"/>
  <c r="D151" i="9"/>
  <c r="C151" i="9"/>
  <c r="B151" i="9"/>
  <c r="A151" i="9"/>
  <c r="AT150" i="9"/>
  <c r="AF150" i="9"/>
  <c r="R150" i="9"/>
  <c r="H150" i="9"/>
  <c r="G150" i="9"/>
  <c r="F150" i="9"/>
  <c r="E150" i="9"/>
  <c r="D150" i="9"/>
  <c r="C150" i="9"/>
  <c r="B150" i="9"/>
  <c r="A150" i="9"/>
  <c r="H149" i="9"/>
  <c r="G149" i="9"/>
  <c r="F149" i="9"/>
  <c r="E149" i="9"/>
  <c r="D149" i="9"/>
  <c r="C149" i="9"/>
  <c r="B149" i="9"/>
  <c r="A149" i="9"/>
  <c r="H148" i="9"/>
  <c r="G148" i="9"/>
  <c r="F148" i="9"/>
  <c r="E148" i="9"/>
  <c r="D148" i="9"/>
  <c r="C148" i="9"/>
  <c r="B148" i="9"/>
  <c r="A148" i="9"/>
  <c r="H147" i="9"/>
  <c r="G147" i="9"/>
  <c r="F147" i="9"/>
  <c r="E147" i="9"/>
  <c r="D147" i="9"/>
  <c r="C147" i="9"/>
  <c r="B147" i="9"/>
  <c r="A147" i="9"/>
  <c r="H146" i="9"/>
  <c r="G146" i="9"/>
  <c r="F146" i="9"/>
  <c r="E146" i="9"/>
  <c r="D146" i="9"/>
  <c r="C146" i="9"/>
  <c r="B146" i="9"/>
  <c r="A146" i="9"/>
  <c r="AT145" i="9"/>
  <c r="AF145" i="9"/>
  <c r="R145" i="9"/>
  <c r="H145" i="9"/>
  <c r="G145" i="9"/>
  <c r="F145" i="9"/>
  <c r="E145" i="9"/>
  <c r="D145" i="9"/>
  <c r="C145" i="9"/>
  <c r="B145" i="9"/>
  <c r="A145" i="9"/>
  <c r="H144" i="9"/>
  <c r="G144" i="9"/>
  <c r="F144" i="9"/>
  <c r="E144" i="9"/>
  <c r="D144" i="9"/>
  <c r="C144" i="9"/>
  <c r="B144" i="9"/>
  <c r="A144" i="9"/>
  <c r="H143" i="9"/>
  <c r="G143" i="9"/>
  <c r="F143" i="9"/>
  <c r="E143" i="9"/>
  <c r="D143" i="9"/>
  <c r="C143" i="9"/>
  <c r="B143" i="9"/>
  <c r="A143" i="9"/>
  <c r="H142" i="9"/>
  <c r="G142" i="9"/>
  <c r="F142" i="9"/>
  <c r="E142" i="9"/>
  <c r="D142" i="9"/>
  <c r="C142" i="9"/>
  <c r="B142" i="9"/>
  <c r="A142" i="9"/>
  <c r="H141" i="9"/>
  <c r="G141" i="9"/>
  <c r="F141" i="9"/>
  <c r="E141" i="9"/>
  <c r="D141" i="9"/>
  <c r="C141" i="9"/>
  <c r="B141" i="9"/>
  <c r="A141" i="9"/>
  <c r="AT140" i="9"/>
  <c r="AF140" i="9"/>
  <c r="R140" i="9"/>
  <c r="H140" i="9"/>
  <c r="G140" i="9"/>
  <c r="F140" i="9"/>
  <c r="E140" i="9"/>
  <c r="D140" i="9"/>
  <c r="C140" i="9"/>
  <c r="B140" i="9"/>
  <c r="A140" i="9"/>
  <c r="H139" i="9"/>
  <c r="G139" i="9"/>
  <c r="F139" i="9"/>
  <c r="E139" i="9"/>
  <c r="D139" i="9"/>
  <c r="C139" i="9"/>
  <c r="B139" i="9"/>
  <c r="A139" i="9"/>
  <c r="H138" i="9"/>
  <c r="G138" i="9"/>
  <c r="F138" i="9"/>
  <c r="E138" i="9"/>
  <c r="D138" i="9"/>
  <c r="C138" i="9"/>
  <c r="B138" i="9"/>
  <c r="A138" i="9"/>
  <c r="H137" i="9"/>
  <c r="G137" i="9"/>
  <c r="F137" i="9"/>
  <c r="E137" i="9"/>
  <c r="D137" i="9"/>
  <c r="C137" i="9"/>
  <c r="B137" i="9"/>
  <c r="A137" i="9"/>
  <c r="H136" i="9"/>
  <c r="G136" i="9"/>
  <c r="F136" i="9"/>
  <c r="E136" i="9"/>
  <c r="D136" i="9"/>
  <c r="C136" i="9"/>
  <c r="B136" i="9"/>
  <c r="A136" i="9"/>
  <c r="AT135" i="9"/>
  <c r="AF135" i="9"/>
  <c r="R135" i="9"/>
  <c r="H135" i="9"/>
  <c r="G135" i="9"/>
  <c r="F135" i="9"/>
  <c r="E135" i="9"/>
  <c r="D135" i="9"/>
  <c r="C135" i="9"/>
  <c r="B135" i="9"/>
  <c r="A135" i="9"/>
  <c r="H134" i="9"/>
  <c r="G134" i="9"/>
  <c r="F134" i="9"/>
  <c r="E134" i="9"/>
  <c r="D134" i="9"/>
  <c r="C134" i="9"/>
  <c r="B134" i="9"/>
  <c r="A134" i="9"/>
  <c r="H133" i="9"/>
  <c r="G133" i="9"/>
  <c r="F133" i="9"/>
  <c r="E133" i="9"/>
  <c r="D133" i="9"/>
  <c r="C133" i="9"/>
  <c r="B133" i="9"/>
  <c r="A133" i="9"/>
  <c r="H132" i="9"/>
  <c r="G132" i="9"/>
  <c r="F132" i="9"/>
  <c r="E132" i="9"/>
  <c r="D132" i="9"/>
  <c r="C132" i="9"/>
  <c r="B132" i="9"/>
  <c r="A132" i="9"/>
  <c r="H131" i="9"/>
  <c r="G131" i="9"/>
  <c r="F131" i="9"/>
  <c r="E131" i="9"/>
  <c r="D131" i="9"/>
  <c r="C131" i="9"/>
  <c r="B131" i="9"/>
  <c r="A131" i="9"/>
  <c r="AT130" i="9"/>
  <c r="AF130" i="9"/>
  <c r="R130" i="9"/>
  <c r="H130" i="9"/>
  <c r="G130" i="9"/>
  <c r="F130" i="9"/>
  <c r="E130" i="9"/>
  <c r="D130" i="9"/>
  <c r="C130" i="9"/>
  <c r="B130" i="9"/>
  <c r="A130" i="9"/>
  <c r="H129" i="9"/>
  <c r="G129" i="9"/>
  <c r="F129" i="9"/>
  <c r="E129" i="9"/>
  <c r="D129" i="9"/>
  <c r="C129" i="9"/>
  <c r="B129" i="9"/>
  <c r="A129" i="9"/>
  <c r="H128" i="9"/>
  <c r="G128" i="9"/>
  <c r="F128" i="9"/>
  <c r="E128" i="9"/>
  <c r="D128" i="9"/>
  <c r="C128" i="9"/>
  <c r="B128" i="9"/>
  <c r="A128" i="9"/>
  <c r="H127" i="9"/>
  <c r="G127" i="9"/>
  <c r="F127" i="9"/>
  <c r="E127" i="9"/>
  <c r="D127" i="9"/>
  <c r="C127" i="9"/>
  <c r="B127" i="9"/>
  <c r="A127" i="9"/>
  <c r="H126" i="9"/>
  <c r="G126" i="9"/>
  <c r="F126" i="9"/>
  <c r="E126" i="9"/>
  <c r="D126" i="9"/>
  <c r="C126" i="9"/>
  <c r="B126" i="9"/>
  <c r="A126" i="9"/>
  <c r="AT125" i="9"/>
  <c r="AF125" i="9"/>
  <c r="R125" i="9"/>
  <c r="H125" i="9"/>
  <c r="G125" i="9"/>
  <c r="F125" i="9"/>
  <c r="E125" i="9"/>
  <c r="D125" i="9"/>
  <c r="C125" i="9"/>
  <c r="B125" i="9"/>
  <c r="A125" i="9"/>
  <c r="H124" i="9"/>
  <c r="G124" i="9"/>
  <c r="F124" i="9"/>
  <c r="E124" i="9"/>
  <c r="D124" i="9"/>
  <c r="C124" i="9"/>
  <c r="B124" i="9"/>
  <c r="A124" i="9"/>
  <c r="H123" i="9"/>
  <c r="G123" i="9"/>
  <c r="F123" i="9"/>
  <c r="E123" i="9"/>
  <c r="D123" i="9"/>
  <c r="C123" i="9"/>
  <c r="B123" i="9"/>
  <c r="A123" i="9"/>
  <c r="H122" i="9"/>
  <c r="G122" i="9"/>
  <c r="F122" i="9"/>
  <c r="E122" i="9"/>
  <c r="D122" i="9"/>
  <c r="C122" i="9"/>
  <c r="B122" i="9"/>
  <c r="A122" i="9"/>
  <c r="H121" i="9"/>
  <c r="G121" i="9"/>
  <c r="F121" i="9"/>
  <c r="E121" i="9"/>
  <c r="D121" i="9"/>
  <c r="C121" i="9"/>
  <c r="B121" i="9"/>
  <c r="A121" i="9"/>
  <c r="AT120" i="9"/>
  <c r="AF120" i="9"/>
  <c r="R120" i="9"/>
  <c r="H120" i="9"/>
  <c r="G120" i="9"/>
  <c r="F120" i="9"/>
  <c r="E120" i="9"/>
  <c r="D120" i="9"/>
  <c r="C120" i="9"/>
  <c r="B120" i="9"/>
  <c r="A120" i="9"/>
  <c r="H119" i="9"/>
  <c r="G119" i="9"/>
  <c r="F119" i="9"/>
  <c r="E119" i="9"/>
  <c r="D119" i="9"/>
  <c r="C119" i="9"/>
  <c r="B119" i="9"/>
  <c r="A119" i="9"/>
  <c r="H118" i="9"/>
  <c r="G118" i="9"/>
  <c r="F118" i="9"/>
  <c r="E118" i="9"/>
  <c r="D118" i="9"/>
  <c r="C118" i="9"/>
  <c r="B118" i="9"/>
  <c r="A118" i="9"/>
  <c r="H117" i="9"/>
  <c r="G117" i="9"/>
  <c r="F117" i="9"/>
  <c r="E117" i="9"/>
  <c r="D117" i="9"/>
  <c r="C117" i="9"/>
  <c r="B117" i="9"/>
  <c r="A117" i="9"/>
  <c r="H116" i="9"/>
  <c r="G116" i="9"/>
  <c r="F116" i="9"/>
  <c r="E116" i="9"/>
  <c r="D116" i="9"/>
  <c r="C116" i="9"/>
  <c r="B116" i="9"/>
  <c r="A116" i="9"/>
  <c r="AT115" i="9"/>
  <c r="AF115" i="9"/>
  <c r="R115" i="9"/>
  <c r="H115" i="9"/>
  <c r="G115" i="9"/>
  <c r="F115" i="9"/>
  <c r="E115" i="9"/>
  <c r="D115" i="9"/>
  <c r="C115" i="9"/>
  <c r="B115" i="9"/>
  <c r="A115" i="9"/>
  <c r="H114" i="9"/>
  <c r="G114" i="9"/>
  <c r="F114" i="9"/>
  <c r="E114" i="9"/>
  <c r="D114" i="9"/>
  <c r="C114" i="9"/>
  <c r="B114" i="9"/>
  <c r="A114" i="9"/>
  <c r="H113" i="9"/>
  <c r="G113" i="9"/>
  <c r="F113" i="9"/>
  <c r="E113" i="9"/>
  <c r="D113" i="9"/>
  <c r="C113" i="9"/>
  <c r="B113" i="9"/>
  <c r="A113" i="9"/>
  <c r="H112" i="9"/>
  <c r="G112" i="9"/>
  <c r="F112" i="9"/>
  <c r="E112" i="9"/>
  <c r="D112" i="9"/>
  <c r="C112" i="9"/>
  <c r="B112" i="9"/>
  <c r="A112" i="9"/>
  <c r="H111" i="9"/>
  <c r="G111" i="9"/>
  <c r="F111" i="9"/>
  <c r="E111" i="9"/>
  <c r="D111" i="9"/>
  <c r="C111" i="9"/>
  <c r="B111" i="9"/>
  <c r="A111" i="9"/>
  <c r="AT110" i="9"/>
  <c r="AF110" i="9"/>
  <c r="R110" i="9"/>
  <c r="H110" i="9"/>
  <c r="G110" i="9"/>
  <c r="F110" i="9"/>
  <c r="E110" i="9"/>
  <c r="D110" i="9"/>
  <c r="C110" i="9"/>
  <c r="B110" i="9"/>
  <c r="A110" i="9"/>
  <c r="H109" i="9"/>
  <c r="G109" i="9"/>
  <c r="F109" i="9"/>
  <c r="E109" i="9"/>
  <c r="D109" i="9"/>
  <c r="C109" i="9"/>
  <c r="B109" i="9"/>
  <c r="A109" i="9"/>
  <c r="H108" i="9"/>
  <c r="G108" i="9"/>
  <c r="F108" i="9"/>
  <c r="E108" i="9"/>
  <c r="D108" i="9"/>
  <c r="C108" i="9"/>
  <c r="B108" i="9"/>
  <c r="A108" i="9"/>
  <c r="H107" i="9"/>
  <c r="G107" i="9"/>
  <c r="F107" i="9"/>
  <c r="E107" i="9"/>
  <c r="D107" i="9"/>
  <c r="C107" i="9"/>
  <c r="B107" i="9"/>
  <c r="A107" i="9"/>
  <c r="H106" i="9"/>
  <c r="G106" i="9"/>
  <c r="F106" i="9"/>
  <c r="E106" i="9"/>
  <c r="D106" i="9"/>
  <c r="C106" i="9"/>
  <c r="B106" i="9"/>
  <c r="A106" i="9"/>
  <c r="AT105" i="9"/>
  <c r="AF105" i="9"/>
  <c r="R105" i="9"/>
  <c r="H105" i="9"/>
  <c r="G105" i="9"/>
  <c r="F105" i="9"/>
  <c r="E105" i="9"/>
  <c r="D105" i="9"/>
  <c r="C105" i="9"/>
  <c r="B105" i="9"/>
  <c r="A105" i="9"/>
  <c r="H104" i="9"/>
  <c r="G104" i="9"/>
  <c r="F104" i="9"/>
  <c r="E104" i="9"/>
  <c r="D104" i="9"/>
  <c r="C104" i="9"/>
  <c r="B104" i="9"/>
  <c r="A104" i="9"/>
  <c r="H103" i="9"/>
  <c r="G103" i="9"/>
  <c r="F103" i="9"/>
  <c r="E103" i="9"/>
  <c r="D103" i="9"/>
  <c r="C103" i="9"/>
  <c r="B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AT100" i="9"/>
  <c r="AF100" i="9"/>
  <c r="R100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AT95" i="9"/>
  <c r="AF95" i="9"/>
  <c r="R95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H92" i="9"/>
  <c r="G92" i="9"/>
  <c r="F92" i="9"/>
  <c r="E92" i="9"/>
  <c r="D92" i="9"/>
  <c r="C92" i="9"/>
  <c r="B92" i="9"/>
  <c r="A92" i="9"/>
  <c r="H91" i="9"/>
  <c r="G91" i="9"/>
  <c r="F91" i="9"/>
  <c r="E91" i="9"/>
  <c r="D91" i="9"/>
  <c r="C91" i="9"/>
  <c r="B91" i="9"/>
  <c r="A91" i="9"/>
  <c r="AT90" i="9"/>
  <c r="AF90" i="9"/>
  <c r="R90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H86" i="9"/>
  <c r="G86" i="9"/>
  <c r="F86" i="9"/>
  <c r="E86" i="9"/>
  <c r="D86" i="9"/>
  <c r="C86" i="9"/>
  <c r="B86" i="9"/>
  <c r="A86" i="9"/>
  <c r="AT85" i="9"/>
  <c r="AF85" i="9"/>
  <c r="R85" i="9"/>
  <c r="H85" i="9"/>
  <c r="G85" i="9"/>
  <c r="F85" i="9"/>
  <c r="E85" i="9"/>
  <c r="D85" i="9"/>
  <c r="C85" i="9"/>
  <c r="B85" i="9"/>
  <c r="A85" i="9"/>
  <c r="H84" i="9"/>
  <c r="G84" i="9"/>
  <c r="F84" i="9"/>
  <c r="E84" i="9"/>
  <c r="D84" i="9"/>
  <c r="C84" i="9"/>
  <c r="B84" i="9"/>
  <c r="A84" i="9"/>
  <c r="H83" i="9"/>
  <c r="G83" i="9"/>
  <c r="F83" i="9"/>
  <c r="E83" i="9"/>
  <c r="D83" i="9"/>
  <c r="C83" i="9"/>
  <c r="B83" i="9"/>
  <c r="A83" i="9"/>
  <c r="H82" i="9"/>
  <c r="G82" i="9"/>
  <c r="F82" i="9"/>
  <c r="E82" i="9"/>
  <c r="D82" i="9"/>
  <c r="C82" i="9"/>
  <c r="B82" i="9"/>
  <c r="A82" i="9"/>
  <c r="H81" i="9"/>
  <c r="G81" i="9"/>
  <c r="F81" i="9"/>
  <c r="E81" i="9"/>
  <c r="D81" i="9"/>
  <c r="C81" i="9"/>
  <c r="B81" i="9"/>
  <c r="A81" i="9"/>
  <c r="AT80" i="9"/>
  <c r="AF80" i="9"/>
  <c r="R80" i="9"/>
  <c r="H80" i="9"/>
  <c r="G80" i="9"/>
  <c r="F80" i="9"/>
  <c r="E80" i="9"/>
  <c r="D80" i="9"/>
  <c r="C80" i="9"/>
  <c r="B80" i="9"/>
  <c r="A80" i="9"/>
  <c r="H79" i="9"/>
  <c r="G79" i="9"/>
  <c r="F79" i="9"/>
  <c r="E79" i="9"/>
  <c r="D79" i="9"/>
  <c r="C79" i="9"/>
  <c r="B79" i="9"/>
  <c r="A79" i="9"/>
  <c r="H78" i="9"/>
  <c r="G78" i="9"/>
  <c r="F78" i="9"/>
  <c r="E78" i="9"/>
  <c r="D78" i="9"/>
  <c r="C78" i="9"/>
  <c r="B78" i="9"/>
  <c r="A78" i="9"/>
  <c r="H77" i="9"/>
  <c r="G77" i="9"/>
  <c r="F77" i="9"/>
  <c r="E77" i="9"/>
  <c r="D77" i="9"/>
  <c r="C77" i="9"/>
  <c r="B77" i="9"/>
  <c r="A77" i="9"/>
  <c r="H76" i="9"/>
  <c r="G76" i="9"/>
  <c r="F76" i="9"/>
  <c r="E76" i="9"/>
  <c r="D76" i="9"/>
  <c r="C76" i="9"/>
  <c r="B76" i="9"/>
  <c r="A76" i="9"/>
  <c r="AT75" i="9"/>
  <c r="AF75" i="9"/>
  <c r="R75" i="9"/>
  <c r="H75" i="9"/>
  <c r="G75" i="9"/>
  <c r="F75" i="9"/>
  <c r="E75" i="9"/>
  <c r="D75" i="9"/>
  <c r="C75" i="9"/>
  <c r="B75" i="9"/>
  <c r="A75" i="9"/>
  <c r="H74" i="9"/>
  <c r="G74" i="9"/>
  <c r="F74" i="9"/>
  <c r="E74" i="9"/>
  <c r="D74" i="9"/>
  <c r="C74" i="9"/>
  <c r="B74" i="9"/>
  <c r="A74" i="9"/>
  <c r="H73" i="9"/>
  <c r="G73" i="9"/>
  <c r="F73" i="9"/>
  <c r="E73" i="9"/>
  <c r="D73" i="9"/>
  <c r="C73" i="9"/>
  <c r="B73" i="9"/>
  <c r="A73" i="9"/>
  <c r="H72" i="9"/>
  <c r="G72" i="9"/>
  <c r="F72" i="9"/>
  <c r="E72" i="9"/>
  <c r="D72" i="9"/>
  <c r="C72" i="9"/>
  <c r="B72" i="9"/>
  <c r="A72" i="9"/>
  <c r="H71" i="9"/>
  <c r="G71" i="9"/>
  <c r="F71" i="9"/>
  <c r="E71" i="9"/>
  <c r="D71" i="9"/>
  <c r="C71" i="9"/>
  <c r="B71" i="9"/>
  <c r="A71" i="9"/>
  <c r="AT70" i="9"/>
  <c r="AF70" i="9"/>
  <c r="R70" i="9"/>
  <c r="H70" i="9"/>
  <c r="G70" i="9"/>
  <c r="F70" i="9"/>
  <c r="E70" i="9"/>
  <c r="D70" i="9"/>
  <c r="C70" i="9"/>
  <c r="B70" i="9"/>
  <c r="A70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AT65" i="9"/>
  <c r="AF65" i="9"/>
  <c r="R65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A64" i="9"/>
  <c r="H63" i="9"/>
  <c r="G63" i="9"/>
  <c r="F63" i="9"/>
  <c r="E63" i="9"/>
  <c r="D63" i="9"/>
  <c r="C63" i="9"/>
  <c r="B63" i="9"/>
  <c r="A63" i="9"/>
  <c r="H62" i="9"/>
  <c r="G62" i="9"/>
  <c r="F62" i="9"/>
  <c r="E62" i="9"/>
  <c r="D62" i="9"/>
  <c r="C62" i="9"/>
  <c r="B62" i="9"/>
  <c r="A62" i="9"/>
  <c r="H61" i="9"/>
  <c r="G61" i="9"/>
  <c r="F61" i="9"/>
  <c r="E61" i="9"/>
  <c r="D61" i="9"/>
  <c r="C61" i="9"/>
  <c r="B61" i="9"/>
  <c r="A61" i="9"/>
  <c r="AT60" i="9"/>
  <c r="AF60" i="9"/>
  <c r="R60" i="9"/>
  <c r="H60" i="9"/>
  <c r="G60" i="9"/>
  <c r="F60" i="9"/>
  <c r="E60" i="9"/>
  <c r="D60" i="9"/>
  <c r="C60" i="9"/>
  <c r="B60" i="9"/>
  <c r="A60" i="9"/>
  <c r="H59" i="9"/>
  <c r="G59" i="9"/>
  <c r="F59" i="9"/>
  <c r="E59" i="9"/>
  <c r="D59" i="9"/>
  <c r="C59" i="9"/>
  <c r="B59" i="9"/>
  <c r="A59" i="9"/>
  <c r="H58" i="9"/>
  <c r="G58" i="9"/>
  <c r="F58" i="9"/>
  <c r="E58" i="9"/>
  <c r="D58" i="9"/>
  <c r="C58" i="9"/>
  <c r="B58" i="9"/>
  <c r="A58" i="9"/>
  <c r="H57" i="9"/>
  <c r="G57" i="9"/>
  <c r="F57" i="9"/>
  <c r="E57" i="9"/>
  <c r="D57" i="9"/>
  <c r="C57" i="9"/>
  <c r="B57" i="9"/>
  <c r="A57" i="9"/>
  <c r="H56" i="9"/>
  <c r="G56" i="9"/>
  <c r="F56" i="9"/>
  <c r="E56" i="9"/>
  <c r="D56" i="9"/>
  <c r="C56" i="9"/>
  <c r="B56" i="9"/>
  <c r="A56" i="9"/>
  <c r="AT55" i="9"/>
  <c r="AF55" i="9"/>
  <c r="R55" i="9"/>
  <c r="H55" i="9"/>
  <c r="G55" i="9"/>
  <c r="F55" i="9"/>
  <c r="E55" i="9"/>
  <c r="D55" i="9"/>
  <c r="C55" i="9"/>
  <c r="B55" i="9"/>
  <c r="A55" i="9"/>
  <c r="H54" i="9"/>
  <c r="G54" i="9"/>
  <c r="F54" i="9"/>
  <c r="E54" i="9"/>
  <c r="D54" i="9"/>
  <c r="C54" i="9"/>
  <c r="B54" i="9"/>
  <c r="A54" i="9"/>
  <c r="H53" i="9"/>
  <c r="G53" i="9"/>
  <c r="F53" i="9"/>
  <c r="E53" i="9"/>
  <c r="D53" i="9"/>
  <c r="C53" i="9"/>
  <c r="B53" i="9"/>
  <c r="A53" i="9"/>
  <c r="H52" i="9"/>
  <c r="G52" i="9"/>
  <c r="F52" i="9"/>
  <c r="E52" i="9"/>
  <c r="D52" i="9"/>
  <c r="C52" i="9"/>
  <c r="B52" i="9"/>
  <c r="A52" i="9"/>
  <c r="H51" i="9"/>
  <c r="G51" i="9"/>
  <c r="F51" i="9"/>
  <c r="E51" i="9"/>
  <c r="D51" i="9"/>
  <c r="C51" i="9"/>
  <c r="B51" i="9"/>
  <c r="A51" i="9"/>
  <c r="AT50" i="9"/>
  <c r="AF50" i="9"/>
  <c r="R50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AT45" i="9"/>
  <c r="AF45" i="9"/>
  <c r="R45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AT40" i="9"/>
  <c r="AF40" i="9"/>
  <c r="R40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AT35" i="9"/>
  <c r="AF35" i="9"/>
  <c r="R35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A31" i="9"/>
  <c r="AT30" i="9"/>
  <c r="AF30" i="9"/>
  <c r="R30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AT25" i="9"/>
  <c r="AF25" i="9"/>
  <c r="R25" i="9"/>
  <c r="H25" i="9"/>
  <c r="G25" i="9"/>
  <c r="F25" i="9"/>
  <c r="E25" i="9"/>
  <c r="D25" i="9"/>
  <c r="C25" i="9"/>
  <c r="B25" i="9"/>
  <c r="A25" i="9"/>
  <c r="H424" i="8"/>
  <c r="G424" i="8"/>
  <c r="F424" i="8"/>
  <c r="E424" i="8"/>
  <c r="D424" i="8"/>
  <c r="C424" i="8"/>
  <c r="B424" i="8"/>
  <c r="A424" i="8"/>
  <c r="H423" i="8"/>
  <c r="G423" i="8"/>
  <c r="F423" i="8"/>
  <c r="E423" i="8"/>
  <c r="D423" i="8"/>
  <c r="C423" i="8"/>
  <c r="B423" i="8"/>
  <c r="A423" i="8"/>
  <c r="H422" i="8"/>
  <c r="G422" i="8"/>
  <c r="F422" i="8"/>
  <c r="E422" i="8"/>
  <c r="D422" i="8"/>
  <c r="C422" i="8"/>
  <c r="B422" i="8"/>
  <c r="A422" i="8"/>
  <c r="H421" i="8"/>
  <c r="G421" i="8"/>
  <c r="F421" i="8"/>
  <c r="E421" i="8"/>
  <c r="D421" i="8"/>
  <c r="C421" i="8"/>
  <c r="B421" i="8"/>
  <c r="A421" i="8"/>
  <c r="AT420" i="8"/>
  <c r="AF420" i="8"/>
  <c r="R420" i="8"/>
  <c r="H420" i="8"/>
  <c r="G420" i="8"/>
  <c r="F420" i="8"/>
  <c r="E420" i="8"/>
  <c r="D420" i="8"/>
  <c r="C420" i="8"/>
  <c r="B420" i="8"/>
  <c r="A420" i="8"/>
  <c r="H419" i="8"/>
  <c r="G419" i="8"/>
  <c r="F419" i="8"/>
  <c r="E419" i="8"/>
  <c r="D419" i="8"/>
  <c r="C419" i="8"/>
  <c r="B419" i="8"/>
  <c r="A419" i="8"/>
  <c r="H418" i="8"/>
  <c r="G418" i="8"/>
  <c r="F418" i="8"/>
  <c r="E418" i="8"/>
  <c r="D418" i="8"/>
  <c r="C418" i="8"/>
  <c r="B418" i="8"/>
  <c r="A418" i="8"/>
  <c r="H417" i="8"/>
  <c r="G417" i="8"/>
  <c r="F417" i="8"/>
  <c r="E417" i="8"/>
  <c r="D417" i="8"/>
  <c r="C417" i="8"/>
  <c r="B417" i="8"/>
  <c r="A417" i="8"/>
  <c r="H416" i="8"/>
  <c r="G416" i="8"/>
  <c r="F416" i="8"/>
  <c r="E416" i="8"/>
  <c r="D416" i="8"/>
  <c r="C416" i="8"/>
  <c r="B416" i="8"/>
  <c r="A416" i="8"/>
  <c r="AT415" i="8"/>
  <c r="AF415" i="8"/>
  <c r="R415" i="8"/>
  <c r="H415" i="8"/>
  <c r="G415" i="8"/>
  <c r="F415" i="8"/>
  <c r="E415" i="8"/>
  <c r="D415" i="8"/>
  <c r="C415" i="8"/>
  <c r="B415" i="8"/>
  <c r="A415" i="8"/>
  <c r="H414" i="8"/>
  <c r="G414" i="8"/>
  <c r="F414" i="8"/>
  <c r="E414" i="8"/>
  <c r="D414" i="8"/>
  <c r="C414" i="8"/>
  <c r="B414" i="8"/>
  <c r="A414" i="8"/>
  <c r="H413" i="8"/>
  <c r="G413" i="8"/>
  <c r="F413" i="8"/>
  <c r="E413" i="8"/>
  <c r="D413" i="8"/>
  <c r="C413" i="8"/>
  <c r="B413" i="8"/>
  <c r="A413" i="8"/>
  <c r="H412" i="8"/>
  <c r="G412" i="8"/>
  <c r="F412" i="8"/>
  <c r="E412" i="8"/>
  <c r="D412" i="8"/>
  <c r="C412" i="8"/>
  <c r="B412" i="8"/>
  <c r="A412" i="8"/>
  <c r="H411" i="8"/>
  <c r="G411" i="8"/>
  <c r="F411" i="8"/>
  <c r="E411" i="8"/>
  <c r="D411" i="8"/>
  <c r="C411" i="8"/>
  <c r="B411" i="8"/>
  <c r="A411" i="8"/>
  <c r="AT410" i="8"/>
  <c r="AF410" i="8"/>
  <c r="R410" i="8"/>
  <c r="H410" i="8"/>
  <c r="G410" i="8"/>
  <c r="F410" i="8"/>
  <c r="E410" i="8"/>
  <c r="D410" i="8"/>
  <c r="C410" i="8"/>
  <c r="B410" i="8"/>
  <c r="A410" i="8"/>
  <c r="H409" i="8"/>
  <c r="G409" i="8"/>
  <c r="F409" i="8"/>
  <c r="E409" i="8"/>
  <c r="D409" i="8"/>
  <c r="C409" i="8"/>
  <c r="B409" i="8"/>
  <c r="A409" i="8"/>
  <c r="H408" i="8"/>
  <c r="G408" i="8"/>
  <c r="F408" i="8"/>
  <c r="E408" i="8"/>
  <c r="D408" i="8"/>
  <c r="C408" i="8"/>
  <c r="B408" i="8"/>
  <c r="A408" i="8"/>
  <c r="H407" i="8"/>
  <c r="G407" i="8"/>
  <c r="F407" i="8"/>
  <c r="E407" i="8"/>
  <c r="D407" i="8"/>
  <c r="C407" i="8"/>
  <c r="B407" i="8"/>
  <c r="A407" i="8"/>
  <c r="H406" i="8"/>
  <c r="G406" i="8"/>
  <c r="F406" i="8"/>
  <c r="E406" i="8"/>
  <c r="D406" i="8"/>
  <c r="C406" i="8"/>
  <c r="B406" i="8"/>
  <c r="A406" i="8"/>
  <c r="AT405" i="8"/>
  <c r="AF405" i="8"/>
  <c r="R405" i="8"/>
  <c r="H405" i="8"/>
  <c r="G405" i="8"/>
  <c r="F405" i="8"/>
  <c r="E405" i="8"/>
  <c r="D405" i="8"/>
  <c r="C405" i="8"/>
  <c r="B405" i="8"/>
  <c r="A405" i="8"/>
  <c r="H404" i="8"/>
  <c r="G404" i="8"/>
  <c r="F404" i="8"/>
  <c r="E404" i="8"/>
  <c r="D404" i="8"/>
  <c r="C404" i="8"/>
  <c r="B404" i="8"/>
  <c r="A404" i="8"/>
  <c r="H403" i="8"/>
  <c r="G403" i="8"/>
  <c r="F403" i="8"/>
  <c r="E403" i="8"/>
  <c r="D403" i="8"/>
  <c r="C403" i="8"/>
  <c r="B403" i="8"/>
  <c r="A403" i="8"/>
  <c r="H402" i="8"/>
  <c r="G402" i="8"/>
  <c r="F402" i="8"/>
  <c r="E402" i="8"/>
  <c r="D402" i="8"/>
  <c r="C402" i="8"/>
  <c r="B402" i="8"/>
  <c r="A402" i="8"/>
  <c r="H401" i="8"/>
  <c r="G401" i="8"/>
  <c r="F401" i="8"/>
  <c r="E401" i="8"/>
  <c r="D401" i="8"/>
  <c r="C401" i="8"/>
  <c r="B401" i="8"/>
  <c r="A401" i="8"/>
  <c r="AT400" i="8"/>
  <c r="AF400" i="8"/>
  <c r="R400" i="8"/>
  <c r="H400" i="8"/>
  <c r="G400" i="8"/>
  <c r="F400" i="8"/>
  <c r="E400" i="8"/>
  <c r="D400" i="8"/>
  <c r="C400" i="8"/>
  <c r="B400" i="8"/>
  <c r="A400" i="8"/>
  <c r="H399" i="8"/>
  <c r="G399" i="8"/>
  <c r="F399" i="8"/>
  <c r="E399" i="8"/>
  <c r="D399" i="8"/>
  <c r="C399" i="8"/>
  <c r="B399" i="8"/>
  <c r="A399" i="8"/>
  <c r="H398" i="8"/>
  <c r="G398" i="8"/>
  <c r="F398" i="8"/>
  <c r="E398" i="8"/>
  <c r="D398" i="8"/>
  <c r="C398" i="8"/>
  <c r="B398" i="8"/>
  <c r="A398" i="8"/>
  <c r="H397" i="8"/>
  <c r="G397" i="8"/>
  <c r="F397" i="8"/>
  <c r="E397" i="8"/>
  <c r="D397" i="8"/>
  <c r="C397" i="8"/>
  <c r="B397" i="8"/>
  <c r="A397" i="8"/>
  <c r="H396" i="8"/>
  <c r="G396" i="8"/>
  <c r="F396" i="8"/>
  <c r="E396" i="8"/>
  <c r="D396" i="8"/>
  <c r="C396" i="8"/>
  <c r="B396" i="8"/>
  <c r="A396" i="8"/>
  <c r="AT395" i="8"/>
  <c r="AF395" i="8"/>
  <c r="R395" i="8"/>
  <c r="H395" i="8"/>
  <c r="G395" i="8"/>
  <c r="F395" i="8"/>
  <c r="E395" i="8"/>
  <c r="D395" i="8"/>
  <c r="C395" i="8"/>
  <c r="B395" i="8"/>
  <c r="A395" i="8"/>
  <c r="H394" i="8"/>
  <c r="G394" i="8"/>
  <c r="F394" i="8"/>
  <c r="E394" i="8"/>
  <c r="D394" i="8"/>
  <c r="C394" i="8"/>
  <c r="B394" i="8"/>
  <c r="A394" i="8"/>
  <c r="H393" i="8"/>
  <c r="G393" i="8"/>
  <c r="F393" i="8"/>
  <c r="E393" i="8"/>
  <c r="D393" i="8"/>
  <c r="C393" i="8"/>
  <c r="B393" i="8"/>
  <c r="A393" i="8"/>
  <c r="H392" i="8"/>
  <c r="G392" i="8"/>
  <c r="F392" i="8"/>
  <c r="E392" i="8"/>
  <c r="D392" i="8"/>
  <c r="C392" i="8"/>
  <c r="B392" i="8"/>
  <c r="A392" i="8"/>
  <c r="H391" i="8"/>
  <c r="G391" i="8"/>
  <c r="F391" i="8"/>
  <c r="E391" i="8"/>
  <c r="D391" i="8"/>
  <c r="C391" i="8"/>
  <c r="B391" i="8"/>
  <c r="A391" i="8"/>
  <c r="AT390" i="8"/>
  <c r="AF390" i="8"/>
  <c r="R390" i="8"/>
  <c r="H390" i="8"/>
  <c r="G390" i="8"/>
  <c r="F390" i="8"/>
  <c r="E390" i="8"/>
  <c r="D390" i="8"/>
  <c r="C390" i="8"/>
  <c r="B390" i="8"/>
  <c r="A390" i="8"/>
  <c r="H389" i="8"/>
  <c r="G389" i="8"/>
  <c r="F389" i="8"/>
  <c r="E389" i="8"/>
  <c r="D389" i="8"/>
  <c r="C389" i="8"/>
  <c r="B389" i="8"/>
  <c r="A389" i="8"/>
  <c r="H388" i="8"/>
  <c r="G388" i="8"/>
  <c r="F388" i="8"/>
  <c r="E388" i="8"/>
  <c r="D388" i="8"/>
  <c r="C388" i="8"/>
  <c r="B388" i="8"/>
  <c r="A388" i="8"/>
  <c r="H387" i="8"/>
  <c r="G387" i="8"/>
  <c r="F387" i="8"/>
  <c r="E387" i="8"/>
  <c r="D387" i="8"/>
  <c r="C387" i="8"/>
  <c r="B387" i="8"/>
  <c r="A387" i="8"/>
  <c r="H386" i="8"/>
  <c r="G386" i="8"/>
  <c r="F386" i="8"/>
  <c r="E386" i="8"/>
  <c r="D386" i="8"/>
  <c r="C386" i="8"/>
  <c r="B386" i="8"/>
  <c r="A386" i="8"/>
  <c r="AT385" i="8"/>
  <c r="AF385" i="8"/>
  <c r="R385" i="8"/>
  <c r="H385" i="8"/>
  <c r="G385" i="8"/>
  <c r="F385" i="8"/>
  <c r="E385" i="8"/>
  <c r="D385" i="8"/>
  <c r="C385" i="8"/>
  <c r="B385" i="8"/>
  <c r="A385" i="8"/>
  <c r="H384" i="8"/>
  <c r="G384" i="8"/>
  <c r="F384" i="8"/>
  <c r="E384" i="8"/>
  <c r="D384" i="8"/>
  <c r="C384" i="8"/>
  <c r="B384" i="8"/>
  <c r="A384" i="8"/>
  <c r="H383" i="8"/>
  <c r="G383" i="8"/>
  <c r="F383" i="8"/>
  <c r="E383" i="8"/>
  <c r="D383" i="8"/>
  <c r="C383" i="8"/>
  <c r="B383" i="8"/>
  <c r="A383" i="8"/>
  <c r="H382" i="8"/>
  <c r="G382" i="8"/>
  <c r="F382" i="8"/>
  <c r="E382" i="8"/>
  <c r="D382" i="8"/>
  <c r="C382" i="8"/>
  <c r="B382" i="8"/>
  <c r="A382" i="8"/>
  <c r="H381" i="8"/>
  <c r="G381" i="8"/>
  <c r="F381" i="8"/>
  <c r="E381" i="8"/>
  <c r="D381" i="8"/>
  <c r="C381" i="8"/>
  <c r="B381" i="8"/>
  <c r="A381" i="8"/>
  <c r="AT380" i="8"/>
  <c r="AF380" i="8"/>
  <c r="R380" i="8"/>
  <c r="H380" i="8"/>
  <c r="G380" i="8"/>
  <c r="F380" i="8"/>
  <c r="E380" i="8"/>
  <c r="D380" i="8"/>
  <c r="C380" i="8"/>
  <c r="B380" i="8"/>
  <c r="A380" i="8"/>
  <c r="H379" i="8"/>
  <c r="G379" i="8"/>
  <c r="F379" i="8"/>
  <c r="E379" i="8"/>
  <c r="D379" i="8"/>
  <c r="C379" i="8"/>
  <c r="B379" i="8"/>
  <c r="A379" i="8"/>
  <c r="H378" i="8"/>
  <c r="G378" i="8"/>
  <c r="F378" i="8"/>
  <c r="E378" i="8"/>
  <c r="D378" i="8"/>
  <c r="C378" i="8"/>
  <c r="B378" i="8"/>
  <c r="A378" i="8"/>
  <c r="H377" i="8"/>
  <c r="G377" i="8"/>
  <c r="F377" i="8"/>
  <c r="E377" i="8"/>
  <c r="D377" i="8"/>
  <c r="C377" i="8"/>
  <c r="B377" i="8"/>
  <c r="A377" i="8"/>
  <c r="H376" i="8"/>
  <c r="G376" i="8"/>
  <c r="F376" i="8"/>
  <c r="E376" i="8"/>
  <c r="D376" i="8"/>
  <c r="C376" i="8"/>
  <c r="B376" i="8"/>
  <c r="A376" i="8"/>
  <c r="AT375" i="8"/>
  <c r="AF375" i="8"/>
  <c r="R375" i="8"/>
  <c r="H375" i="8"/>
  <c r="G375" i="8"/>
  <c r="F375" i="8"/>
  <c r="E375" i="8"/>
  <c r="D375" i="8"/>
  <c r="C375" i="8"/>
  <c r="B375" i="8"/>
  <c r="A375" i="8"/>
  <c r="H374" i="8"/>
  <c r="G374" i="8"/>
  <c r="F374" i="8"/>
  <c r="E374" i="8"/>
  <c r="D374" i="8"/>
  <c r="C374" i="8"/>
  <c r="B374" i="8"/>
  <c r="A374" i="8"/>
  <c r="H373" i="8"/>
  <c r="G373" i="8"/>
  <c r="F373" i="8"/>
  <c r="E373" i="8"/>
  <c r="D373" i="8"/>
  <c r="C373" i="8"/>
  <c r="B373" i="8"/>
  <c r="A373" i="8"/>
  <c r="H372" i="8"/>
  <c r="G372" i="8"/>
  <c r="F372" i="8"/>
  <c r="E372" i="8"/>
  <c r="D372" i="8"/>
  <c r="C372" i="8"/>
  <c r="B372" i="8"/>
  <c r="A372" i="8"/>
  <c r="H371" i="8"/>
  <c r="G371" i="8"/>
  <c r="F371" i="8"/>
  <c r="E371" i="8"/>
  <c r="D371" i="8"/>
  <c r="C371" i="8"/>
  <c r="B371" i="8"/>
  <c r="A371" i="8"/>
  <c r="AT370" i="8"/>
  <c r="AF370" i="8"/>
  <c r="R370" i="8"/>
  <c r="H370" i="8"/>
  <c r="G370" i="8"/>
  <c r="F370" i="8"/>
  <c r="E370" i="8"/>
  <c r="D370" i="8"/>
  <c r="C370" i="8"/>
  <c r="B370" i="8"/>
  <c r="A370" i="8"/>
  <c r="H369" i="8"/>
  <c r="G369" i="8"/>
  <c r="F369" i="8"/>
  <c r="E369" i="8"/>
  <c r="D369" i="8"/>
  <c r="C369" i="8"/>
  <c r="B369" i="8"/>
  <c r="A369" i="8"/>
  <c r="H368" i="8"/>
  <c r="G368" i="8"/>
  <c r="F368" i="8"/>
  <c r="E368" i="8"/>
  <c r="D368" i="8"/>
  <c r="C368" i="8"/>
  <c r="B368" i="8"/>
  <c r="A368" i="8"/>
  <c r="H367" i="8"/>
  <c r="G367" i="8"/>
  <c r="F367" i="8"/>
  <c r="E367" i="8"/>
  <c r="D367" i="8"/>
  <c r="C367" i="8"/>
  <c r="B367" i="8"/>
  <c r="A367" i="8"/>
  <c r="H366" i="8"/>
  <c r="G366" i="8"/>
  <c r="F366" i="8"/>
  <c r="E366" i="8"/>
  <c r="D366" i="8"/>
  <c r="C366" i="8"/>
  <c r="B366" i="8"/>
  <c r="A366" i="8"/>
  <c r="AT365" i="8"/>
  <c r="AF365" i="8"/>
  <c r="R365" i="8"/>
  <c r="H365" i="8"/>
  <c r="G365" i="8"/>
  <c r="F365" i="8"/>
  <c r="E365" i="8"/>
  <c r="D365" i="8"/>
  <c r="C365" i="8"/>
  <c r="B365" i="8"/>
  <c r="A365" i="8"/>
  <c r="H364" i="8"/>
  <c r="G364" i="8"/>
  <c r="F364" i="8"/>
  <c r="E364" i="8"/>
  <c r="D364" i="8"/>
  <c r="C364" i="8"/>
  <c r="B364" i="8"/>
  <c r="A364" i="8"/>
  <c r="H363" i="8"/>
  <c r="G363" i="8"/>
  <c r="F363" i="8"/>
  <c r="E363" i="8"/>
  <c r="D363" i="8"/>
  <c r="C363" i="8"/>
  <c r="B363" i="8"/>
  <c r="A363" i="8"/>
  <c r="H362" i="8"/>
  <c r="G362" i="8"/>
  <c r="F362" i="8"/>
  <c r="E362" i="8"/>
  <c r="D362" i="8"/>
  <c r="C362" i="8"/>
  <c r="B362" i="8"/>
  <c r="A362" i="8"/>
  <c r="H361" i="8"/>
  <c r="G361" i="8"/>
  <c r="F361" i="8"/>
  <c r="E361" i="8"/>
  <c r="D361" i="8"/>
  <c r="C361" i="8"/>
  <c r="B361" i="8"/>
  <c r="A361" i="8"/>
  <c r="AT360" i="8"/>
  <c r="AF360" i="8"/>
  <c r="R360" i="8"/>
  <c r="H360" i="8"/>
  <c r="G360" i="8"/>
  <c r="F360" i="8"/>
  <c r="E360" i="8"/>
  <c r="D360" i="8"/>
  <c r="C360" i="8"/>
  <c r="B360" i="8"/>
  <c r="A360" i="8"/>
  <c r="H359" i="8"/>
  <c r="G359" i="8"/>
  <c r="F359" i="8"/>
  <c r="E359" i="8"/>
  <c r="D359" i="8"/>
  <c r="C359" i="8"/>
  <c r="B359" i="8"/>
  <c r="A359" i="8"/>
  <c r="H358" i="8"/>
  <c r="G358" i="8"/>
  <c r="F358" i="8"/>
  <c r="E358" i="8"/>
  <c r="D358" i="8"/>
  <c r="C358" i="8"/>
  <c r="B358" i="8"/>
  <c r="A358" i="8"/>
  <c r="H357" i="8"/>
  <c r="G357" i="8"/>
  <c r="F357" i="8"/>
  <c r="E357" i="8"/>
  <c r="D357" i="8"/>
  <c r="C357" i="8"/>
  <c r="B357" i="8"/>
  <c r="A357" i="8"/>
  <c r="H356" i="8"/>
  <c r="G356" i="8"/>
  <c r="F356" i="8"/>
  <c r="E356" i="8"/>
  <c r="D356" i="8"/>
  <c r="C356" i="8"/>
  <c r="B356" i="8"/>
  <c r="A356" i="8"/>
  <c r="AT355" i="8"/>
  <c r="AF355" i="8"/>
  <c r="R355" i="8"/>
  <c r="H355" i="8"/>
  <c r="G355" i="8"/>
  <c r="F355" i="8"/>
  <c r="E355" i="8"/>
  <c r="D355" i="8"/>
  <c r="C355" i="8"/>
  <c r="B355" i="8"/>
  <c r="A355" i="8"/>
  <c r="H354" i="8"/>
  <c r="G354" i="8"/>
  <c r="F354" i="8"/>
  <c r="E354" i="8"/>
  <c r="D354" i="8"/>
  <c r="C354" i="8"/>
  <c r="B354" i="8"/>
  <c r="A354" i="8"/>
  <c r="H353" i="8"/>
  <c r="G353" i="8"/>
  <c r="F353" i="8"/>
  <c r="E353" i="8"/>
  <c r="D353" i="8"/>
  <c r="C353" i="8"/>
  <c r="B353" i="8"/>
  <c r="A353" i="8"/>
  <c r="H352" i="8"/>
  <c r="G352" i="8"/>
  <c r="F352" i="8"/>
  <c r="E352" i="8"/>
  <c r="D352" i="8"/>
  <c r="C352" i="8"/>
  <c r="B352" i="8"/>
  <c r="A352" i="8"/>
  <c r="H351" i="8"/>
  <c r="G351" i="8"/>
  <c r="F351" i="8"/>
  <c r="E351" i="8"/>
  <c r="D351" i="8"/>
  <c r="C351" i="8"/>
  <c r="B351" i="8"/>
  <c r="A351" i="8"/>
  <c r="AT350" i="8"/>
  <c r="AF350" i="8"/>
  <c r="R350" i="8"/>
  <c r="H350" i="8"/>
  <c r="G350" i="8"/>
  <c r="F350" i="8"/>
  <c r="E350" i="8"/>
  <c r="D350" i="8"/>
  <c r="C350" i="8"/>
  <c r="B350" i="8"/>
  <c r="A350" i="8"/>
  <c r="H349" i="8"/>
  <c r="G349" i="8"/>
  <c r="F349" i="8"/>
  <c r="E349" i="8"/>
  <c r="D349" i="8"/>
  <c r="C349" i="8"/>
  <c r="B349" i="8"/>
  <c r="A349" i="8"/>
  <c r="H348" i="8"/>
  <c r="G348" i="8"/>
  <c r="F348" i="8"/>
  <c r="E348" i="8"/>
  <c r="D348" i="8"/>
  <c r="C348" i="8"/>
  <c r="B348" i="8"/>
  <c r="A348" i="8"/>
  <c r="H347" i="8"/>
  <c r="G347" i="8"/>
  <c r="F347" i="8"/>
  <c r="E347" i="8"/>
  <c r="D347" i="8"/>
  <c r="C347" i="8"/>
  <c r="B347" i="8"/>
  <c r="A347" i="8"/>
  <c r="H346" i="8"/>
  <c r="G346" i="8"/>
  <c r="F346" i="8"/>
  <c r="E346" i="8"/>
  <c r="D346" i="8"/>
  <c r="C346" i="8"/>
  <c r="B346" i="8"/>
  <c r="A346" i="8"/>
  <c r="AT345" i="8"/>
  <c r="AF345" i="8"/>
  <c r="R345" i="8"/>
  <c r="H345" i="8"/>
  <c r="G345" i="8"/>
  <c r="F345" i="8"/>
  <c r="E345" i="8"/>
  <c r="D345" i="8"/>
  <c r="C345" i="8"/>
  <c r="B345" i="8"/>
  <c r="A345" i="8"/>
  <c r="H344" i="8"/>
  <c r="G344" i="8"/>
  <c r="F344" i="8"/>
  <c r="E344" i="8"/>
  <c r="D344" i="8"/>
  <c r="C344" i="8"/>
  <c r="B344" i="8"/>
  <c r="A344" i="8"/>
  <c r="H343" i="8"/>
  <c r="G343" i="8"/>
  <c r="F343" i="8"/>
  <c r="E343" i="8"/>
  <c r="D343" i="8"/>
  <c r="C343" i="8"/>
  <c r="B343" i="8"/>
  <c r="A343" i="8"/>
  <c r="H342" i="8"/>
  <c r="G342" i="8"/>
  <c r="F342" i="8"/>
  <c r="E342" i="8"/>
  <c r="D342" i="8"/>
  <c r="C342" i="8"/>
  <c r="B342" i="8"/>
  <c r="A342" i="8"/>
  <c r="H341" i="8"/>
  <c r="G341" i="8"/>
  <c r="F341" i="8"/>
  <c r="E341" i="8"/>
  <c r="D341" i="8"/>
  <c r="C341" i="8"/>
  <c r="B341" i="8"/>
  <c r="A341" i="8"/>
  <c r="AT340" i="8"/>
  <c r="AF340" i="8"/>
  <c r="R340" i="8"/>
  <c r="H340" i="8"/>
  <c r="G340" i="8"/>
  <c r="F340" i="8"/>
  <c r="E340" i="8"/>
  <c r="D340" i="8"/>
  <c r="C340" i="8"/>
  <c r="B340" i="8"/>
  <c r="A340" i="8"/>
  <c r="H339" i="8"/>
  <c r="G339" i="8"/>
  <c r="F339" i="8"/>
  <c r="E339" i="8"/>
  <c r="D339" i="8"/>
  <c r="C339" i="8"/>
  <c r="B339" i="8"/>
  <c r="A339" i="8"/>
  <c r="H338" i="8"/>
  <c r="G338" i="8"/>
  <c r="F338" i="8"/>
  <c r="E338" i="8"/>
  <c r="D338" i="8"/>
  <c r="C338" i="8"/>
  <c r="B338" i="8"/>
  <c r="A338" i="8"/>
  <c r="H337" i="8"/>
  <c r="G337" i="8"/>
  <c r="F337" i="8"/>
  <c r="E337" i="8"/>
  <c r="D337" i="8"/>
  <c r="C337" i="8"/>
  <c r="B337" i="8"/>
  <c r="A337" i="8"/>
  <c r="H336" i="8"/>
  <c r="G336" i="8"/>
  <c r="F336" i="8"/>
  <c r="E336" i="8"/>
  <c r="D336" i="8"/>
  <c r="C336" i="8"/>
  <c r="B336" i="8"/>
  <c r="A336" i="8"/>
  <c r="AT335" i="8"/>
  <c r="AF335" i="8"/>
  <c r="R335" i="8"/>
  <c r="H335" i="8"/>
  <c r="G335" i="8"/>
  <c r="F335" i="8"/>
  <c r="E335" i="8"/>
  <c r="D335" i="8"/>
  <c r="C335" i="8"/>
  <c r="B335" i="8"/>
  <c r="A335" i="8"/>
  <c r="H334" i="8"/>
  <c r="G334" i="8"/>
  <c r="F334" i="8"/>
  <c r="E334" i="8"/>
  <c r="D334" i="8"/>
  <c r="C334" i="8"/>
  <c r="B334" i="8"/>
  <c r="A334" i="8"/>
  <c r="H333" i="8"/>
  <c r="G333" i="8"/>
  <c r="F333" i="8"/>
  <c r="E333" i="8"/>
  <c r="D333" i="8"/>
  <c r="C333" i="8"/>
  <c r="B333" i="8"/>
  <c r="A333" i="8"/>
  <c r="H332" i="8"/>
  <c r="G332" i="8"/>
  <c r="F332" i="8"/>
  <c r="E332" i="8"/>
  <c r="D332" i="8"/>
  <c r="C332" i="8"/>
  <c r="B332" i="8"/>
  <c r="A332" i="8"/>
  <c r="H331" i="8"/>
  <c r="G331" i="8"/>
  <c r="F331" i="8"/>
  <c r="E331" i="8"/>
  <c r="D331" i="8"/>
  <c r="C331" i="8"/>
  <c r="B331" i="8"/>
  <c r="A331" i="8"/>
  <c r="AT330" i="8"/>
  <c r="AF330" i="8"/>
  <c r="R330" i="8"/>
  <c r="H330" i="8"/>
  <c r="G330" i="8"/>
  <c r="F330" i="8"/>
  <c r="E330" i="8"/>
  <c r="D330" i="8"/>
  <c r="C330" i="8"/>
  <c r="B330" i="8"/>
  <c r="A330" i="8"/>
  <c r="H329" i="8"/>
  <c r="G329" i="8"/>
  <c r="F329" i="8"/>
  <c r="E329" i="8"/>
  <c r="D329" i="8"/>
  <c r="C329" i="8"/>
  <c r="B329" i="8"/>
  <c r="A329" i="8"/>
  <c r="H328" i="8"/>
  <c r="G328" i="8"/>
  <c r="F328" i="8"/>
  <c r="E328" i="8"/>
  <c r="D328" i="8"/>
  <c r="C328" i="8"/>
  <c r="B328" i="8"/>
  <c r="A328" i="8"/>
  <c r="H327" i="8"/>
  <c r="G327" i="8"/>
  <c r="F327" i="8"/>
  <c r="E327" i="8"/>
  <c r="D327" i="8"/>
  <c r="C327" i="8"/>
  <c r="B327" i="8"/>
  <c r="A327" i="8"/>
  <c r="H326" i="8"/>
  <c r="G326" i="8"/>
  <c r="F326" i="8"/>
  <c r="E326" i="8"/>
  <c r="D326" i="8"/>
  <c r="C326" i="8"/>
  <c r="B326" i="8"/>
  <c r="A326" i="8"/>
  <c r="AT325" i="8"/>
  <c r="AF325" i="8"/>
  <c r="R325" i="8"/>
  <c r="H325" i="8"/>
  <c r="G325" i="8"/>
  <c r="F325" i="8"/>
  <c r="E325" i="8"/>
  <c r="D325" i="8"/>
  <c r="C325" i="8"/>
  <c r="B325" i="8"/>
  <c r="A325" i="8"/>
  <c r="H324" i="8"/>
  <c r="G324" i="8"/>
  <c r="F324" i="8"/>
  <c r="E324" i="8"/>
  <c r="D324" i="8"/>
  <c r="C324" i="8"/>
  <c r="B324" i="8"/>
  <c r="A324" i="8"/>
  <c r="H323" i="8"/>
  <c r="G323" i="8"/>
  <c r="F323" i="8"/>
  <c r="E323" i="8"/>
  <c r="D323" i="8"/>
  <c r="C323" i="8"/>
  <c r="B323" i="8"/>
  <c r="A323" i="8"/>
  <c r="H322" i="8"/>
  <c r="G322" i="8"/>
  <c r="F322" i="8"/>
  <c r="E322" i="8"/>
  <c r="D322" i="8"/>
  <c r="C322" i="8"/>
  <c r="B322" i="8"/>
  <c r="A322" i="8"/>
  <c r="H321" i="8"/>
  <c r="G321" i="8"/>
  <c r="F321" i="8"/>
  <c r="E321" i="8"/>
  <c r="D321" i="8"/>
  <c r="C321" i="8"/>
  <c r="B321" i="8"/>
  <c r="A321" i="8"/>
  <c r="AT320" i="8"/>
  <c r="AF320" i="8"/>
  <c r="R320" i="8"/>
  <c r="H320" i="8"/>
  <c r="G320" i="8"/>
  <c r="F320" i="8"/>
  <c r="E320" i="8"/>
  <c r="D320" i="8"/>
  <c r="C320" i="8"/>
  <c r="B320" i="8"/>
  <c r="A320" i="8"/>
  <c r="H319" i="8"/>
  <c r="G319" i="8"/>
  <c r="F319" i="8"/>
  <c r="E319" i="8"/>
  <c r="D319" i="8"/>
  <c r="C319" i="8"/>
  <c r="B319" i="8"/>
  <c r="A319" i="8"/>
  <c r="H318" i="8"/>
  <c r="G318" i="8"/>
  <c r="F318" i="8"/>
  <c r="E318" i="8"/>
  <c r="D318" i="8"/>
  <c r="C318" i="8"/>
  <c r="B318" i="8"/>
  <c r="A318" i="8"/>
  <c r="H317" i="8"/>
  <c r="G317" i="8"/>
  <c r="F317" i="8"/>
  <c r="E317" i="8"/>
  <c r="D317" i="8"/>
  <c r="C317" i="8"/>
  <c r="B317" i="8"/>
  <c r="A317" i="8"/>
  <c r="H316" i="8"/>
  <c r="G316" i="8"/>
  <c r="F316" i="8"/>
  <c r="E316" i="8"/>
  <c r="D316" i="8"/>
  <c r="C316" i="8"/>
  <c r="B316" i="8"/>
  <c r="A316" i="8"/>
  <c r="AT315" i="8"/>
  <c r="AF315" i="8"/>
  <c r="R315" i="8"/>
  <c r="H315" i="8"/>
  <c r="G315" i="8"/>
  <c r="F315" i="8"/>
  <c r="E315" i="8"/>
  <c r="D315" i="8"/>
  <c r="C315" i="8"/>
  <c r="B315" i="8"/>
  <c r="A315" i="8"/>
  <c r="H314" i="8"/>
  <c r="G314" i="8"/>
  <c r="F314" i="8"/>
  <c r="E314" i="8"/>
  <c r="D314" i="8"/>
  <c r="C314" i="8"/>
  <c r="B314" i="8"/>
  <c r="A314" i="8"/>
  <c r="H313" i="8"/>
  <c r="G313" i="8"/>
  <c r="F313" i="8"/>
  <c r="E313" i="8"/>
  <c r="D313" i="8"/>
  <c r="C313" i="8"/>
  <c r="B313" i="8"/>
  <c r="A313" i="8"/>
  <c r="H312" i="8"/>
  <c r="G312" i="8"/>
  <c r="F312" i="8"/>
  <c r="E312" i="8"/>
  <c r="D312" i="8"/>
  <c r="C312" i="8"/>
  <c r="B312" i="8"/>
  <c r="A312" i="8"/>
  <c r="H311" i="8"/>
  <c r="G311" i="8"/>
  <c r="F311" i="8"/>
  <c r="E311" i="8"/>
  <c r="D311" i="8"/>
  <c r="C311" i="8"/>
  <c r="B311" i="8"/>
  <c r="A311" i="8"/>
  <c r="AT310" i="8"/>
  <c r="AF310" i="8"/>
  <c r="R310" i="8"/>
  <c r="H310" i="8"/>
  <c r="G310" i="8"/>
  <c r="F310" i="8"/>
  <c r="E310" i="8"/>
  <c r="D310" i="8"/>
  <c r="C310" i="8"/>
  <c r="B310" i="8"/>
  <c r="A310" i="8"/>
  <c r="H309" i="8"/>
  <c r="G309" i="8"/>
  <c r="F309" i="8"/>
  <c r="E309" i="8"/>
  <c r="D309" i="8"/>
  <c r="C309" i="8"/>
  <c r="B309" i="8"/>
  <c r="A309" i="8"/>
  <c r="H308" i="8"/>
  <c r="G308" i="8"/>
  <c r="F308" i="8"/>
  <c r="E308" i="8"/>
  <c r="D308" i="8"/>
  <c r="C308" i="8"/>
  <c r="B308" i="8"/>
  <c r="A308" i="8"/>
  <c r="H307" i="8"/>
  <c r="G307" i="8"/>
  <c r="F307" i="8"/>
  <c r="E307" i="8"/>
  <c r="D307" i="8"/>
  <c r="C307" i="8"/>
  <c r="B307" i="8"/>
  <c r="A307" i="8"/>
  <c r="H306" i="8"/>
  <c r="G306" i="8"/>
  <c r="F306" i="8"/>
  <c r="E306" i="8"/>
  <c r="D306" i="8"/>
  <c r="C306" i="8"/>
  <c r="B306" i="8"/>
  <c r="A306" i="8"/>
  <c r="AT305" i="8"/>
  <c r="AF305" i="8"/>
  <c r="R305" i="8"/>
  <c r="H305" i="8"/>
  <c r="G305" i="8"/>
  <c r="F305" i="8"/>
  <c r="E305" i="8"/>
  <c r="D305" i="8"/>
  <c r="C305" i="8"/>
  <c r="B305" i="8"/>
  <c r="A305" i="8"/>
  <c r="H304" i="8"/>
  <c r="G304" i="8"/>
  <c r="F304" i="8"/>
  <c r="E304" i="8"/>
  <c r="D304" i="8"/>
  <c r="C304" i="8"/>
  <c r="B304" i="8"/>
  <c r="A304" i="8"/>
  <c r="H303" i="8"/>
  <c r="G303" i="8"/>
  <c r="F303" i="8"/>
  <c r="E303" i="8"/>
  <c r="D303" i="8"/>
  <c r="C303" i="8"/>
  <c r="B303" i="8"/>
  <c r="A303" i="8"/>
  <c r="H302" i="8"/>
  <c r="G302" i="8"/>
  <c r="F302" i="8"/>
  <c r="E302" i="8"/>
  <c r="D302" i="8"/>
  <c r="C302" i="8"/>
  <c r="B302" i="8"/>
  <c r="A302" i="8"/>
  <c r="H301" i="8"/>
  <c r="G301" i="8"/>
  <c r="F301" i="8"/>
  <c r="E301" i="8"/>
  <c r="D301" i="8"/>
  <c r="C301" i="8"/>
  <c r="B301" i="8"/>
  <c r="A301" i="8"/>
  <c r="AT300" i="8"/>
  <c r="AF300" i="8"/>
  <c r="R300" i="8"/>
  <c r="H300" i="8"/>
  <c r="G300" i="8"/>
  <c r="F300" i="8"/>
  <c r="E300" i="8"/>
  <c r="D300" i="8"/>
  <c r="C300" i="8"/>
  <c r="B300" i="8"/>
  <c r="A300" i="8"/>
  <c r="H299" i="8"/>
  <c r="G299" i="8"/>
  <c r="F299" i="8"/>
  <c r="E299" i="8"/>
  <c r="D299" i="8"/>
  <c r="C299" i="8"/>
  <c r="B299" i="8"/>
  <c r="A299" i="8"/>
  <c r="H298" i="8"/>
  <c r="G298" i="8"/>
  <c r="F298" i="8"/>
  <c r="E298" i="8"/>
  <c r="D298" i="8"/>
  <c r="C298" i="8"/>
  <c r="B298" i="8"/>
  <c r="A298" i="8"/>
  <c r="H297" i="8"/>
  <c r="G297" i="8"/>
  <c r="F297" i="8"/>
  <c r="E297" i="8"/>
  <c r="D297" i="8"/>
  <c r="C297" i="8"/>
  <c r="B297" i="8"/>
  <c r="A297" i="8"/>
  <c r="H296" i="8"/>
  <c r="G296" i="8"/>
  <c r="F296" i="8"/>
  <c r="E296" i="8"/>
  <c r="D296" i="8"/>
  <c r="C296" i="8"/>
  <c r="B296" i="8"/>
  <c r="A296" i="8"/>
  <c r="AT295" i="8"/>
  <c r="AF295" i="8"/>
  <c r="R295" i="8"/>
  <c r="H295" i="8"/>
  <c r="G295" i="8"/>
  <c r="F295" i="8"/>
  <c r="E295" i="8"/>
  <c r="D295" i="8"/>
  <c r="C295" i="8"/>
  <c r="B295" i="8"/>
  <c r="A295" i="8"/>
  <c r="H294" i="8"/>
  <c r="G294" i="8"/>
  <c r="F294" i="8"/>
  <c r="E294" i="8"/>
  <c r="D294" i="8"/>
  <c r="C294" i="8"/>
  <c r="B294" i="8"/>
  <c r="A294" i="8"/>
  <c r="H293" i="8"/>
  <c r="G293" i="8"/>
  <c r="F293" i="8"/>
  <c r="E293" i="8"/>
  <c r="D293" i="8"/>
  <c r="C293" i="8"/>
  <c r="B293" i="8"/>
  <c r="A293" i="8"/>
  <c r="H292" i="8"/>
  <c r="G292" i="8"/>
  <c r="F292" i="8"/>
  <c r="E292" i="8"/>
  <c r="D292" i="8"/>
  <c r="C292" i="8"/>
  <c r="B292" i="8"/>
  <c r="A292" i="8"/>
  <c r="H291" i="8"/>
  <c r="G291" i="8"/>
  <c r="F291" i="8"/>
  <c r="E291" i="8"/>
  <c r="D291" i="8"/>
  <c r="C291" i="8"/>
  <c r="B291" i="8"/>
  <c r="A291" i="8"/>
  <c r="AT290" i="8"/>
  <c r="AF290" i="8"/>
  <c r="R290" i="8"/>
  <c r="H290" i="8"/>
  <c r="G290" i="8"/>
  <c r="F290" i="8"/>
  <c r="E290" i="8"/>
  <c r="D290" i="8"/>
  <c r="C290" i="8"/>
  <c r="B290" i="8"/>
  <c r="A290" i="8"/>
  <c r="H289" i="8"/>
  <c r="G289" i="8"/>
  <c r="F289" i="8"/>
  <c r="E289" i="8"/>
  <c r="D289" i="8"/>
  <c r="C289" i="8"/>
  <c r="B289" i="8"/>
  <c r="A289" i="8"/>
  <c r="H288" i="8"/>
  <c r="G288" i="8"/>
  <c r="F288" i="8"/>
  <c r="E288" i="8"/>
  <c r="D288" i="8"/>
  <c r="C288" i="8"/>
  <c r="B288" i="8"/>
  <c r="A288" i="8"/>
  <c r="H287" i="8"/>
  <c r="G287" i="8"/>
  <c r="F287" i="8"/>
  <c r="E287" i="8"/>
  <c r="D287" i="8"/>
  <c r="C287" i="8"/>
  <c r="B287" i="8"/>
  <c r="A287" i="8"/>
  <c r="H286" i="8"/>
  <c r="G286" i="8"/>
  <c r="F286" i="8"/>
  <c r="E286" i="8"/>
  <c r="D286" i="8"/>
  <c r="C286" i="8"/>
  <c r="B286" i="8"/>
  <c r="A286" i="8"/>
  <c r="AT285" i="8"/>
  <c r="AF285" i="8"/>
  <c r="R285" i="8"/>
  <c r="H285" i="8"/>
  <c r="G285" i="8"/>
  <c r="F285" i="8"/>
  <c r="E285" i="8"/>
  <c r="D285" i="8"/>
  <c r="C285" i="8"/>
  <c r="B285" i="8"/>
  <c r="A285" i="8"/>
  <c r="H284" i="8"/>
  <c r="G284" i="8"/>
  <c r="F284" i="8"/>
  <c r="E284" i="8"/>
  <c r="D284" i="8"/>
  <c r="C284" i="8"/>
  <c r="B284" i="8"/>
  <c r="A284" i="8"/>
  <c r="H283" i="8"/>
  <c r="G283" i="8"/>
  <c r="F283" i="8"/>
  <c r="E283" i="8"/>
  <c r="D283" i="8"/>
  <c r="C283" i="8"/>
  <c r="B283" i="8"/>
  <c r="A283" i="8"/>
  <c r="H282" i="8"/>
  <c r="G282" i="8"/>
  <c r="F282" i="8"/>
  <c r="E282" i="8"/>
  <c r="D282" i="8"/>
  <c r="C282" i="8"/>
  <c r="B282" i="8"/>
  <c r="A282" i="8"/>
  <c r="H281" i="8"/>
  <c r="G281" i="8"/>
  <c r="F281" i="8"/>
  <c r="E281" i="8"/>
  <c r="D281" i="8"/>
  <c r="C281" i="8"/>
  <c r="B281" i="8"/>
  <c r="A281" i="8"/>
  <c r="AT280" i="8"/>
  <c r="AF280" i="8"/>
  <c r="R280" i="8"/>
  <c r="H280" i="8"/>
  <c r="G280" i="8"/>
  <c r="F280" i="8"/>
  <c r="E280" i="8"/>
  <c r="D280" i="8"/>
  <c r="C280" i="8"/>
  <c r="B280" i="8"/>
  <c r="A280" i="8"/>
  <c r="H279" i="8"/>
  <c r="G279" i="8"/>
  <c r="F279" i="8"/>
  <c r="E279" i="8"/>
  <c r="D279" i="8"/>
  <c r="C279" i="8"/>
  <c r="B279" i="8"/>
  <c r="A279" i="8"/>
  <c r="H278" i="8"/>
  <c r="G278" i="8"/>
  <c r="F278" i="8"/>
  <c r="E278" i="8"/>
  <c r="D278" i="8"/>
  <c r="C278" i="8"/>
  <c r="B278" i="8"/>
  <c r="A278" i="8"/>
  <c r="H277" i="8"/>
  <c r="G277" i="8"/>
  <c r="F277" i="8"/>
  <c r="E277" i="8"/>
  <c r="D277" i="8"/>
  <c r="C277" i="8"/>
  <c r="B277" i="8"/>
  <c r="A277" i="8"/>
  <c r="H276" i="8"/>
  <c r="G276" i="8"/>
  <c r="F276" i="8"/>
  <c r="E276" i="8"/>
  <c r="D276" i="8"/>
  <c r="C276" i="8"/>
  <c r="B276" i="8"/>
  <c r="A276" i="8"/>
  <c r="AT275" i="8"/>
  <c r="AF275" i="8"/>
  <c r="R275" i="8"/>
  <c r="H275" i="8"/>
  <c r="G275" i="8"/>
  <c r="F275" i="8"/>
  <c r="E275" i="8"/>
  <c r="D275" i="8"/>
  <c r="C275" i="8"/>
  <c r="B275" i="8"/>
  <c r="A275" i="8"/>
  <c r="H274" i="8"/>
  <c r="G274" i="8"/>
  <c r="F274" i="8"/>
  <c r="E274" i="8"/>
  <c r="D274" i="8"/>
  <c r="C274" i="8"/>
  <c r="B274" i="8"/>
  <c r="A274" i="8"/>
  <c r="H273" i="8"/>
  <c r="G273" i="8"/>
  <c r="F273" i="8"/>
  <c r="E273" i="8"/>
  <c r="D273" i="8"/>
  <c r="C273" i="8"/>
  <c r="B273" i="8"/>
  <c r="A273" i="8"/>
  <c r="H272" i="8"/>
  <c r="G272" i="8"/>
  <c r="F272" i="8"/>
  <c r="E272" i="8"/>
  <c r="D272" i="8"/>
  <c r="C272" i="8"/>
  <c r="B272" i="8"/>
  <c r="A272" i="8"/>
  <c r="H271" i="8"/>
  <c r="G271" i="8"/>
  <c r="F271" i="8"/>
  <c r="E271" i="8"/>
  <c r="D271" i="8"/>
  <c r="C271" i="8"/>
  <c r="B271" i="8"/>
  <c r="A271" i="8"/>
  <c r="AT270" i="8"/>
  <c r="AF270" i="8"/>
  <c r="R270" i="8"/>
  <c r="H270" i="8"/>
  <c r="G270" i="8"/>
  <c r="F270" i="8"/>
  <c r="E270" i="8"/>
  <c r="D270" i="8"/>
  <c r="C270" i="8"/>
  <c r="B270" i="8"/>
  <c r="A270" i="8"/>
  <c r="H269" i="8"/>
  <c r="G269" i="8"/>
  <c r="F269" i="8"/>
  <c r="E269" i="8"/>
  <c r="D269" i="8"/>
  <c r="C269" i="8"/>
  <c r="B269" i="8"/>
  <c r="A269" i="8"/>
  <c r="H268" i="8"/>
  <c r="G268" i="8"/>
  <c r="F268" i="8"/>
  <c r="E268" i="8"/>
  <c r="D268" i="8"/>
  <c r="C268" i="8"/>
  <c r="B268" i="8"/>
  <c r="A268" i="8"/>
  <c r="H267" i="8"/>
  <c r="G267" i="8"/>
  <c r="F267" i="8"/>
  <c r="E267" i="8"/>
  <c r="D267" i="8"/>
  <c r="C267" i="8"/>
  <c r="B267" i="8"/>
  <c r="A267" i="8"/>
  <c r="H266" i="8"/>
  <c r="G266" i="8"/>
  <c r="F266" i="8"/>
  <c r="E266" i="8"/>
  <c r="D266" i="8"/>
  <c r="C266" i="8"/>
  <c r="B266" i="8"/>
  <c r="A266" i="8"/>
  <c r="AT265" i="8"/>
  <c r="AF265" i="8"/>
  <c r="R265" i="8"/>
  <c r="H265" i="8"/>
  <c r="G265" i="8"/>
  <c r="F265" i="8"/>
  <c r="E265" i="8"/>
  <c r="D265" i="8"/>
  <c r="C265" i="8"/>
  <c r="B265" i="8"/>
  <c r="A265" i="8"/>
  <c r="H264" i="8"/>
  <c r="G264" i="8"/>
  <c r="F264" i="8"/>
  <c r="E264" i="8"/>
  <c r="D264" i="8"/>
  <c r="C264" i="8"/>
  <c r="B264" i="8"/>
  <c r="A264" i="8"/>
  <c r="H263" i="8"/>
  <c r="G263" i="8"/>
  <c r="F263" i="8"/>
  <c r="E263" i="8"/>
  <c r="D263" i="8"/>
  <c r="C263" i="8"/>
  <c r="B263" i="8"/>
  <c r="A263" i="8"/>
  <c r="H262" i="8"/>
  <c r="G262" i="8"/>
  <c r="F262" i="8"/>
  <c r="E262" i="8"/>
  <c r="D262" i="8"/>
  <c r="C262" i="8"/>
  <c r="B262" i="8"/>
  <c r="A262" i="8"/>
  <c r="H261" i="8"/>
  <c r="G261" i="8"/>
  <c r="F261" i="8"/>
  <c r="E261" i="8"/>
  <c r="D261" i="8"/>
  <c r="C261" i="8"/>
  <c r="B261" i="8"/>
  <c r="A261" i="8"/>
  <c r="AT260" i="8"/>
  <c r="AF260" i="8"/>
  <c r="R260" i="8"/>
  <c r="H260" i="8"/>
  <c r="G260" i="8"/>
  <c r="F260" i="8"/>
  <c r="E260" i="8"/>
  <c r="D260" i="8"/>
  <c r="C260" i="8"/>
  <c r="B260" i="8"/>
  <c r="A260" i="8"/>
  <c r="H259" i="8"/>
  <c r="G259" i="8"/>
  <c r="F259" i="8"/>
  <c r="E259" i="8"/>
  <c r="D259" i="8"/>
  <c r="C259" i="8"/>
  <c r="B259" i="8"/>
  <c r="A259" i="8"/>
  <c r="H258" i="8"/>
  <c r="G258" i="8"/>
  <c r="F258" i="8"/>
  <c r="E258" i="8"/>
  <c r="D258" i="8"/>
  <c r="C258" i="8"/>
  <c r="B258" i="8"/>
  <c r="A258" i="8"/>
  <c r="H257" i="8"/>
  <c r="G257" i="8"/>
  <c r="F257" i="8"/>
  <c r="E257" i="8"/>
  <c r="D257" i="8"/>
  <c r="C257" i="8"/>
  <c r="B257" i="8"/>
  <c r="A257" i="8"/>
  <c r="H256" i="8"/>
  <c r="G256" i="8"/>
  <c r="F256" i="8"/>
  <c r="E256" i="8"/>
  <c r="D256" i="8"/>
  <c r="C256" i="8"/>
  <c r="B256" i="8"/>
  <c r="A256" i="8"/>
  <c r="AT255" i="8"/>
  <c r="AF255" i="8"/>
  <c r="R255" i="8"/>
  <c r="H255" i="8"/>
  <c r="G255" i="8"/>
  <c r="F255" i="8"/>
  <c r="E255" i="8"/>
  <c r="D255" i="8"/>
  <c r="C255" i="8"/>
  <c r="B255" i="8"/>
  <c r="A255" i="8"/>
  <c r="H254" i="8"/>
  <c r="G254" i="8"/>
  <c r="F254" i="8"/>
  <c r="E254" i="8"/>
  <c r="D254" i="8"/>
  <c r="C254" i="8"/>
  <c r="B254" i="8"/>
  <c r="A254" i="8"/>
  <c r="H253" i="8"/>
  <c r="G253" i="8"/>
  <c r="F253" i="8"/>
  <c r="E253" i="8"/>
  <c r="D253" i="8"/>
  <c r="C253" i="8"/>
  <c r="B253" i="8"/>
  <c r="A253" i="8"/>
  <c r="H252" i="8"/>
  <c r="G252" i="8"/>
  <c r="F252" i="8"/>
  <c r="E252" i="8"/>
  <c r="D252" i="8"/>
  <c r="C252" i="8"/>
  <c r="B252" i="8"/>
  <c r="A252" i="8"/>
  <c r="H251" i="8"/>
  <c r="G251" i="8"/>
  <c r="F251" i="8"/>
  <c r="E251" i="8"/>
  <c r="D251" i="8"/>
  <c r="C251" i="8"/>
  <c r="B251" i="8"/>
  <c r="A251" i="8"/>
  <c r="AT250" i="8"/>
  <c r="AF250" i="8"/>
  <c r="R250" i="8"/>
  <c r="H250" i="8"/>
  <c r="G250" i="8"/>
  <c r="F250" i="8"/>
  <c r="E250" i="8"/>
  <c r="D250" i="8"/>
  <c r="C250" i="8"/>
  <c r="B250" i="8"/>
  <c r="A250" i="8"/>
  <c r="H249" i="8"/>
  <c r="G249" i="8"/>
  <c r="F249" i="8"/>
  <c r="E249" i="8"/>
  <c r="D249" i="8"/>
  <c r="C249" i="8"/>
  <c r="B249" i="8"/>
  <c r="A249" i="8"/>
  <c r="H248" i="8"/>
  <c r="G248" i="8"/>
  <c r="F248" i="8"/>
  <c r="E248" i="8"/>
  <c r="D248" i="8"/>
  <c r="C248" i="8"/>
  <c r="B248" i="8"/>
  <c r="A248" i="8"/>
  <c r="H247" i="8"/>
  <c r="G247" i="8"/>
  <c r="F247" i="8"/>
  <c r="E247" i="8"/>
  <c r="D247" i="8"/>
  <c r="C247" i="8"/>
  <c r="B247" i="8"/>
  <c r="A247" i="8"/>
  <c r="H246" i="8"/>
  <c r="G246" i="8"/>
  <c r="F246" i="8"/>
  <c r="E246" i="8"/>
  <c r="D246" i="8"/>
  <c r="C246" i="8"/>
  <c r="B246" i="8"/>
  <c r="A246" i="8"/>
  <c r="AT245" i="8"/>
  <c r="AF245" i="8"/>
  <c r="R245" i="8"/>
  <c r="H245" i="8"/>
  <c r="G245" i="8"/>
  <c r="F245" i="8"/>
  <c r="E245" i="8"/>
  <c r="D245" i="8"/>
  <c r="C245" i="8"/>
  <c r="B245" i="8"/>
  <c r="A245" i="8"/>
  <c r="H244" i="8"/>
  <c r="G244" i="8"/>
  <c r="F244" i="8"/>
  <c r="E244" i="8"/>
  <c r="D244" i="8"/>
  <c r="C244" i="8"/>
  <c r="B244" i="8"/>
  <c r="A244" i="8"/>
  <c r="H243" i="8"/>
  <c r="G243" i="8"/>
  <c r="F243" i="8"/>
  <c r="E243" i="8"/>
  <c r="D243" i="8"/>
  <c r="C243" i="8"/>
  <c r="B243" i="8"/>
  <c r="A243" i="8"/>
  <c r="H242" i="8"/>
  <c r="G242" i="8"/>
  <c r="F242" i="8"/>
  <c r="E242" i="8"/>
  <c r="D242" i="8"/>
  <c r="C242" i="8"/>
  <c r="B242" i="8"/>
  <c r="A242" i="8"/>
  <c r="H241" i="8"/>
  <c r="G241" i="8"/>
  <c r="F241" i="8"/>
  <c r="E241" i="8"/>
  <c r="D241" i="8"/>
  <c r="C241" i="8"/>
  <c r="B241" i="8"/>
  <c r="A241" i="8"/>
  <c r="AT240" i="8"/>
  <c r="AF240" i="8"/>
  <c r="R240" i="8"/>
  <c r="H240" i="8"/>
  <c r="G240" i="8"/>
  <c r="F240" i="8"/>
  <c r="E240" i="8"/>
  <c r="D240" i="8"/>
  <c r="C240" i="8"/>
  <c r="B240" i="8"/>
  <c r="A240" i="8"/>
  <c r="H239" i="8"/>
  <c r="G239" i="8"/>
  <c r="F239" i="8"/>
  <c r="E239" i="8"/>
  <c r="D239" i="8"/>
  <c r="C239" i="8"/>
  <c r="B239" i="8"/>
  <c r="A239" i="8"/>
  <c r="H238" i="8"/>
  <c r="G238" i="8"/>
  <c r="F238" i="8"/>
  <c r="E238" i="8"/>
  <c r="D238" i="8"/>
  <c r="C238" i="8"/>
  <c r="B238" i="8"/>
  <c r="A238" i="8"/>
  <c r="H237" i="8"/>
  <c r="G237" i="8"/>
  <c r="F237" i="8"/>
  <c r="E237" i="8"/>
  <c r="D237" i="8"/>
  <c r="C237" i="8"/>
  <c r="B237" i="8"/>
  <c r="A237" i="8"/>
  <c r="H236" i="8"/>
  <c r="G236" i="8"/>
  <c r="F236" i="8"/>
  <c r="E236" i="8"/>
  <c r="D236" i="8"/>
  <c r="C236" i="8"/>
  <c r="B236" i="8"/>
  <c r="A236" i="8"/>
  <c r="AT235" i="8"/>
  <c r="AF235" i="8"/>
  <c r="R235" i="8"/>
  <c r="H235" i="8"/>
  <c r="G235" i="8"/>
  <c r="F235" i="8"/>
  <c r="E235" i="8"/>
  <c r="D235" i="8"/>
  <c r="C235" i="8"/>
  <c r="B235" i="8"/>
  <c r="A235" i="8"/>
  <c r="H234" i="8"/>
  <c r="G234" i="8"/>
  <c r="F234" i="8"/>
  <c r="E234" i="8"/>
  <c r="D234" i="8"/>
  <c r="C234" i="8"/>
  <c r="B234" i="8"/>
  <c r="A234" i="8"/>
  <c r="H233" i="8"/>
  <c r="G233" i="8"/>
  <c r="F233" i="8"/>
  <c r="E233" i="8"/>
  <c r="D233" i="8"/>
  <c r="C233" i="8"/>
  <c r="B233" i="8"/>
  <c r="A233" i="8"/>
  <c r="H232" i="8"/>
  <c r="G232" i="8"/>
  <c r="F232" i="8"/>
  <c r="E232" i="8"/>
  <c r="D232" i="8"/>
  <c r="C232" i="8"/>
  <c r="B232" i="8"/>
  <c r="A232" i="8"/>
  <c r="H231" i="8"/>
  <c r="G231" i="8"/>
  <c r="F231" i="8"/>
  <c r="E231" i="8"/>
  <c r="D231" i="8"/>
  <c r="C231" i="8"/>
  <c r="B231" i="8"/>
  <c r="A231" i="8"/>
  <c r="AT230" i="8"/>
  <c r="AF230" i="8"/>
  <c r="R230" i="8"/>
  <c r="H230" i="8"/>
  <c r="G230" i="8"/>
  <c r="F230" i="8"/>
  <c r="E230" i="8"/>
  <c r="D230" i="8"/>
  <c r="C230" i="8"/>
  <c r="B230" i="8"/>
  <c r="A230" i="8"/>
  <c r="H229" i="8"/>
  <c r="G229" i="8"/>
  <c r="F229" i="8"/>
  <c r="E229" i="8"/>
  <c r="D229" i="8"/>
  <c r="C229" i="8"/>
  <c r="B229" i="8"/>
  <c r="A229" i="8"/>
  <c r="H228" i="8"/>
  <c r="G228" i="8"/>
  <c r="F228" i="8"/>
  <c r="E228" i="8"/>
  <c r="D228" i="8"/>
  <c r="C228" i="8"/>
  <c r="B228" i="8"/>
  <c r="A228" i="8"/>
  <c r="H227" i="8"/>
  <c r="G227" i="8"/>
  <c r="F227" i="8"/>
  <c r="E227" i="8"/>
  <c r="D227" i="8"/>
  <c r="C227" i="8"/>
  <c r="B227" i="8"/>
  <c r="A227" i="8"/>
  <c r="H226" i="8"/>
  <c r="G226" i="8"/>
  <c r="F226" i="8"/>
  <c r="E226" i="8"/>
  <c r="D226" i="8"/>
  <c r="C226" i="8"/>
  <c r="B226" i="8"/>
  <c r="A226" i="8"/>
  <c r="AT225" i="8"/>
  <c r="AF225" i="8"/>
  <c r="R225" i="8"/>
  <c r="H225" i="8"/>
  <c r="G225" i="8"/>
  <c r="F225" i="8"/>
  <c r="E225" i="8"/>
  <c r="D225" i="8"/>
  <c r="C225" i="8"/>
  <c r="B225" i="8"/>
  <c r="A225" i="8"/>
  <c r="H224" i="8"/>
  <c r="G224" i="8"/>
  <c r="F224" i="8"/>
  <c r="E224" i="8"/>
  <c r="D224" i="8"/>
  <c r="C224" i="8"/>
  <c r="B224" i="8"/>
  <c r="A224" i="8"/>
  <c r="H223" i="8"/>
  <c r="G223" i="8"/>
  <c r="F223" i="8"/>
  <c r="E223" i="8"/>
  <c r="D223" i="8"/>
  <c r="C223" i="8"/>
  <c r="B223" i="8"/>
  <c r="A223" i="8"/>
  <c r="H222" i="8"/>
  <c r="G222" i="8"/>
  <c r="F222" i="8"/>
  <c r="E222" i="8"/>
  <c r="D222" i="8"/>
  <c r="C222" i="8"/>
  <c r="B222" i="8"/>
  <c r="A222" i="8"/>
  <c r="H221" i="8"/>
  <c r="G221" i="8"/>
  <c r="F221" i="8"/>
  <c r="E221" i="8"/>
  <c r="D221" i="8"/>
  <c r="C221" i="8"/>
  <c r="B221" i="8"/>
  <c r="A221" i="8"/>
  <c r="AT220" i="8"/>
  <c r="AF220" i="8"/>
  <c r="R220" i="8"/>
  <c r="H220" i="8"/>
  <c r="G220" i="8"/>
  <c r="F220" i="8"/>
  <c r="E220" i="8"/>
  <c r="D220" i="8"/>
  <c r="C220" i="8"/>
  <c r="B220" i="8"/>
  <c r="A220" i="8"/>
  <c r="H219" i="8"/>
  <c r="G219" i="8"/>
  <c r="F219" i="8"/>
  <c r="E219" i="8"/>
  <c r="D219" i="8"/>
  <c r="C219" i="8"/>
  <c r="B219" i="8"/>
  <c r="A219" i="8"/>
  <c r="H218" i="8"/>
  <c r="G218" i="8"/>
  <c r="F218" i="8"/>
  <c r="E218" i="8"/>
  <c r="D218" i="8"/>
  <c r="C218" i="8"/>
  <c r="B218" i="8"/>
  <c r="A218" i="8"/>
  <c r="H217" i="8"/>
  <c r="G217" i="8"/>
  <c r="F217" i="8"/>
  <c r="E217" i="8"/>
  <c r="D217" i="8"/>
  <c r="C217" i="8"/>
  <c r="B217" i="8"/>
  <c r="A217" i="8"/>
  <c r="H216" i="8"/>
  <c r="G216" i="8"/>
  <c r="F216" i="8"/>
  <c r="E216" i="8"/>
  <c r="D216" i="8"/>
  <c r="C216" i="8"/>
  <c r="B216" i="8"/>
  <c r="A216" i="8"/>
  <c r="AT215" i="8"/>
  <c r="AF215" i="8"/>
  <c r="R215" i="8"/>
  <c r="H215" i="8"/>
  <c r="G215" i="8"/>
  <c r="F215" i="8"/>
  <c r="E215" i="8"/>
  <c r="D215" i="8"/>
  <c r="C215" i="8"/>
  <c r="B215" i="8"/>
  <c r="A215" i="8"/>
  <c r="H214" i="8"/>
  <c r="G214" i="8"/>
  <c r="F214" i="8"/>
  <c r="E214" i="8"/>
  <c r="D214" i="8"/>
  <c r="C214" i="8"/>
  <c r="B214" i="8"/>
  <c r="A214" i="8"/>
  <c r="H213" i="8"/>
  <c r="G213" i="8"/>
  <c r="F213" i="8"/>
  <c r="E213" i="8"/>
  <c r="D213" i="8"/>
  <c r="C213" i="8"/>
  <c r="B213" i="8"/>
  <c r="A213" i="8"/>
  <c r="H212" i="8"/>
  <c r="G212" i="8"/>
  <c r="F212" i="8"/>
  <c r="E212" i="8"/>
  <c r="D212" i="8"/>
  <c r="C212" i="8"/>
  <c r="B212" i="8"/>
  <c r="A212" i="8"/>
  <c r="H211" i="8"/>
  <c r="G211" i="8"/>
  <c r="F211" i="8"/>
  <c r="E211" i="8"/>
  <c r="D211" i="8"/>
  <c r="C211" i="8"/>
  <c r="B211" i="8"/>
  <c r="A211" i="8"/>
  <c r="AT210" i="8"/>
  <c r="AF210" i="8"/>
  <c r="R210" i="8"/>
  <c r="H210" i="8"/>
  <c r="G210" i="8"/>
  <c r="F210" i="8"/>
  <c r="E210" i="8"/>
  <c r="D210" i="8"/>
  <c r="C210" i="8"/>
  <c r="B210" i="8"/>
  <c r="A210" i="8"/>
  <c r="H209" i="8"/>
  <c r="G209" i="8"/>
  <c r="F209" i="8"/>
  <c r="E209" i="8"/>
  <c r="D209" i="8"/>
  <c r="C209" i="8"/>
  <c r="B209" i="8"/>
  <c r="A209" i="8"/>
  <c r="H208" i="8"/>
  <c r="G208" i="8"/>
  <c r="F208" i="8"/>
  <c r="E208" i="8"/>
  <c r="D208" i="8"/>
  <c r="C208" i="8"/>
  <c r="B208" i="8"/>
  <c r="A208" i="8"/>
  <c r="H207" i="8"/>
  <c r="G207" i="8"/>
  <c r="F207" i="8"/>
  <c r="E207" i="8"/>
  <c r="D207" i="8"/>
  <c r="C207" i="8"/>
  <c r="B207" i="8"/>
  <c r="A207" i="8"/>
  <c r="H206" i="8"/>
  <c r="G206" i="8"/>
  <c r="F206" i="8"/>
  <c r="E206" i="8"/>
  <c r="D206" i="8"/>
  <c r="C206" i="8"/>
  <c r="B206" i="8"/>
  <c r="A206" i="8"/>
  <c r="AT205" i="8"/>
  <c r="AF205" i="8"/>
  <c r="R205" i="8"/>
  <c r="H205" i="8"/>
  <c r="G205" i="8"/>
  <c r="F205" i="8"/>
  <c r="E205" i="8"/>
  <c r="D205" i="8"/>
  <c r="C205" i="8"/>
  <c r="B205" i="8"/>
  <c r="A205" i="8"/>
  <c r="H204" i="8"/>
  <c r="G204" i="8"/>
  <c r="F204" i="8"/>
  <c r="E204" i="8"/>
  <c r="D204" i="8"/>
  <c r="C204" i="8"/>
  <c r="B204" i="8"/>
  <c r="A204" i="8"/>
  <c r="H203" i="8"/>
  <c r="G203" i="8"/>
  <c r="F203" i="8"/>
  <c r="E203" i="8"/>
  <c r="D203" i="8"/>
  <c r="C203" i="8"/>
  <c r="B203" i="8"/>
  <c r="A203" i="8"/>
  <c r="H202" i="8"/>
  <c r="G202" i="8"/>
  <c r="F202" i="8"/>
  <c r="E202" i="8"/>
  <c r="D202" i="8"/>
  <c r="C202" i="8"/>
  <c r="B202" i="8"/>
  <c r="A202" i="8"/>
  <c r="H201" i="8"/>
  <c r="G201" i="8"/>
  <c r="F201" i="8"/>
  <c r="E201" i="8"/>
  <c r="D201" i="8"/>
  <c r="C201" i="8"/>
  <c r="B201" i="8"/>
  <c r="A201" i="8"/>
  <c r="AT200" i="8"/>
  <c r="AF200" i="8"/>
  <c r="R200" i="8"/>
  <c r="H200" i="8"/>
  <c r="G200" i="8"/>
  <c r="F200" i="8"/>
  <c r="E200" i="8"/>
  <c r="D200" i="8"/>
  <c r="C200" i="8"/>
  <c r="B200" i="8"/>
  <c r="A200" i="8"/>
  <c r="H199" i="8"/>
  <c r="G199" i="8"/>
  <c r="F199" i="8"/>
  <c r="E199" i="8"/>
  <c r="D199" i="8"/>
  <c r="C199" i="8"/>
  <c r="B199" i="8"/>
  <c r="A199" i="8"/>
  <c r="H198" i="8"/>
  <c r="G198" i="8"/>
  <c r="F198" i="8"/>
  <c r="E198" i="8"/>
  <c r="D198" i="8"/>
  <c r="C198" i="8"/>
  <c r="B198" i="8"/>
  <c r="A198" i="8"/>
  <c r="H197" i="8"/>
  <c r="G197" i="8"/>
  <c r="F197" i="8"/>
  <c r="E197" i="8"/>
  <c r="D197" i="8"/>
  <c r="C197" i="8"/>
  <c r="B197" i="8"/>
  <c r="A197" i="8"/>
  <c r="H196" i="8"/>
  <c r="G196" i="8"/>
  <c r="F196" i="8"/>
  <c r="E196" i="8"/>
  <c r="D196" i="8"/>
  <c r="C196" i="8"/>
  <c r="B196" i="8"/>
  <c r="A196" i="8"/>
  <c r="AT195" i="8"/>
  <c r="AF195" i="8"/>
  <c r="R195" i="8"/>
  <c r="H195" i="8"/>
  <c r="G195" i="8"/>
  <c r="F195" i="8"/>
  <c r="E195" i="8"/>
  <c r="D195" i="8"/>
  <c r="C195" i="8"/>
  <c r="B195" i="8"/>
  <c r="A195" i="8"/>
  <c r="H194" i="8"/>
  <c r="G194" i="8"/>
  <c r="F194" i="8"/>
  <c r="E194" i="8"/>
  <c r="D194" i="8"/>
  <c r="C194" i="8"/>
  <c r="B194" i="8"/>
  <c r="A194" i="8"/>
  <c r="H193" i="8"/>
  <c r="G193" i="8"/>
  <c r="F193" i="8"/>
  <c r="E193" i="8"/>
  <c r="D193" i="8"/>
  <c r="C193" i="8"/>
  <c r="B193" i="8"/>
  <c r="A193" i="8"/>
  <c r="H192" i="8"/>
  <c r="G192" i="8"/>
  <c r="F192" i="8"/>
  <c r="E192" i="8"/>
  <c r="D192" i="8"/>
  <c r="C192" i="8"/>
  <c r="B192" i="8"/>
  <c r="A192" i="8"/>
  <c r="H191" i="8"/>
  <c r="G191" i="8"/>
  <c r="F191" i="8"/>
  <c r="E191" i="8"/>
  <c r="D191" i="8"/>
  <c r="C191" i="8"/>
  <c r="B191" i="8"/>
  <c r="A191" i="8"/>
  <c r="AT190" i="8"/>
  <c r="AF190" i="8"/>
  <c r="R190" i="8"/>
  <c r="H190" i="8"/>
  <c r="G190" i="8"/>
  <c r="F190" i="8"/>
  <c r="E190" i="8"/>
  <c r="D190" i="8"/>
  <c r="C190" i="8"/>
  <c r="B190" i="8"/>
  <c r="A190" i="8"/>
  <c r="H189" i="8"/>
  <c r="G189" i="8"/>
  <c r="F189" i="8"/>
  <c r="E189" i="8"/>
  <c r="D189" i="8"/>
  <c r="C189" i="8"/>
  <c r="B189" i="8"/>
  <c r="A189" i="8"/>
  <c r="H188" i="8"/>
  <c r="G188" i="8"/>
  <c r="F188" i="8"/>
  <c r="E188" i="8"/>
  <c r="D188" i="8"/>
  <c r="C188" i="8"/>
  <c r="B188" i="8"/>
  <c r="A188" i="8"/>
  <c r="H187" i="8"/>
  <c r="G187" i="8"/>
  <c r="F187" i="8"/>
  <c r="E187" i="8"/>
  <c r="D187" i="8"/>
  <c r="C187" i="8"/>
  <c r="B187" i="8"/>
  <c r="A187" i="8"/>
  <c r="H186" i="8"/>
  <c r="G186" i="8"/>
  <c r="F186" i="8"/>
  <c r="E186" i="8"/>
  <c r="D186" i="8"/>
  <c r="C186" i="8"/>
  <c r="B186" i="8"/>
  <c r="A186" i="8"/>
  <c r="AT185" i="8"/>
  <c r="AF185" i="8"/>
  <c r="R185" i="8"/>
  <c r="H185" i="8"/>
  <c r="G185" i="8"/>
  <c r="F185" i="8"/>
  <c r="E185" i="8"/>
  <c r="D185" i="8"/>
  <c r="C185" i="8"/>
  <c r="B185" i="8"/>
  <c r="A185" i="8"/>
  <c r="H184" i="8"/>
  <c r="G184" i="8"/>
  <c r="F184" i="8"/>
  <c r="E184" i="8"/>
  <c r="D184" i="8"/>
  <c r="C184" i="8"/>
  <c r="B184" i="8"/>
  <c r="A184" i="8"/>
  <c r="H183" i="8"/>
  <c r="G183" i="8"/>
  <c r="F183" i="8"/>
  <c r="E183" i="8"/>
  <c r="D183" i="8"/>
  <c r="C183" i="8"/>
  <c r="B183" i="8"/>
  <c r="A183" i="8"/>
  <c r="H182" i="8"/>
  <c r="G182" i="8"/>
  <c r="F182" i="8"/>
  <c r="E182" i="8"/>
  <c r="D182" i="8"/>
  <c r="C182" i="8"/>
  <c r="B182" i="8"/>
  <c r="A182" i="8"/>
  <c r="H181" i="8"/>
  <c r="G181" i="8"/>
  <c r="F181" i="8"/>
  <c r="E181" i="8"/>
  <c r="D181" i="8"/>
  <c r="C181" i="8"/>
  <c r="B181" i="8"/>
  <c r="A181" i="8"/>
  <c r="AT180" i="8"/>
  <c r="AF180" i="8"/>
  <c r="R180" i="8"/>
  <c r="H180" i="8"/>
  <c r="G180" i="8"/>
  <c r="F180" i="8"/>
  <c r="E180" i="8"/>
  <c r="D180" i="8"/>
  <c r="C180" i="8"/>
  <c r="B180" i="8"/>
  <c r="A180" i="8"/>
  <c r="H179" i="8"/>
  <c r="G179" i="8"/>
  <c r="F179" i="8"/>
  <c r="E179" i="8"/>
  <c r="D179" i="8"/>
  <c r="C179" i="8"/>
  <c r="B179" i="8"/>
  <c r="A179" i="8"/>
  <c r="H178" i="8"/>
  <c r="G178" i="8"/>
  <c r="F178" i="8"/>
  <c r="E178" i="8"/>
  <c r="D178" i="8"/>
  <c r="C178" i="8"/>
  <c r="B178" i="8"/>
  <c r="A178" i="8"/>
  <c r="H177" i="8"/>
  <c r="G177" i="8"/>
  <c r="F177" i="8"/>
  <c r="E177" i="8"/>
  <c r="D177" i="8"/>
  <c r="C177" i="8"/>
  <c r="B177" i="8"/>
  <c r="A177" i="8"/>
  <c r="H176" i="8"/>
  <c r="G176" i="8"/>
  <c r="F176" i="8"/>
  <c r="E176" i="8"/>
  <c r="D176" i="8"/>
  <c r="C176" i="8"/>
  <c r="B176" i="8"/>
  <c r="A176" i="8"/>
  <c r="AT175" i="8"/>
  <c r="AF175" i="8"/>
  <c r="R175" i="8"/>
  <c r="H175" i="8"/>
  <c r="G175" i="8"/>
  <c r="F175" i="8"/>
  <c r="E175" i="8"/>
  <c r="D175" i="8"/>
  <c r="C175" i="8"/>
  <c r="B175" i="8"/>
  <c r="A175" i="8"/>
  <c r="H174" i="8"/>
  <c r="G174" i="8"/>
  <c r="F174" i="8"/>
  <c r="E174" i="8"/>
  <c r="D174" i="8"/>
  <c r="C174" i="8"/>
  <c r="B174" i="8"/>
  <c r="A174" i="8"/>
  <c r="H173" i="8"/>
  <c r="G173" i="8"/>
  <c r="F173" i="8"/>
  <c r="E173" i="8"/>
  <c r="D173" i="8"/>
  <c r="C173" i="8"/>
  <c r="B173" i="8"/>
  <c r="A173" i="8"/>
  <c r="H172" i="8"/>
  <c r="G172" i="8"/>
  <c r="F172" i="8"/>
  <c r="E172" i="8"/>
  <c r="D172" i="8"/>
  <c r="C172" i="8"/>
  <c r="B172" i="8"/>
  <c r="A172" i="8"/>
  <c r="H171" i="8"/>
  <c r="G171" i="8"/>
  <c r="F171" i="8"/>
  <c r="E171" i="8"/>
  <c r="D171" i="8"/>
  <c r="C171" i="8"/>
  <c r="B171" i="8"/>
  <c r="A171" i="8"/>
  <c r="AT170" i="8"/>
  <c r="AF170" i="8"/>
  <c r="R170" i="8"/>
  <c r="H170" i="8"/>
  <c r="G170" i="8"/>
  <c r="F170" i="8"/>
  <c r="E170" i="8"/>
  <c r="D170" i="8"/>
  <c r="C170" i="8"/>
  <c r="B170" i="8"/>
  <c r="A170" i="8"/>
  <c r="H169" i="8"/>
  <c r="G169" i="8"/>
  <c r="F169" i="8"/>
  <c r="E169" i="8"/>
  <c r="D169" i="8"/>
  <c r="C169" i="8"/>
  <c r="B169" i="8"/>
  <c r="A169" i="8"/>
  <c r="H168" i="8"/>
  <c r="G168" i="8"/>
  <c r="F168" i="8"/>
  <c r="E168" i="8"/>
  <c r="D168" i="8"/>
  <c r="C168" i="8"/>
  <c r="B168" i="8"/>
  <c r="A168" i="8"/>
  <c r="H167" i="8"/>
  <c r="G167" i="8"/>
  <c r="F167" i="8"/>
  <c r="E167" i="8"/>
  <c r="D167" i="8"/>
  <c r="C167" i="8"/>
  <c r="B167" i="8"/>
  <c r="A167" i="8"/>
  <c r="H166" i="8"/>
  <c r="G166" i="8"/>
  <c r="F166" i="8"/>
  <c r="E166" i="8"/>
  <c r="D166" i="8"/>
  <c r="C166" i="8"/>
  <c r="B166" i="8"/>
  <c r="A166" i="8"/>
  <c r="AT165" i="8"/>
  <c r="AF165" i="8"/>
  <c r="R165" i="8"/>
  <c r="H165" i="8"/>
  <c r="G165" i="8"/>
  <c r="F165" i="8"/>
  <c r="E165" i="8"/>
  <c r="D165" i="8"/>
  <c r="C165" i="8"/>
  <c r="B165" i="8"/>
  <c r="A165" i="8"/>
  <c r="H164" i="8"/>
  <c r="G164" i="8"/>
  <c r="F164" i="8"/>
  <c r="E164" i="8"/>
  <c r="D164" i="8"/>
  <c r="C164" i="8"/>
  <c r="B164" i="8"/>
  <c r="A164" i="8"/>
  <c r="H163" i="8"/>
  <c r="G163" i="8"/>
  <c r="F163" i="8"/>
  <c r="E163" i="8"/>
  <c r="D163" i="8"/>
  <c r="C163" i="8"/>
  <c r="B163" i="8"/>
  <c r="A163" i="8"/>
  <c r="H162" i="8"/>
  <c r="G162" i="8"/>
  <c r="F162" i="8"/>
  <c r="E162" i="8"/>
  <c r="D162" i="8"/>
  <c r="C162" i="8"/>
  <c r="B162" i="8"/>
  <c r="A162" i="8"/>
  <c r="H161" i="8"/>
  <c r="G161" i="8"/>
  <c r="F161" i="8"/>
  <c r="E161" i="8"/>
  <c r="D161" i="8"/>
  <c r="C161" i="8"/>
  <c r="B161" i="8"/>
  <c r="A161" i="8"/>
  <c r="AT160" i="8"/>
  <c r="AF160" i="8"/>
  <c r="R160" i="8"/>
  <c r="H160" i="8"/>
  <c r="G160" i="8"/>
  <c r="F160" i="8"/>
  <c r="E160" i="8"/>
  <c r="D160" i="8"/>
  <c r="C160" i="8"/>
  <c r="B160" i="8"/>
  <c r="A160" i="8"/>
  <c r="H159" i="8"/>
  <c r="G159" i="8"/>
  <c r="F159" i="8"/>
  <c r="E159" i="8"/>
  <c r="D159" i="8"/>
  <c r="C159" i="8"/>
  <c r="B159" i="8"/>
  <c r="A159" i="8"/>
  <c r="H158" i="8"/>
  <c r="G158" i="8"/>
  <c r="F158" i="8"/>
  <c r="E158" i="8"/>
  <c r="D158" i="8"/>
  <c r="C158" i="8"/>
  <c r="B158" i="8"/>
  <c r="A158" i="8"/>
  <c r="H157" i="8"/>
  <c r="G157" i="8"/>
  <c r="F157" i="8"/>
  <c r="E157" i="8"/>
  <c r="D157" i="8"/>
  <c r="C157" i="8"/>
  <c r="B157" i="8"/>
  <c r="A157" i="8"/>
  <c r="H156" i="8"/>
  <c r="G156" i="8"/>
  <c r="F156" i="8"/>
  <c r="E156" i="8"/>
  <c r="D156" i="8"/>
  <c r="C156" i="8"/>
  <c r="B156" i="8"/>
  <c r="A156" i="8"/>
  <c r="AT155" i="8"/>
  <c r="AF155" i="8"/>
  <c r="R155" i="8"/>
  <c r="H155" i="8"/>
  <c r="G155" i="8"/>
  <c r="F155" i="8"/>
  <c r="E155" i="8"/>
  <c r="D155" i="8"/>
  <c r="C155" i="8"/>
  <c r="B155" i="8"/>
  <c r="A155" i="8"/>
  <c r="H154" i="8"/>
  <c r="G154" i="8"/>
  <c r="F154" i="8"/>
  <c r="E154" i="8"/>
  <c r="D154" i="8"/>
  <c r="C154" i="8"/>
  <c r="B154" i="8"/>
  <c r="A154" i="8"/>
  <c r="H153" i="8"/>
  <c r="G153" i="8"/>
  <c r="F153" i="8"/>
  <c r="E153" i="8"/>
  <c r="D153" i="8"/>
  <c r="C153" i="8"/>
  <c r="B153" i="8"/>
  <c r="A153" i="8"/>
  <c r="H152" i="8"/>
  <c r="G152" i="8"/>
  <c r="F152" i="8"/>
  <c r="E152" i="8"/>
  <c r="D152" i="8"/>
  <c r="C152" i="8"/>
  <c r="B152" i="8"/>
  <c r="A152" i="8"/>
  <c r="H151" i="8"/>
  <c r="G151" i="8"/>
  <c r="F151" i="8"/>
  <c r="E151" i="8"/>
  <c r="D151" i="8"/>
  <c r="C151" i="8"/>
  <c r="B151" i="8"/>
  <c r="A151" i="8"/>
  <c r="AT150" i="8"/>
  <c r="AF150" i="8"/>
  <c r="R150" i="8"/>
  <c r="H150" i="8"/>
  <c r="G150" i="8"/>
  <c r="F150" i="8"/>
  <c r="E150" i="8"/>
  <c r="D150" i="8"/>
  <c r="C150" i="8"/>
  <c r="B150" i="8"/>
  <c r="A150" i="8"/>
  <c r="H149" i="8"/>
  <c r="G149" i="8"/>
  <c r="F149" i="8"/>
  <c r="E149" i="8"/>
  <c r="D149" i="8"/>
  <c r="C149" i="8"/>
  <c r="B149" i="8"/>
  <c r="A149" i="8"/>
  <c r="H148" i="8"/>
  <c r="G148" i="8"/>
  <c r="F148" i="8"/>
  <c r="E148" i="8"/>
  <c r="D148" i="8"/>
  <c r="C148" i="8"/>
  <c r="B148" i="8"/>
  <c r="A148" i="8"/>
  <c r="H147" i="8"/>
  <c r="G147" i="8"/>
  <c r="F147" i="8"/>
  <c r="E147" i="8"/>
  <c r="D147" i="8"/>
  <c r="C147" i="8"/>
  <c r="B147" i="8"/>
  <c r="A147" i="8"/>
  <c r="H146" i="8"/>
  <c r="G146" i="8"/>
  <c r="F146" i="8"/>
  <c r="E146" i="8"/>
  <c r="D146" i="8"/>
  <c r="C146" i="8"/>
  <c r="B146" i="8"/>
  <c r="A146" i="8"/>
  <c r="AT145" i="8"/>
  <c r="AF145" i="8"/>
  <c r="R145" i="8"/>
  <c r="H145" i="8"/>
  <c r="G145" i="8"/>
  <c r="F145" i="8"/>
  <c r="E145" i="8"/>
  <c r="D145" i="8"/>
  <c r="C145" i="8"/>
  <c r="B145" i="8"/>
  <c r="A145" i="8"/>
  <c r="H144" i="8"/>
  <c r="G144" i="8"/>
  <c r="F144" i="8"/>
  <c r="E144" i="8"/>
  <c r="D144" i="8"/>
  <c r="C144" i="8"/>
  <c r="B144" i="8"/>
  <c r="A144" i="8"/>
  <c r="H143" i="8"/>
  <c r="G143" i="8"/>
  <c r="F143" i="8"/>
  <c r="E143" i="8"/>
  <c r="D143" i="8"/>
  <c r="C143" i="8"/>
  <c r="B143" i="8"/>
  <c r="A143" i="8"/>
  <c r="H142" i="8"/>
  <c r="G142" i="8"/>
  <c r="F142" i="8"/>
  <c r="E142" i="8"/>
  <c r="D142" i="8"/>
  <c r="C142" i="8"/>
  <c r="B142" i="8"/>
  <c r="A142" i="8"/>
  <c r="H141" i="8"/>
  <c r="G141" i="8"/>
  <c r="F141" i="8"/>
  <c r="E141" i="8"/>
  <c r="D141" i="8"/>
  <c r="C141" i="8"/>
  <c r="B141" i="8"/>
  <c r="A141" i="8"/>
  <c r="AT140" i="8"/>
  <c r="AF140" i="8"/>
  <c r="R140" i="8"/>
  <c r="H140" i="8"/>
  <c r="G140" i="8"/>
  <c r="F140" i="8"/>
  <c r="E140" i="8"/>
  <c r="D140" i="8"/>
  <c r="C140" i="8"/>
  <c r="B140" i="8"/>
  <c r="A140" i="8"/>
  <c r="H139" i="8"/>
  <c r="G139" i="8"/>
  <c r="F139" i="8"/>
  <c r="E139" i="8"/>
  <c r="D139" i="8"/>
  <c r="C139" i="8"/>
  <c r="B139" i="8"/>
  <c r="A139" i="8"/>
  <c r="H138" i="8"/>
  <c r="G138" i="8"/>
  <c r="F138" i="8"/>
  <c r="E138" i="8"/>
  <c r="D138" i="8"/>
  <c r="C138" i="8"/>
  <c r="B138" i="8"/>
  <c r="A138" i="8"/>
  <c r="H137" i="8"/>
  <c r="G137" i="8"/>
  <c r="F137" i="8"/>
  <c r="E137" i="8"/>
  <c r="D137" i="8"/>
  <c r="C137" i="8"/>
  <c r="B137" i="8"/>
  <c r="A137" i="8"/>
  <c r="H136" i="8"/>
  <c r="G136" i="8"/>
  <c r="F136" i="8"/>
  <c r="E136" i="8"/>
  <c r="D136" i="8"/>
  <c r="C136" i="8"/>
  <c r="B136" i="8"/>
  <c r="A136" i="8"/>
  <c r="AT135" i="8"/>
  <c r="AF135" i="8"/>
  <c r="R135" i="8"/>
  <c r="H135" i="8"/>
  <c r="G135" i="8"/>
  <c r="F135" i="8"/>
  <c r="E135" i="8"/>
  <c r="D135" i="8"/>
  <c r="C135" i="8"/>
  <c r="B135" i="8"/>
  <c r="A135" i="8"/>
  <c r="H134" i="8"/>
  <c r="G134" i="8"/>
  <c r="F134" i="8"/>
  <c r="E134" i="8"/>
  <c r="D134" i="8"/>
  <c r="C134" i="8"/>
  <c r="B134" i="8"/>
  <c r="A134" i="8"/>
  <c r="H133" i="8"/>
  <c r="G133" i="8"/>
  <c r="F133" i="8"/>
  <c r="E133" i="8"/>
  <c r="D133" i="8"/>
  <c r="C133" i="8"/>
  <c r="B133" i="8"/>
  <c r="A133" i="8"/>
  <c r="H132" i="8"/>
  <c r="G132" i="8"/>
  <c r="F132" i="8"/>
  <c r="E132" i="8"/>
  <c r="D132" i="8"/>
  <c r="C132" i="8"/>
  <c r="B132" i="8"/>
  <c r="A132" i="8"/>
  <c r="H131" i="8"/>
  <c r="G131" i="8"/>
  <c r="F131" i="8"/>
  <c r="E131" i="8"/>
  <c r="D131" i="8"/>
  <c r="C131" i="8"/>
  <c r="B131" i="8"/>
  <c r="A131" i="8"/>
  <c r="AT130" i="8"/>
  <c r="AF130" i="8"/>
  <c r="R130" i="8"/>
  <c r="H130" i="8"/>
  <c r="G130" i="8"/>
  <c r="F130" i="8"/>
  <c r="E130" i="8"/>
  <c r="D130" i="8"/>
  <c r="C130" i="8"/>
  <c r="B130" i="8"/>
  <c r="A130" i="8"/>
  <c r="H129" i="8"/>
  <c r="G129" i="8"/>
  <c r="F129" i="8"/>
  <c r="E129" i="8"/>
  <c r="D129" i="8"/>
  <c r="C129" i="8"/>
  <c r="B129" i="8"/>
  <c r="A129" i="8"/>
  <c r="H128" i="8"/>
  <c r="G128" i="8"/>
  <c r="F128" i="8"/>
  <c r="E128" i="8"/>
  <c r="D128" i="8"/>
  <c r="C128" i="8"/>
  <c r="B128" i="8"/>
  <c r="A128" i="8"/>
  <c r="H127" i="8"/>
  <c r="G127" i="8"/>
  <c r="F127" i="8"/>
  <c r="E127" i="8"/>
  <c r="D127" i="8"/>
  <c r="C127" i="8"/>
  <c r="B127" i="8"/>
  <c r="A127" i="8"/>
  <c r="H126" i="8"/>
  <c r="G126" i="8"/>
  <c r="F126" i="8"/>
  <c r="E126" i="8"/>
  <c r="D126" i="8"/>
  <c r="C126" i="8"/>
  <c r="B126" i="8"/>
  <c r="A126" i="8"/>
  <c r="AT125" i="8"/>
  <c r="AF125" i="8"/>
  <c r="R125" i="8"/>
  <c r="H125" i="8"/>
  <c r="G125" i="8"/>
  <c r="F125" i="8"/>
  <c r="E125" i="8"/>
  <c r="D125" i="8"/>
  <c r="C125" i="8"/>
  <c r="B125" i="8"/>
  <c r="A125" i="8"/>
  <c r="H124" i="8"/>
  <c r="G124" i="8"/>
  <c r="F124" i="8"/>
  <c r="E124" i="8"/>
  <c r="D124" i="8"/>
  <c r="C124" i="8"/>
  <c r="B124" i="8"/>
  <c r="A124" i="8"/>
  <c r="H123" i="8"/>
  <c r="G123" i="8"/>
  <c r="F123" i="8"/>
  <c r="E123" i="8"/>
  <c r="D123" i="8"/>
  <c r="C123" i="8"/>
  <c r="B123" i="8"/>
  <c r="A123" i="8"/>
  <c r="H122" i="8"/>
  <c r="G122" i="8"/>
  <c r="F122" i="8"/>
  <c r="E122" i="8"/>
  <c r="D122" i="8"/>
  <c r="C122" i="8"/>
  <c r="B122" i="8"/>
  <c r="A122" i="8"/>
  <c r="H121" i="8"/>
  <c r="G121" i="8"/>
  <c r="F121" i="8"/>
  <c r="E121" i="8"/>
  <c r="D121" i="8"/>
  <c r="C121" i="8"/>
  <c r="B121" i="8"/>
  <c r="A121" i="8"/>
  <c r="AT120" i="8"/>
  <c r="AF120" i="8"/>
  <c r="R120" i="8"/>
  <c r="H120" i="8"/>
  <c r="G120" i="8"/>
  <c r="F120" i="8"/>
  <c r="E120" i="8"/>
  <c r="D120" i="8"/>
  <c r="C120" i="8"/>
  <c r="B120" i="8"/>
  <c r="A120" i="8"/>
  <c r="H119" i="8"/>
  <c r="G119" i="8"/>
  <c r="F119" i="8"/>
  <c r="E119" i="8"/>
  <c r="D119" i="8"/>
  <c r="C119" i="8"/>
  <c r="B119" i="8"/>
  <c r="A119" i="8"/>
  <c r="H118" i="8"/>
  <c r="G118" i="8"/>
  <c r="F118" i="8"/>
  <c r="E118" i="8"/>
  <c r="D118" i="8"/>
  <c r="C118" i="8"/>
  <c r="B118" i="8"/>
  <c r="A118" i="8"/>
  <c r="H117" i="8"/>
  <c r="G117" i="8"/>
  <c r="F117" i="8"/>
  <c r="E117" i="8"/>
  <c r="D117" i="8"/>
  <c r="C117" i="8"/>
  <c r="B117" i="8"/>
  <c r="A117" i="8"/>
  <c r="H116" i="8"/>
  <c r="G116" i="8"/>
  <c r="F116" i="8"/>
  <c r="E116" i="8"/>
  <c r="D116" i="8"/>
  <c r="C116" i="8"/>
  <c r="B116" i="8"/>
  <c r="A116" i="8"/>
  <c r="AT115" i="8"/>
  <c r="AF115" i="8"/>
  <c r="R115" i="8"/>
  <c r="H115" i="8"/>
  <c r="G115" i="8"/>
  <c r="F115" i="8"/>
  <c r="E115" i="8"/>
  <c r="D115" i="8"/>
  <c r="C115" i="8"/>
  <c r="B115" i="8"/>
  <c r="A115" i="8"/>
  <c r="H114" i="8"/>
  <c r="G114" i="8"/>
  <c r="F114" i="8"/>
  <c r="E114" i="8"/>
  <c r="D114" i="8"/>
  <c r="C114" i="8"/>
  <c r="B114" i="8"/>
  <c r="A114" i="8"/>
  <c r="H113" i="8"/>
  <c r="G113" i="8"/>
  <c r="F113" i="8"/>
  <c r="E113" i="8"/>
  <c r="D113" i="8"/>
  <c r="C113" i="8"/>
  <c r="B113" i="8"/>
  <c r="A113" i="8"/>
  <c r="H112" i="8"/>
  <c r="G112" i="8"/>
  <c r="F112" i="8"/>
  <c r="E112" i="8"/>
  <c r="D112" i="8"/>
  <c r="C112" i="8"/>
  <c r="B112" i="8"/>
  <c r="A112" i="8"/>
  <c r="H111" i="8"/>
  <c r="G111" i="8"/>
  <c r="F111" i="8"/>
  <c r="E111" i="8"/>
  <c r="D111" i="8"/>
  <c r="C111" i="8"/>
  <c r="B111" i="8"/>
  <c r="A111" i="8"/>
  <c r="AT110" i="8"/>
  <c r="AF110" i="8"/>
  <c r="R110" i="8"/>
  <c r="H110" i="8"/>
  <c r="G110" i="8"/>
  <c r="F110" i="8"/>
  <c r="E110" i="8"/>
  <c r="D110" i="8"/>
  <c r="C110" i="8"/>
  <c r="B110" i="8"/>
  <c r="A110" i="8"/>
  <c r="H109" i="8"/>
  <c r="G109" i="8"/>
  <c r="F109" i="8"/>
  <c r="E109" i="8"/>
  <c r="D109" i="8"/>
  <c r="C109" i="8"/>
  <c r="B109" i="8"/>
  <c r="A109" i="8"/>
  <c r="H108" i="8"/>
  <c r="G108" i="8"/>
  <c r="F108" i="8"/>
  <c r="E108" i="8"/>
  <c r="D108" i="8"/>
  <c r="C108" i="8"/>
  <c r="B108" i="8"/>
  <c r="A108" i="8"/>
  <c r="H107" i="8"/>
  <c r="G107" i="8"/>
  <c r="F107" i="8"/>
  <c r="E107" i="8"/>
  <c r="D107" i="8"/>
  <c r="C107" i="8"/>
  <c r="B107" i="8"/>
  <c r="A107" i="8"/>
  <c r="H106" i="8"/>
  <c r="G106" i="8"/>
  <c r="F106" i="8"/>
  <c r="E106" i="8"/>
  <c r="D106" i="8"/>
  <c r="C106" i="8"/>
  <c r="B106" i="8"/>
  <c r="A106" i="8"/>
  <c r="AT105" i="8"/>
  <c r="AF105" i="8"/>
  <c r="R105" i="8"/>
  <c r="H105" i="8"/>
  <c r="G105" i="8"/>
  <c r="F105" i="8"/>
  <c r="E105" i="8"/>
  <c r="D105" i="8"/>
  <c r="C105" i="8"/>
  <c r="B105" i="8"/>
  <c r="A105" i="8"/>
  <c r="H104" i="8"/>
  <c r="G104" i="8"/>
  <c r="F104" i="8"/>
  <c r="E104" i="8"/>
  <c r="D104" i="8"/>
  <c r="C104" i="8"/>
  <c r="B104" i="8"/>
  <c r="A104" i="8"/>
  <c r="H103" i="8"/>
  <c r="G103" i="8"/>
  <c r="F103" i="8"/>
  <c r="E103" i="8"/>
  <c r="D103" i="8"/>
  <c r="C103" i="8"/>
  <c r="B103" i="8"/>
  <c r="A103" i="8"/>
  <c r="H102" i="8"/>
  <c r="G102" i="8"/>
  <c r="F102" i="8"/>
  <c r="E102" i="8"/>
  <c r="D102" i="8"/>
  <c r="C102" i="8"/>
  <c r="B102" i="8"/>
  <c r="A102" i="8"/>
  <c r="H101" i="8"/>
  <c r="G101" i="8"/>
  <c r="F101" i="8"/>
  <c r="E101" i="8"/>
  <c r="D101" i="8"/>
  <c r="C101" i="8"/>
  <c r="B101" i="8"/>
  <c r="A101" i="8"/>
  <c r="AT100" i="8"/>
  <c r="AF100" i="8"/>
  <c r="R100" i="8"/>
  <c r="H100" i="8"/>
  <c r="G100" i="8"/>
  <c r="F100" i="8"/>
  <c r="E100" i="8"/>
  <c r="D100" i="8"/>
  <c r="C100" i="8"/>
  <c r="B100" i="8"/>
  <c r="A100" i="8"/>
  <c r="H99" i="8"/>
  <c r="G99" i="8"/>
  <c r="F99" i="8"/>
  <c r="E99" i="8"/>
  <c r="D99" i="8"/>
  <c r="C99" i="8"/>
  <c r="B99" i="8"/>
  <c r="A99" i="8"/>
  <c r="H98" i="8"/>
  <c r="G98" i="8"/>
  <c r="F98" i="8"/>
  <c r="E98" i="8"/>
  <c r="D98" i="8"/>
  <c r="C98" i="8"/>
  <c r="B98" i="8"/>
  <c r="A98" i="8"/>
  <c r="H97" i="8"/>
  <c r="G97" i="8"/>
  <c r="F97" i="8"/>
  <c r="E97" i="8"/>
  <c r="D97" i="8"/>
  <c r="C97" i="8"/>
  <c r="B97" i="8"/>
  <c r="A97" i="8"/>
  <c r="H96" i="8"/>
  <c r="G96" i="8"/>
  <c r="F96" i="8"/>
  <c r="E96" i="8"/>
  <c r="D96" i="8"/>
  <c r="C96" i="8"/>
  <c r="B96" i="8"/>
  <c r="A96" i="8"/>
  <c r="AT95" i="8"/>
  <c r="AF95" i="8"/>
  <c r="R95" i="8"/>
  <c r="H95" i="8"/>
  <c r="G95" i="8"/>
  <c r="F95" i="8"/>
  <c r="E95" i="8"/>
  <c r="D95" i="8"/>
  <c r="C95" i="8"/>
  <c r="B95" i="8"/>
  <c r="A95" i="8"/>
  <c r="H94" i="8"/>
  <c r="G94" i="8"/>
  <c r="F94" i="8"/>
  <c r="E94" i="8"/>
  <c r="D94" i="8"/>
  <c r="C94" i="8"/>
  <c r="B94" i="8"/>
  <c r="A94" i="8"/>
  <c r="H93" i="8"/>
  <c r="G93" i="8"/>
  <c r="F93" i="8"/>
  <c r="E93" i="8"/>
  <c r="D93" i="8"/>
  <c r="C93" i="8"/>
  <c r="B93" i="8"/>
  <c r="A93" i="8"/>
  <c r="H92" i="8"/>
  <c r="G92" i="8"/>
  <c r="F92" i="8"/>
  <c r="E92" i="8"/>
  <c r="D92" i="8"/>
  <c r="C92" i="8"/>
  <c r="B92" i="8"/>
  <c r="A92" i="8"/>
  <c r="H91" i="8"/>
  <c r="G91" i="8"/>
  <c r="F91" i="8"/>
  <c r="E91" i="8"/>
  <c r="D91" i="8"/>
  <c r="C91" i="8"/>
  <c r="B91" i="8"/>
  <c r="A91" i="8"/>
  <c r="AT90" i="8"/>
  <c r="AF90" i="8"/>
  <c r="R90" i="8"/>
  <c r="H90" i="8"/>
  <c r="G90" i="8"/>
  <c r="F90" i="8"/>
  <c r="E90" i="8"/>
  <c r="D90" i="8"/>
  <c r="C90" i="8"/>
  <c r="B90" i="8"/>
  <c r="A90" i="8"/>
  <c r="H89" i="8"/>
  <c r="G89" i="8"/>
  <c r="F89" i="8"/>
  <c r="E89" i="8"/>
  <c r="D89" i="8"/>
  <c r="C89" i="8"/>
  <c r="B89" i="8"/>
  <c r="A89" i="8"/>
  <c r="H88" i="8"/>
  <c r="G88" i="8"/>
  <c r="F88" i="8"/>
  <c r="E88" i="8"/>
  <c r="D88" i="8"/>
  <c r="C88" i="8"/>
  <c r="B88" i="8"/>
  <c r="A88" i="8"/>
  <c r="H87" i="8"/>
  <c r="G87" i="8"/>
  <c r="F87" i="8"/>
  <c r="E87" i="8"/>
  <c r="D87" i="8"/>
  <c r="C87" i="8"/>
  <c r="B87" i="8"/>
  <c r="A87" i="8"/>
  <c r="H86" i="8"/>
  <c r="G86" i="8"/>
  <c r="F86" i="8"/>
  <c r="E86" i="8"/>
  <c r="D86" i="8"/>
  <c r="C86" i="8"/>
  <c r="B86" i="8"/>
  <c r="A86" i="8"/>
  <c r="AT85" i="8"/>
  <c r="AF85" i="8"/>
  <c r="R85" i="8"/>
  <c r="H85" i="8"/>
  <c r="G85" i="8"/>
  <c r="F85" i="8"/>
  <c r="E85" i="8"/>
  <c r="D85" i="8"/>
  <c r="C85" i="8"/>
  <c r="B85" i="8"/>
  <c r="A85" i="8"/>
  <c r="H84" i="8"/>
  <c r="G84" i="8"/>
  <c r="F84" i="8"/>
  <c r="E84" i="8"/>
  <c r="D84" i="8"/>
  <c r="C84" i="8"/>
  <c r="B84" i="8"/>
  <c r="A84" i="8"/>
  <c r="H83" i="8"/>
  <c r="G83" i="8"/>
  <c r="F83" i="8"/>
  <c r="E83" i="8"/>
  <c r="D83" i="8"/>
  <c r="C83" i="8"/>
  <c r="B83" i="8"/>
  <c r="A83" i="8"/>
  <c r="H82" i="8"/>
  <c r="G82" i="8"/>
  <c r="F82" i="8"/>
  <c r="E82" i="8"/>
  <c r="D82" i="8"/>
  <c r="C82" i="8"/>
  <c r="B82" i="8"/>
  <c r="A82" i="8"/>
  <c r="H81" i="8"/>
  <c r="G81" i="8"/>
  <c r="F81" i="8"/>
  <c r="E81" i="8"/>
  <c r="D81" i="8"/>
  <c r="C81" i="8"/>
  <c r="B81" i="8"/>
  <c r="A81" i="8"/>
  <c r="AT80" i="8"/>
  <c r="AF80" i="8"/>
  <c r="R80" i="8"/>
  <c r="H80" i="8"/>
  <c r="G80" i="8"/>
  <c r="F80" i="8"/>
  <c r="E80" i="8"/>
  <c r="D80" i="8"/>
  <c r="C80" i="8"/>
  <c r="B80" i="8"/>
  <c r="A80" i="8"/>
  <c r="H79" i="8"/>
  <c r="G79" i="8"/>
  <c r="F79" i="8"/>
  <c r="E79" i="8"/>
  <c r="D79" i="8"/>
  <c r="C79" i="8"/>
  <c r="B79" i="8"/>
  <c r="A79" i="8"/>
  <c r="H78" i="8"/>
  <c r="G78" i="8"/>
  <c r="F78" i="8"/>
  <c r="E78" i="8"/>
  <c r="D78" i="8"/>
  <c r="C78" i="8"/>
  <c r="B78" i="8"/>
  <c r="A78" i="8"/>
  <c r="H77" i="8"/>
  <c r="G77" i="8"/>
  <c r="F77" i="8"/>
  <c r="E77" i="8"/>
  <c r="D77" i="8"/>
  <c r="C77" i="8"/>
  <c r="B77" i="8"/>
  <c r="A77" i="8"/>
  <c r="H76" i="8"/>
  <c r="G76" i="8"/>
  <c r="F76" i="8"/>
  <c r="E76" i="8"/>
  <c r="D76" i="8"/>
  <c r="C76" i="8"/>
  <c r="B76" i="8"/>
  <c r="A76" i="8"/>
  <c r="AT75" i="8"/>
  <c r="AF75" i="8"/>
  <c r="R75" i="8"/>
  <c r="H75" i="8"/>
  <c r="G75" i="8"/>
  <c r="F75" i="8"/>
  <c r="E75" i="8"/>
  <c r="D75" i="8"/>
  <c r="C75" i="8"/>
  <c r="B75" i="8"/>
  <c r="A75" i="8"/>
  <c r="H74" i="8"/>
  <c r="G74" i="8"/>
  <c r="F74" i="8"/>
  <c r="E74" i="8"/>
  <c r="D74" i="8"/>
  <c r="C74" i="8"/>
  <c r="B74" i="8"/>
  <c r="A74" i="8"/>
  <c r="H73" i="8"/>
  <c r="G73" i="8"/>
  <c r="F73" i="8"/>
  <c r="E73" i="8"/>
  <c r="D73" i="8"/>
  <c r="C73" i="8"/>
  <c r="B73" i="8"/>
  <c r="A73" i="8"/>
  <c r="H72" i="8"/>
  <c r="G72" i="8"/>
  <c r="F72" i="8"/>
  <c r="E72" i="8"/>
  <c r="D72" i="8"/>
  <c r="C72" i="8"/>
  <c r="B72" i="8"/>
  <c r="A72" i="8"/>
  <c r="H71" i="8"/>
  <c r="G71" i="8"/>
  <c r="F71" i="8"/>
  <c r="E71" i="8"/>
  <c r="D71" i="8"/>
  <c r="C71" i="8"/>
  <c r="B71" i="8"/>
  <c r="A71" i="8"/>
  <c r="AT70" i="8"/>
  <c r="AF70" i="8"/>
  <c r="R70" i="8"/>
  <c r="H70" i="8"/>
  <c r="G70" i="8"/>
  <c r="F70" i="8"/>
  <c r="E70" i="8"/>
  <c r="D70" i="8"/>
  <c r="C70" i="8"/>
  <c r="B70" i="8"/>
  <c r="A70" i="8"/>
  <c r="H69" i="8"/>
  <c r="G69" i="8"/>
  <c r="F69" i="8"/>
  <c r="E69" i="8"/>
  <c r="D69" i="8"/>
  <c r="C69" i="8"/>
  <c r="B69" i="8"/>
  <c r="A69" i="8"/>
  <c r="H68" i="8"/>
  <c r="G68" i="8"/>
  <c r="F68" i="8"/>
  <c r="E68" i="8"/>
  <c r="D68" i="8"/>
  <c r="C68" i="8"/>
  <c r="B68" i="8"/>
  <c r="A68" i="8"/>
  <c r="H67" i="8"/>
  <c r="G67" i="8"/>
  <c r="F67" i="8"/>
  <c r="E67" i="8"/>
  <c r="D67" i="8"/>
  <c r="C67" i="8"/>
  <c r="B67" i="8"/>
  <c r="A67" i="8"/>
  <c r="H66" i="8"/>
  <c r="G66" i="8"/>
  <c r="F66" i="8"/>
  <c r="E66" i="8"/>
  <c r="D66" i="8"/>
  <c r="C66" i="8"/>
  <c r="B66" i="8"/>
  <c r="A66" i="8"/>
  <c r="AT65" i="8"/>
  <c r="AF65" i="8"/>
  <c r="R65" i="8"/>
  <c r="H65" i="8"/>
  <c r="G65" i="8"/>
  <c r="F65" i="8"/>
  <c r="E65" i="8"/>
  <c r="D65" i="8"/>
  <c r="C65" i="8"/>
  <c r="B65" i="8"/>
  <c r="A65" i="8"/>
  <c r="H64" i="8"/>
  <c r="G64" i="8"/>
  <c r="F64" i="8"/>
  <c r="E64" i="8"/>
  <c r="D64" i="8"/>
  <c r="C64" i="8"/>
  <c r="B64" i="8"/>
  <c r="A64" i="8"/>
  <c r="H63" i="8"/>
  <c r="G63" i="8"/>
  <c r="F63" i="8"/>
  <c r="E63" i="8"/>
  <c r="D63" i="8"/>
  <c r="C63" i="8"/>
  <c r="B63" i="8"/>
  <c r="A63" i="8"/>
  <c r="H62" i="8"/>
  <c r="G62" i="8"/>
  <c r="F62" i="8"/>
  <c r="E62" i="8"/>
  <c r="D62" i="8"/>
  <c r="C62" i="8"/>
  <c r="B62" i="8"/>
  <c r="A62" i="8"/>
  <c r="H61" i="8"/>
  <c r="G61" i="8"/>
  <c r="F61" i="8"/>
  <c r="E61" i="8"/>
  <c r="D61" i="8"/>
  <c r="C61" i="8"/>
  <c r="B61" i="8"/>
  <c r="A61" i="8"/>
  <c r="AT60" i="8"/>
  <c r="AF60" i="8"/>
  <c r="R60" i="8"/>
  <c r="H60" i="8"/>
  <c r="G60" i="8"/>
  <c r="F60" i="8"/>
  <c r="E60" i="8"/>
  <c r="D60" i="8"/>
  <c r="C60" i="8"/>
  <c r="B60" i="8"/>
  <c r="A60" i="8"/>
  <c r="H59" i="8"/>
  <c r="G59" i="8"/>
  <c r="F59" i="8"/>
  <c r="E59" i="8"/>
  <c r="D59" i="8"/>
  <c r="C59" i="8"/>
  <c r="B59" i="8"/>
  <c r="A59" i="8"/>
  <c r="H58" i="8"/>
  <c r="G58" i="8"/>
  <c r="F58" i="8"/>
  <c r="E58" i="8"/>
  <c r="D58" i="8"/>
  <c r="C58" i="8"/>
  <c r="B58" i="8"/>
  <c r="A58" i="8"/>
  <c r="H57" i="8"/>
  <c r="G57" i="8"/>
  <c r="F57" i="8"/>
  <c r="E57" i="8"/>
  <c r="D57" i="8"/>
  <c r="C57" i="8"/>
  <c r="B57" i="8"/>
  <c r="A57" i="8"/>
  <c r="H56" i="8"/>
  <c r="G56" i="8"/>
  <c r="F56" i="8"/>
  <c r="E56" i="8"/>
  <c r="D56" i="8"/>
  <c r="C56" i="8"/>
  <c r="B56" i="8"/>
  <c r="A56" i="8"/>
  <c r="AT55" i="8"/>
  <c r="AF55" i="8"/>
  <c r="R55" i="8"/>
  <c r="H55" i="8"/>
  <c r="G55" i="8"/>
  <c r="F55" i="8"/>
  <c r="E55" i="8"/>
  <c r="D55" i="8"/>
  <c r="C55" i="8"/>
  <c r="B55" i="8"/>
  <c r="A55" i="8"/>
  <c r="H54" i="8"/>
  <c r="G54" i="8"/>
  <c r="F54" i="8"/>
  <c r="E54" i="8"/>
  <c r="D54" i="8"/>
  <c r="C54" i="8"/>
  <c r="B54" i="8"/>
  <c r="A54" i="8"/>
  <c r="H53" i="8"/>
  <c r="G53" i="8"/>
  <c r="F53" i="8"/>
  <c r="E53" i="8"/>
  <c r="D53" i="8"/>
  <c r="C53" i="8"/>
  <c r="B53" i="8"/>
  <c r="A53" i="8"/>
  <c r="H52" i="8"/>
  <c r="G52" i="8"/>
  <c r="F52" i="8"/>
  <c r="E52" i="8"/>
  <c r="D52" i="8"/>
  <c r="C52" i="8"/>
  <c r="B52" i="8"/>
  <c r="A52" i="8"/>
  <c r="H51" i="8"/>
  <c r="G51" i="8"/>
  <c r="F51" i="8"/>
  <c r="E51" i="8"/>
  <c r="D51" i="8"/>
  <c r="C51" i="8"/>
  <c r="B51" i="8"/>
  <c r="A51" i="8"/>
  <c r="AT50" i="8"/>
  <c r="AF50" i="8"/>
  <c r="R50" i="8"/>
  <c r="H50" i="8"/>
  <c r="G50" i="8"/>
  <c r="F50" i="8"/>
  <c r="E50" i="8"/>
  <c r="D50" i="8"/>
  <c r="C50" i="8"/>
  <c r="B50" i="8"/>
  <c r="A50" i="8"/>
  <c r="H49" i="8"/>
  <c r="G49" i="8"/>
  <c r="F49" i="8"/>
  <c r="E49" i="8"/>
  <c r="D49" i="8"/>
  <c r="C49" i="8"/>
  <c r="B49" i="8"/>
  <c r="A49" i="8"/>
  <c r="H48" i="8"/>
  <c r="G48" i="8"/>
  <c r="F48" i="8"/>
  <c r="E48" i="8"/>
  <c r="D48" i="8"/>
  <c r="C48" i="8"/>
  <c r="B48" i="8"/>
  <c r="A48" i="8"/>
  <c r="H47" i="8"/>
  <c r="G47" i="8"/>
  <c r="F47" i="8"/>
  <c r="E47" i="8"/>
  <c r="D47" i="8"/>
  <c r="C47" i="8"/>
  <c r="B47" i="8"/>
  <c r="A47" i="8"/>
  <c r="H46" i="8"/>
  <c r="G46" i="8"/>
  <c r="F46" i="8"/>
  <c r="E46" i="8"/>
  <c r="D46" i="8"/>
  <c r="C46" i="8"/>
  <c r="B46" i="8"/>
  <c r="A46" i="8"/>
  <c r="AT45" i="8"/>
  <c r="AF45" i="8"/>
  <c r="R45" i="8"/>
  <c r="H45" i="8"/>
  <c r="G45" i="8"/>
  <c r="F45" i="8"/>
  <c r="E45" i="8"/>
  <c r="D45" i="8"/>
  <c r="C45" i="8"/>
  <c r="B45" i="8"/>
  <c r="A45" i="8"/>
  <c r="H44" i="8"/>
  <c r="G44" i="8"/>
  <c r="F44" i="8"/>
  <c r="E44" i="8"/>
  <c r="D44" i="8"/>
  <c r="C44" i="8"/>
  <c r="B44" i="8"/>
  <c r="A44" i="8"/>
  <c r="H43" i="8"/>
  <c r="G43" i="8"/>
  <c r="F43" i="8"/>
  <c r="E43" i="8"/>
  <c r="D43" i="8"/>
  <c r="C43" i="8"/>
  <c r="B43" i="8"/>
  <c r="A43" i="8"/>
  <c r="H42" i="8"/>
  <c r="G42" i="8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AT40" i="8"/>
  <c r="AF40" i="8"/>
  <c r="R40" i="8"/>
  <c r="H40" i="8"/>
  <c r="G40" i="8"/>
  <c r="F40" i="8"/>
  <c r="E40" i="8"/>
  <c r="D40" i="8"/>
  <c r="C40" i="8"/>
  <c r="B40" i="8"/>
  <c r="A40" i="8"/>
  <c r="H39" i="8"/>
  <c r="G39" i="8"/>
  <c r="F39" i="8"/>
  <c r="E39" i="8"/>
  <c r="D39" i="8"/>
  <c r="C39" i="8"/>
  <c r="B39" i="8"/>
  <c r="A39" i="8"/>
  <c r="H38" i="8"/>
  <c r="G38" i="8"/>
  <c r="F38" i="8"/>
  <c r="E38" i="8"/>
  <c r="D38" i="8"/>
  <c r="C38" i="8"/>
  <c r="B38" i="8"/>
  <c r="A38" i="8"/>
  <c r="H37" i="8"/>
  <c r="G37" i="8"/>
  <c r="F37" i="8"/>
  <c r="E37" i="8"/>
  <c r="D37" i="8"/>
  <c r="C37" i="8"/>
  <c r="B37" i="8"/>
  <c r="A37" i="8"/>
  <c r="H36" i="8"/>
  <c r="G36" i="8"/>
  <c r="F36" i="8"/>
  <c r="E36" i="8"/>
  <c r="D36" i="8"/>
  <c r="C36" i="8"/>
  <c r="B36" i="8"/>
  <c r="A36" i="8"/>
  <c r="AT35" i="8"/>
  <c r="AF35" i="8"/>
  <c r="R35" i="8"/>
  <c r="H35" i="8"/>
  <c r="G35" i="8"/>
  <c r="F35" i="8"/>
  <c r="E35" i="8"/>
  <c r="D35" i="8"/>
  <c r="C35" i="8"/>
  <c r="B35" i="8"/>
  <c r="A35" i="8"/>
  <c r="H34" i="8"/>
  <c r="G34" i="8"/>
  <c r="F34" i="8"/>
  <c r="E34" i="8"/>
  <c r="D34" i="8"/>
  <c r="C34" i="8"/>
  <c r="B34" i="8"/>
  <c r="A34" i="8"/>
  <c r="H33" i="8"/>
  <c r="G33" i="8"/>
  <c r="F33" i="8"/>
  <c r="E33" i="8"/>
  <c r="D33" i="8"/>
  <c r="C33" i="8"/>
  <c r="B33" i="8"/>
  <c r="A33" i="8"/>
  <c r="H32" i="8"/>
  <c r="G32" i="8"/>
  <c r="F32" i="8"/>
  <c r="E32" i="8"/>
  <c r="D32" i="8"/>
  <c r="C32" i="8"/>
  <c r="B32" i="8"/>
  <c r="A32" i="8"/>
  <c r="H31" i="8"/>
  <c r="G31" i="8"/>
  <c r="F31" i="8"/>
  <c r="E31" i="8"/>
  <c r="D31" i="8"/>
  <c r="C31" i="8"/>
  <c r="B31" i="8"/>
  <c r="A31" i="8"/>
  <c r="AT30" i="8"/>
  <c r="AF30" i="8"/>
  <c r="R30" i="8"/>
  <c r="H30" i="8"/>
  <c r="G30" i="8"/>
  <c r="F30" i="8"/>
  <c r="E30" i="8"/>
  <c r="D30" i="8"/>
  <c r="C30" i="8"/>
  <c r="B30" i="8"/>
  <c r="A30" i="8"/>
  <c r="H29" i="8"/>
  <c r="G29" i="8"/>
  <c r="F29" i="8"/>
  <c r="E29" i="8"/>
  <c r="D29" i="8"/>
  <c r="C29" i="8"/>
  <c r="B29" i="8"/>
  <c r="A29" i="8"/>
  <c r="H28" i="8"/>
  <c r="G28" i="8"/>
  <c r="F28" i="8"/>
  <c r="E28" i="8"/>
  <c r="D28" i="8"/>
  <c r="C28" i="8"/>
  <c r="B28" i="8"/>
  <c r="A28" i="8"/>
  <c r="H27" i="8"/>
  <c r="G27" i="8"/>
  <c r="F27" i="8"/>
  <c r="E27" i="8"/>
  <c r="D27" i="8"/>
  <c r="C27" i="8"/>
  <c r="B27" i="8"/>
  <c r="A27" i="8"/>
  <c r="H26" i="8"/>
  <c r="G26" i="8"/>
  <c r="F26" i="8"/>
  <c r="E26" i="8"/>
  <c r="D26" i="8"/>
  <c r="C26" i="8"/>
  <c r="B26" i="8"/>
  <c r="A26" i="8"/>
  <c r="AT25" i="8"/>
  <c r="AF25" i="8"/>
  <c r="R25" i="8"/>
  <c r="H25" i="8"/>
  <c r="G25" i="8"/>
  <c r="F25" i="8"/>
  <c r="E25" i="8"/>
  <c r="D25" i="8"/>
  <c r="C25" i="8"/>
  <c r="B25" i="8"/>
  <c r="A25" i="8"/>
  <c r="C23" i="7"/>
  <c r="D23" i="7" s="1"/>
  <c r="C22" i="7"/>
  <c r="D22" i="7" s="1"/>
  <c r="C21" i="7"/>
  <c r="D21" i="7" s="1"/>
  <c r="C20" i="7"/>
  <c r="D20" i="7" s="1"/>
  <c r="AF404" i="6"/>
  <c r="T404" i="6"/>
  <c r="X404" i="6" s="1"/>
  <c r="S404" i="6"/>
  <c r="R404" i="6"/>
  <c r="Q404" i="6"/>
  <c r="U404" i="6" s="1"/>
  <c r="P404" i="6"/>
  <c r="O404" i="6"/>
  <c r="N404" i="6"/>
  <c r="M404" i="6"/>
  <c r="L404" i="6"/>
  <c r="K404" i="6"/>
  <c r="J404" i="6"/>
  <c r="I404" i="6"/>
  <c r="AF403" i="6"/>
  <c r="T403" i="6"/>
  <c r="S403" i="6"/>
  <c r="R403" i="6"/>
  <c r="Q403" i="6"/>
  <c r="P403" i="6"/>
  <c r="O403" i="6"/>
  <c r="N403" i="6"/>
  <c r="M403" i="6"/>
  <c r="L403" i="6"/>
  <c r="K403" i="6"/>
  <c r="J403" i="6"/>
  <c r="I403" i="6"/>
  <c r="AF402" i="6"/>
  <c r="T402" i="6"/>
  <c r="S402" i="6"/>
  <c r="W402" i="6" s="1"/>
  <c r="R402" i="6"/>
  <c r="Q402" i="6"/>
  <c r="P402" i="6"/>
  <c r="O402" i="6"/>
  <c r="N402" i="6"/>
  <c r="M402" i="6"/>
  <c r="L402" i="6"/>
  <c r="K402" i="6"/>
  <c r="J402" i="6"/>
  <c r="I402" i="6"/>
  <c r="AF401" i="6"/>
  <c r="T401" i="6"/>
  <c r="S401" i="6"/>
  <c r="W401" i="6" s="1"/>
  <c r="R401" i="6"/>
  <c r="V401" i="6" s="1"/>
  <c r="Q401" i="6"/>
  <c r="P401" i="6"/>
  <c r="O401" i="6"/>
  <c r="N401" i="6"/>
  <c r="M401" i="6"/>
  <c r="L401" i="6"/>
  <c r="K401" i="6"/>
  <c r="J401" i="6"/>
  <c r="I401" i="6"/>
  <c r="AF400" i="6"/>
  <c r="T400" i="6"/>
  <c r="X400" i="6" s="1"/>
  <c r="S400" i="6"/>
  <c r="R400" i="6"/>
  <c r="Q400" i="6"/>
  <c r="P400" i="6"/>
  <c r="O400" i="6"/>
  <c r="N400" i="6"/>
  <c r="M400" i="6"/>
  <c r="L400" i="6"/>
  <c r="K400" i="6"/>
  <c r="J400" i="6"/>
  <c r="I400" i="6"/>
  <c r="AF399" i="6"/>
  <c r="T399" i="6"/>
  <c r="S399" i="6"/>
  <c r="R399" i="6"/>
  <c r="Q399" i="6"/>
  <c r="P399" i="6"/>
  <c r="O399" i="6"/>
  <c r="N399" i="6"/>
  <c r="M399" i="6"/>
  <c r="L399" i="6"/>
  <c r="K399" i="6"/>
  <c r="W399" i="6" s="1"/>
  <c r="J399" i="6"/>
  <c r="I399" i="6"/>
  <c r="AF398" i="6"/>
  <c r="T398" i="6"/>
  <c r="S398" i="6"/>
  <c r="R398" i="6"/>
  <c r="V398" i="6" s="1"/>
  <c r="Q398" i="6"/>
  <c r="U398" i="6" s="1"/>
  <c r="P398" i="6"/>
  <c r="O398" i="6"/>
  <c r="N398" i="6"/>
  <c r="M398" i="6"/>
  <c r="L398" i="6"/>
  <c r="K398" i="6"/>
  <c r="J398" i="6"/>
  <c r="I398" i="6"/>
  <c r="AF397" i="6"/>
  <c r="T397" i="6"/>
  <c r="X397" i="6" s="1"/>
  <c r="S397" i="6"/>
  <c r="R397" i="6"/>
  <c r="Q397" i="6"/>
  <c r="P397" i="6"/>
  <c r="O397" i="6"/>
  <c r="N397" i="6"/>
  <c r="M397" i="6"/>
  <c r="L397" i="6"/>
  <c r="K397" i="6"/>
  <c r="J397" i="6"/>
  <c r="I397" i="6"/>
  <c r="AF396" i="6"/>
  <c r="T396" i="6"/>
  <c r="X396" i="6" s="1"/>
  <c r="S396" i="6"/>
  <c r="R396" i="6"/>
  <c r="Q396" i="6"/>
  <c r="P396" i="6"/>
  <c r="O396" i="6"/>
  <c r="N396" i="6"/>
  <c r="M396" i="6"/>
  <c r="L396" i="6"/>
  <c r="K396" i="6"/>
  <c r="J396" i="6"/>
  <c r="I396" i="6"/>
  <c r="AF395" i="6"/>
  <c r="T395" i="6"/>
  <c r="S395" i="6"/>
  <c r="W395" i="6" s="1"/>
  <c r="R395" i="6"/>
  <c r="Q395" i="6"/>
  <c r="P395" i="6"/>
  <c r="O395" i="6"/>
  <c r="N395" i="6"/>
  <c r="M395" i="6"/>
  <c r="L395" i="6"/>
  <c r="K395" i="6"/>
  <c r="J395" i="6"/>
  <c r="I395" i="6"/>
  <c r="AF394" i="6"/>
  <c r="T394" i="6"/>
  <c r="X394" i="6" s="1"/>
  <c r="S394" i="6"/>
  <c r="W394" i="6" s="1"/>
  <c r="R394" i="6"/>
  <c r="V394" i="6" s="1"/>
  <c r="Q394" i="6"/>
  <c r="U394" i="6" s="1"/>
  <c r="P394" i="6"/>
  <c r="O394" i="6"/>
  <c r="N394" i="6"/>
  <c r="M394" i="6"/>
  <c r="L394" i="6"/>
  <c r="K394" i="6"/>
  <c r="J394" i="6"/>
  <c r="I394" i="6"/>
  <c r="AF393" i="6"/>
  <c r="T393" i="6"/>
  <c r="S393" i="6"/>
  <c r="W393" i="6" s="1"/>
  <c r="R393" i="6"/>
  <c r="Q393" i="6"/>
  <c r="U393" i="6" s="1"/>
  <c r="P393" i="6"/>
  <c r="O393" i="6"/>
  <c r="N393" i="6"/>
  <c r="M393" i="6"/>
  <c r="L393" i="6"/>
  <c r="K393" i="6"/>
  <c r="J393" i="6"/>
  <c r="I393" i="6"/>
  <c r="AF392" i="6"/>
  <c r="T392" i="6"/>
  <c r="X392" i="6" s="1"/>
  <c r="S392" i="6"/>
  <c r="R392" i="6"/>
  <c r="V392" i="6" s="1"/>
  <c r="Q392" i="6"/>
  <c r="U392" i="6" s="1"/>
  <c r="P392" i="6"/>
  <c r="O392" i="6"/>
  <c r="N392" i="6"/>
  <c r="M392" i="6"/>
  <c r="L392" i="6"/>
  <c r="K392" i="6"/>
  <c r="J392" i="6"/>
  <c r="I392" i="6"/>
  <c r="AF391" i="6"/>
  <c r="T391" i="6"/>
  <c r="S391" i="6"/>
  <c r="W391" i="6" s="1"/>
  <c r="R391" i="6"/>
  <c r="Q391" i="6"/>
  <c r="U391" i="6" s="1"/>
  <c r="P391" i="6"/>
  <c r="O391" i="6"/>
  <c r="N391" i="6"/>
  <c r="M391" i="6"/>
  <c r="L391" i="6"/>
  <c r="K391" i="6"/>
  <c r="J391" i="6"/>
  <c r="I391" i="6"/>
  <c r="AF390" i="6"/>
  <c r="T390" i="6"/>
  <c r="S390" i="6"/>
  <c r="R390" i="6"/>
  <c r="V390" i="6" s="1"/>
  <c r="Q390" i="6"/>
  <c r="P390" i="6"/>
  <c r="O390" i="6"/>
  <c r="N390" i="6"/>
  <c r="M390" i="6"/>
  <c r="L390" i="6"/>
  <c r="K390" i="6"/>
  <c r="J390" i="6"/>
  <c r="I390" i="6"/>
  <c r="AF389" i="6"/>
  <c r="T389" i="6"/>
  <c r="S389" i="6"/>
  <c r="R389" i="6"/>
  <c r="Q389" i="6"/>
  <c r="U389" i="6" s="1"/>
  <c r="P389" i="6"/>
  <c r="O389" i="6"/>
  <c r="N389" i="6"/>
  <c r="M389" i="6"/>
  <c r="L389" i="6"/>
  <c r="K389" i="6"/>
  <c r="J389" i="6"/>
  <c r="I389" i="6"/>
  <c r="AF388" i="6"/>
  <c r="T388" i="6"/>
  <c r="X388" i="6" s="1"/>
  <c r="S388" i="6"/>
  <c r="R388" i="6"/>
  <c r="Q388" i="6"/>
  <c r="P388" i="6"/>
  <c r="O388" i="6"/>
  <c r="N388" i="6"/>
  <c r="M388" i="6"/>
  <c r="L388" i="6"/>
  <c r="K388" i="6"/>
  <c r="J388" i="6"/>
  <c r="I388" i="6"/>
  <c r="AF387" i="6"/>
  <c r="T387" i="6"/>
  <c r="S387" i="6"/>
  <c r="W387" i="6" s="1"/>
  <c r="R387" i="6"/>
  <c r="Q387" i="6"/>
  <c r="P387" i="6"/>
  <c r="O387" i="6"/>
  <c r="N387" i="6"/>
  <c r="M387" i="6"/>
  <c r="L387" i="6"/>
  <c r="K387" i="6"/>
  <c r="J387" i="6"/>
  <c r="I387" i="6"/>
  <c r="AF386" i="6"/>
  <c r="T386" i="6"/>
  <c r="S386" i="6"/>
  <c r="W386" i="6" s="1"/>
  <c r="R386" i="6"/>
  <c r="V386" i="6" s="1"/>
  <c r="Q386" i="6"/>
  <c r="U386" i="6" s="1"/>
  <c r="P386" i="6"/>
  <c r="O386" i="6"/>
  <c r="N386" i="6"/>
  <c r="M386" i="6"/>
  <c r="L386" i="6"/>
  <c r="K386" i="6"/>
  <c r="J386" i="6"/>
  <c r="I386" i="6"/>
  <c r="AF385" i="6"/>
  <c r="T385" i="6"/>
  <c r="S385" i="6"/>
  <c r="W385" i="6" s="1"/>
  <c r="R385" i="6"/>
  <c r="Q385" i="6"/>
  <c r="P385" i="6"/>
  <c r="O385" i="6"/>
  <c r="N385" i="6"/>
  <c r="M385" i="6"/>
  <c r="L385" i="6"/>
  <c r="K385" i="6"/>
  <c r="J385" i="6"/>
  <c r="I385" i="6"/>
  <c r="X385" i="6" s="1"/>
  <c r="AF384" i="6"/>
  <c r="T384" i="6"/>
  <c r="X384" i="6" s="1"/>
  <c r="S384" i="6"/>
  <c r="R384" i="6"/>
  <c r="Q384" i="6"/>
  <c r="P384" i="6"/>
  <c r="O384" i="6"/>
  <c r="N384" i="6"/>
  <c r="M384" i="6"/>
  <c r="L384" i="6"/>
  <c r="K384" i="6"/>
  <c r="J384" i="6"/>
  <c r="I384" i="6"/>
  <c r="AF383" i="6"/>
  <c r="T383" i="6"/>
  <c r="S383" i="6"/>
  <c r="W383" i="6" s="1"/>
  <c r="R383" i="6"/>
  <c r="Q383" i="6"/>
  <c r="P383" i="6"/>
  <c r="O383" i="6"/>
  <c r="N383" i="6"/>
  <c r="M383" i="6"/>
  <c r="L383" i="6"/>
  <c r="K383" i="6"/>
  <c r="J383" i="6"/>
  <c r="I383" i="6"/>
  <c r="AF382" i="6"/>
  <c r="T382" i="6"/>
  <c r="S382" i="6"/>
  <c r="R382" i="6"/>
  <c r="V382" i="6" s="1"/>
  <c r="Q382" i="6"/>
  <c r="P382" i="6"/>
  <c r="O382" i="6"/>
  <c r="N382" i="6"/>
  <c r="M382" i="6"/>
  <c r="L382" i="6"/>
  <c r="K382" i="6"/>
  <c r="J382" i="6"/>
  <c r="I382" i="6"/>
  <c r="AF381" i="6"/>
  <c r="T381" i="6"/>
  <c r="S381" i="6"/>
  <c r="R381" i="6"/>
  <c r="Q381" i="6"/>
  <c r="P381" i="6"/>
  <c r="O381" i="6"/>
  <c r="N381" i="6"/>
  <c r="M381" i="6"/>
  <c r="L381" i="6"/>
  <c r="K381" i="6"/>
  <c r="J381" i="6"/>
  <c r="I381" i="6"/>
  <c r="AF380" i="6"/>
  <c r="T380" i="6"/>
  <c r="X380" i="6" s="1"/>
  <c r="S380" i="6"/>
  <c r="R380" i="6"/>
  <c r="Q380" i="6"/>
  <c r="P380" i="6"/>
  <c r="O380" i="6"/>
  <c r="N380" i="6"/>
  <c r="M380" i="6"/>
  <c r="L380" i="6"/>
  <c r="K380" i="6"/>
  <c r="J380" i="6"/>
  <c r="I380" i="6"/>
  <c r="AF379" i="6"/>
  <c r="T379" i="6"/>
  <c r="S379" i="6"/>
  <c r="W379" i="6" s="1"/>
  <c r="R379" i="6"/>
  <c r="Q379" i="6"/>
  <c r="P379" i="6"/>
  <c r="O379" i="6"/>
  <c r="N379" i="6"/>
  <c r="M379" i="6"/>
  <c r="L379" i="6"/>
  <c r="K379" i="6"/>
  <c r="J379" i="6"/>
  <c r="I379" i="6"/>
  <c r="AF378" i="6"/>
  <c r="T378" i="6"/>
  <c r="S378" i="6"/>
  <c r="W378" i="6" s="1"/>
  <c r="R378" i="6"/>
  <c r="V378" i="6" s="1"/>
  <c r="Q378" i="6"/>
  <c r="U378" i="6" s="1"/>
  <c r="P378" i="6"/>
  <c r="O378" i="6"/>
  <c r="N378" i="6"/>
  <c r="M378" i="6"/>
  <c r="L378" i="6"/>
  <c r="K378" i="6"/>
  <c r="J378" i="6"/>
  <c r="I378" i="6"/>
  <c r="AF377" i="6"/>
  <c r="T377" i="6"/>
  <c r="S377" i="6"/>
  <c r="W377" i="6" s="1"/>
  <c r="R377" i="6"/>
  <c r="Q377" i="6"/>
  <c r="U377" i="6" s="1"/>
  <c r="P377" i="6"/>
  <c r="O377" i="6"/>
  <c r="N377" i="6"/>
  <c r="M377" i="6"/>
  <c r="L377" i="6"/>
  <c r="K377" i="6"/>
  <c r="J377" i="6"/>
  <c r="I377" i="6"/>
  <c r="AF376" i="6"/>
  <c r="T376" i="6"/>
  <c r="X376" i="6" s="1"/>
  <c r="S376" i="6"/>
  <c r="R376" i="6"/>
  <c r="V376" i="6" s="1"/>
  <c r="Q376" i="6"/>
  <c r="P376" i="6"/>
  <c r="O376" i="6"/>
  <c r="N376" i="6"/>
  <c r="M376" i="6"/>
  <c r="L376" i="6"/>
  <c r="K376" i="6"/>
  <c r="J376" i="6"/>
  <c r="I376" i="6"/>
  <c r="AF375" i="6"/>
  <c r="T375" i="6"/>
  <c r="S375" i="6"/>
  <c r="W375" i="6" s="1"/>
  <c r="R375" i="6"/>
  <c r="Q375" i="6"/>
  <c r="U375" i="6" s="1"/>
  <c r="P375" i="6"/>
  <c r="O375" i="6"/>
  <c r="N375" i="6"/>
  <c r="M375" i="6"/>
  <c r="L375" i="6"/>
  <c r="K375" i="6"/>
  <c r="J375" i="6"/>
  <c r="I375" i="6"/>
  <c r="AF374" i="6"/>
  <c r="T374" i="6"/>
  <c r="S374" i="6"/>
  <c r="R374" i="6"/>
  <c r="V374" i="6" s="1"/>
  <c r="Q374" i="6"/>
  <c r="P374" i="6"/>
  <c r="O374" i="6"/>
  <c r="N374" i="6"/>
  <c r="M374" i="6"/>
  <c r="L374" i="6"/>
  <c r="K374" i="6"/>
  <c r="J374" i="6"/>
  <c r="I374" i="6"/>
  <c r="AF373" i="6"/>
  <c r="T373" i="6"/>
  <c r="S373" i="6"/>
  <c r="R373" i="6"/>
  <c r="Q373" i="6"/>
  <c r="U373" i="6" s="1"/>
  <c r="P373" i="6"/>
  <c r="O373" i="6"/>
  <c r="N373" i="6"/>
  <c r="M373" i="6"/>
  <c r="L373" i="6"/>
  <c r="K373" i="6"/>
  <c r="J373" i="6"/>
  <c r="I373" i="6"/>
  <c r="AF372" i="6"/>
  <c r="T372" i="6"/>
  <c r="X372" i="6" s="1"/>
  <c r="S372" i="6"/>
  <c r="R372" i="6"/>
  <c r="Q372" i="6"/>
  <c r="P372" i="6"/>
  <c r="O372" i="6"/>
  <c r="N372" i="6"/>
  <c r="M372" i="6"/>
  <c r="L372" i="6"/>
  <c r="K372" i="6"/>
  <c r="J372" i="6"/>
  <c r="I372" i="6"/>
  <c r="AF371" i="6"/>
  <c r="T371" i="6"/>
  <c r="S371" i="6"/>
  <c r="W371" i="6" s="1"/>
  <c r="R371" i="6"/>
  <c r="Q371" i="6"/>
  <c r="P371" i="6"/>
  <c r="O371" i="6"/>
  <c r="N371" i="6"/>
  <c r="M371" i="6"/>
  <c r="L371" i="6"/>
  <c r="K371" i="6"/>
  <c r="J371" i="6"/>
  <c r="I371" i="6"/>
  <c r="AF370" i="6"/>
  <c r="V370" i="6"/>
  <c r="T370" i="6"/>
  <c r="S370" i="6"/>
  <c r="W370" i="6" s="1"/>
  <c r="R370" i="6"/>
  <c r="Q370" i="6"/>
  <c r="U370" i="6" s="1"/>
  <c r="P370" i="6"/>
  <c r="O370" i="6"/>
  <c r="N370" i="6"/>
  <c r="M370" i="6"/>
  <c r="L370" i="6"/>
  <c r="K370" i="6"/>
  <c r="J370" i="6"/>
  <c r="I370" i="6"/>
  <c r="AF369" i="6"/>
  <c r="T369" i="6"/>
  <c r="S369" i="6"/>
  <c r="W369" i="6" s="1"/>
  <c r="R369" i="6"/>
  <c r="Q369" i="6"/>
  <c r="U369" i="6" s="1"/>
  <c r="P369" i="6"/>
  <c r="O369" i="6"/>
  <c r="N369" i="6"/>
  <c r="M369" i="6"/>
  <c r="L369" i="6"/>
  <c r="K369" i="6"/>
  <c r="J369" i="6"/>
  <c r="I369" i="6"/>
  <c r="AF368" i="6"/>
  <c r="T368" i="6"/>
  <c r="X368" i="6" s="1"/>
  <c r="S368" i="6"/>
  <c r="R368" i="6"/>
  <c r="Q368" i="6"/>
  <c r="P368" i="6"/>
  <c r="O368" i="6"/>
  <c r="N368" i="6"/>
  <c r="M368" i="6"/>
  <c r="L368" i="6"/>
  <c r="K368" i="6"/>
  <c r="J368" i="6"/>
  <c r="I368" i="6"/>
  <c r="AF367" i="6"/>
  <c r="W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AF366" i="6"/>
  <c r="V366" i="6"/>
  <c r="T366" i="6"/>
  <c r="S366" i="6"/>
  <c r="R366" i="6"/>
  <c r="Q366" i="6"/>
  <c r="P366" i="6"/>
  <c r="O366" i="6"/>
  <c r="N366" i="6"/>
  <c r="M366" i="6"/>
  <c r="L366" i="6"/>
  <c r="K366" i="6"/>
  <c r="J366" i="6"/>
  <c r="I366" i="6"/>
  <c r="AF365" i="6"/>
  <c r="T365" i="6"/>
  <c r="S365" i="6"/>
  <c r="R365" i="6"/>
  <c r="Q365" i="6"/>
  <c r="P365" i="6"/>
  <c r="O365" i="6"/>
  <c r="N365" i="6"/>
  <c r="M365" i="6"/>
  <c r="L365" i="6"/>
  <c r="K365" i="6"/>
  <c r="J365" i="6"/>
  <c r="I365" i="6"/>
  <c r="AF364" i="6"/>
  <c r="T364" i="6"/>
  <c r="X364" i="6" s="1"/>
  <c r="S364" i="6"/>
  <c r="R364" i="6"/>
  <c r="Q364" i="6"/>
  <c r="P364" i="6"/>
  <c r="O364" i="6"/>
  <c r="N364" i="6"/>
  <c r="M364" i="6"/>
  <c r="L364" i="6"/>
  <c r="K364" i="6"/>
  <c r="J364" i="6"/>
  <c r="I364" i="6"/>
  <c r="AF363" i="6"/>
  <c r="T363" i="6"/>
  <c r="S363" i="6"/>
  <c r="W363" i="6" s="1"/>
  <c r="R363" i="6"/>
  <c r="Q363" i="6"/>
  <c r="P363" i="6"/>
  <c r="O363" i="6"/>
  <c r="N363" i="6"/>
  <c r="M363" i="6"/>
  <c r="L363" i="6"/>
  <c r="K363" i="6"/>
  <c r="J363" i="6"/>
  <c r="I363" i="6"/>
  <c r="AF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AF361" i="6"/>
  <c r="T361" i="6"/>
  <c r="S361" i="6"/>
  <c r="R361" i="6"/>
  <c r="Q361" i="6"/>
  <c r="P361" i="6"/>
  <c r="O361" i="6"/>
  <c r="N361" i="6"/>
  <c r="M361" i="6"/>
  <c r="L361" i="6"/>
  <c r="K361" i="6"/>
  <c r="J361" i="6"/>
  <c r="I361" i="6"/>
  <c r="AF360" i="6"/>
  <c r="T360" i="6"/>
  <c r="X360" i="6" s="1"/>
  <c r="S360" i="6"/>
  <c r="R360" i="6"/>
  <c r="Q360" i="6"/>
  <c r="P360" i="6"/>
  <c r="O360" i="6"/>
  <c r="N360" i="6"/>
  <c r="M360" i="6"/>
  <c r="L360" i="6"/>
  <c r="K360" i="6"/>
  <c r="J360" i="6"/>
  <c r="I360" i="6"/>
  <c r="W360" i="6" s="1"/>
  <c r="AF359" i="6"/>
  <c r="T359" i="6"/>
  <c r="S359" i="6"/>
  <c r="W359" i="6" s="1"/>
  <c r="R359" i="6"/>
  <c r="Q359" i="6"/>
  <c r="P359" i="6"/>
  <c r="O359" i="6"/>
  <c r="N359" i="6"/>
  <c r="M359" i="6"/>
  <c r="L359" i="6"/>
  <c r="K359" i="6"/>
  <c r="J359" i="6"/>
  <c r="I359" i="6"/>
  <c r="X359" i="6" s="1"/>
  <c r="AF358" i="6"/>
  <c r="T358" i="6"/>
  <c r="S358" i="6"/>
  <c r="R358" i="6"/>
  <c r="Q358" i="6"/>
  <c r="U358" i="6" s="1"/>
  <c r="P358" i="6"/>
  <c r="O358" i="6"/>
  <c r="N358" i="6"/>
  <c r="V358" i="6" s="1"/>
  <c r="M358" i="6"/>
  <c r="L358" i="6"/>
  <c r="K358" i="6"/>
  <c r="J358" i="6"/>
  <c r="I358" i="6"/>
  <c r="W358" i="6" s="1"/>
  <c r="AF357" i="6"/>
  <c r="T357" i="6"/>
  <c r="X357" i="6" s="1"/>
  <c r="S357" i="6"/>
  <c r="R357" i="6"/>
  <c r="Q357" i="6"/>
  <c r="U357" i="6" s="1"/>
  <c r="P357" i="6"/>
  <c r="O357" i="6"/>
  <c r="N357" i="6"/>
  <c r="M357" i="6"/>
  <c r="L357" i="6"/>
  <c r="K357" i="6"/>
  <c r="J357" i="6"/>
  <c r="I357" i="6"/>
  <c r="AF356" i="6"/>
  <c r="T356" i="6"/>
  <c r="S356" i="6"/>
  <c r="W356" i="6" s="1"/>
  <c r="R356" i="6"/>
  <c r="Q356" i="6"/>
  <c r="P356" i="6"/>
  <c r="X356" i="6" s="1"/>
  <c r="O356" i="6"/>
  <c r="N356" i="6"/>
  <c r="M356" i="6"/>
  <c r="L356" i="6"/>
  <c r="K356" i="6"/>
  <c r="J356" i="6"/>
  <c r="I356" i="6"/>
  <c r="AF355" i="6"/>
  <c r="T355" i="6"/>
  <c r="S355" i="6"/>
  <c r="W355" i="6" s="1"/>
  <c r="R355" i="6"/>
  <c r="Q355" i="6"/>
  <c r="P355" i="6"/>
  <c r="O355" i="6"/>
  <c r="N355" i="6"/>
  <c r="M355" i="6"/>
  <c r="U355" i="6" s="1"/>
  <c r="L355" i="6"/>
  <c r="K355" i="6"/>
  <c r="V355" i="6" s="1"/>
  <c r="J355" i="6"/>
  <c r="I355" i="6"/>
  <c r="AF354" i="6"/>
  <c r="T354" i="6"/>
  <c r="S354" i="6"/>
  <c r="R354" i="6"/>
  <c r="V354" i="6" s="1"/>
  <c r="Q354" i="6"/>
  <c r="P354" i="6"/>
  <c r="O354" i="6"/>
  <c r="N354" i="6"/>
  <c r="M354" i="6"/>
  <c r="L354" i="6"/>
  <c r="K354" i="6"/>
  <c r="J354" i="6"/>
  <c r="U354" i="6" s="1"/>
  <c r="I354" i="6"/>
  <c r="AF353" i="6"/>
  <c r="T353" i="6"/>
  <c r="X353" i="6" s="1"/>
  <c r="S353" i="6"/>
  <c r="R353" i="6"/>
  <c r="Q353" i="6"/>
  <c r="U353" i="6" s="1"/>
  <c r="P353" i="6"/>
  <c r="O353" i="6"/>
  <c r="N353" i="6"/>
  <c r="M353" i="6"/>
  <c r="L353" i="6"/>
  <c r="K353" i="6"/>
  <c r="J353" i="6"/>
  <c r="I353" i="6"/>
  <c r="AF352" i="6"/>
  <c r="T352" i="6"/>
  <c r="X352" i="6" s="1"/>
  <c r="S352" i="6"/>
  <c r="W352" i="6" s="1"/>
  <c r="R352" i="6"/>
  <c r="Q352" i="6"/>
  <c r="P352" i="6"/>
  <c r="O352" i="6"/>
  <c r="N352" i="6"/>
  <c r="M352" i="6"/>
  <c r="L352" i="6"/>
  <c r="K352" i="6"/>
  <c r="J352" i="6"/>
  <c r="I352" i="6"/>
  <c r="AF351" i="6"/>
  <c r="T351" i="6"/>
  <c r="X351" i="6" s="1"/>
  <c r="S351" i="6"/>
  <c r="W351" i="6" s="1"/>
  <c r="R351" i="6"/>
  <c r="V351" i="6" s="1"/>
  <c r="Q351" i="6"/>
  <c r="P351" i="6"/>
  <c r="O351" i="6"/>
  <c r="N351" i="6"/>
  <c r="M351" i="6"/>
  <c r="L351" i="6"/>
  <c r="K351" i="6"/>
  <c r="J351" i="6"/>
  <c r="I351" i="6"/>
  <c r="AF350" i="6"/>
  <c r="T350" i="6"/>
  <c r="S350" i="6"/>
  <c r="R350" i="6"/>
  <c r="V350" i="6" s="1"/>
  <c r="Q350" i="6"/>
  <c r="P350" i="6"/>
  <c r="O350" i="6"/>
  <c r="N350" i="6"/>
  <c r="M350" i="6"/>
  <c r="L350" i="6"/>
  <c r="K350" i="6"/>
  <c r="J350" i="6"/>
  <c r="I350" i="6"/>
  <c r="W350" i="6" s="1"/>
  <c r="AF349" i="6"/>
  <c r="T349" i="6"/>
  <c r="S349" i="6"/>
  <c r="R349" i="6"/>
  <c r="Q349" i="6"/>
  <c r="U349" i="6" s="1"/>
  <c r="P349" i="6"/>
  <c r="O349" i="6"/>
  <c r="N349" i="6"/>
  <c r="M349" i="6"/>
  <c r="L349" i="6"/>
  <c r="K349" i="6"/>
  <c r="J349" i="6"/>
  <c r="I349" i="6"/>
  <c r="X349" i="6" s="1"/>
  <c r="AF348" i="6"/>
  <c r="T348" i="6"/>
  <c r="X348" i="6" s="1"/>
  <c r="S348" i="6"/>
  <c r="R348" i="6"/>
  <c r="Q348" i="6"/>
  <c r="P348" i="6"/>
  <c r="O348" i="6"/>
  <c r="N348" i="6"/>
  <c r="M348" i="6"/>
  <c r="L348" i="6"/>
  <c r="K348" i="6"/>
  <c r="U348" i="6" s="1"/>
  <c r="J348" i="6"/>
  <c r="I348" i="6"/>
  <c r="AF347" i="6"/>
  <c r="T347" i="6"/>
  <c r="S347" i="6"/>
  <c r="W347" i="6" s="1"/>
  <c r="R347" i="6"/>
  <c r="V347" i="6" s="1"/>
  <c r="Q347" i="6"/>
  <c r="P347" i="6"/>
  <c r="O347" i="6"/>
  <c r="N347" i="6"/>
  <c r="M347" i="6"/>
  <c r="L347" i="6"/>
  <c r="K347" i="6"/>
  <c r="U347" i="6" s="1"/>
  <c r="J347" i="6"/>
  <c r="I347" i="6"/>
  <c r="AF346" i="6"/>
  <c r="T346" i="6"/>
  <c r="S346" i="6"/>
  <c r="R346" i="6"/>
  <c r="Q346" i="6"/>
  <c r="U346" i="6" s="1"/>
  <c r="P346" i="6"/>
  <c r="O346" i="6"/>
  <c r="N346" i="6"/>
  <c r="M346" i="6"/>
  <c r="L346" i="6"/>
  <c r="K346" i="6"/>
  <c r="J346" i="6"/>
  <c r="I346" i="6"/>
  <c r="AF345" i="6"/>
  <c r="T345" i="6"/>
  <c r="X345" i="6" s="1"/>
  <c r="S345" i="6"/>
  <c r="R345" i="6"/>
  <c r="Q345" i="6"/>
  <c r="P345" i="6"/>
  <c r="O345" i="6"/>
  <c r="N345" i="6"/>
  <c r="M345" i="6"/>
  <c r="L345" i="6"/>
  <c r="K345" i="6"/>
  <c r="J345" i="6"/>
  <c r="U345" i="6" s="1"/>
  <c r="I345" i="6"/>
  <c r="AF344" i="6"/>
  <c r="T344" i="6"/>
  <c r="X344" i="6" s="1"/>
  <c r="S344" i="6"/>
  <c r="R344" i="6"/>
  <c r="Q344" i="6"/>
  <c r="P344" i="6"/>
  <c r="O344" i="6"/>
  <c r="W344" i="6" s="1"/>
  <c r="N344" i="6"/>
  <c r="M344" i="6"/>
  <c r="L344" i="6"/>
  <c r="K344" i="6"/>
  <c r="J344" i="6"/>
  <c r="I344" i="6"/>
  <c r="AF343" i="6"/>
  <c r="T343" i="6"/>
  <c r="S343" i="6"/>
  <c r="W343" i="6" s="1"/>
  <c r="R343" i="6"/>
  <c r="Q343" i="6"/>
  <c r="P343" i="6"/>
  <c r="O343" i="6"/>
  <c r="N343" i="6"/>
  <c r="M343" i="6"/>
  <c r="L343" i="6"/>
  <c r="K343" i="6"/>
  <c r="J343" i="6"/>
  <c r="I343" i="6"/>
  <c r="AF342" i="6"/>
  <c r="T342" i="6"/>
  <c r="X342" i="6" s="1"/>
  <c r="S342" i="6"/>
  <c r="R342" i="6"/>
  <c r="V342" i="6" s="1"/>
  <c r="Q342" i="6"/>
  <c r="U342" i="6" s="1"/>
  <c r="P342" i="6"/>
  <c r="O342" i="6"/>
  <c r="N342" i="6"/>
  <c r="M342" i="6"/>
  <c r="L342" i="6"/>
  <c r="K342" i="6"/>
  <c r="J342" i="6"/>
  <c r="I342" i="6"/>
  <c r="W342" i="6" s="1"/>
  <c r="AF341" i="6"/>
  <c r="T341" i="6"/>
  <c r="S341" i="6"/>
  <c r="W341" i="6" s="1"/>
  <c r="R341" i="6"/>
  <c r="Q341" i="6"/>
  <c r="U341" i="6" s="1"/>
  <c r="P341" i="6"/>
  <c r="O341" i="6"/>
  <c r="N341" i="6"/>
  <c r="M341" i="6"/>
  <c r="L341" i="6"/>
  <c r="V341" i="6" s="1"/>
  <c r="K341" i="6"/>
  <c r="J341" i="6"/>
  <c r="I341" i="6"/>
  <c r="AF340" i="6"/>
  <c r="T340" i="6"/>
  <c r="S340" i="6"/>
  <c r="R340" i="6"/>
  <c r="V340" i="6" s="1"/>
  <c r="Q340" i="6"/>
  <c r="P340" i="6"/>
  <c r="O340" i="6"/>
  <c r="N340" i="6"/>
  <c r="M340" i="6"/>
  <c r="L340" i="6"/>
  <c r="K340" i="6"/>
  <c r="J340" i="6"/>
  <c r="I340" i="6"/>
  <c r="U340" i="6" s="1"/>
  <c r="AF339" i="6"/>
  <c r="T339" i="6"/>
  <c r="X339" i="6" s="1"/>
  <c r="S339" i="6"/>
  <c r="R339" i="6"/>
  <c r="Q339" i="6"/>
  <c r="U339" i="6" s="1"/>
  <c r="P339" i="6"/>
  <c r="O339" i="6"/>
  <c r="N339" i="6"/>
  <c r="M339" i="6"/>
  <c r="L339" i="6"/>
  <c r="K339" i="6"/>
  <c r="J339" i="6"/>
  <c r="I339" i="6"/>
  <c r="AF338" i="6"/>
  <c r="T338" i="6"/>
  <c r="S338" i="6"/>
  <c r="W338" i="6" s="1"/>
  <c r="R338" i="6"/>
  <c r="Q338" i="6"/>
  <c r="P338" i="6"/>
  <c r="O338" i="6"/>
  <c r="N338" i="6"/>
  <c r="M338" i="6"/>
  <c r="U338" i="6" s="1"/>
  <c r="L338" i="6"/>
  <c r="K338" i="6"/>
  <c r="J338" i="6"/>
  <c r="I338" i="6"/>
  <c r="AF337" i="6"/>
  <c r="T337" i="6"/>
  <c r="X337" i="6" s="1"/>
  <c r="S337" i="6"/>
  <c r="R337" i="6"/>
  <c r="V337" i="6" s="1"/>
  <c r="Q337" i="6"/>
  <c r="P337" i="6"/>
  <c r="O337" i="6"/>
  <c r="N337" i="6"/>
  <c r="M337" i="6"/>
  <c r="L337" i="6"/>
  <c r="K337" i="6"/>
  <c r="J337" i="6"/>
  <c r="W337" i="6" s="1"/>
  <c r="I337" i="6"/>
  <c r="AF336" i="6"/>
  <c r="T336" i="6"/>
  <c r="X336" i="6" s="1"/>
  <c r="S336" i="6"/>
  <c r="W336" i="6" s="1"/>
  <c r="R336" i="6"/>
  <c r="Q336" i="6"/>
  <c r="U336" i="6" s="1"/>
  <c r="P336" i="6"/>
  <c r="O336" i="6"/>
  <c r="N336" i="6"/>
  <c r="M336" i="6"/>
  <c r="L336" i="6"/>
  <c r="K336" i="6"/>
  <c r="J336" i="6"/>
  <c r="I336" i="6"/>
  <c r="AF335" i="6"/>
  <c r="T335" i="6"/>
  <c r="S335" i="6"/>
  <c r="W335" i="6" s="1"/>
  <c r="R335" i="6"/>
  <c r="V335" i="6" s="1"/>
  <c r="Q335" i="6"/>
  <c r="P335" i="6"/>
  <c r="O335" i="6"/>
  <c r="N335" i="6"/>
  <c r="M335" i="6"/>
  <c r="L335" i="6"/>
  <c r="K335" i="6"/>
  <c r="J335" i="6"/>
  <c r="I335" i="6"/>
  <c r="AF334" i="6"/>
  <c r="T334" i="6"/>
  <c r="X334" i="6" s="1"/>
  <c r="S334" i="6"/>
  <c r="R334" i="6"/>
  <c r="V334" i="6" s="1"/>
  <c r="Q334" i="6"/>
  <c r="U334" i="6" s="1"/>
  <c r="P334" i="6"/>
  <c r="O334" i="6"/>
  <c r="N334" i="6"/>
  <c r="M334" i="6"/>
  <c r="L334" i="6"/>
  <c r="K334" i="6"/>
  <c r="J334" i="6"/>
  <c r="I334" i="6"/>
  <c r="W334" i="6" s="1"/>
  <c r="AF333" i="6"/>
  <c r="T333" i="6"/>
  <c r="S333" i="6"/>
  <c r="W333" i="6" s="1"/>
  <c r="R333" i="6"/>
  <c r="Q333" i="6"/>
  <c r="U333" i="6" s="1"/>
  <c r="P333" i="6"/>
  <c r="O333" i="6"/>
  <c r="N333" i="6"/>
  <c r="V333" i="6" s="1"/>
  <c r="M333" i="6"/>
  <c r="L333" i="6"/>
  <c r="K333" i="6"/>
  <c r="J333" i="6"/>
  <c r="I333" i="6"/>
  <c r="AF332" i="6"/>
  <c r="T332" i="6"/>
  <c r="S332" i="6"/>
  <c r="R332" i="6"/>
  <c r="V332" i="6" s="1"/>
  <c r="Q332" i="6"/>
  <c r="P332" i="6"/>
  <c r="O332" i="6"/>
  <c r="N332" i="6"/>
  <c r="M332" i="6"/>
  <c r="L332" i="6"/>
  <c r="K332" i="6"/>
  <c r="J332" i="6"/>
  <c r="I332" i="6"/>
  <c r="AF331" i="6"/>
  <c r="T331" i="6"/>
  <c r="X331" i="6" s="1"/>
  <c r="S331" i="6"/>
  <c r="R331" i="6"/>
  <c r="Q331" i="6"/>
  <c r="U331" i="6" s="1"/>
  <c r="P331" i="6"/>
  <c r="O331" i="6"/>
  <c r="N331" i="6"/>
  <c r="M331" i="6"/>
  <c r="L331" i="6"/>
  <c r="K331" i="6"/>
  <c r="J331" i="6"/>
  <c r="I331" i="6"/>
  <c r="AF330" i="6"/>
  <c r="T330" i="6"/>
  <c r="S330" i="6"/>
  <c r="W330" i="6" s="1"/>
  <c r="R330" i="6"/>
  <c r="Q330" i="6"/>
  <c r="P330" i="6"/>
  <c r="O330" i="6"/>
  <c r="N330" i="6"/>
  <c r="M330" i="6"/>
  <c r="U330" i="6" s="1"/>
  <c r="L330" i="6"/>
  <c r="K330" i="6"/>
  <c r="J330" i="6"/>
  <c r="I330" i="6"/>
  <c r="AF329" i="6"/>
  <c r="T329" i="6"/>
  <c r="X329" i="6" s="1"/>
  <c r="S329" i="6"/>
  <c r="W329" i="6" s="1"/>
  <c r="R329" i="6"/>
  <c r="V329" i="6" s="1"/>
  <c r="Q329" i="6"/>
  <c r="P329" i="6"/>
  <c r="O329" i="6"/>
  <c r="N329" i="6"/>
  <c r="M329" i="6"/>
  <c r="L329" i="6"/>
  <c r="K329" i="6"/>
  <c r="J329" i="6"/>
  <c r="U329" i="6" s="1"/>
  <c r="I329" i="6"/>
  <c r="AF328" i="6"/>
  <c r="T328" i="6"/>
  <c r="X328" i="6" s="1"/>
  <c r="S328" i="6"/>
  <c r="W328" i="6" s="1"/>
  <c r="R328" i="6"/>
  <c r="V328" i="6" s="1"/>
  <c r="Q328" i="6"/>
  <c r="U328" i="6" s="1"/>
  <c r="P328" i="6"/>
  <c r="O328" i="6"/>
  <c r="N328" i="6"/>
  <c r="M328" i="6"/>
  <c r="L328" i="6"/>
  <c r="K328" i="6"/>
  <c r="J328" i="6"/>
  <c r="I328" i="6"/>
  <c r="AF327" i="6"/>
  <c r="T327" i="6"/>
  <c r="S327" i="6"/>
  <c r="W327" i="6" s="1"/>
  <c r="R327" i="6"/>
  <c r="V327" i="6" s="1"/>
  <c r="Q327" i="6"/>
  <c r="U327" i="6" s="1"/>
  <c r="P327" i="6"/>
  <c r="O327" i="6"/>
  <c r="N327" i="6"/>
  <c r="M327" i="6"/>
  <c r="L327" i="6"/>
  <c r="K327" i="6"/>
  <c r="J327" i="6"/>
  <c r="I327" i="6"/>
  <c r="AF326" i="6"/>
  <c r="T326" i="6"/>
  <c r="S326" i="6"/>
  <c r="R326" i="6"/>
  <c r="V326" i="6" s="1"/>
  <c r="Q326" i="6"/>
  <c r="U326" i="6" s="1"/>
  <c r="P326" i="6"/>
  <c r="O326" i="6"/>
  <c r="N326" i="6"/>
  <c r="M326" i="6"/>
  <c r="L326" i="6"/>
  <c r="K326" i="6"/>
  <c r="J326" i="6"/>
  <c r="I326" i="6"/>
  <c r="X326" i="6" s="1"/>
  <c r="AF325" i="6"/>
  <c r="T325" i="6"/>
  <c r="S325" i="6"/>
  <c r="R325" i="6"/>
  <c r="V325" i="6" s="1"/>
  <c r="Q325" i="6"/>
  <c r="U325" i="6" s="1"/>
  <c r="P325" i="6"/>
  <c r="X325" i="6" s="1"/>
  <c r="O325" i="6"/>
  <c r="N325" i="6"/>
  <c r="M325" i="6"/>
  <c r="L325" i="6"/>
  <c r="K325" i="6"/>
  <c r="J325" i="6"/>
  <c r="I325" i="6"/>
  <c r="AF324" i="6"/>
  <c r="T324" i="6"/>
  <c r="S324" i="6"/>
  <c r="R324" i="6"/>
  <c r="Q324" i="6"/>
  <c r="U324" i="6" s="1"/>
  <c r="P324" i="6"/>
  <c r="O324" i="6"/>
  <c r="N324" i="6"/>
  <c r="M324" i="6"/>
  <c r="L324" i="6"/>
  <c r="K324" i="6"/>
  <c r="J324" i="6"/>
  <c r="I324" i="6"/>
  <c r="AF323" i="6"/>
  <c r="T323" i="6"/>
  <c r="X323" i="6" s="1"/>
  <c r="S323" i="6"/>
  <c r="R323" i="6"/>
  <c r="Q323" i="6"/>
  <c r="P323" i="6"/>
  <c r="O323" i="6"/>
  <c r="N323" i="6"/>
  <c r="M323" i="6"/>
  <c r="L323" i="6"/>
  <c r="K323" i="6"/>
  <c r="J323" i="6"/>
  <c r="I323" i="6"/>
  <c r="AF322" i="6"/>
  <c r="T322" i="6"/>
  <c r="X322" i="6" s="1"/>
  <c r="S322" i="6"/>
  <c r="W322" i="6" s="1"/>
  <c r="R322" i="6"/>
  <c r="Q322" i="6"/>
  <c r="P322" i="6"/>
  <c r="O322" i="6"/>
  <c r="N322" i="6"/>
  <c r="M322" i="6"/>
  <c r="U322" i="6" s="1"/>
  <c r="L322" i="6"/>
  <c r="K322" i="6"/>
  <c r="J322" i="6"/>
  <c r="I322" i="6"/>
  <c r="AF321" i="6"/>
  <c r="T321" i="6"/>
  <c r="X321" i="6" s="1"/>
  <c r="S321" i="6"/>
  <c r="W321" i="6" s="1"/>
  <c r="R321" i="6"/>
  <c r="V321" i="6" s="1"/>
  <c r="Q321" i="6"/>
  <c r="P321" i="6"/>
  <c r="O321" i="6"/>
  <c r="N321" i="6"/>
  <c r="M321" i="6"/>
  <c r="L321" i="6"/>
  <c r="K321" i="6"/>
  <c r="J321" i="6"/>
  <c r="U321" i="6" s="1"/>
  <c r="I321" i="6"/>
  <c r="AF320" i="6"/>
  <c r="T320" i="6"/>
  <c r="X320" i="6" s="1"/>
  <c r="S320" i="6"/>
  <c r="W320" i="6" s="1"/>
  <c r="R320" i="6"/>
  <c r="V320" i="6" s="1"/>
  <c r="Q320" i="6"/>
  <c r="U320" i="6" s="1"/>
  <c r="P320" i="6"/>
  <c r="O320" i="6"/>
  <c r="N320" i="6"/>
  <c r="M320" i="6"/>
  <c r="L320" i="6"/>
  <c r="K320" i="6"/>
  <c r="J320" i="6"/>
  <c r="I320" i="6"/>
  <c r="AF319" i="6"/>
  <c r="T319" i="6"/>
  <c r="X319" i="6" s="1"/>
  <c r="S319" i="6"/>
  <c r="W319" i="6" s="1"/>
  <c r="R319" i="6"/>
  <c r="V319" i="6" s="1"/>
  <c r="Q319" i="6"/>
  <c r="U319" i="6" s="1"/>
  <c r="P319" i="6"/>
  <c r="O319" i="6"/>
  <c r="N319" i="6"/>
  <c r="M319" i="6"/>
  <c r="L319" i="6"/>
  <c r="K319" i="6"/>
  <c r="J319" i="6"/>
  <c r="I319" i="6"/>
  <c r="AF318" i="6"/>
  <c r="T318" i="6"/>
  <c r="S318" i="6"/>
  <c r="R318" i="6"/>
  <c r="V318" i="6" s="1"/>
  <c r="Q318" i="6"/>
  <c r="U318" i="6" s="1"/>
  <c r="P318" i="6"/>
  <c r="O318" i="6"/>
  <c r="N318" i="6"/>
  <c r="M318" i="6"/>
  <c r="L318" i="6"/>
  <c r="K318" i="6"/>
  <c r="J318" i="6"/>
  <c r="I318" i="6"/>
  <c r="X318" i="6" s="1"/>
  <c r="AF317" i="6"/>
  <c r="T317" i="6"/>
  <c r="S317" i="6"/>
  <c r="R317" i="6"/>
  <c r="V317" i="6" s="1"/>
  <c r="Q317" i="6"/>
  <c r="U317" i="6" s="1"/>
  <c r="P317" i="6"/>
  <c r="X317" i="6" s="1"/>
  <c r="O317" i="6"/>
  <c r="N317" i="6"/>
  <c r="M317" i="6"/>
  <c r="L317" i="6"/>
  <c r="K317" i="6"/>
  <c r="J317" i="6"/>
  <c r="I317" i="6"/>
  <c r="AF316" i="6"/>
  <c r="T316" i="6"/>
  <c r="S316" i="6"/>
  <c r="R316" i="6"/>
  <c r="Q316" i="6"/>
  <c r="U316" i="6" s="1"/>
  <c r="P316" i="6"/>
  <c r="O316" i="6"/>
  <c r="N316" i="6"/>
  <c r="M316" i="6"/>
  <c r="L316" i="6"/>
  <c r="K316" i="6"/>
  <c r="J316" i="6"/>
  <c r="I316" i="6"/>
  <c r="AF315" i="6"/>
  <c r="T315" i="6"/>
  <c r="S315" i="6"/>
  <c r="R315" i="6"/>
  <c r="Q315" i="6"/>
  <c r="U315" i="6" s="1"/>
  <c r="P315" i="6"/>
  <c r="X315" i="6" s="1"/>
  <c r="O315" i="6"/>
  <c r="N315" i="6"/>
  <c r="M315" i="6"/>
  <c r="L315" i="6"/>
  <c r="K315" i="6"/>
  <c r="J315" i="6"/>
  <c r="I315" i="6"/>
  <c r="AF314" i="6"/>
  <c r="T314" i="6"/>
  <c r="X314" i="6" s="1"/>
  <c r="S314" i="6"/>
  <c r="R314" i="6"/>
  <c r="Q314" i="6"/>
  <c r="P314" i="6"/>
  <c r="O314" i="6"/>
  <c r="N314" i="6"/>
  <c r="M314" i="6"/>
  <c r="U314" i="6" s="1"/>
  <c r="L314" i="6"/>
  <c r="K314" i="6"/>
  <c r="J314" i="6"/>
  <c r="I314" i="6"/>
  <c r="AF313" i="6"/>
  <c r="T313" i="6"/>
  <c r="X313" i="6" s="1"/>
  <c r="S313" i="6"/>
  <c r="W313" i="6" s="1"/>
  <c r="R313" i="6"/>
  <c r="Q313" i="6"/>
  <c r="P313" i="6"/>
  <c r="O313" i="6"/>
  <c r="N313" i="6"/>
  <c r="M313" i="6"/>
  <c r="L313" i="6"/>
  <c r="K313" i="6"/>
  <c r="J313" i="6"/>
  <c r="I313" i="6"/>
  <c r="AF312" i="6"/>
  <c r="T312" i="6"/>
  <c r="X312" i="6" s="1"/>
  <c r="S312" i="6"/>
  <c r="W312" i="6" s="1"/>
  <c r="R312" i="6"/>
  <c r="V312" i="6" s="1"/>
  <c r="Q312" i="6"/>
  <c r="P312" i="6"/>
  <c r="O312" i="6"/>
  <c r="N312" i="6"/>
  <c r="M312" i="6"/>
  <c r="L312" i="6"/>
  <c r="K312" i="6"/>
  <c r="J312" i="6"/>
  <c r="I312" i="6"/>
  <c r="AF311" i="6"/>
  <c r="T311" i="6"/>
  <c r="X311" i="6" s="1"/>
  <c r="S311" i="6"/>
  <c r="W311" i="6" s="1"/>
  <c r="R311" i="6"/>
  <c r="V311" i="6" s="1"/>
  <c r="Q311" i="6"/>
  <c r="U311" i="6" s="1"/>
  <c r="P311" i="6"/>
  <c r="O311" i="6"/>
  <c r="N311" i="6"/>
  <c r="M311" i="6"/>
  <c r="L311" i="6"/>
  <c r="K311" i="6"/>
  <c r="J311" i="6"/>
  <c r="I311" i="6"/>
  <c r="AF310" i="6"/>
  <c r="T310" i="6"/>
  <c r="X310" i="6" s="1"/>
  <c r="S310" i="6"/>
  <c r="W310" i="6" s="1"/>
  <c r="R310" i="6"/>
  <c r="V310" i="6" s="1"/>
  <c r="Q310" i="6"/>
  <c r="U310" i="6" s="1"/>
  <c r="P310" i="6"/>
  <c r="O310" i="6"/>
  <c r="N310" i="6"/>
  <c r="M310" i="6"/>
  <c r="L310" i="6"/>
  <c r="K310" i="6"/>
  <c r="J310" i="6"/>
  <c r="I310" i="6"/>
  <c r="AF309" i="6"/>
  <c r="T309" i="6"/>
  <c r="S309" i="6"/>
  <c r="W309" i="6" s="1"/>
  <c r="R309" i="6"/>
  <c r="V309" i="6" s="1"/>
  <c r="Q309" i="6"/>
  <c r="U309" i="6" s="1"/>
  <c r="P309" i="6"/>
  <c r="X309" i="6" s="1"/>
  <c r="O309" i="6"/>
  <c r="N309" i="6"/>
  <c r="M309" i="6"/>
  <c r="L309" i="6"/>
  <c r="K309" i="6"/>
  <c r="J309" i="6"/>
  <c r="I309" i="6"/>
  <c r="AF308" i="6"/>
  <c r="T308" i="6"/>
  <c r="S308" i="6"/>
  <c r="R308" i="6"/>
  <c r="V308" i="6" s="1"/>
  <c r="Q308" i="6"/>
  <c r="U308" i="6" s="1"/>
  <c r="P308" i="6"/>
  <c r="X308" i="6" s="1"/>
  <c r="O308" i="6"/>
  <c r="N308" i="6"/>
  <c r="M308" i="6"/>
  <c r="L308" i="6"/>
  <c r="K308" i="6"/>
  <c r="J308" i="6"/>
  <c r="I308" i="6"/>
  <c r="AF307" i="6"/>
  <c r="T307" i="6"/>
  <c r="S307" i="6"/>
  <c r="R307" i="6"/>
  <c r="Q307" i="6"/>
  <c r="U307" i="6" s="1"/>
  <c r="P307" i="6"/>
  <c r="X307" i="6" s="1"/>
  <c r="O307" i="6"/>
  <c r="N307" i="6"/>
  <c r="M307" i="6"/>
  <c r="L307" i="6"/>
  <c r="K307" i="6"/>
  <c r="J307" i="6"/>
  <c r="I307" i="6"/>
  <c r="AF306" i="6"/>
  <c r="T306" i="6"/>
  <c r="S306" i="6"/>
  <c r="R306" i="6"/>
  <c r="Q306" i="6"/>
  <c r="P306" i="6"/>
  <c r="O306" i="6"/>
  <c r="N306" i="6"/>
  <c r="M306" i="6"/>
  <c r="U306" i="6" s="1"/>
  <c r="L306" i="6"/>
  <c r="K306" i="6"/>
  <c r="J306" i="6"/>
  <c r="I306" i="6"/>
  <c r="AF305" i="6"/>
  <c r="T305" i="6"/>
  <c r="X305" i="6" s="1"/>
  <c r="S305" i="6"/>
  <c r="W305" i="6" s="1"/>
  <c r="R305" i="6"/>
  <c r="Q305" i="6"/>
  <c r="P305" i="6"/>
  <c r="O305" i="6"/>
  <c r="N305" i="6"/>
  <c r="M305" i="6"/>
  <c r="L305" i="6"/>
  <c r="K305" i="6"/>
  <c r="J305" i="6"/>
  <c r="I305" i="6"/>
  <c r="AF304" i="6"/>
  <c r="T304" i="6"/>
  <c r="X304" i="6" s="1"/>
  <c r="S304" i="6"/>
  <c r="W304" i="6" s="1"/>
  <c r="R304" i="6"/>
  <c r="V304" i="6" s="1"/>
  <c r="Q304" i="6"/>
  <c r="P304" i="6"/>
  <c r="O304" i="6"/>
  <c r="N304" i="6"/>
  <c r="M304" i="6"/>
  <c r="L304" i="6"/>
  <c r="K304" i="6"/>
  <c r="J304" i="6"/>
  <c r="I304" i="6"/>
  <c r="AF303" i="6"/>
  <c r="T303" i="6"/>
  <c r="X303" i="6" s="1"/>
  <c r="S303" i="6"/>
  <c r="W303" i="6" s="1"/>
  <c r="R303" i="6"/>
  <c r="V303" i="6" s="1"/>
  <c r="Q303" i="6"/>
  <c r="U303" i="6" s="1"/>
  <c r="P303" i="6"/>
  <c r="O303" i="6"/>
  <c r="N303" i="6"/>
  <c r="M303" i="6"/>
  <c r="L303" i="6"/>
  <c r="K303" i="6"/>
  <c r="J303" i="6"/>
  <c r="I303" i="6"/>
  <c r="AF302" i="6"/>
  <c r="T302" i="6"/>
  <c r="S302" i="6"/>
  <c r="W302" i="6" s="1"/>
  <c r="R302" i="6"/>
  <c r="V302" i="6" s="1"/>
  <c r="Q302" i="6"/>
  <c r="U302" i="6" s="1"/>
  <c r="P302" i="6"/>
  <c r="O302" i="6"/>
  <c r="N302" i="6"/>
  <c r="M302" i="6"/>
  <c r="L302" i="6"/>
  <c r="K302" i="6"/>
  <c r="J302" i="6"/>
  <c r="I302" i="6"/>
  <c r="X302" i="6" s="1"/>
  <c r="AF301" i="6"/>
  <c r="T301" i="6"/>
  <c r="S301" i="6"/>
  <c r="W301" i="6" s="1"/>
  <c r="R301" i="6"/>
  <c r="V301" i="6" s="1"/>
  <c r="Q301" i="6"/>
  <c r="U301" i="6" s="1"/>
  <c r="P301" i="6"/>
  <c r="O301" i="6"/>
  <c r="N301" i="6"/>
  <c r="M301" i="6"/>
  <c r="L301" i="6"/>
  <c r="K301" i="6"/>
  <c r="J301" i="6"/>
  <c r="I301" i="6"/>
  <c r="AF300" i="6"/>
  <c r="T300" i="6"/>
  <c r="S300" i="6"/>
  <c r="R300" i="6"/>
  <c r="V300" i="6" s="1"/>
  <c r="Q300" i="6"/>
  <c r="U300" i="6" s="1"/>
  <c r="P300" i="6"/>
  <c r="X300" i="6" s="1"/>
  <c r="O300" i="6"/>
  <c r="N300" i="6"/>
  <c r="M300" i="6"/>
  <c r="L300" i="6"/>
  <c r="K300" i="6"/>
  <c r="J300" i="6"/>
  <c r="I300" i="6"/>
  <c r="AF299" i="6"/>
  <c r="T299" i="6"/>
  <c r="S299" i="6"/>
  <c r="R299" i="6"/>
  <c r="Q299" i="6"/>
  <c r="U299" i="6" s="1"/>
  <c r="P299" i="6"/>
  <c r="X299" i="6" s="1"/>
  <c r="O299" i="6"/>
  <c r="N299" i="6"/>
  <c r="M299" i="6"/>
  <c r="L299" i="6"/>
  <c r="K299" i="6"/>
  <c r="J299" i="6"/>
  <c r="I299" i="6"/>
  <c r="AF298" i="6"/>
  <c r="T298" i="6"/>
  <c r="S298" i="6"/>
  <c r="R298" i="6"/>
  <c r="Q298" i="6"/>
  <c r="P298" i="6"/>
  <c r="O298" i="6"/>
  <c r="N298" i="6"/>
  <c r="M298" i="6"/>
  <c r="U298" i="6" s="1"/>
  <c r="L298" i="6"/>
  <c r="K298" i="6"/>
  <c r="J298" i="6"/>
  <c r="I298" i="6"/>
  <c r="AF297" i="6"/>
  <c r="T297" i="6"/>
  <c r="X297" i="6" s="1"/>
  <c r="S297" i="6"/>
  <c r="R297" i="6"/>
  <c r="Q297" i="6"/>
  <c r="P297" i="6"/>
  <c r="O297" i="6"/>
  <c r="N297" i="6"/>
  <c r="M297" i="6"/>
  <c r="L297" i="6"/>
  <c r="K297" i="6"/>
  <c r="J297" i="6"/>
  <c r="I297" i="6"/>
  <c r="W297" i="6" s="1"/>
  <c r="AF296" i="6"/>
  <c r="T296" i="6"/>
  <c r="X296" i="6" s="1"/>
  <c r="S296" i="6"/>
  <c r="W296" i="6" s="1"/>
  <c r="R296" i="6"/>
  <c r="Q296" i="6"/>
  <c r="P296" i="6"/>
  <c r="O296" i="6"/>
  <c r="N296" i="6"/>
  <c r="M296" i="6"/>
  <c r="L296" i="6"/>
  <c r="K296" i="6"/>
  <c r="J296" i="6"/>
  <c r="I296" i="6"/>
  <c r="AF295" i="6"/>
  <c r="T295" i="6"/>
  <c r="X295" i="6" s="1"/>
  <c r="S295" i="6"/>
  <c r="W295" i="6" s="1"/>
  <c r="R295" i="6"/>
  <c r="V295" i="6" s="1"/>
  <c r="Q295" i="6"/>
  <c r="P295" i="6"/>
  <c r="O295" i="6"/>
  <c r="N295" i="6"/>
  <c r="M295" i="6"/>
  <c r="L295" i="6"/>
  <c r="K295" i="6"/>
  <c r="J295" i="6"/>
  <c r="I295" i="6"/>
  <c r="U295" i="6" s="1"/>
  <c r="AF294" i="6"/>
  <c r="T294" i="6"/>
  <c r="X294" i="6" s="1"/>
  <c r="S294" i="6"/>
  <c r="W294" i="6" s="1"/>
  <c r="R294" i="6"/>
  <c r="V294" i="6" s="1"/>
  <c r="Q294" i="6"/>
  <c r="U294" i="6" s="1"/>
  <c r="P294" i="6"/>
  <c r="O294" i="6"/>
  <c r="N294" i="6"/>
  <c r="M294" i="6"/>
  <c r="L294" i="6"/>
  <c r="K294" i="6"/>
  <c r="J294" i="6"/>
  <c r="I294" i="6"/>
  <c r="AF293" i="6"/>
  <c r="T293" i="6"/>
  <c r="S293" i="6"/>
  <c r="W293" i="6" s="1"/>
  <c r="R293" i="6"/>
  <c r="V293" i="6" s="1"/>
  <c r="Q293" i="6"/>
  <c r="U293" i="6" s="1"/>
  <c r="P293" i="6"/>
  <c r="X293" i="6" s="1"/>
  <c r="O293" i="6"/>
  <c r="N293" i="6"/>
  <c r="M293" i="6"/>
  <c r="L293" i="6"/>
  <c r="K293" i="6"/>
  <c r="J293" i="6"/>
  <c r="I293" i="6"/>
  <c r="AF292" i="6"/>
  <c r="T292" i="6"/>
  <c r="S292" i="6"/>
  <c r="R292" i="6"/>
  <c r="V292" i="6" s="1"/>
  <c r="Q292" i="6"/>
  <c r="U292" i="6" s="1"/>
  <c r="P292" i="6"/>
  <c r="X292" i="6" s="1"/>
  <c r="O292" i="6"/>
  <c r="N292" i="6"/>
  <c r="M292" i="6"/>
  <c r="L292" i="6"/>
  <c r="K292" i="6"/>
  <c r="J292" i="6"/>
  <c r="I292" i="6"/>
  <c r="AF291" i="6"/>
  <c r="T291" i="6"/>
  <c r="S291" i="6"/>
  <c r="R291" i="6"/>
  <c r="Q291" i="6"/>
  <c r="U291" i="6" s="1"/>
  <c r="P291" i="6"/>
  <c r="O291" i="6"/>
  <c r="N291" i="6"/>
  <c r="M291" i="6"/>
  <c r="L291" i="6"/>
  <c r="K291" i="6"/>
  <c r="J291" i="6"/>
  <c r="I291" i="6"/>
  <c r="AF290" i="6"/>
  <c r="T290" i="6"/>
  <c r="S290" i="6"/>
  <c r="R290" i="6"/>
  <c r="Q290" i="6"/>
  <c r="P290" i="6"/>
  <c r="O290" i="6"/>
  <c r="N290" i="6"/>
  <c r="M290" i="6"/>
  <c r="U290" i="6" s="1"/>
  <c r="L290" i="6"/>
  <c r="K290" i="6"/>
  <c r="J290" i="6"/>
  <c r="I290" i="6"/>
  <c r="AF289" i="6"/>
  <c r="T289" i="6"/>
  <c r="X289" i="6" s="1"/>
  <c r="S289" i="6"/>
  <c r="R289" i="6"/>
  <c r="Q289" i="6"/>
  <c r="P289" i="6"/>
  <c r="O289" i="6"/>
  <c r="N289" i="6"/>
  <c r="M289" i="6"/>
  <c r="L289" i="6"/>
  <c r="K289" i="6"/>
  <c r="J289" i="6"/>
  <c r="W289" i="6" s="1"/>
  <c r="I289" i="6"/>
  <c r="AF288" i="6"/>
  <c r="T288" i="6"/>
  <c r="X288" i="6" s="1"/>
  <c r="S288" i="6"/>
  <c r="W288" i="6" s="1"/>
  <c r="R288" i="6"/>
  <c r="Q288" i="6"/>
  <c r="P288" i="6"/>
  <c r="O288" i="6"/>
  <c r="N288" i="6"/>
  <c r="M288" i="6"/>
  <c r="L288" i="6"/>
  <c r="K288" i="6"/>
  <c r="J288" i="6"/>
  <c r="I288" i="6"/>
  <c r="AF287" i="6"/>
  <c r="T287" i="6"/>
  <c r="X287" i="6" s="1"/>
  <c r="S287" i="6"/>
  <c r="W287" i="6" s="1"/>
  <c r="R287" i="6"/>
  <c r="V287" i="6" s="1"/>
  <c r="Q287" i="6"/>
  <c r="U287" i="6" s="1"/>
  <c r="P287" i="6"/>
  <c r="O287" i="6"/>
  <c r="N287" i="6"/>
  <c r="M287" i="6"/>
  <c r="L287" i="6"/>
  <c r="K287" i="6"/>
  <c r="J287" i="6"/>
  <c r="I287" i="6"/>
  <c r="AF286" i="6"/>
  <c r="T286" i="6"/>
  <c r="X286" i="6" s="1"/>
  <c r="S286" i="6"/>
  <c r="W286" i="6" s="1"/>
  <c r="R286" i="6"/>
  <c r="V286" i="6" s="1"/>
  <c r="Q286" i="6"/>
  <c r="U286" i="6" s="1"/>
  <c r="P286" i="6"/>
  <c r="O286" i="6"/>
  <c r="N286" i="6"/>
  <c r="M286" i="6"/>
  <c r="L286" i="6"/>
  <c r="K286" i="6"/>
  <c r="J286" i="6"/>
  <c r="I286" i="6"/>
  <c r="AF285" i="6"/>
  <c r="T285" i="6"/>
  <c r="S285" i="6"/>
  <c r="W285" i="6" s="1"/>
  <c r="R285" i="6"/>
  <c r="V285" i="6" s="1"/>
  <c r="Q285" i="6"/>
  <c r="U285" i="6" s="1"/>
  <c r="P285" i="6"/>
  <c r="X285" i="6" s="1"/>
  <c r="O285" i="6"/>
  <c r="N285" i="6"/>
  <c r="M285" i="6"/>
  <c r="L285" i="6"/>
  <c r="K285" i="6"/>
  <c r="J285" i="6"/>
  <c r="I285" i="6"/>
  <c r="AF284" i="6"/>
  <c r="T284" i="6"/>
  <c r="S284" i="6"/>
  <c r="R284" i="6"/>
  <c r="V284" i="6" s="1"/>
  <c r="Q284" i="6"/>
  <c r="U284" i="6" s="1"/>
  <c r="P284" i="6"/>
  <c r="X284" i="6" s="1"/>
  <c r="O284" i="6"/>
  <c r="N284" i="6"/>
  <c r="M284" i="6"/>
  <c r="L284" i="6"/>
  <c r="K284" i="6"/>
  <c r="J284" i="6"/>
  <c r="I284" i="6"/>
  <c r="AF283" i="6"/>
  <c r="T283" i="6"/>
  <c r="S283" i="6"/>
  <c r="R283" i="6"/>
  <c r="Q283" i="6"/>
  <c r="U283" i="6" s="1"/>
  <c r="P283" i="6"/>
  <c r="O283" i="6"/>
  <c r="N283" i="6"/>
  <c r="M283" i="6"/>
  <c r="L283" i="6"/>
  <c r="K283" i="6"/>
  <c r="J283" i="6"/>
  <c r="X283" i="6" s="1"/>
  <c r="I283" i="6"/>
  <c r="AF282" i="6"/>
  <c r="T282" i="6"/>
  <c r="S282" i="6"/>
  <c r="R282" i="6"/>
  <c r="Q282" i="6"/>
  <c r="P282" i="6"/>
  <c r="O282" i="6"/>
  <c r="N282" i="6"/>
  <c r="M282" i="6"/>
  <c r="U282" i="6" s="1"/>
  <c r="L282" i="6"/>
  <c r="K282" i="6"/>
  <c r="J282" i="6"/>
  <c r="I282" i="6"/>
  <c r="AF281" i="6"/>
  <c r="T281" i="6"/>
  <c r="X281" i="6" s="1"/>
  <c r="S281" i="6"/>
  <c r="R281" i="6"/>
  <c r="Q281" i="6"/>
  <c r="P281" i="6"/>
  <c r="O281" i="6"/>
  <c r="N281" i="6"/>
  <c r="M281" i="6"/>
  <c r="L281" i="6"/>
  <c r="K281" i="6"/>
  <c r="J281" i="6"/>
  <c r="I281" i="6"/>
  <c r="W281" i="6" s="1"/>
  <c r="AF280" i="6"/>
  <c r="T280" i="6"/>
  <c r="X280" i="6" s="1"/>
  <c r="S280" i="6"/>
  <c r="W280" i="6" s="1"/>
  <c r="R280" i="6"/>
  <c r="Q280" i="6"/>
  <c r="P280" i="6"/>
  <c r="O280" i="6"/>
  <c r="N280" i="6"/>
  <c r="M280" i="6"/>
  <c r="L280" i="6"/>
  <c r="K280" i="6"/>
  <c r="J280" i="6"/>
  <c r="I280" i="6"/>
  <c r="AF279" i="6"/>
  <c r="T279" i="6"/>
  <c r="X279" i="6" s="1"/>
  <c r="S279" i="6"/>
  <c r="W279" i="6" s="1"/>
  <c r="R279" i="6"/>
  <c r="V279" i="6" s="1"/>
  <c r="Q279" i="6"/>
  <c r="P279" i="6"/>
  <c r="O279" i="6"/>
  <c r="N279" i="6"/>
  <c r="M279" i="6"/>
  <c r="L279" i="6"/>
  <c r="K279" i="6"/>
  <c r="J279" i="6"/>
  <c r="I279" i="6"/>
  <c r="U279" i="6" s="1"/>
  <c r="AF278" i="6"/>
  <c r="T278" i="6"/>
  <c r="X278" i="6" s="1"/>
  <c r="S278" i="6"/>
  <c r="W278" i="6" s="1"/>
  <c r="R278" i="6"/>
  <c r="V278" i="6" s="1"/>
  <c r="Q278" i="6"/>
  <c r="U278" i="6" s="1"/>
  <c r="P278" i="6"/>
  <c r="O278" i="6"/>
  <c r="N278" i="6"/>
  <c r="M278" i="6"/>
  <c r="L278" i="6"/>
  <c r="K278" i="6"/>
  <c r="J278" i="6"/>
  <c r="I278" i="6"/>
  <c r="AF277" i="6"/>
  <c r="T277" i="6"/>
  <c r="S277" i="6"/>
  <c r="W277" i="6" s="1"/>
  <c r="R277" i="6"/>
  <c r="V277" i="6" s="1"/>
  <c r="Q277" i="6"/>
  <c r="U277" i="6" s="1"/>
  <c r="P277" i="6"/>
  <c r="X277" i="6" s="1"/>
  <c r="O277" i="6"/>
  <c r="N277" i="6"/>
  <c r="M277" i="6"/>
  <c r="L277" i="6"/>
  <c r="K277" i="6"/>
  <c r="J277" i="6"/>
  <c r="I277" i="6"/>
  <c r="AF276" i="6"/>
  <c r="T276" i="6"/>
  <c r="S276" i="6"/>
  <c r="R276" i="6"/>
  <c r="V276" i="6" s="1"/>
  <c r="Q276" i="6"/>
  <c r="U276" i="6" s="1"/>
  <c r="P276" i="6"/>
  <c r="X276" i="6" s="1"/>
  <c r="O276" i="6"/>
  <c r="N276" i="6"/>
  <c r="M276" i="6"/>
  <c r="L276" i="6"/>
  <c r="K276" i="6"/>
  <c r="J276" i="6"/>
  <c r="I276" i="6"/>
  <c r="AF275" i="6"/>
  <c r="T275" i="6"/>
  <c r="S275" i="6"/>
  <c r="R275" i="6"/>
  <c r="Q275" i="6"/>
  <c r="U275" i="6" s="1"/>
  <c r="P275" i="6"/>
  <c r="X275" i="6" s="1"/>
  <c r="O275" i="6"/>
  <c r="N275" i="6"/>
  <c r="M275" i="6"/>
  <c r="L275" i="6"/>
  <c r="K275" i="6"/>
  <c r="J275" i="6"/>
  <c r="I275" i="6"/>
  <c r="AF274" i="6"/>
  <c r="T274" i="6"/>
  <c r="S274" i="6"/>
  <c r="R274" i="6"/>
  <c r="Q274" i="6"/>
  <c r="P274" i="6"/>
  <c r="O274" i="6"/>
  <c r="N274" i="6"/>
  <c r="M274" i="6"/>
  <c r="U274" i="6" s="1"/>
  <c r="L274" i="6"/>
  <c r="K274" i="6"/>
  <c r="J274" i="6"/>
  <c r="I274" i="6"/>
  <c r="AF273" i="6"/>
  <c r="T273" i="6"/>
  <c r="X273" i="6" s="1"/>
  <c r="S273" i="6"/>
  <c r="R273" i="6"/>
  <c r="Q273" i="6"/>
  <c r="P273" i="6"/>
  <c r="O273" i="6"/>
  <c r="N273" i="6"/>
  <c r="M273" i="6"/>
  <c r="L273" i="6"/>
  <c r="K273" i="6"/>
  <c r="J273" i="6"/>
  <c r="I273" i="6"/>
  <c r="W273" i="6" s="1"/>
  <c r="AF272" i="6"/>
  <c r="T272" i="6"/>
  <c r="X272" i="6" s="1"/>
  <c r="S272" i="6"/>
  <c r="W272" i="6" s="1"/>
  <c r="R272" i="6"/>
  <c r="V272" i="6" s="1"/>
  <c r="Q272" i="6"/>
  <c r="P272" i="6"/>
  <c r="O272" i="6"/>
  <c r="N272" i="6"/>
  <c r="M272" i="6"/>
  <c r="L272" i="6"/>
  <c r="K272" i="6"/>
  <c r="J272" i="6"/>
  <c r="I272" i="6"/>
  <c r="AF271" i="6"/>
  <c r="T271" i="6"/>
  <c r="X271" i="6" s="1"/>
  <c r="S271" i="6"/>
  <c r="W271" i="6" s="1"/>
  <c r="R271" i="6"/>
  <c r="V271" i="6" s="1"/>
  <c r="Q271" i="6"/>
  <c r="U271" i="6" s="1"/>
  <c r="P271" i="6"/>
  <c r="O271" i="6"/>
  <c r="N271" i="6"/>
  <c r="M271" i="6"/>
  <c r="L271" i="6"/>
  <c r="K271" i="6"/>
  <c r="J271" i="6"/>
  <c r="I271" i="6"/>
  <c r="AF270" i="6"/>
  <c r="T270" i="6"/>
  <c r="S270" i="6"/>
  <c r="W270" i="6" s="1"/>
  <c r="R270" i="6"/>
  <c r="V270" i="6" s="1"/>
  <c r="Q270" i="6"/>
  <c r="U270" i="6" s="1"/>
  <c r="P270" i="6"/>
  <c r="O270" i="6"/>
  <c r="N270" i="6"/>
  <c r="M270" i="6"/>
  <c r="L270" i="6"/>
  <c r="K270" i="6"/>
  <c r="J270" i="6"/>
  <c r="I270" i="6"/>
  <c r="X270" i="6" s="1"/>
  <c r="AF269" i="6"/>
  <c r="T269" i="6"/>
  <c r="S269" i="6"/>
  <c r="W269" i="6" s="1"/>
  <c r="R269" i="6"/>
  <c r="V269" i="6" s="1"/>
  <c r="Q269" i="6"/>
  <c r="U269" i="6" s="1"/>
  <c r="P269" i="6"/>
  <c r="X269" i="6" s="1"/>
  <c r="O269" i="6"/>
  <c r="N269" i="6"/>
  <c r="M269" i="6"/>
  <c r="L269" i="6"/>
  <c r="K269" i="6"/>
  <c r="J269" i="6"/>
  <c r="I269" i="6"/>
  <c r="AF268" i="6"/>
  <c r="T268" i="6"/>
  <c r="S268" i="6"/>
  <c r="R268" i="6"/>
  <c r="V268" i="6" s="1"/>
  <c r="Q268" i="6"/>
  <c r="U268" i="6" s="1"/>
  <c r="P268" i="6"/>
  <c r="X268" i="6" s="1"/>
  <c r="O268" i="6"/>
  <c r="N268" i="6"/>
  <c r="M268" i="6"/>
  <c r="L268" i="6"/>
  <c r="K268" i="6"/>
  <c r="J268" i="6"/>
  <c r="I268" i="6"/>
  <c r="AF267" i="6"/>
  <c r="T267" i="6"/>
  <c r="S267" i="6"/>
  <c r="R267" i="6"/>
  <c r="Q267" i="6"/>
  <c r="U267" i="6" s="1"/>
  <c r="P267" i="6"/>
  <c r="X267" i="6" s="1"/>
  <c r="O267" i="6"/>
  <c r="N267" i="6"/>
  <c r="M267" i="6"/>
  <c r="L267" i="6"/>
  <c r="K267" i="6"/>
  <c r="J267" i="6"/>
  <c r="I267" i="6"/>
  <c r="AF266" i="6"/>
  <c r="T266" i="6"/>
  <c r="S266" i="6"/>
  <c r="R266" i="6"/>
  <c r="Q266" i="6"/>
  <c r="P266" i="6"/>
  <c r="O266" i="6"/>
  <c r="N266" i="6"/>
  <c r="M266" i="6"/>
  <c r="U266" i="6" s="1"/>
  <c r="L266" i="6"/>
  <c r="K266" i="6"/>
  <c r="J266" i="6"/>
  <c r="I266" i="6"/>
  <c r="AF265" i="6"/>
  <c r="T265" i="6"/>
  <c r="X265" i="6" s="1"/>
  <c r="S265" i="6"/>
  <c r="W265" i="6" s="1"/>
  <c r="R265" i="6"/>
  <c r="Q265" i="6"/>
  <c r="P265" i="6"/>
  <c r="O265" i="6"/>
  <c r="N265" i="6"/>
  <c r="M265" i="6"/>
  <c r="L265" i="6"/>
  <c r="K265" i="6"/>
  <c r="J265" i="6"/>
  <c r="I265" i="6"/>
  <c r="AF264" i="6"/>
  <c r="T264" i="6"/>
  <c r="X264" i="6" s="1"/>
  <c r="S264" i="6"/>
  <c r="W264" i="6" s="1"/>
  <c r="R264" i="6"/>
  <c r="V264" i="6" s="1"/>
  <c r="Q264" i="6"/>
  <c r="P264" i="6"/>
  <c r="O264" i="6"/>
  <c r="N264" i="6"/>
  <c r="M264" i="6"/>
  <c r="L264" i="6"/>
  <c r="K264" i="6"/>
  <c r="J264" i="6"/>
  <c r="I264" i="6"/>
  <c r="AF263" i="6"/>
  <c r="T263" i="6"/>
  <c r="X263" i="6" s="1"/>
  <c r="S263" i="6"/>
  <c r="W263" i="6" s="1"/>
  <c r="R263" i="6"/>
  <c r="V263" i="6" s="1"/>
  <c r="Q263" i="6"/>
  <c r="U263" i="6" s="1"/>
  <c r="P263" i="6"/>
  <c r="O263" i="6"/>
  <c r="N263" i="6"/>
  <c r="M263" i="6"/>
  <c r="L263" i="6"/>
  <c r="K263" i="6"/>
  <c r="J263" i="6"/>
  <c r="I263" i="6"/>
  <c r="AF262" i="6"/>
  <c r="T262" i="6"/>
  <c r="S262" i="6"/>
  <c r="W262" i="6" s="1"/>
  <c r="R262" i="6"/>
  <c r="V262" i="6" s="1"/>
  <c r="Q262" i="6"/>
  <c r="U262" i="6" s="1"/>
  <c r="P262" i="6"/>
  <c r="O262" i="6"/>
  <c r="N262" i="6"/>
  <c r="M262" i="6"/>
  <c r="L262" i="6"/>
  <c r="K262" i="6"/>
  <c r="J262" i="6"/>
  <c r="I262" i="6"/>
  <c r="X262" i="6" s="1"/>
  <c r="AF261" i="6"/>
  <c r="T261" i="6"/>
  <c r="S261" i="6"/>
  <c r="W261" i="6" s="1"/>
  <c r="R261" i="6"/>
  <c r="V261" i="6" s="1"/>
  <c r="Q261" i="6"/>
  <c r="U261" i="6" s="1"/>
  <c r="P261" i="6"/>
  <c r="X261" i="6" s="1"/>
  <c r="O261" i="6"/>
  <c r="N261" i="6"/>
  <c r="M261" i="6"/>
  <c r="L261" i="6"/>
  <c r="K261" i="6"/>
  <c r="J261" i="6"/>
  <c r="I261" i="6"/>
  <c r="AF260" i="6"/>
  <c r="T260" i="6"/>
  <c r="S260" i="6"/>
  <c r="R260" i="6"/>
  <c r="V260" i="6" s="1"/>
  <c r="Q260" i="6"/>
  <c r="U260" i="6" s="1"/>
  <c r="P260" i="6"/>
  <c r="X260" i="6" s="1"/>
  <c r="O260" i="6"/>
  <c r="N260" i="6"/>
  <c r="M260" i="6"/>
  <c r="L260" i="6"/>
  <c r="K260" i="6"/>
  <c r="J260" i="6"/>
  <c r="I260" i="6"/>
  <c r="AF259" i="6"/>
  <c r="T259" i="6"/>
  <c r="S259" i="6"/>
  <c r="R259" i="6"/>
  <c r="Q259" i="6"/>
  <c r="U259" i="6" s="1"/>
  <c r="P259" i="6"/>
  <c r="X259" i="6" s="1"/>
  <c r="O259" i="6"/>
  <c r="N259" i="6"/>
  <c r="M259" i="6"/>
  <c r="L259" i="6"/>
  <c r="K259" i="6"/>
  <c r="J259" i="6"/>
  <c r="I259" i="6"/>
  <c r="AF258" i="6"/>
  <c r="T258" i="6"/>
  <c r="S258" i="6"/>
  <c r="R258" i="6"/>
  <c r="Q258" i="6"/>
  <c r="P258" i="6"/>
  <c r="O258" i="6"/>
  <c r="N258" i="6"/>
  <c r="M258" i="6"/>
  <c r="U258" i="6" s="1"/>
  <c r="L258" i="6"/>
  <c r="K258" i="6"/>
  <c r="J258" i="6"/>
  <c r="I258" i="6"/>
  <c r="AF257" i="6"/>
  <c r="T257" i="6"/>
  <c r="X257" i="6" s="1"/>
  <c r="S257" i="6"/>
  <c r="R257" i="6"/>
  <c r="Q257" i="6"/>
  <c r="P257" i="6"/>
  <c r="O257" i="6"/>
  <c r="N257" i="6"/>
  <c r="M257" i="6"/>
  <c r="L257" i="6"/>
  <c r="K257" i="6"/>
  <c r="J257" i="6"/>
  <c r="I257" i="6"/>
  <c r="W257" i="6" s="1"/>
  <c r="AF256" i="6"/>
  <c r="T256" i="6"/>
  <c r="X256" i="6" s="1"/>
  <c r="S256" i="6"/>
  <c r="W256" i="6" s="1"/>
  <c r="R256" i="6"/>
  <c r="Q256" i="6"/>
  <c r="P256" i="6"/>
  <c r="O256" i="6"/>
  <c r="N256" i="6"/>
  <c r="M256" i="6"/>
  <c r="L256" i="6"/>
  <c r="K256" i="6"/>
  <c r="J256" i="6"/>
  <c r="I256" i="6"/>
  <c r="AF255" i="6"/>
  <c r="T255" i="6"/>
  <c r="X255" i="6" s="1"/>
  <c r="S255" i="6"/>
  <c r="W255" i="6" s="1"/>
  <c r="R255" i="6"/>
  <c r="V255" i="6" s="1"/>
  <c r="Q255" i="6"/>
  <c r="U255" i="6" s="1"/>
  <c r="P255" i="6"/>
  <c r="O255" i="6"/>
  <c r="N255" i="6"/>
  <c r="M255" i="6"/>
  <c r="L255" i="6"/>
  <c r="K255" i="6"/>
  <c r="J255" i="6"/>
  <c r="I255" i="6"/>
  <c r="AF254" i="6"/>
  <c r="T254" i="6"/>
  <c r="X254" i="6" s="1"/>
  <c r="S254" i="6"/>
  <c r="W254" i="6" s="1"/>
  <c r="R254" i="6"/>
  <c r="V254" i="6" s="1"/>
  <c r="Q254" i="6"/>
  <c r="U254" i="6" s="1"/>
  <c r="P254" i="6"/>
  <c r="O254" i="6"/>
  <c r="N254" i="6"/>
  <c r="M254" i="6"/>
  <c r="L254" i="6"/>
  <c r="K254" i="6"/>
  <c r="J254" i="6"/>
  <c r="I254" i="6"/>
  <c r="AF253" i="6"/>
  <c r="T253" i="6"/>
  <c r="S253" i="6"/>
  <c r="W253" i="6" s="1"/>
  <c r="R253" i="6"/>
  <c r="V253" i="6" s="1"/>
  <c r="Q253" i="6"/>
  <c r="U253" i="6" s="1"/>
  <c r="P253" i="6"/>
  <c r="X253" i="6" s="1"/>
  <c r="O253" i="6"/>
  <c r="N253" i="6"/>
  <c r="M253" i="6"/>
  <c r="L253" i="6"/>
  <c r="K253" i="6"/>
  <c r="J253" i="6"/>
  <c r="I253" i="6"/>
  <c r="AF252" i="6"/>
  <c r="T252" i="6"/>
  <c r="S252" i="6"/>
  <c r="R252" i="6"/>
  <c r="V252" i="6" s="1"/>
  <c r="Q252" i="6"/>
  <c r="U252" i="6" s="1"/>
  <c r="P252" i="6"/>
  <c r="X252" i="6" s="1"/>
  <c r="O252" i="6"/>
  <c r="N252" i="6"/>
  <c r="M252" i="6"/>
  <c r="L252" i="6"/>
  <c r="K252" i="6"/>
  <c r="J252" i="6"/>
  <c r="I252" i="6"/>
  <c r="AF251" i="6"/>
  <c r="T251" i="6"/>
  <c r="S251" i="6"/>
  <c r="R251" i="6"/>
  <c r="Q251" i="6"/>
  <c r="U251" i="6" s="1"/>
  <c r="P251" i="6"/>
  <c r="O251" i="6"/>
  <c r="N251" i="6"/>
  <c r="M251" i="6"/>
  <c r="L251" i="6"/>
  <c r="K251" i="6"/>
  <c r="J251" i="6"/>
  <c r="X251" i="6" s="1"/>
  <c r="I251" i="6"/>
  <c r="AF250" i="6"/>
  <c r="T250" i="6"/>
  <c r="S250" i="6"/>
  <c r="R250" i="6"/>
  <c r="Q250" i="6"/>
  <c r="P250" i="6"/>
  <c r="O250" i="6"/>
  <c r="N250" i="6"/>
  <c r="M250" i="6"/>
  <c r="U250" i="6" s="1"/>
  <c r="L250" i="6"/>
  <c r="K250" i="6"/>
  <c r="J250" i="6"/>
  <c r="I250" i="6"/>
  <c r="AF249" i="6"/>
  <c r="T249" i="6"/>
  <c r="X249" i="6" s="1"/>
  <c r="S249" i="6"/>
  <c r="W249" i="6" s="1"/>
  <c r="R249" i="6"/>
  <c r="Q249" i="6"/>
  <c r="P249" i="6"/>
  <c r="O249" i="6"/>
  <c r="N249" i="6"/>
  <c r="M249" i="6"/>
  <c r="L249" i="6"/>
  <c r="K249" i="6"/>
  <c r="J249" i="6"/>
  <c r="I249" i="6"/>
  <c r="AF248" i="6"/>
  <c r="T248" i="6"/>
  <c r="X248" i="6" s="1"/>
  <c r="S248" i="6"/>
  <c r="W248" i="6" s="1"/>
  <c r="R248" i="6"/>
  <c r="V248" i="6" s="1"/>
  <c r="Q248" i="6"/>
  <c r="P248" i="6"/>
  <c r="O248" i="6"/>
  <c r="N248" i="6"/>
  <c r="M248" i="6"/>
  <c r="L248" i="6"/>
  <c r="K248" i="6"/>
  <c r="J248" i="6"/>
  <c r="I248" i="6"/>
  <c r="AF247" i="6"/>
  <c r="T247" i="6"/>
  <c r="X247" i="6" s="1"/>
  <c r="S247" i="6"/>
  <c r="W247" i="6" s="1"/>
  <c r="R247" i="6"/>
  <c r="V247" i="6" s="1"/>
  <c r="Q247" i="6"/>
  <c r="U247" i="6" s="1"/>
  <c r="P247" i="6"/>
  <c r="O247" i="6"/>
  <c r="N247" i="6"/>
  <c r="M247" i="6"/>
  <c r="L247" i="6"/>
  <c r="K247" i="6"/>
  <c r="J247" i="6"/>
  <c r="I247" i="6"/>
  <c r="AF246" i="6"/>
  <c r="T246" i="6"/>
  <c r="S246" i="6"/>
  <c r="W246" i="6" s="1"/>
  <c r="R246" i="6"/>
  <c r="V246" i="6" s="1"/>
  <c r="Q246" i="6"/>
  <c r="U246" i="6" s="1"/>
  <c r="P246" i="6"/>
  <c r="O246" i="6"/>
  <c r="N246" i="6"/>
  <c r="M246" i="6"/>
  <c r="L246" i="6"/>
  <c r="K246" i="6"/>
  <c r="J246" i="6"/>
  <c r="I246" i="6"/>
  <c r="X246" i="6" s="1"/>
  <c r="AF245" i="6"/>
  <c r="T245" i="6"/>
  <c r="S245" i="6"/>
  <c r="W245" i="6" s="1"/>
  <c r="R245" i="6"/>
  <c r="V245" i="6" s="1"/>
  <c r="Q245" i="6"/>
  <c r="U245" i="6" s="1"/>
  <c r="P245" i="6"/>
  <c r="X245" i="6" s="1"/>
  <c r="O245" i="6"/>
  <c r="N245" i="6"/>
  <c r="M245" i="6"/>
  <c r="L245" i="6"/>
  <c r="K245" i="6"/>
  <c r="J245" i="6"/>
  <c r="I245" i="6"/>
  <c r="AF244" i="6"/>
  <c r="T244" i="6"/>
  <c r="S244" i="6"/>
  <c r="R244" i="6"/>
  <c r="V244" i="6" s="1"/>
  <c r="Q244" i="6"/>
  <c r="U244" i="6" s="1"/>
  <c r="P244" i="6"/>
  <c r="X244" i="6" s="1"/>
  <c r="O244" i="6"/>
  <c r="N244" i="6"/>
  <c r="M244" i="6"/>
  <c r="L244" i="6"/>
  <c r="K244" i="6"/>
  <c r="J244" i="6"/>
  <c r="I244" i="6"/>
  <c r="AF243" i="6"/>
  <c r="T243" i="6"/>
  <c r="S243" i="6"/>
  <c r="R243" i="6"/>
  <c r="Q243" i="6"/>
  <c r="U243" i="6" s="1"/>
  <c r="P243" i="6"/>
  <c r="O243" i="6"/>
  <c r="N243" i="6"/>
  <c r="M243" i="6"/>
  <c r="L243" i="6"/>
  <c r="K243" i="6"/>
  <c r="J243" i="6"/>
  <c r="X243" i="6" s="1"/>
  <c r="I243" i="6"/>
  <c r="AF242" i="6"/>
  <c r="T242" i="6"/>
  <c r="S242" i="6"/>
  <c r="R242" i="6"/>
  <c r="Q242" i="6"/>
  <c r="P242" i="6"/>
  <c r="O242" i="6"/>
  <c r="N242" i="6"/>
  <c r="M242" i="6"/>
  <c r="U242" i="6" s="1"/>
  <c r="L242" i="6"/>
  <c r="K242" i="6"/>
  <c r="J242" i="6"/>
  <c r="I242" i="6"/>
  <c r="AF241" i="6"/>
  <c r="T241" i="6"/>
  <c r="X241" i="6" s="1"/>
  <c r="S241" i="6"/>
  <c r="W241" i="6" s="1"/>
  <c r="R241" i="6"/>
  <c r="Q241" i="6"/>
  <c r="P241" i="6"/>
  <c r="O241" i="6"/>
  <c r="N241" i="6"/>
  <c r="M241" i="6"/>
  <c r="L241" i="6"/>
  <c r="K241" i="6"/>
  <c r="J241" i="6"/>
  <c r="I241" i="6"/>
  <c r="AF240" i="6"/>
  <c r="T240" i="6"/>
  <c r="X240" i="6" s="1"/>
  <c r="S240" i="6"/>
  <c r="W240" i="6" s="1"/>
  <c r="R240" i="6"/>
  <c r="V240" i="6" s="1"/>
  <c r="Q240" i="6"/>
  <c r="P240" i="6"/>
  <c r="O240" i="6"/>
  <c r="N240" i="6"/>
  <c r="M240" i="6"/>
  <c r="L240" i="6"/>
  <c r="K240" i="6"/>
  <c r="J240" i="6"/>
  <c r="I240" i="6"/>
  <c r="AF239" i="6"/>
  <c r="T239" i="6"/>
  <c r="X239" i="6" s="1"/>
  <c r="S239" i="6"/>
  <c r="W239" i="6" s="1"/>
  <c r="R239" i="6"/>
  <c r="V239" i="6" s="1"/>
  <c r="Q239" i="6"/>
  <c r="U239" i="6" s="1"/>
  <c r="P239" i="6"/>
  <c r="O239" i="6"/>
  <c r="N239" i="6"/>
  <c r="M239" i="6"/>
  <c r="L239" i="6"/>
  <c r="K239" i="6"/>
  <c r="J239" i="6"/>
  <c r="I239" i="6"/>
  <c r="AF238" i="6"/>
  <c r="T238" i="6"/>
  <c r="S238" i="6"/>
  <c r="W238" i="6" s="1"/>
  <c r="R238" i="6"/>
  <c r="V238" i="6" s="1"/>
  <c r="Q238" i="6"/>
  <c r="U238" i="6" s="1"/>
  <c r="P238" i="6"/>
  <c r="O238" i="6"/>
  <c r="N238" i="6"/>
  <c r="M238" i="6"/>
  <c r="L238" i="6"/>
  <c r="K238" i="6"/>
  <c r="J238" i="6"/>
  <c r="I238" i="6"/>
  <c r="X238" i="6" s="1"/>
  <c r="AF237" i="6"/>
  <c r="T237" i="6"/>
  <c r="S237" i="6"/>
  <c r="R237" i="6"/>
  <c r="V237" i="6" s="1"/>
  <c r="Q237" i="6"/>
  <c r="U237" i="6" s="1"/>
  <c r="P237" i="6"/>
  <c r="X237" i="6" s="1"/>
  <c r="O237" i="6"/>
  <c r="N237" i="6"/>
  <c r="M237" i="6"/>
  <c r="L237" i="6"/>
  <c r="K237" i="6"/>
  <c r="J237" i="6"/>
  <c r="I237" i="6"/>
  <c r="AF236" i="6"/>
  <c r="T236" i="6"/>
  <c r="S236" i="6"/>
  <c r="R236" i="6"/>
  <c r="Q236" i="6"/>
  <c r="U236" i="6" s="1"/>
  <c r="P236" i="6"/>
  <c r="O236" i="6"/>
  <c r="N236" i="6"/>
  <c r="M236" i="6"/>
  <c r="L236" i="6"/>
  <c r="K236" i="6"/>
  <c r="J236" i="6"/>
  <c r="I236" i="6"/>
  <c r="AF235" i="6"/>
  <c r="T235" i="6"/>
  <c r="S235" i="6"/>
  <c r="R235" i="6"/>
  <c r="Q235" i="6"/>
  <c r="U235" i="6" s="1"/>
  <c r="P235" i="6"/>
  <c r="X235" i="6" s="1"/>
  <c r="O235" i="6"/>
  <c r="N235" i="6"/>
  <c r="M235" i="6"/>
  <c r="L235" i="6"/>
  <c r="K235" i="6"/>
  <c r="J235" i="6"/>
  <c r="I235" i="6"/>
  <c r="AF234" i="6"/>
  <c r="T234" i="6"/>
  <c r="X234" i="6" s="1"/>
  <c r="S234" i="6"/>
  <c r="R234" i="6"/>
  <c r="Q234" i="6"/>
  <c r="P234" i="6"/>
  <c r="O234" i="6"/>
  <c r="N234" i="6"/>
  <c r="M234" i="6"/>
  <c r="U234" i="6" s="1"/>
  <c r="L234" i="6"/>
  <c r="K234" i="6"/>
  <c r="J234" i="6"/>
  <c r="I234" i="6"/>
  <c r="W234" i="6" s="1"/>
  <c r="AF233" i="6"/>
  <c r="T233" i="6"/>
  <c r="X233" i="6" s="1"/>
  <c r="S233" i="6"/>
  <c r="W233" i="6" s="1"/>
  <c r="R233" i="6"/>
  <c r="Q233" i="6"/>
  <c r="P233" i="6"/>
  <c r="O233" i="6"/>
  <c r="N233" i="6"/>
  <c r="M233" i="6"/>
  <c r="L233" i="6"/>
  <c r="K233" i="6"/>
  <c r="J233" i="6"/>
  <c r="I233" i="6"/>
  <c r="AF232" i="6"/>
  <c r="T232" i="6"/>
  <c r="X232" i="6" s="1"/>
  <c r="S232" i="6"/>
  <c r="W232" i="6" s="1"/>
  <c r="R232" i="6"/>
  <c r="V232" i="6" s="1"/>
  <c r="Q232" i="6"/>
  <c r="P232" i="6"/>
  <c r="O232" i="6"/>
  <c r="N232" i="6"/>
  <c r="M232" i="6"/>
  <c r="L232" i="6"/>
  <c r="K232" i="6"/>
  <c r="J232" i="6"/>
  <c r="I232" i="6"/>
  <c r="AF231" i="6"/>
  <c r="T231" i="6"/>
  <c r="X231" i="6" s="1"/>
  <c r="S231" i="6"/>
  <c r="W231" i="6" s="1"/>
  <c r="R231" i="6"/>
  <c r="V231" i="6" s="1"/>
  <c r="Q231" i="6"/>
  <c r="U231" i="6" s="1"/>
  <c r="P231" i="6"/>
  <c r="O231" i="6"/>
  <c r="N231" i="6"/>
  <c r="M231" i="6"/>
  <c r="L231" i="6"/>
  <c r="K231" i="6"/>
  <c r="J231" i="6"/>
  <c r="I231" i="6"/>
  <c r="AF230" i="6"/>
  <c r="T230" i="6"/>
  <c r="S230" i="6"/>
  <c r="W230" i="6" s="1"/>
  <c r="R230" i="6"/>
  <c r="V230" i="6" s="1"/>
  <c r="Q230" i="6"/>
  <c r="U230" i="6" s="1"/>
  <c r="P230" i="6"/>
  <c r="O230" i="6"/>
  <c r="N230" i="6"/>
  <c r="M230" i="6"/>
  <c r="L230" i="6"/>
  <c r="K230" i="6"/>
  <c r="J230" i="6"/>
  <c r="I230" i="6"/>
  <c r="X230" i="6" s="1"/>
  <c r="AF229" i="6"/>
  <c r="T229" i="6"/>
  <c r="S229" i="6"/>
  <c r="R229" i="6"/>
  <c r="V229" i="6" s="1"/>
  <c r="Q229" i="6"/>
  <c r="U229" i="6" s="1"/>
  <c r="P229" i="6"/>
  <c r="X229" i="6" s="1"/>
  <c r="O229" i="6"/>
  <c r="N229" i="6"/>
  <c r="M229" i="6"/>
  <c r="L229" i="6"/>
  <c r="K229" i="6"/>
  <c r="J229" i="6"/>
  <c r="I229" i="6"/>
  <c r="AF228" i="6"/>
  <c r="T228" i="6"/>
  <c r="S228" i="6"/>
  <c r="R228" i="6"/>
  <c r="Q228" i="6"/>
  <c r="U228" i="6" s="1"/>
  <c r="P228" i="6"/>
  <c r="O228" i="6"/>
  <c r="N228" i="6"/>
  <c r="M228" i="6"/>
  <c r="L228" i="6"/>
  <c r="K228" i="6"/>
  <c r="J228" i="6"/>
  <c r="I228" i="6"/>
  <c r="AF227" i="6"/>
  <c r="T227" i="6"/>
  <c r="S227" i="6"/>
  <c r="R227" i="6"/>
  <c r="Q227" i="6"/>
  <c r="U227" i="6" s="1"/>
  <c r="P227" i="6"/>
  <c r="X227" i="6" s="1"/>
  <c r="O227" i="6"/>
  <c r="N227" i="6"/>
  <c r="M227" i="6"/>
  <c r="L227" i="6"/>
  <c r="K227" i="6"/>
  <c r="J227" i="6"/>
  <c r="I227" i="6"/>
  <c r="AF226" i="6"/>
  <c r="T226" i="6"/>
  <c r="X226" i="6" s="1"/>
  <c r="S226" i="6"/>
  <c r="R226" i="6"/>
  <c r="Q226" i="6"/>
  <c r="P226" i="6"/>
  <c r="O226" i="6"/>
  <c r="N226" i="6"/>
  <c r="M226" i="6"/>
  <c r="U226" i="6" s="1"/>
  <c r="L226" i="6"/>
  <c r="K226" i="6"/>
  <c r="J226" i="6"/>
  <c r="I226" i="6"/>
  <c r="W226" i="6" s="1"/>
  <c r="AF225" i="6"/>
  <c r="T225" i="6"/>
  <c r="X225" i="6" s="1"/>
  <c r="S225" i="6"/>
  <c r="W225" i="6" s="1"/>
  <c r="R225" i="6"/>
  <c r="Q225" i="6"/>
  <c r="P225" i="6"/>
  <c r="O225" i="6"/>
  <c r="N225" i="6"/>
  <c r="M225" i="6"/>
  <c r="L225" i="6"/>
  <c r="K225" i="6"/>
  <c r="J225" i="6"/>
  <c r="I225" i="6"/>
  <c r="AF224" i="6"/>
  <c r="T224" i="6"/>
  <c r="X224" i="6" s="1"/>
  <c r="S224" i="6"/>
  <c r="W224" i="6" s="1"/>
  <c r="R224" i="6"/>
  <c r="V224" i="6" s="1"/>
  <c r="Q224" i="6"/>
  <c r="P224" i="6"/>
  <c r="O224" i="6"/>
  <c r="N224" i="6"/>
  <c r="M224" i="6"/>
  <c r="L224" i="6"/>
  <c r="K224" i="6"/>
  <c r="J224" i="6"/>
  <c r="I224" i="6"/>
  <c r="AF223" i="6"/>
  <c r="T223" i="6"/>
  <c r="X223" i="6" s="1"/>
  <c r="S223" i="6"/>
  <c r="W223" i="6" s="1"/>
  <c r="R223" i="6"/>
  <c r="V223" i="6" s="1"/>
  <c r="Q223" i="6"/>
  <c r="U223" i="6" s="1"/>
  <c r="P223" i="6"/>
  <c r="O223" i="6"/>
  <c r="N223" i="6"/>
  <c r="M223" i="6"/>
  <c r="L223" i="6"/>
  <c r="K223" i="6"/>
  <c r="J223" i="6"/>
  <c r="I223" i="6"/>
  <c r="AF222" i="6"/>
  <c r="T222" i="6"/>
  <c r="S222" i="6"/>
  <c r="W222" i="6" s="1"/>
  <c r="R222" i="6"/>
  <c r="V222" i="6" s="1"/>
  <c r="Q222" i="6"/>
  <c r="U222" i="6" s="1"/>
  <c r="P222" i="6"/>
  <c r="O222" i="6"/>
  <c r="N222" i="6"/>
  <c r="M222" i="6"/>
  <c r="L222" i="6"/>
  <c r="K222" i="6"/>
  <c r="J222" i="6"/>
  <c r="I222" i="6"/>
  <c r="X222" i="6" s="1"/>
  <c r="AF221" i="6"/>
  <c r="T221" i="6"/>
  <c r="S221" i="6"/>
  <c r="R221" i="6"/>
  <c r="V221" i="6" s="1"/>
  <c r="Q221" i="6"/>
  <c r="U221" i="6" s="1"/>
  <c r="P221" i="6"/>
  <c r="X221" i="6" s="1"/>
  <c r="O221" i="6"/>
  <c r="N221" i="6"/>
  <c r="M221" i="6"/>
  <c r="L221" i="6"/>
  <c r="K221" i="6"/>
  <c r="J221" i="6"/>
  <c r="I221" i="6"/>
  <c r="AF220" i="6"/>
  <c r="T220" i="6"/>
  <c r="S220" i="6"/>
  <c r="R220" i="6"/>
  <c r="Q220" i="6"/>
  <c r="U220" i="6" s="1"/>
  <c r="P220" i="6"/>
  <c r="X220" i="6" s="1"/>
  <c r="O220" i="6"/>
  <c r="N220" i="6"/>
  <c r="M220" i="6"/>
  <c r="L220" i="6"/>
  <c r="K220" i="6"/>
  <c r="J220" i="6"/>
  <c r="I220" i="6"/>
  <c r="AF219" i="6"/>
  <c r="T219" i="6"/>
  <c r="S219" i="6"/>
  <c r="R219" i="6"/>
  <c r="Q219" i="6"/>
  <c r="P219" i="6"/>
  <c r="X219" i="6" s="1"/>
  <c r="O219" i="6"/>
  <c r="N219" i="6"/>
  <c r="M219" i="6"/>
  <c r="L219" i="6"/>
  <c r="K219" i="6"/>
  <c r="J219" i="6"/>
  <c r="I219" i="6"/>
  <c r="U219" i="6" s="1"/>
  <c r="AF218" i="6"/>
  <c r="T218" i="6"/>
  <c r="X218" i="6" s="1"/>
  <c r="S218" i="6"/>
  <c r="R218" i="6"/>
  <c r="Q218" i="6"/>
  <c r="P218" i="6"/>
  <c r="O218" i="6"/>
  <c r="N218" i="6"/>
  <c r="M218" i="6"/>
  <c r="U218" i="6" s="1"/>
  <c r="L218" i="6"/>
  <c r="K218" i="6"/>
  <c r="J218" i="6"/>
  <c r="I218" i="6"/>
  <c r="AF217" i="6"/>
  <c r="T217" i="6"/>
  <c r="X217" i="6" s="1"/>
  <c r="S217" i="6"/>
  <c r="W217" i="6" s="1"/>
  <c r="R217" i="6"/>
  <c r="Q217" i="6"/>
  <c r="P217" i="6"/>
  <c r="O217" i="6"/>
  <c r="N217" i="6"/>
  <c r="M217" i="6"/>
  <c r="L217" i="6"/>
  <c r="K217" i="6"/>
  <c r="J217" i="6"/>
  <c r="I217" i="6"/>
  <c r="AF216" i="6"/>
  <c r="T216" i="6"/>
  <c r="X216" i="6" s="1"/>
  <c r="S216" i="6"/>
  <c r="W216" i="6" s="1"/>
  <c r="R216" i="6"/>
  <c r="V216" i="6" s="1"/>
  <c r="Q216" i="6"/>
  <c r="P216" i="6"/>
  <c r="O216" i="6"/>
  <c r="N216" i="6"/>
  <c r="M216" i="6"/>
  <c r="L216" i="6"/>
  <c r="K216" i="6"/>
  <c r="J216" i="6"/>
  <c r="I216" i="6"/>
  <c r="AF215" i="6"/>
  <c r="T215" i="6"/>
  <c r="X215" i="6" s="1"/>
  <c r="S215" i="6"/>
  <c r="W215" i="6" s="1"/>
  <c r="R215" i="6"/>
  <c r="V215" i="6" s="1"/>
  <c r="Q215" i="6"/>
  <c r="U215" i="6" s="1"/>
  <c r="P215" i="6"/>
  <c r="O215" i="6"/>
  <c r="N215" i="6"/>
  <c r="M215" i="6"/>
  <c r="L215" i="6"/>
  <c r="K215" i="6"/>
  <c r="J215" i="6"/>
  <c r="I215" i="6"/>
  <c r="AF214" i="6"/>
  <c r="T214" i="6"/>
  <c r="S214" i="6"/>
  <c r="W214" i="6" s="1"/>
  <c r="R214" i="6"/>
  <c r="V214" i="6" s="1"/>
  <c r="Q214" i="6"/>
  <c r="U214" i="6" s="1"/>
  <c r="P214" i="6"/>
  <c r="O214" i="6"/>
  <c r="N214" i="6"/>
  <c r="M214" i="6"/>
  <c r="L214" i="6"/>
  <c r="K214" i="6"/>
  <c r="J214" i="6"/>
  <c r="I214" i="6"/>
  <c r="X214" i="6" s="1"/>
  <c r="AF213" i="6"/>
  <c r="T213" i="6"/>
  <c r="S213" i="6"/>
  <c r="R213" i="6"/>
  <c r="V213" i="6" s="1"/>
  <c r="Q213" i="6"/>
  <c r="U213" i="6" s="1"/>
  <c r="P213" i="6"/>
  <c r="X213" i="6" s="1"/>
  <c r="O213" i="6"/>
  <c r="N213" i="6"/>
  <c r="M213" i="6"/>
  <c r="L213" i="6"/>
  <c r="K213" i="6"/>
  <c r="J213" i="6"/>
  <c r="I213" i="6"/>
  <c r="AF212" i="6"/>
  <c r="T212" i="6"/>
  <c r="S212" i="6"/>
  <c r="R212" i="6"/>
  <c r="V212" i="6" s="1"/>
  <c r="Q212" i="6"/>
  <c r="U212" i="6" s="1"/>
  <c r="P212" i="6"/>
  <c r="O212" i="6"/>
  <c r="N212" i="6"/>
  <c r="M212" i="6"/>
  <c r="L212" i="6"/>
  <c r="K212" i="6"/>
  <c r="J212" i="6"/>
  <c r="I212" i="6"/>
  <c r="AF211" i="6"/>
  <c r="T211" i="6"/>
  <c r="S211" i="6"/>
  <c r="R211" i="6"/>
  <c r="Q211" i="6"/>
  <c r="U211" i="6" s="1"/>
  <c r="P211" i="6"/>
  <c r="X211" i="6" s="1"/>
  <c r="O211" i="6"/>
  <c r="N211" i="6"/>
  <c r="M211" i="6"/>
  <c r="L211" i="6"/>
  <c r="K211" i="6"/>
  <c r="J211" i="6"/>
  <c r="I211" i="6"/>
  <c r="AF210" i="6"/>
  <c r="T210" i="6"/>
  <c r="S210" i="6"/>
  <c r="R210" i="6"/>
  <c r="Q210" i="6"/>
  <c r="P210" i="6"/>
  <c r="O210" i="6"/>
  <c r="N210" i="6"/>
  <c r="M210" i="6"/>
  <c r="U210" i="6" s="1"/>
  <c r="L210" i="6"/>
  <c r="K210" i="6"/>
  <c r="J210" i="6"/>
  <c r="I210" i="6"/>
  <c r="AF209" i="6"/>
  <c r="T209" i="6"/>
  <c r="X209" i="6" s="1"/>
  <c r="S209" i="6"/>
  <c r="W209" i="6" s="1"/>
  <c r="R209" i="6"/>
  <c r="Q209" i="6"/>
  <c r="P209" i="6"/>
  <c r="O209" i="6"/>
  <c r="N209" i="6"/>
  <c r="M209" i="6"/>
  <c r="L209" i="6"/>
  <c r="K209" i="6"/>
  <c r="J209" i="6"/>
  <c r="I209" i="6"/>
  <c r="AF208" i="6"/>
  <c r="T208" i="6"/>
  <c r="X208" i="6" s="1"/>
  <c r="S208" i="6"/>
  <c r="W208" i="6" s="1"/>
  <c r="R208" i="6"/>
  <c r="V208" i="6" s="1"/>
  <c r="Q208" i="6"/>
  <c r="U208" i="6" s="1"/>
  <c r="P208" i="6"/>
  <c r="O208" i="6"/>
  <c r="N208" i="6"/>
  <c r="M208" i="6"/>
  <c r="L208" i="6"/>
  <c r="K208" i="6"/>
  <c r="J208" i="6"/>
  <c r="I208" i="6"/>
  <c r="AF207" i="6"/>
  <c r="T207" i="6"/>
  <c r="X207" i="6" s="1"/>
  <c r="S207" i="6"/>
  <c r="W207" i="6" s="1"/>
  <c r="R207" i="6"/>
  <c r="V207" i="6" s="1"/>
  <c r="Q207" i="6"/>
  <c r="U207" i="6" s="1"/>
  <c r="P207" i="6"/>
  <c r="O207" i="6"/>
  <c r="N207" i="6"/>
  <c r="M207" i="6"/>
  <c r="L207" i="6"/>
  <c r="K207" i="6"/>
  <c r="J207" i="6"/>
  <c r="I207" i="6"/>
  <c r="AF206" i="6"/>
  <c r="T206" i="6"/>
  <c r="S206" i="6"/>
  <c r="W206" i="6" s="1"/>
  <c r="R206" i="6"/>
  <c r="V206" i="6" s="1"/>
  <c r="Q206" i="6"/>
  <c r="U206" i="6" s="1"/>
  <c r="P206" i="6"/>
  <c r="O206" i="6"/>
  <c r="N206" i="6"/>
  <c r="M206" i="6"/>
  <c r="L206" i="6"/>
  <c r="K206" i="6"/>
  <c r="J206" i="6"/>
  <c r="I206" i="6"/>
  <c r="X206" i="6" s="1"/>
  <c r="AF205" i="6"/>
  <c r="T205" i="6"/>
  <c r="S205" i="6"/>
  <c r="W205" i="6" s="1"/>
  <c r="R205" i="6"/>
  <c r="V205" i="6" s="1"/>
  <c r="Q205" i="6"/>
  <c r="U205" i="6" s="1"/>
  <c r="P205" i="6"/>
  <c r="X205" i="6" s="1"/>
  <c r="O205" i="6"/>
  <c r="N205" i="6"/>
  <c r="M205" i="6"/>
  <c r="L205" i="6"/>
  <c r="K205" i="6"/>
  <c r="J205" i="6"/>
  <c r="I205" i="6"/>
  <c r="AF204" i="6"/>
  <c r="T204" i="6"/>
  <c r="S204" i="6"/>
  <c r="R204" i="6"/>
  <c r="V204" i="6" s="1"/>
  <c r="Q204" i="6"/>
  <c r="U204" i="6" s="1"/>
  <c r="P204" i="6"/>
  <c r="O204" i="6"/>
  <c r="N204" i="6"/>
  <c r="M204" i="6"/>
  <c r="L204" i="6"/>
  <c r="K204" i="6"/>
  <c r="J204" i="6"/>
  <c r="I204" i="6"/>
  <c r="AF203" i="6"/>
  <c r="T203" i="6"/>
  <c r="S203" i="6"/>
  <c r="R203" i="6"/>
  <c r="Q203" i="6"/>
  <c r="U203" i="6" s="1"/>
  <c r="P203" i="6"/>
  <c r="X203" i="6" s="1"/>
  <c r="O203" i="6"/>
  <c r="N203" i="6"/>
  <c r="M203" i="6"/>
  <c r="L203" i="6"/>
  <c r="K203" i="6"/>
  <c r="J203" i="6"/>
  <c r="I203" i="6"/>
  <c r="AF202" i="6"/>
  <c r="T202" i="6"/>
  <c r="S202" i="6"/>
  <c r="R202" i="6"/>
  <c r="Q202" i="6"/>
  <c r="P202" i="6"/>
  <c r="O202" i="6"/>
  <c r="N202" i="6"/>
  <c r="M202" i="6"/>
  <c r="U202" i="6" s="1"/>
  <c r="L202" i="6"/>
  <c r="K202" i="6"/>
  <c r="J202" i="6"/>
  <c r="I202" i="6"/>
  <c r="AF201" i="6"/>
  <c r="T201" i="6"/>
  <c r="X201" i="6" s="1"/>
  <c r="S201" i="6"/>
  <c r="W201" i="6" s="1"/>
  <c r="R201" i="6"/>
  <c r="Q201" i="6"/>
  <c r="P201" i="6"/>
  <c r="O201" i="6"/>
  <c r="N201" i="6"/>
  <c r="M201" i="6"/>
  <c r="L201" i="6"/>
  <c r="K201" i="6"/>
  <c r="J201" i="6"/>
  <c r="I201" i="6"/>
  <c r="AF200" i="6"/>
  <c r="T200" i="6"/>
  <c r="X200" i="6" s="1"/>
  <c r="S200" i="6"/>
  <c r="W200" i="6" s="1"/>
  <c r="R200" i="6"/>
  <c r="V200" i="6" s="1"/>
  <c r="Q200" i="6"/>
  <c r="P200" i="6"/>
  <c r="O200" i="6"/>
  <c r="N200" i="6"/>
  <c r="M200" i="6"/>
  <c r="L200" i="6"/>
  <c r="K200" i="6"/>
  <c r="J200" i="6"/>
  <c r="I200" i="6"/>
  <c r="AF199" i="6"/>
  <c r="T199" i="6"/>
  <c r="X199" i="6" s="1"/>
  <c r="S199" i="6"/>
  <c r="W199" i="6" s="1"/>
  <c r="R199" i="6"/>
  <c r="V199" i="6" s="1"/>
  <c r="Q199" i="6"/>
  <c r="U199" i="6" s="1"/>
  <c r="P199" i="6"/>
  <c r="O199" i="6"/>
  <c r="N199" i="6"/>
  <c r="M199" i="6"/>
  <c r="L199" i="6"/>
  <c r="K199" i="6"/>
  <c r="J199" i="6"/>
  <c r="I199" i="6"/>
  <c r="AF198" i="6"/>
  <c r="T198" i="6"/>
  <c r="X198" i="6" s="1"/>
  <c r="S198" i="6"/>
  <c r="W198" i="6" s="1"/>
  <c r="R198" i="6"/>
  <c r="V198" i="6" s="1"/>
  <c r="Q198" i="6"/>
  <c r="U198" i="6" s="1"/>
  <c r="P198" i="6"/>
  <c r="O198" i="6"/>
  <c r="N198" i="6"/>
  <c r="M198" i="6"/>
  <c r="L198" i="6"/>
  <c r="K198" i="6"/>
  <c r="J198" i="6"/>
  <c r="I198" i="6"/>
  <c r="AF197" i="6"/>
  <c r="T197" i="6"/>
  <c r="S197" i="6"/>
  <c r="W197" i="6" s="1"/>
  <c r="R197" i="6"/>
  <c r="V197" i="6" s="1"/>
  <c r="Q197" i="6"/>
  <c r="U197" i="6" s="1"/>
  <c r="P197" i="6"/>
  <c r="X197" i="6" s="1"/>
  <c r="O197" i="6"/>
  <c r="N197" i="6"/>
  <c r="M197" i="6"/>
  <c r="L197" i="6"/>
  <c r="K197" i="6"/>
  <c r="J197" i="6"/>
  <c r="I197" i="6"/>
  <c r="AF196" i="6"/>
  <c r="T196" i="6"/>
  <c r="S196" i="6"/>
  <c r="R196" i="6"/>
  <c r="V196" i="6" s="1"/>
  <c r="Q196" i="6"/>
  <c r="U196" i="6" s="1"/>
  <c r="P196" i="6"/>
  <c r="X196" i="6" s="1"/>
  <c r="O196" i="6"/>
  <c r="N196" i="6"/>
  <c r="M196" i="6"/>
  <c r="L196" i="6"/>
  <c r="K196" i="6"/>
  <c r="J196" i="6"/>
  <c r="I196" i="6"/>
  <c r="AF195" i="6"/>
  <c r="T195" i="6"/>
  <c r="S195" i="6"/>
  <c r="R195" i="6"/>
  <c r="Q195" i="6"/>
  <c r="U195" i="6" s="1"/>
  <c r="P195" i="6"/>
  <c r="X195" i="6" s="1"/>
  <c r="O195" i="6"/>
  <c r="N195" i="6"/>
  <c r="M195" i="6"/>
  <c r="L195" i="6"/>
  <c r="K195" i="6"/>
  <c r="J195" i="6"/>
  <c r="I195" i="6"/>
  <c r="AF194" i="6"/>
  <c r="T194" i="6"/>
  <c r="X194" i="6" s="1"/>
  <c r="S194" i="6"/>
  <c r="R194" i="6"/>
  <c r="Q194" i="6"/>
  <c r="P194" i="6"/>
  <c r="O194" i="6"/>
  <c r="N194" i="6"/>
  <c r="M194" i="6"/>
  <c r="U194" i="6" s="1"/>
  <c r="L194" i="6"/>
  <c r="K194" i="6"/>
  <c r="J194" i="6"/>
  <c r="I194" i="6"/>
  <c r="AF193" i="6"/>
  <c r="T193" i="6"/>
  <c r="X193" i="6" s="1"/>
  <c r="S193" i="6"/>
  <c r="W193" i="6" s="1"/>
  <c r="R193" i="6"/>
  <c r="Q193" i="6"/>
  <c r="P193" i="6"/>
  <c r="O193" i="6"/>
  <c r="N193" i="6"/>
  <c r="M193" i="6"/>
  <c r="L193" i="6"/>
  <c r="K193" i="6"/>
  <c r="J193" i="6"/>
  <c r="I193" i="6"/>
  <c r="AF192" i="6"/>
  <c r="T192" i="6"/>
  <c r="X192" i="6" s="1"/>
  <c r="S192" i="6"/>
  <c r="W192" i="6" s="1"/>
  <c r="R192" i="6"/>
  <c r="V192" i="6" s="1"/>
  <c r="Q192" i="6"/>
  <c r="P192" i="6"/>
  <c r="O192" i="6"/>
  <c r="N192" i="6"/>
  <c r="M192" i="6"/>
  <c r="L192" i="6"/>
  <c r="K192" i="6"/>
  <c r="J192" i="6"/>
  <c r="I192" i="6"/>
  <c r="AF191" i="6"/>
  <c r="T191" i="6"/>
  <c r="X191" i="6" s="1"/>
  <c r="S191" i="6"/>
  <c r="W191" i="6" s="1"/>
  <c r="R191" i="6"/>
  <c r="V191" i="6" s="1"/>
  <c r="Q191" i="6"/>
  <c r="U191" i="6" s="1"/>
  <c r="P191" i="6"/>
  <c r="O191" i="6"/>
  <c r="N191" i="6"/>
  <c r="M191" i="6"/>
  <c r="L191" i="6"/>
  <c r="K191" i="6"/>
  <c r="J191" i="6"/>
  <c r="I191" i="6"/>
  <c r="AF190" i="6"/>
  <c r="T190" i="6"/>
  <c r="S190" i="6"/>
  <c r="W190" i="6" s="1"/>
  <c r="R190" i="6"/>
  <c r="V190" i="6" s="1"/>
  <c r="Q190" i="6"/>
  <c r="U190" i="6" s="1"/>
  <c r="P190" i="6"/>
  <c r="O190" i="6"/>
  <c r="N190" i="6"/>
  <c r="M190" i="6"/>
  <c r="L190" i="6"/>
  <c r="K190" i="6"/>
  <c r="J190" i="6"/>
  <c r="I190" i="6"/>
  <c r="X190" i="6" s="1"/>
  <c r="AF189" i="6"/>
  <c r="T189" i="6"/>
  <c r="S189" i="6"/>
  <c r="W189" i="6" s="1"/>
  <c r="R189" i="6"/>
  <c r="V189" i="6" s="1"/>
  <c r="Q189" i="6"/>
  <c r="U189" i="6" s="1"/>
  <c r="P189" i="6"/>
  <c r="X189" i="6" s="1"/>
  <c r="O189" i="6"/>
  <c r="N189" i="6"/>
  <c r="M189" i="6"/>
  <c r="L189" i="6"/>
  <c r="K189" i="6"/>
  <c r="J189" i="6"/>
  <c r="I189" i="6"/>
  <c r="AF188" i="6"/>
  <c r="T188" i="6"/>
  <c r="S188" i="6"/>
  <c r="R188" i="6"/>
  <c r="V188" i="6" s="1"/>
  <c r="Q188" i="6"/>
  <c r="U188" i="6" s="1"/>
  <c r="P188" i="6"/>
  <c r="O188" i="6"/>
  <c r="N188" i="6"/>
  <c r="M188" i="6"/>
  <c r="L188" i="6"/>
  <c r="K188" i="6"/>
  <c r="J188" i="6"/>
  <c r="I188" i="6"/>
  <c r="AF187" i="6"/>
  <c r="T187" i="6"/>
  <c r="S187" i="6"/>
  <c r="R187" i="6"/>
  <c r="Q187" i="6"/>
  <c r="U187" i="6" s="1"/>
  <c r="P187" i="6"/>
  <c r="X187" i="6" s="1"/>
  <c r="O187" i="6"/>
  <c r="N187" i="6"/>
  <c r="M187" i="6"/>
  <c r="L187" i="6"/>
  <c r="K187" i="6"/>
  <c r="J187" i="6"/>
  <c r="I187" i="6"/>
  <c r="AF186" i="6"/>
  <c r="T186" i="6"/>
  <c r="X186" i="6" s="1"/>
  <c r="S186" i="6"/>
  <c r="R186" i="6"/>
  <c r="Q186" i="6"/>
  <c r="P186" i="6"/>
  <c r="O186" i="6"/>
  <c r="W186" i="6" s="1"/>
  <c r="N186" i="6"/>
  <c r="M186" i="6"/>
  <c r="U186" i="6" s="1"/>
  <c r="L186" i="6"/>
  <c r="K186" i="6"/>
  <c r="J186" i="6"/>
  <c r="I186" i="6"/>
  <c r="AF185" i="6"/>
  <c r="T185" i="6"/>
  <c r="X185" i="6" s="1"/>
  <c r="S185" i="6"/>
  <c r="W185" i="6" s="1"/>
  <c r="R185" i="6"/>
  <c r="Q185" i="6"/>
  <c r="P185" i="6"/>
  <c r="O185" i="6"/>
  <c r="N185" i="6"/>
  <c r="M185" i="6"/>
  <c r="L185" i="6"/>
  <c r="K185" i="6"/>
  <c r="J185" i="6"/>
  <c r="I185" i="6"/>
  <c r="AF184" i="6"/>
  <c r="T184" i="6"/>
  <c r="X184" i="6" s="1"/>
  <c r="S184" i="6"/>
  <c r="W184" i="6" s="1"/>
  <c r="R184" i="6"/>
  <c r="V184" i="6" s="1"/>
  <c r="Q184" i="6"/>
  <c r="P184" i="6"/>
  <c r="O184" i="6"/>
  <c r="N184" i="6"/>
  <c r="M184" i="6"/>
  <c r="L184" i="6"/>
  <c r="K184" i="6"/>
  <c r="J184" i="6"/>
  <c r="I184" i="6"/>
  <c r="AF183" i="6"/>
  <c r="T183" i="6"/>
  <c r="X183" i="6" s="1"/>
  <c r="S183" i="6"/>
  <c r="W183" i="6" s="1"/>
  <c r="R183" i="6"/>
  <c r="V183" i="6" s="1"/>
  <c r="Q183" i="6"/>
  <c r="U183" i="6" s="1"/>
  <c r="P183" i="6"/>
  <c r="O183" i="6"/>
  <c r="N183" i="6"/>
  <c r="M183" i="6"/>
  <c r="L183" i="6"/>
  <c r="K183" i="6"/>
  <c r="J183" i="6"/>
  <c r="I183" i="6"/>
  <c r="AF182" i="6"/>
  <c r="T182" i="6"/>
  <c r="S182" i="6"/>
  <c r="W182" i="6" s="1"/>
  <c r="R182" i="6"/>
  <c r="V182" i="6" s="1"/>
  <c r="Q182" i="6"/>
  <c r="U182" i="6" s="1"/>
  <c r="P182" i="6"/>
  <c r="O182" i="6"/>
  <c r="N182" i="6"/>
  <c r="M182" i="6"/>
  <c r="L182" i="6"/>
  <c r="K182" i="6"/>
  <c r="J182" i="6"/>
  <c r="I182" i="6"/>
  <c r="X182" i="6" s="1"/>
  <c r="AF181" i="6"/>
  <c r="T181" i="6"/>
  <c r="S181" i="6"/>
  <c r="W181" i="6" s="1"/>
  <c r="R181" i="6"/>
  <c r="V181" i="6" s="1"/>
  <c r="Q181" i="6"/>
  <c r="U181" i="6" s="1"/>
  <c r="P181" i="6"/>
  <c r="X181" i="6" s="1"/>
  <c r="O181" i="6"/>
  <c r="N181" i="6"/>
  <c r="M181" i="6"/>
  <c r="L181" i="6"/>
  <c r="K181" i="6"/>
  <c r="J181" i="6"/>
  <c r="I181" i="6"/>
  <c r="AF180" i="6"/>
  <c r="T180" i="6"/>
  <c r="S180" i="6"/>
  <c r="R180" i="6"/>
  <c r="V180" i="6" s="1"/>
  <c r="Q180" i="6"/>
  <c r="U180" i="6" s="1"/>
  <c r="P180" i="6"/>
  <c r="X180" i="6" s="1"/>
  <c r="O180" i="6"/>
  <c r="N180" i="6"/>
  <c r="M180" i="6"/>
  <c r="L180" i="6"/>
  <c r="K180" i="6"/>
  <c r="J180" i="6"/>
  <c r="I180" i="6"/>
  <c r="AF179" i="6"/>
  <c r="T179" i="6"/>
  <c r="S179" i="6"/>
  <c r="R179" i="6"/>
  <c r="Q179" i="6"/>
  <c r="U179" i="6" s="1"/>
  <c r="P179" i="6"/>
  <c r="X179" i="6" s="1"/>
  <c r="O179" i="6"/>
  <c r="N179" i="6"/>
  <c r="M179" i="6"/>
  <c r="L179" i="6"/>
  <c r="K179" i="6"/>
  <c r="J179" i="6"/>
  <c r="I179" i="6"/>
  <c r="AF178" i="6"/>
  <c r="T178" i="6"/>
  <c r="X178" i="6" s="1"/>
  <c r="S178" i="6"/>
  <c r="R178" i="6"/>
  <c r="Q178" i="6"/>
  <c r="P178" i="6"/>
  <c r="O178" i="6"/>
  <c r="N178" i="6"/>
  <c r="M178" i="6"/>
  <c r="U178" i="6" s="1"/>
  <c r="L178" i="6"/>
  <c r="K178" i="6"/>
  <c r="J178" i="6"/>
  <c r="I178" i="6"/>
  <c r="AF177" i="6"/>
  <c r="T177" i="6"/>
  <c r="X177" i="6" s="1"/>
  <c r="S177" i="6"/>
  <c r="W177" i="6" s="1"/>
  <c r="R177" i="6"/>
  <c r="Q177" i="6"/>
  <c r="P177" i="6"/>
  <c r="O177" i="6"/>
  <c r="N177" i="6"/>
  <c r="M177" i="6"/>
  <c r="L177" i="6"/>
  <c r="K177" i="6"/>
  <c r="J177" i="6"/>
  <c r="I177" i="6"/>
  <c r="AF176" i="6"/>
  <c r="T176" i="6"/>
  <c r="X176" i="6" s="1"/>
  <c r="S176" i="6"/>
  <c r="W176" i="6" s="1"/>
  <c r="R176" i="6"/>
  <c r="Q176" i="6"/>
  <c r="P176" i="6"/>
  <c r="O176" i="6"/>
  <c r="N176" i="6"/>
  <c r="M176" i="6"/>
  <c r="L176" i="6"/>
  <c r="K176" i="6"/>
  <c r="J176" i="6"/>
  <c r="V176" i="6" s="1"/>
  <c r="I176" i="6"/>
  <c r="AF175" i="6"/>
  <c r="T175" i="6"/>
  <c r="X175" i="6" s="1"/>
  <c r="S175" i="6"/>
  <c r="W175" i="6" s="1"/>
  <c r="R175" i="6"/>
  <c r="V175" i="6" s="1"/>
  <c r="Q175" i="6"/>
  <c r="P175" i="6"/>
  <c r="O175" i="6"/>
  <c r="N175" i="6"/>
  <c r="M175" i="6"/>
  <c r="L175" i="6"/>
  <c r="K175" i="6"/>
  <c r="J175" i="6"/>
  <c r="I175" i="6"/>
  <c r="AF174" i="6"/>
  <c r="T174" i="6"/>
  <c r="X174" i="6" s="1"/>
  <c r="S174" i="6"/>
  <c r="W174" i="6" s="1"/>
  <c r="R174" i="6"/>
  <c r="V174" i="6" s="1"/>
  <c r="Q174" i="6"/>
  <c r="U174" i="6" s="1"/>
  <c r="P174" i="6"/>
  <c r="O174" i="6"/>
  <c r="N174" i="6"/>
  <c r="M174" i="6"/>
  <c r="L174" i="6"/>
  <c r="K174" i="6"/>
  <c r="J174" i="6"/>
  <c r="I174" i="6"/>
  <c r="AF173" i="6"/>
  <c r="T173" i="6"/>
  <c r="S173" i="6"/>
  <c r="W173" i="6" s="1"/>
  <c r="R173" i="6"/>
  <c r="V173" i="6" s="1"/>
  <c r="Q173" i="6"/>
  <c r="U173" i="6" s="1"/>
  <c r="P173" i="6"/>
  <c r="O173" i="6"/>
  <c r="N173" i="6"/>
  <c r="M173" i="6"/>
  <c r="L173" i="6"/>
  <c r="K173" i="6"/>
  <c r="J173" i="6"/>
  <c r="I173" i="6"/>
  <c r="AF172" i="6"/>
  <c r="T172" i="6"/>
  <c r="S172" i="6"/>
  <c r="R172" i="6"/>
  <c r="V172" i="6" s="1"/>
  <c r="Q172" i="6"/>
  <c r="U172" i="6" s="1"/>
  <c r="P172" i="6"/>
  <c r="X172" i="6" s="1"/>
  <c r="O172" i="6"/>
  <c r="N172" i="6"/>
  <c r="M172" i="6"/>
  <c r="L172" i="6"/>
  <c r="K172" i="6"/>
  <c r="J172" i="6"/>
  <c r="I172" i="6"/>
  <c r="AF171" i="6"/>
  <c r="T171" i="6"/>
  <c r="S171" i="6"/>
  <c r="R171" i="6"/>
  <c r="Q171" i="6"/>
  <c r="U171" i="6" s="1"/>
  <c r="P171" i="6"/>
  <c r="X171" i="6" s="1"/>
  <c r="O171" i="6"/>
  <c r="N171" i="6"/>
  <c r="M171" i="6"/>
  <c r="L171" i="6"/>
  <c r="K171" i="6"/>
  <c r="J171" i="6"/>
  <c r="I171" i="6"/>
  <c r="AF170" i="6"/>
  <c r="T170" i="6"/>
  <c r="S170" i="6"/>
  <c r="R170" i="6"/>
  <c r="Q170" i="6"/>
  <c r="P170" i="6"/>
  <c r="O170" i="6"/>
  <c r="N170" i="6"/>
  <c r="M170" i="6"/>
  <c r="U170" i="6" s="1"/>
  <c r="L170" i="6"/>
  <c r="K170" i="6"/>
  <c r="J170" i="6"/>
  <c r="I170" i="6"/>
  <c r="AF169" i="6"/>
  <c r="T169" i="6"/>
  <c r="X169" i="6" s="1"/>
  <c r="S169" i="6"/>
  <c r="R169" i="6"/>
  <c r="Q169" i="6"/>
  <c r="P169" i="6"/>
  <c r="O169" i="6"/>
  <c r="N169" i="6"/>
  <c r="M169" i="6"/>
  <c r="L169" i="6"/>
  <c r="K169" i="6"/>
  <c r="J169" i="6"/>
  <c r="I169" i="6"/>
  <c r="AF168" i="6"/>
  <c r="T168" i="6"/>
  <c r="X168" i="6" s="1"/>
  <c r="S168" i="6"/>
  <c r="W168" i="6" s="1"/>
  <c r="R168" i="6"/>
  <c r="Q168" i="6"/>
  <c r="P168" i="6"/>
  <c r="O168" i="6"/>
  <c r="N168" i="6"/>
  <c r="M168" i="6"/>
  <c r="L168" i="6"/>
  <c r="K168" i="6"/>
  <c r="J168" i="6"/>
  <c r="I168" i="6"/>
  <c r="AF167" i="6"/>
  <c r="T167" i="6"/>
  <c r="X167" i="6" s="1"/>
  <c r="S167" i="6"/>
  <c r="W167" i="6" s="1"/>
  <c r="R167" i="6"/>
  <c r="V167" i="6" s="1"/>
  <c r="Q167" i="6"/>
  <c r="P167" i="6"/>
  <c r="O167" i="6"/>
  <c r="N167" i="6"/>
  <c r="M167" i="6"/>
  <c r="L167" i="6"/>
  <c r="K167" i="6"/>
  <c r="J167" i="6"/>
  <c r="I167" i="6"/>
  <c r="AF166" i="6"/>
  <c r="T166" i="6"/>
  <c r="X166" i="6" s="1"/>
  <c r="S166" i="6"/>
  <c r="W166" i="6" s="1"/>
  <c r="R166" i="6"/>
  <c r="V166" i="6" s="1"/>
  <c r="Q166" i="6"/>
  <c r="U166" i="6" s="1"/>
  <c r="P166" i="6"/>
  <c r="O166" i="6"/>
  <c r="N166" i="6"/>
  <c r="M166" i="6"/>
  <c r="L166" i="6"/>
  <c r="K166" i="6"/>
  <c r="J166" i="6"/>
  <c r="I166" i="6"/>
  <c r="AF165" i="6"/>
  <c r="T165" i="6"/>
  <c r="S165" i="6"/>
  <c r="W165" i="6" s="1"/>
  <c r="R165" i="6"/>
  <c r="V165" i="6" s="1"/>
  <c r="Q165" i="6"/>
  <c r="U165" i="6" s="1"/>
  <c r="P165" i="6"/>
  <c r="O165" i="6"/>
  <c r="N165" i="6"/>
  <c r="M165" i="6"/>
  <c r="L165" i="6"/>
  <c r="K165" i="6"/>
  <c r="J165" i="6"/>
  <c r="I165" i="6"/>
  <c r="AF164" i="6"/>
  <c r="T164" i="6"/>
  <c r="S164" i="6"/>
  <c r="R164" i="6"/>
  <c r="V164" i="6" s="1"/>
  <c r="Q164" i="6"/>
  <c r="U164" i="6" s="1"/>
  <c r="P164" i="6"/>
  <c r="X164" i="6" s="1"/>
  <c r="O164" i="6"/>
  <c r="N164" i="6"/>
  <c r="M164" i="6"/>
  <c r="L164" i="6"/>
  <c r="K164" i="6"/>
  <c r="J164" i="6"/>
  <c r="I164" i="6"/>
  <c r="AF163" i="6"/>
  <c r="T163" i="6"/>
  <c r="S163" i="6"/>
  <c r="R163" i="6"/>
  <c r="Q163" i="6"/>
  <c r="U163" i="6" s="1"/>
  <c r="P163" i="6"/>
  <c r="X163" i="6" s="1"/>
  <c r="O163" i="6"/>
  <c r="N163" i="6"/>
  <c r="M163" i="6"/>
  <c r="L163" i="6"/>
  <c r="K163" i="6"/>
  <c r="J163" i="6"/>
  <c r="I163" i="6"/>
  <c r="AF162" i="6"/>
  <c r="T162" i="6"/>
  <c r="S162" i="6"/>
  <c r="R162" i="6"/>
  <c r="Q162" i="6"/>
  <c r="P162" i="6"/>
  <c r="O162" i="6"/>
  <c r="N162" i="6"/>
  <c r="M162" i="6"/>
  <c r="U162" i="6" s="1"/>
  <c r="L162" i="6"/>
  <c r="K162" i="6"/>
  <c r="J162" i="6"/>
  <c r="I162" i="6"/>
  <c r="AF161" i="6"/>
  <c r="T161" i="6"/>
  <c r="X161" i="6" s="1"/>
  <c r="S161" i="6"/>
  <c r="W161" i="6" s="1"/>
  <c r="R161" i="6"/>
  <c r="Q161" i="6"/>
  <c r="P161" i="6"/>
  <c r="O161" i="6"/>
  <c r="N161" i="6"/>
  <c r="M161" i="6"/>
  <c r="L161" i="6"/>
  <c r="K161" i="6"/>
  <c r="J161" i="6"/>
  <c r="I161" i="6"/>
  <c r="AF160" i="6"/>
  <c r="T160" i="6"/>
  <c r="X160" i="6" s="1"/>
  <c r="S160" i="6"/>
  <c r="W160" i="6" s="1"/>
  <c r="R160" i="6"/>
  <c r="V160" i="6" s="1"/>
  <c r="Q160" i="6"/>
  <c r="P160" i="6"/>
  <c r="O160" i="6"/>
  <c r="N160" i="6"/>
  <c r="M160" i="6"/>
  <c r="L160" i="6"/>
  <c r="K160" i="6"/>
  <c r="J160" i="6"/>
  <c r="I160" i="6"/>
  <c r="AF159" i="6"/>
  <c r="T159" i="6"/>
  <c r="X159" i="6" s="1"/>
  <c r="S159" i="6"/>
  <c r="W159" i="6" s="1"/>
  <c r="R159" i="6"/>
  <c r="V159" i="6" s="1"/>
  <c r="Q159" i="6"/>
  <c r="U159" i="6" s="1"/>
  <c r="P159" i="6"/>
  <c r="O159" i="6"/>
  <c r="N159" i="6"/>
  <c r="M159" i="6"/>
  <c r="L159" i="6"/>
  <c r="K159" i="6"/>
  <c r="J159" i="6"/>
  <c r="I159" i="6"/>
  <c r="AF158" i="6"/>
  <c r="T158" i="6"/>
  <c r="X158" i="6" s="1"/>
  <c r="S158" i="6"/>
  <c r="W158" i="6" s="1"/>
  <c r="R158" i="6"/>
  <c r="V158" i="6" s="1"/>
  <c r="Q158" i="6"/>
  <c r="U158" i="6" s="1"/>
  <c r="P158" i="6"/>
  <c r="O158" i="6"/>
  <c r="N158" i="6"/>
  <c r="M158" i="6"/>
  <c r="L158" i="6"/>
  <c r="K158" i="6"/>
  <c r="J158" i="6"/>
  <c r="I158" i="6"/>
  <c r="AF157" i="6"/>
  <c r="T157" i="6"/>
  <c r="S157" i="6"/>
  <c r="W157" i="6" s="1"/>
  <c r="R157" i="6"/>
  <c r="V157" i="6" s="1"/>
  <c r="Q157" i="6"/>
  <c r="U157" i="6" s="1"/>
  <c r="P157" i="6"/>
  <c r="O157" i="6"/>
  <c r="N157" i="6"/>
  <c r="M157" i="6"/>
  <c r="L157" i="6"/>
  <c r="K157" i="6"/>
  <c r="J157" i="6"/>
  <c r="I157" i="6"/>
  <c r="AF156" i="6"/>
  <c r="T156" i="6"/>
  <c r="S156" i="6"/>
  <c r="R156" i="6"/>
  <c r="V156" i="6" s="1"/>
  <c r="Q156" i="6"/>
  <c r="U156" i="6" s="1"/>
  <c r="P156" i="6"/>
  <c r="X156" i="6" s="1"/>
  <c r="O156" i="6"/>
  <c r="N156" i="6"/>
  <c r="M156" i="6"/>
  <c r="L156" i="6"/>
  <c r="K156" i="6"/>
  <c r="J156" i="6"/>
  <c r="I156" i="6"/>
  <c r="AF155" i="6"/>
  <c r="T155" i="6"/>
  <c r="S155" i="6"/>
  <c r="R155" i="6"/>
  <c r="Q155" i="6"/>
  <c r="U155" i="6" s="1"/>
  <c r="P155" i="6"/>
  <c r="X155" i="6" s="1"/>
  <c r="O155" i="6"/>
  <c r="N155" i="6"/>
  <c r="M155" i="6"/>
  <c r="L155" i="6"/>
  <c r="K155" i="6"/>
  <c r="J155" i="6"/>
  <c r="I155" i="6"/>
  <c r="AF154" i="6"/>
  <c r="T154" i="6"/>
  <c r="X154" i="6" s="1"/>
  <c r="S154" i="6"/>
  <c r="R154" i="6"/>
  <c r="Q154" i="6"/>
  <c r="P154" i="6"/>
  <c r="O154" i="6"/>
  <c r="N154" i="6"/>
  <c r="M154" i="6"/>
  <c r="U154" i="6" s="1"/>
  <c r="L154" i="6"/>
  <c r="K154" i="6"/>
  <c r="J154" i="6"/>
  <c r="I154" i="6"/>
  <c r="AF153" i="6"/>
  <c r="T153" i="6"/>
  <c r="X153" i="6" s="1"/>
  <c r="S153" i="6"/>
  <c r="W153" i="6" s="1"/>
  <c r="R153" i="6"/>
  <c r="Q153" i="6"/>
  <c r="P153" i="6"/>
  <c r="O153" i="6"/>
  <c r="N153" i="6"/>
  <c r="M153" i="6"/>
  <c r="L153" i="6"/>
  <c r="K153" i="6"/>
  <c r="J153" i="6"/>
  <c r="I153" i="6"/>
  <c r="AF152" i="6"/>
  <c r="T152" i="6"/>
  <c r="X152" i="6" s="1"/>
  <c r="S152" i="6"/>
  <c r="W152" i="6" s="1"/>
  <c r="R152" i="6"/>
  <c r="V152" i="6" s="1"/>
  <c r="Q152" i="6"/>
  <c r="P152" i="6"/>
  <c r="O152" i="6"/>
  <c r="N152" i="6"/>
  <c r="M152" i="6"/>
  <c r="L152" i="6"/>
  <c r="K152" i="6"/>
  <c r="J152" i="6"/>
  <c r="I152" i="6"/>
  <c r="AF151" i="6"/>
  <c r="T151" i="6"/>
  <c r="X151" i="6" s="1"/>
  <c r="S151" i="6"/>
  <c r="W151" i="6" s="1"/>
  <c r="R151" i="6"/>
  <c r="V151" i="6" s="1"/>
  <c r="Q151" i="6"/>
  <c r="U151" i="6" s="1"/>
  <c r="P151" i="6"/>
  <c r="O151" i="6"/>
  <c r="N151" i="6"/>
  <c r="M151" i="6"/>
  <c r="L151" i="6"/>
  <c r="K151" i="6"/>
  <c r="J151" i="6"/>
  <c r="I151" i="6"/>
  <c r="AF150" i="6"/>
  <c r="T150" i="6"/>
  <c r="S150" i="6"/>
  <c r="W150" i="6" s="1"/>
  <c r="R150" i="6"/>
  <c r="V150" i="6" s="1"/>
  <c r="Q150" i="6"/>
  <c r="U150" i="6" s="1"/>
  <c r="P150" i="6"/>
  <c r="O150" i="6"/>
  <c r="N150" i="6"/>
  <c r="M150" i="6"/>
  <c r="L150" i="6"/>
  <c r="K150" i="6"/>
  <c r="J150" i="6"/>
  <c r="I150" i="6"/>
  <c r="X150" i="6" s="1"/>
  <c r="AF149" i="6"/>
  <c r="T149" i="6"/>
  <c r="S149" i="6"/>
  <c r="W149" i="6" s="1"/>
  <c r="R149" i="6"/>
  <c r="V149" i="6" s="1"/>
  <c r="Q149" i="6"/>
  <c r="U149" i="6" s="1"/>
  <c r="P149" i="6"/>
  <c r="X149" i="6" s="1"/>
  <c r="O149" i="6"/>
  <c r="N149" i="6"/>
  <c r="M149" i="6"/>
  <c r="L149" i="6"/>
  <c r="K149" i="6"/>
  <c r="J149" i="6"/>
  <c r="I149" i="6"/>
  <c r="AF148" i="6"/>
  <c r="T148" i="6"/>
  <c r="S148" i="6"/>
  <c r="R148" i="6"/>
  <c r="V148" i="6" s="1"/>
  <c r="Q148" i="6"/>
  <c r="U148" i="6" s="1"/>
  <c r="P148" i="6"/>
  <c r="X148" i="6" s="1"/>
  <c r="O148" i="6"/>
  <c r="N148" i="6"/>
  <c r="M148" i="6"/>
  <c r="L148" i="6"/>
  <c r="K148" i="6"/>
  <c r="J148" i="6"/>
  <c r="I148" i="6"/>
  <c r="AF147" i="6"/>
  <c r="T147" i="6"/>
  <c r="S147" i="6"/>
  <c r="R147" i="6"/>
  <c r="Q147" i="6"/>
  <c r="U147" i="6" s="1"/>
  <c r="P147" i="6"/>
  <c r="X147" i="6" s="1"/>
  <c r="O147" i="6"/>
  <c r="N147" i="6"/>
  <c r="M147" i="6"/>
  <c r="L147" i="6"/>
  <c r="K147" i="6"/>
  <c r="J147" i="6"/>
  <c r="I147" i="6"/>
  <c r="AF146" i="6"/>
  <c r="T146" i="6"/>
  <c r="X146" i="6" s="1"/>
  <c r="S146" i="6"/>
  <c r="R146" i="6"/>
  <c r="Q146" i="6"/>
  <c r="P146" i="6"/>
  <c r="O146" i="6"/>
  <c r="N146" i="6"/>
  <c r="M146" i="6"/>
  <c r="U146" i="6" s="1"/>
  <c r="L146" i="6"/>
  <c r="K146" i="6"/>
  <c r="J146" i="6"/>
  <c r="I146" i="6"/>
  <c r="AF145" i="6"/>
  <c r="T145" i="6"/>
  <c r="X145" i="6" s="1"/>
  <c r="S145" i="6"/>
  <c r="W145" i="6" s="1"/>
  <c r="R145" i="6"/>
  <c r="Q145" i="6"/>
  <c r="P145" i="6"/>
  <c r="O145" i="6"/>
  <c r="N145" i="6"/>
  <c r="M145" i="6"/>
  <c r="L145" i="6"/>
  <c r="K145" i="6"/>
  <c r="J145" i="6"/>
  <c r="I145" i="6"/>
  <c r="AF144" i="6"/>
  <c r="T144" i="6"/>
  <c r="X144" i="6" s="1"/>
  <c r="S144" i="6"/>
  <c r="W144" i="6" s="1"/>
  <c r="R144" i="6"/>
  <c r="V144" i="6" s="1"/>
  <c r="Q144" i="6"/>
  <c r="P144" i="6"/>
  <c r="O144" i="6"/>
  <c r="N144" i="6"/>
  <c r="M144" i="6"/>
  <c r="L144" i="6"/>
  <c r="K144" i="6"/>
  <c r="J144" i="6"/>
  <c r="I144" i="6"/>
  <c r="AF143" i="6"/>
  <c r="T143" i="6"/>
  <c r="X143" i="6" s="1"/>
  <c r="S143" i="6"/>
  <c r="W143" i="6" s="1"/>
  <c r="R143" i="6"/>
  <c r="V143" i="6" s="1"/>
  <c r="Q143" i="6"/>
  <c r="U143" i="6" s="1"/>
  <c r="P143" i="6"/>
  <c r="O143" i="6"/>
  <c r="N143" i="6"/>
  <c r="M143" i="6"/>
  <c r="L143" i="6"/>
  <c r="K143" i="6"/>
  <c r="J143" i="6"/>
  <c r="I143" i="6"/>
  <c r="AF142" i="6"/>
  <c r="T142" i="6"/>
  <c r="X142" i="6" s="1"/>
  <c r="S142" i="6"/>
  <c r="W142" i="6" s="1"/>
  <c r="R142" i="6"/>
  <c r="V142" i="6" s="1"/>
  <c r="Q142" i="6"/>
  <c r="U142" i="6" s="1"/>
  <c r="P142" i="6"/>
  <c r="O142" i="6"/>
  <c r="N142" i="6"/>
  <c r="M142" i="6"/>
  <c r="L142" i="6"/>
  <c r="K142" i="6"/>
  <c r="J142" i="6"/>
  <c r="I142" i="6"/>
  <c r="AF141" i="6"/>
  <c r="T141" i="6"/>
  <c r="S141" i="6"/>
  <c r="W141" i="6" s="1"/>
  <c r="R141" i="6"/>
  <c r="V141" i="6" s="1"/>
  <c r="Q141" i="6"/>
  <c r="U141" i="6" s="1"/>
  <c r="P141" i="6"/>
  <c r="O141" i="6"/>
  <c r="N141" i="6"/>
  <c r="M141" i="6"/>
  <c r="L141" i="6"/>
  <c r="K141" i="6"/>
  <c r="J141" i="6"/>
  <c r="I141" i="6"/>
  <c r="X141" i="6" s="1"/>
  <c r="AF140" i="6"/>
  <c r="T140" i="6"/>
  <c r="S140" i="6"/>
  <c r="R140" i="6"/>
  <c r="V140" i="6" s="1"/>
  <c r="Q140" i="6"/>
  <c r="U140" i="6" s="1"/>
  <c r="P140" i="6"/>
  <c r="X140" i="6" s="1"/>
  <c r="O140" i="6"/>
  <c r="N140" i="6"/>
  <c r="M140" i="6"/>
  <c r="L140" i="6"/>
  <c r="K140" i="6"/>
  <c r="J140" i="6"/>
  <c r="I140" i="6"/>
  <c r="AF139" i="6"/>
  <c r="T139" i="6"/>
  <c r="S139" i="6"/>
  <c r="R139" i="6"/>
  <c r="Q139" i="6"/>
  <c r="U139" i="6" s="1"/>
  <c r="P139" i="6"/>
  <c r="O139" i="6"/>
  <c r="N139" i="6"/>
  <c r="M139" i="6"/>
  <c r="L139" i="6"/>
  <c r="K139" i="6"/>
  <c r="J139" i="6"/>
  <c r="X139" i="6" s="1"/>
  <c r="I139" i="6"/>
  <c r="AF138" i="6"/>
  <c r="T138" i="6"/>
  <c r="X138" i="6" s="1"/>
  <c r="S138" i="6"/>
  <c r="R138" i="6"/>
  <c r="Q138" i="6"/>
  <c r="P138" i="6"/>
  <c r="O138" i="6"/>
  <c r="N138" i="6"/>
  <c r="M138" i="6"/>
  <c r="U138" i="6" s="1"/>
  <c r="L138" i="6"/>
  <c r="K138" i="6"/>
  <c r="J138" i="6"/>
  <c r="I138" i="6"/>
  <c r="AF137" i="6"/>
  <c r="T137" i="6"/>
  <c r="X137" i="6" s="1"/>
  <c r="S137" i="6"/>
  <c r="W137" i="6" s="1"/>
  <c r="R137" i="6"/>
  <c r="Q137" i="6"/>
  <c r="P137" i="6"/>
  <c r="O137" i="6"/>
  <c r="N137" i="6"/>
  <c r="M137" i="6"/>
  <c r="L137" i="6"/>
  <c r="K137" i="6"/>
  <c r="J137" i="6"/>
  <c r="I137" i="6"/>
  <c r="AF136" i="6"/>
  <c r="T136" i="6"/>
  <c r="X136" i="6" s="1"/>
  <c r="S136" i="6"/>
  <c r="W136" i="6" s="1"/>
  <c r="R136" i="6"/>
  <c r="V136" i="6" s="1"/>
  <c r="Q136" i="6"/>
  <c r="P136" i="6"/>
  <c r="O136" i="6"/>
  <c r="N136" i="6"/>
  <c r="M136" i="6"/>
  <c r="L136" i="6"/>
  <c r="K136" i="6"/>
  <c r="J136" i="6"/>
  <c r="I136" i="6"/>
  <c r="AF135" i="6"/>
  <c r="T135" i="6"/>
  <c r="X135" i="6" s="1"/>
  <c r="S135" i="6"/>
  <c r="W135" i="6" s="1"/>
  <c r="R135" i="6"/>
  <c r="V135" i="6" s="1"/>
  <c r="Q135" i="6"/>
  <c r="U135" i="6" s="1"/>
  <c r="P135" i="6"/>
  <c r="O135" i="6"/>
  <c r="N135" i="6"/>
  <c r="M135" i="6"/>
  <c r="L135" i="6"/>
  <c r="K135" i="6"/>
  <c r="J135" i="6"/>
  <c r="I135" i="6"/>
  <c r="AF134" i="6"/>
  <c r="T134" i="6"/>
  <c r="X134" i="6" s="1"/>
  <c r="S134" i="6"/>
  <c r="W134" i="6" s="1"/>
  <c r="R134" i="6"/>
  <c r="V134" i="6" s="1"/>
  <c r="Q134" i="6"/>
  <c r="U134" i="6" s="1"/>
  <c r="P134" i="6"/>
  <c r="O134" i="6"/>
  <c r="N134" i="6"/>
  <c r="M134" i="6"/>
  <c r="L134" i="6"/>
  <c r="K134" i="6"/>
  <c r="J134" i="6"/>
  <c r="I134" i="6"/>
  <c r="AF133" i="6"/>
  <c r="T133" i="6"/>
  <c r="S133" i="6"/>
  <c r="W133" i="6" s="1"/>
  <c r="R133" i="6"/>
  <c r="V133" i="6" s="1"/>
  <c r="Q133" i="6"/>
  <c r="U133" i="6" s="1"/>
  <c r="P133" i="6"/>
  <c r="O133" i="6"/>
  <c r="N133" i="6"/>
  <c r="M133" i="6"/>
  <c r="L133" i="6"/>
  <c r="K133" i="6"/>
  <c r="J133" i="6"/>
  <c r="I133" i="6"/>
  <c r="X133" i="6" s="1"/>
  <c r="AF132" i="6"/>
  <c r="T132" i="6"/>
  <c r="S132" i="6"/>
  <c r="R132" i="6"/>
  <c r="V132" i="6" s="1"/>
  <c r="Q132" i="6"/>
  <c r="U132" i="6" s="1"/>
  <c r="P132" i="6"/>
  <c r="X132" i="6" s="1"/>
  <c r="O132" i="6"/>
  <c r="N132" i="6"/>
  <c r="M132" i="6"/>
  <c r="L132" i="6"/>
  <c r="K132" i="6"/>
  <c r="J132" i="6"/>
  <c r="I132" i="6"/>
  <c r="AF131" i="6"/>
  <c r="T131" i="6"/>
  <c r="S131" i="6"/>
  <c r="R131" i="6"/>
  <c r="Q131" i="6"/>
  <c r="U131" i="6" s="1"/>
  <c r="P131" i="6"/>
  <c r="X131" i="6" s="1"/>
  <c r="O131" i="6"/>
  <c r="N131" i="6"/>
  <c r="M131" i="6"/>
  <c r="L131" i="6"/>
  <c r="K131" i="6"/>
  <c r="J131" i="6"/>
  <c r="I131" i="6"/>
  <c r="AF130" i="6"/>
  <c r="T130" i="6"/>
  <c r="S130" i="6"/>
  <c r="R130" i="6"/>
  <c r="Q130" i="6"/>
  <c r="P130" i="6"/>
  <c r="O130" i="6"/>
  <c r="N130" i="6"/>
  <c r="M130" i="6"/>
  <c r="U130" i="6" s="1"/>
  <c r="L130" i="6"/>
  <c r="K130" i="6"/>
  <c r="J130" i="6"/>
  <c r="I130" i="6"/>
  <c r="AF129" i="6"/>
  <c r="T129" i="6"/>
  <c r="X129" i="6" s="1"/>
  <c r="S129" i="6"/>
  <c r="R129" i="6"/>
  <c r="Q129" i="6"/>
  <c r="P129" i="6"/>
  <c r="O129" i="6"/>
  <c r="N129" i="6"/>
  <c r="M129" i="6"/>
  <c r="L129" i="6"/>
  <c r="K129" i="6"/>
  <c r="J129" i="6"/>
  <c r="I129" i="6"/>
  <c r="W129" i="6" s="1"/>
  <c r="AF128" i="6"/>
  <c r="T128" i="6"/>
  <c r="X128" i="6" s="1"/>
  <c r="S128" i="6"/>
  <c r="W128" i="6" s="1"/>
  <c r="R128" i="6"/>
  <c r="Q128" i="6"/>
  <c r="P128" i="6"/>
  <c r="O128" i="6"/>
  <c r="N128" i="6"/>
  <c r="M128" i="6"/>
  <c r="L128" i="6"/>
  <c r="K128" i="6"/>
  <c r="J128" i="6"/>
  <c r="I128" i="6"/>
  <c r="AF127" i="6"/>
  <c r="T127" i="6"/>
  <c r="X127" i="6" s="1"/>
  <c r="S127" i="6"/>
  <c r="W127" i="6" s="1"/>
  <c r="R127" i="6"/>
  <c r="V127" i="6" s="1"/>
  <c r="Q127" i="6"/>
  <c r="P127" i="6"/>
  <c r="O127" i="6"/>
  <c r="N127" i="6"/>
  <c r="M127" i="6"/>
  <c r="L127" i="6"/>
  <c r="K127" i="6"/>
  <c r="J127" i="6"/>
  <c r="I127" i="6"/>
  <c r="AF126" i="6"/>
  <c r="T126" i="6"/>
  <c r="X126" i="6" s="1"/>
  <c r="S126" i="6"/>
  <c r="W126" i="6" s="1"/>
  <c r="R126" i="6"/>
  <c r="V126" i="6" s="1"/>
  <c r="Q126" i="6"/>
  <c r="U126" i="6" s="1"/>
  <c r="P126" i="6"/>
  <c r="O126" i="6"/>
  <c r="N126" i="6"/>
  <c r="M126" i="6"/>
  <c r="L126" i="6"/>
  <c r="K126" i="6"/>
  <c r="J126" i="6"/>
  <c r="I126" i="6"/>
  <c r="AF125" i="6"/>
  <c r="T125" i="6"/>
  <c r="S125" i="6"/>
  <c r="W125" i="6" s="1"/>
  <c r="R125" i="6"/>
  <c r="V125" i="6" s="1"/>
  <c r="Q125" i="6"/>
  <c r="U125" i="6" s="1"/>
  <c r="P125" i="6"/>
  <c r="X125" i="6" s="1"/>
  <c r="O125" i="6"/>
  <c r="N125" i="6"/>
  <c r="M125" i="6"/>
  <c r="L125" i="6"/>
  <c r="K125" i="6"/>
  <c r="J125" i="6"/>
  <c r="I125" i="6"/>
  <c r="AF124" i="6"/>
  <c r="T124" i="6"/>
  <c r="S124" i="6"/>
  <c r="R124" i="6"/>
  <c r="V124" i="6" s="1"/>
  <c r="Q124" i="6"/>
  <c r="U124" i="6" s="1"/>
  <c r="P124" i="6"/>
  <c r="O124" i="6"/>
  <c r="N124" i="6"/>
  <c r="M124" i="6"/>
  <c r="L124" i="6"/>
  <c r="K124" i="6"/>
  <c r="J124" i="6"/>
  <c r="I124" i="6"/>
  <c r="AF123" i="6"/>
  <c r="T123" i="6"/>
  <c r="S123" i="6"/>
  <c r="R123" i="6"/>
  <c r="Q123" i="6"/>
  <c r="U123" i="6" s="1"/>
  <c r="P123" i="6"/>
  <c r="X123" i="6" s="1"/>
  <c r="O123" i="6"/>
  <c r="N123" i="6"/>
  <c r="M123" i="6"/>
  <c r="L123" i="6"/>
  <c r="K123" i="6"/>
  <c r="J123" i="6"/>
  <c r="I123" i="6"/>
  <c r="AF122" i="6"/>
  <c r="T122" i="6"/>
  <c r="S122" i="6"/>
  <c r="R122" i="6"/>
  <c r="Q122" i="6"/>
  <c r="P122" i="6"/>
  <c r="O122" i="6"/>
  <c r="N122" i="6"/>
  <c r="M122" i="6"/>
  <c r="U122" i="6" s="1"/>
  <c r="L122" i="6"/>
  <c r="K122" i="6"/>
  <c r="J122" i="6"/>
  <c r="I122" i="6"/>
  <c r="AF121" i="6"/>
  <c r="T121" i="6"/>
  <c r="X121" i="6" s="1"/>
  <c r="S121" i="6"/>
  <c r="R121" i="6"/>
  <c r="Q121" i="6"/>
  <c r="P121" i="6"/>
  <c r="O121" i="6"/>
  <c r="N121" i="6"/>
  <c r="M121" i="6"/>
  <c r="L121" i="6"/>
  <c r="K121" i="6"/>
  <c r="J121" i="6"/>
  <c r="I121" i="6"/>
  <c r="W121" i="6" s="1"/>
  <c r="AF120" i="6"/>
  <c r="T120" i="6"/>
  <c r="X120" i="6" s="1"/>
  <c r="S120" i="6"/>
  <c r="W120" i="6" s="1"/>
  <c r="R120" i="6"/>
  <c r="V120" i="6" s="1"/>
  <c r="Q120" i="6"/>
  <c r="P120" i="6"/>
  <c r="O120" i="6"/>
  <c r="N120" i="6"/>
  <c r="M120" i="6"/>
  <c r="L120" i="6"/>
  <c r="K120" i="6"/>
  <c r="J120" i="6"/>
  <c r="I120" i="6"/>
  <c r="AF119" i="6"/>
  <c r="T119" i="6"/>
  <c r="X119" i="6" s="1"/>
  <c r="S119" i="6"/>
  <c r="W119" i="6" s="1"/>
  <c r="R119" i="6"/>
  <c r="V119" i="6" s="1"/>
  <c r="Q119" i="6"/>
  <c r="U119" i="6" s="1"/>
  <c r="P119" i="6"/>
  <c r="O119" i="6"/>
  <c r="N119" i="6"/>
  <c r="M119" i="6"/>
  <c r="L119" i="6"/>
  <c r="K119" i="6"/>
  <c r="J119" i="6"/>
  <c r="I119" i="6"/>
  <c r="AF118" i="6"/>
  <c r="T118" i="6"/>
  <c r="X118" i="6" s="1"/>
  <c r="S118" i="6"/>
  <c r="W118" i="6" s="1"/>
  <c r="R118" i="6"/>
  <c r="V118" i="6" s="1"/>
  <c r="Q118" i="6"/>
  <c r="U118" i="6" s="1"/>
  <c r="P118" i="6"/>
  <c r="O118" i="6"/>
  <c r="N118" i="6"/>
  <c r="M118" i="6"/>
  <c r="L118" i="6"/>
  <c r="K118" i="6"/>
  <c r="J118" i="6"/>
  <c r="I118" i="6"/>
  <c r="AF117" i="6"/>
  <c r="T117" i="6"/>
  <c r="S117" i="6"/>
  <c r="W117" i="6" s="1"/>
  <c r="R117" i="6"/>
  <c r="V117" i="6" s="1"/>
  <c r="Q117" i="6"/>
  <c r="U117" i="6" s="1"/>
  <c r="P117" i="6"/>
  <c r="X117" i="6" s="1"/>
  <c r="O117" i="6"/>
  <c r="N117" i="6"/>
  <c r="M117" i="6"/>
  <c r="L117" i="6"/>
  <c r="K117" i="6"/>
  <c r="J117" i="6"/>
  <c r="I117" i="6"/>
  <c r="AF116" i="6"/>
  <c r="T116" i="6"/>
  <c r="S116" i="6"/>
  <c r="R116" i="6"/>
  <c r="V116" i="6" s="1"/>
  <c r="Q116" i="6"/>
  <c r="U116" i="6" s="1"/>
  <c r="P116" i="6"/>
  <c r="X116" i="6" s="1"/>
  <c r="O116" i="6"/>
  <c r="N116" i="6"/>
  <c r="M116" i="6"/>
  <c r="L116" i="6"/>
  <c r="K116" i="6"/>
  <c r="J116" i="6"/>
  <c r="I116" i="6"/>
  <c r="AF115" i="6"/>
  <c r="T115" i="6"/>
  <c r="S115" i="6"/>
  <c r="R115" i="6"/>
  <c r="Q115" i="6"/>
  <c r="U115" i="6" s="1"/>
  <c r="P115" i="6"/>
  <c r="X115" i="6" s="1"/>
  <c r="O115" i="6"/>
  <c r="N115" i="6"/>
  <c r="M115" i="6"/>
  <c r="L115" i="6"/>
  <c r="K115" i="6"/>
  <c r="J115" i="6"/>
  <c r="I115" i="6"/>
  <c r="AF114" i="6"/>
  <c r="T114" i="6"/>
  <c r="X114" i="6" s="1"/>
  <c r="S114" i="6"/>
  <c r="R114" i="6"/>
  <c r="Q114" i="6"/>
  <c r="P114" i="6"/>
  <c r="O114" i="6"/>
  <c r="N114" i="6"/>
  <c r="M114" i="6"/>
  <c r="U114" i="6" s="1"/>
  <c r="L114" i="6"/>
  <c r="K114" i="6"/>
  <c r="J114" i="6"/>
  <c r="I114" i="6"/>
  <c r="AF113" i="6"/>
  <c r="T113" i="6"/>
  <c r="X113" i="6" s="1"/>
  <c r="S113" i="6"/>
  <c r="W113" i="6" s="1"/>
  <c r="R113" i="6"/>
  <c r="Q113" i="6"/>
  <c r="P113" i="6"/>
  <c r="O113" i="6"/>
  <c r="N113" i="6"/>
  <c r="M113" i="6"/>
  <c r="L113" i="6"/>
  <c r="K113" i="6"/>
  <c r="J113" i="6"/>
  <c r="I113" i="6"/>
  <c r="AF112" i="6"/>
  <c r="T112" i="6"/>
  <c r="X112" i="6" s="1"/>
  <c r="S112" i="6"/>
  <c r="W112" i="6" s="1"/>
  <c r="R112" i="6"/>
  <c r="V112" i="6" s="1"/>
  <c r="Q112" i="6"/>
  <c r="P112" i="6"/>
  <c r="O112" i="6"/>
  <c r="N112" i="6"/>
  <c r="M112" i="6"/>
  <c r="L112" i="6"/>
  <c r="K112" i="6"/>
  <c r="J112" i="6"/>
  <c r="I112" i="6"/>
  <c r="AF111" i="6"/>
  <c r="T111" i="6"/>
  <c r="X111" i="6" s="1"/>
  <c r="S111" i="6"/>
  <c r="W111" i="6" s="1"/>
  <c r="R111" i="6"/>
  <c r="V111" i="6" s="1"/>
  <c r="Q111" i="6"/>
  <c r="U111" i="6" s="1"/>
  <c r="P111" i="6"/>
  <c r="O111" i="6"/>
  <c r="N111" i="6"/>
  <c r="M111" i="6"/>
  <c r="L111" i="6"/>
  <c r="K111" i="6"/>
  <c r="J111" i="6"/>
  <c r="I111" i="6"/>
  <c r="AF110" i="6"/>
  <c r="T110" i="6"/>
  <c r="S110" i="6"/>
  <c r="W110" i="6" s="1"/>
  <c r="R110" i="6"/>
  <c r="V110" i="6" s="1"/>
  <c r="Q110" i="6"/>
  <c r="U110" i="6" s="1"/>
  <c r="P110" i="6"/>
  <c r="O110" i="6"/>
  <c r="N110" i="6"/>
  <c r="M110" i="6"/>
  <c r="L110" i="6"/>
  <c r="K110" i="6"/>
  <c r="J110" i="6"/>
  <c r="I110" i="6"/>
  <c r="X110" i="6" s="1"/>
  <c r="AF109" i="6"/>
  <c r="T109" i="6"/>
  <c r="S109" i="6"/>
  <c r="R109" i="6"/>
  <c r="V109" i="6" s="1"/>
  <c r="Q109" i="6"/>
  <c r="U109" i="6" s="1"/>
  <c r="P109" i="6"/>
  <c r="X109" i="6" s="1"/>
  <c r="O109" i="6"/>
  <c r="N109" i="6"/>
  <c r="M109" i="6"/>
  <c r="L109" i="6"/>
  <c r="K109" i="6"/>
  <c r="J109" i="6"/>
  <c r="I109" i="6"/>
  <c r="AF108" i="6"/>
  <c r="T108" i="6"/>
  <c r="S108" i="6"/>
  <c r="R108" i="6"/>
  <c r="V108" i="6" s="1"/>
  <c r="Q108" i="6"/>
  <c r="U108" i="6" s="1"/>
  <c r="P108" i="6"/>
  <c r="O108" i="6"/>
  <c r="N108" i="6"/>
  <c r="M108" i="6"/>
  <c r="L108" i="6"/>
  <c r="K108" i="6"/>
  <c r="J108" i="6"/>
  <c r="I108" i="6"/>
  <c r="AF107" i="6"/>
  <c r="T107" i="6"/>
  <c r="S107" i="6"/>
  <c r="R107" i="6"/>
  <c r="Q107" i="6"/>
  <c r="U107" i="6" s="1"/>
  <c r="P107" i="6"/>
  <c r="X107" i="6" s="1"/>
  <c r="O107" i="6"/>
  <c r="N107" i="6"/>
  <c r="M107" i="6"/>
  <c r="L107" i="6"/>
  <c r="K107" i="6"/>
  <c r="J107" i="6"/>
  <c r="I107" i="6"/>
  <c r="AF106" i="6"/>
  <c r="T106" i="6"/>
  <c r="X106" i="6" s="1"/>
  <c r="S106" i="6"/>
  <c r="R106" i="6"/>
  <c r="Q106" i="6"/>
  <c r="P106" i="6"/>
  <c r="O106" i="6"/>
  <c r="N106" i="6"/>
  <c r="M106" i="6"/>
  <c r="U106" i="6" s="1"/>
  <c r="L106" i="6"/>
  <c r="K106" i="6"/>
  <c r="J106" i="6"/>
  <c r="I106" i="6"/>
  <c r="AF105" i="6"/>
  <c r="T105" i="6"/>
  <c r="X105" i="6" s="1"/>
  <c r="S105" i="6"/>
  <c r="W105" i="6" s="1"/>
  <c r="R105" i="6"/>
  <c r="Q105" i="6"/>
  <c r="P105" i="6"/>
  <c r="O105" i="6"/>
  <c r="N105" i="6"/>
  <c r="M105" i="6"/>
  <c r="L105" i="6"/>
  <c r="K105" i="6"/>
  <c r="J105" i="6"/>
  <c r="I105" i="6"/>
  <c r="AF104" i="6"/>
  <c r="T104" i="6"/>
  <c r="X104" i="6" s="1"/>
  <c r="S104" i="6"/>
  <c r="W104" i="6" s="1"/>
  <c r="R104" i="6"/>
  <c r="V104" i="6" s="1"/>
  <c r="Q104" i="6"/>
  <c r="P104" i="6"/>
  <c r="O104" i="6"/>
  <c r="N104" i="6"/>
  <c r="M104" i="6"/>
  <c r="L104" i="6"/>
  <c r="K104" i="6"/>
  <c r="J104" i="6"/>
  <c r="I104" i="6"/>
  <c r="AF103" i="6"/>
  <c r="T103" i="6"/>
  <c r="X103" i="6" s="1"/>
  <c r="S103" i="6"/>
  <c r="W103" i="6" s="1"/>
  <c r="R103" i="6"/>
  <c r="V103" i="6" s="1"/>
  <c r="Q103" i="6"/>
  <c r="U103" i="6" s="1"/>
  <c r="P103" i="6"/>
  <c r="O103" i="6"/>
  <c r="N103" i="6"/>
  <c r="M103" i="6"/>
  <c r="L103" i="6"/>
  <c r="K103" i="6"/>
  <c r="J103" i="6"/>
  <c r="I103" i="6"/>
  <c r="AF102" i="6"/>
  <c r="T102" i="6"/>
  <c r="S102" i="6"/>
  <c r="W102" i="6" s="1"/>
  <c r="R102" i="6"/>
  <c r="V102" i="6" s="1"/>
  <c r="Q102" i="6"/>
  <c r="U102" i="6" s="1"/>
  <c r="P102" i="6"/>
  <c r="O102" i="6"/>
  <c r="N102" i="6"/>
  <c r="M102" i="6"/>
  <c r="L102" i="6"/>
  <c r="K102" i="6"/>
  <c r="J102" i="6"/>
  <c r="I102" i="6"/>
  <c r="X102" i="6" s="1"/>
  <c r="AF101" i="6"/>
  <c r="T101" i="6"/>
  <c r="S101" i="6"/>
  <c r="R101" i="6"/>
  <c r="V101" i="6" s="1"/>
  <c r="Q101" i="6"/>
  <c r="U101" i="6" s="1"/>
  <c r="P101" i="6"/>
  <c r="X101" i="6" s="1"/>
  <c r="O101" i="6"/>
  <c r="N101" i="6"/>
  <c r="M101" i="6"/>
  <c r="L101" i="6"/>
  <c r="K101" i="6"/>
  <c r="J101" i="6"/>
  <c r="I101" i="6"/>
  <c r="AF100" i="6"/>
  <c r="T100" i="6"/>
  <c r="S100" i="6"/>
  <c r="R100" i="6"/>
  <c r="V100" i="6" s="1"/>
  <c r="Q100" i="6"/>
  <c r="U100" i="6" s="1"/>
  <c r="P100" i="6"/>
  <c r="O100" i="6"/>
  <c r="N100" i="6"/>
  <c r="M100" i="6"/>
  <c r="L100" i="6"/>
  <c r="K100" i="6"/>
  <c r="J100" i="6"/>
  <c r="I100" i="6"/>
  <c r="AF99" i="6"/>
  <c r="T99" i="6"/>
  <c r="S99" i="6"/>
  <c r="R99" i="6"/>
  <c r="Q99" i="6"/>
  <c r="P99" i="6"/>
  <c r="X99" i="6" s="1"/>
  <c r="O99" i="6"/>
  <c r="N99" i="6"/>
  <c r="M99" i="6"/>
  <c r="L99" i="6"/>
  <c r="K99" i="6"/>
  <c r="J99" i="6"/>
  <c r="I99" i="6"/>
  <c r="U99" i="6" s="1"/>
  <c r="AF98" i="6"/>
  <c r="T98" i="6"/>
  <c r="X98" i="6" s="1"/>
  <c r="S98" i="6"/>
  <c r="R98" i="6"/>
  <c r="Q98" i="6"/>
  <c r="P98" i="6"/>
  <c r="O98" i="6"/>
  <c r="N98" i="6"/>
  <c r="M98" i="6"/>
  <c r="U98" i="6" s="1"/>
  <c r="L98" i="6"/>
  <c r="K98" i="6"/>
  <c r="J98" i="6"/>
  <c r="I98" i="6"/>
  <c r="AF97" i="6"/>
  <c r="T97" i="6"/>
  <c r="X97" i="6" s="1"/>
  <c r="S97" i="6"/>
  <c r="W97" i="6" s="1"/>
  <c r="R97" i="6"/>
  <c r="Q97" i="6"/>
  <c r="P97" i="6"/>
  <c r="O97" i="6"/>
  <c r="N97" i="6"/>
  <c r="M97" i="6"/>
  <c r="L97" i="6"/>
  <c r="K97" i="6"/>
  <c r="J97" i="6"/>
  <c r="I97" i="6"/>
  <c r="AF96" i="6"/>
  <c r="T96" i="6"/>
  <c r="X96" i="6" s="1"/>
  <c r="S96" i="6"/>
  <c r="W96" i="6" s="1"/>
  <c r="R96" i="6"/>
  <c r="V96" i="6" s="1"/>
  <c r="Q96" i="6"/>
  <c r="P96" i="6"/>
  <c r="O96" i="6"/>
  <c r="N96" i="6"/>
  <c r="M96" i="6"/>
  <c r="L96" i="6"/>
  <c r="K96" i="6"/>
  <c r="J96" i="6"/>
  <c r="I96" i="6"/>
  <c r="AF95" i="6"/>
  <c r="T95" i="6"/>
  <c r="X95" i="6" s="1"/>
  <c r="S95" i="6"/>
  <c r="W95" i="6" s="1"/>
  <c r="R95" i="6"/>
  <c r="V95" i="6" s="1"/>
  <c r="Q95" i="6"/>
  <c r="U95" i="6" s="1"/>
  <c r="P95" i="6"/>
  <c r="O95" i="6"/>
  <c r="N95" i="6"/>
  <c r="M95" i="6"/>
  <c r="L95" i="6"/>
  <c r="K95" i="6"/>
  <c r="J95" i="6"/>
  <c r="I95" i="6"/>
  <c r="AF94" i="6"/>
  <c r="T94" i="6"/>
  <c r="X94" i="6" s="1"/>
  <c r="S94" i="6"/>
  <c r="W94" i="6" s="1"/>
  <c r="R94" i="6"/>
  <c r="V94" i="6" s="1"/>
  <c r="Q94" i="6"/>
  <c r="U94" i="6" s="1"/>
  <c r="P94" i="6"/>
  <c r="O94" i="6"/>
  <c r="N94" i="6"/>
  <c r="M94" i="6"/>
  <c r="L94" i="6"/>
  <c r="K94" i="6"/>
  <c r="J94" i="6"/>
  <c r="I94" i="6"/>
  <c r="AF93" i="6"/>
  <c r="T93" i="6"/>
  <c r="S93" i="6"/>
  <c r="W93" i="6" s="1"/>
  <c r="R93" i="6"/>
  <c r="V93" i="6" s="1"/>
  <c r="Q93" i="6"/>
  <c r="U93" i="6" s="1"/>
  <c r="P93" i="6"/>
  <c r="X93" i="6" s="1"/>
  <c r="O93" i="6"/>
  <c r="N93" i="6"/>
  <c r="M93" i="6"/>
  <c r="L93" i="6"/>
  <c r="K93" i="6"/>
  <c r="J93" i="6"/>
  <c r="I93" i="6"/>
  <c r="AF92" i="6"/>
  <c r="T92" i="6"/>
  <c r="S92" i="6"/>
  <c r="R92" i="6"/>
  <c r="V92" i="6" s="1"/>
  <c r="Q92" i="6"/>
  <c r="U92" i="6" s="1"/>
  <c r="P92" i="6"/>
  <c r="O92" i="6"/>
  <c r="N92" i="6"/>
  <c r="M92" i="6"/>
  <c r="L92" i="6"/>
  <c r="K92" i="6"/>
  <c r="J92" i="6"/>
  <c r="I92" i="6"/>
  <c r="AF91" i="6"/>
  <c r="T91" i="6"/>
  <c r="S91" i="6"/>
  <c r="R91" i="6"/>
  <c r="Q91" i="6"/>
  <c r="U91" i="6" s="1"/>
  <c r="P91" i="6"/>
  <c r="X91" i="6" s="1"/>
  <c r="O91" i="6"/>
  <c r="N91" i="6"/>
  <c r="M91" i="6"/>
  <c r="L91" i="6"/>
  <c r="K91" i="6"/>
  <c r="J91" i="6"/>
  <c r="I91" i="6"/>
  <c r="AF90" i="6"/>
  <c r="T90" i="6"/>
  <c r="S90" i="6"/>
  <c r="R90" i="6"/>
  <c r="Q90" i="6"/>
  <c r="P90" i="6"/>
  <c r="O90" i="6"/>
  <c r="N90" i="6"/>
  <c r="M90" i="6"/>
  <c r="U90" i="6" s="1"/>
  <c r="L90" i="6"/>
  <c r="K90" i="6"/>
  <c r="J90" i="6"/>
  <c r="I90" i="6"/>
  <c r="AF89" i="6"/>
  <c r="T89" i="6"/>
  <c r="X89" i="6" s="1"/>
  <c r="S89" i="6"/>
  <c r="R89" i="6"/>
  <c r="Q89" i="6"/>
  <c r="P89" i="6"/>
  <c r="O89" i="6"/>
  <c r="N89" i="6"/>
  <c r="M89" i="6"/>
  <c r="L89" i="6"/>
  <c r="K89" i="6"/>
  <c r="J89" i="6"/>
  <c r="I89" i="6"/>
  <c r="W89" i="6" s="1"/>
  <c r="AF88" i="6"/>
  <c r="T88" i="6"/>
  <c r="X88" i="6" s="1"/>
  <c r="S88" i="6"/>
  <c r="W88" i="6" s="1"/>
  <c r="R88" i="6"/>
  <c r="Q88" i="6"/>
  <c r="P88" i="6"/>
  <c r="O88" i="6"/>
  <c r="N88" i="6"/>
  <c r="M88" i="6"/>
  <c r="L88" i="6"/>
  <c r="K88" i="6"/>
  <c r="J88" i="6"/>
  <c r="I88" i="6"/>
  <c r="AF87" i="6"/>
  <c r="T87" i="6"/>
  <c r="X87" i="6" s="1"/>
  <c r="S87" i="6"/>
  <c r="W87" i="6" s="1"/>
  <c r="R87" i="6"/>
  <c r="V87" i="6" s="1"/>
  <c r="Q87" i="6"/>
  <c r="P87" i="6"/>
  <c r="O87" i="6"/>
  <c r="N87" i="6"/>
  <c r="M87" i="6"/>
  <c r="L87" i="6"/>
  <c r="K87" i="6"/>
  <c r="J87" i="6"/>
  <c r="I87" i="6"/>
  <c r="U87" i="6" s="1"/>
  <c r="AF86" i="6"/>
  <c r="T86" i="6"/>
  <c r="X86" i="6" s="1"/>
  <c r="S86" i="6"/>
  <c r="W86" i="6" s="1"/>
  <c r="R86" i="6"/>
  <c r="V86" i="6" s="1"/>
  <c r="Q86" i="6"/>
  <c r="U86" i="6" s="1"/>
  <c r="P86" i="6"/>
  <c r="O86" i="6"/>
  <c r="N86" i="6"/>
  <c r="M86" i="6"/>
  <c r="L86" i="6"/>
  <c r="K86" i="6"/>
  <c r="J86" i="6"/>
  <c r="I86" i="6"/>
  <c r="AF85" i="6"/>
  <c r="T85" i="6"/>
  <c r="S85" i="6"/>
  <c r="W85" i="6" s="1"/>
  <c r="R85" i="6"/>
  <c r="V85" i="6" s="1"/>
  <c r="Q85" i="6"/>
  <c r="U85" i="6" s="1"/>
  <c r="P85" i="6"/>
  <c r="X85" i="6" s="1"/>
  <c r="O85" i="6"/>
  <c r="N85" i="6"/>
  <c r="M85" i="6"/>
  <c r="L85" i="6"/>
  <c r="K85" i="6"/>
  <c r="J85" i="6"/>
  <c r="I85" i="6"/>
  <c r="AF84" i="6"/>
  <c r="T84" i="6"/>
  <c r="S84" i="6"/>
  <c r="R84" i="6"/>
  <c r="V84" i="6" s="1"/>
  <c r="Q84" i="6"/>
  <c r="U84" i="6" s="1"/>
  <c r="P84" i="6"/>
  <c r="O84" i="6"/>
  <c r="N84" i="6"/>
  <c r="M84" i="6"/>
  <c r="L84" i="6"/>
  <c r="K84" i="6"/>
  <c r="J84" i="6"/>
  <c r="I84" i="6"/>
  <c r="AF83" i="6"/>
  <c r="T83" i="6"/>
  <c r="S83" i="6"/>
  <c r="R83" i="6"/>
  <c r="Q83" i="6"/>
  <c r="U83" i="6" s="1"/>
  <c r="P83" i="6"/>
  <c r="X83" i="6" s="1"/>
  <c r="O83" i="6"/>
  <c r="N83" i="6"/>
  <c r="M83" i="6"/>
  <c r="L83" i="6"/>
  <c r="K83" i="6"/>
  <c r="J83" i="6"/>
  <c r="I83" i="6"/>
  <c r="AF82" i="6"/>
  <c r="T82" i="6"/>
  <c r="S82" i="6"/>
  <c r="R82" i="6"/>
  <c r="Q82" i="6"/>
  <c r="P82" i="6"/>
  <c r="O82" i="6"/>
  <c r="N82" i="6"/>
  <c r="M82" i="6"/>
  <c r="U82" i="6" s="1"/>
  <c r="L82" i="6"/>
  <c r="K82" i="6"/>
  <c r="J82" i="6"/>
  <c r="I82" i="6"/>
  <c r="AF81" i="6"/>
  <c r="T81" i="6"/>
  <c r="X81" i="6" s="1"/>
  <c r="S81" i="6"/>
  <c r="R81" i="6"/>
  <c r="Q81" i="6"/>
  <c r="P81" i="6"/>
  <c r="O81" i="6"/>
  <c r="N81" i="6"/>
  <c r="M81" i="6"/>
  <c r="L81" i="6"/>
  <c r="K81" i="6"/>
  <c r="J81" i="6"/>
  <c r="I81" i="6"/>
  <c r="W81" i="6" s="1"/>
  <c r="AF80" i="6"/>
  <c r="T80" i="6"/>
  <c r="X80" i="6" s="1"/>
  <c r="S80" i="6"/>
  <c r="W80" i="6" s="1"/>
  <c r="R80" i="6"/>
  <c r="V80" i="6" s="1"/>
  <c r="Q80" i="6"/>
  <c r="P80" i="6"/>
  <c r="O80" i="6"/>
  <c r="N80" i="6"/>
  <c r="M80" i="6"/>
  <c r="L80" i="6"/>
  <c r="K80" i="6"/>
  <c r="J80" i="6"/>
  <c r="I80" i="6"/>
  <c r="AF79" i="6"/>
  <c r="T79" i="6"/>
  <c r="X79" i="6" s="1"/>
  <c r="S79" i="6"/>
  <c r="W79" i="6" s="1"/>
  <c r="R79" i="6"/>
  <c r="V79" i="6" s="1"/>
  <c r="Q79" i="6"/>
  <c r="U79" i="6" s="1"/>
  <c r="P79" i="6"/>
  <c r="O79" i="6"/>
  <c r="N79" i="6"/>
  <c r="M79" i="6"/>
  <c r="L79" i="6"/>
  <c r="K79" i="6"/>
  <c r="J79" i="6"/>
  <c r="I79" i="6"/>
  <c r="AF78" i="6"/>
  <c r="T78" i="6"/>
  <c r="X78" i="6" s="1"/>
  <c r="S78" i="6"/>
  <c r="W78" i="6" s="1"/>
  <c r="R78" i="6"/>
  <c r="V78" i="6" s="1"/>
  <c r="Q78" i="6"/>
  <c r="U78" i="6" s="1"/>
  <c r="P78" i="6"/>
  <c r="O78" i="6"/>
  <c r="N78" i="6"/>
  <c r="M78" i="6"/>
  <c r="L78" i="6"/>
  <c r="K78" i="6"/>
  <c r="J78" i="6"/>
  <c r="I78" i="6"/>
  <c r="AF77" i="6"/>
  <c r="T77" i="6"/>
  <c r="S77" i="6"/>
  <c r="W77" i="6" s="1"/>
  <c r="R77" i="6"/>
  <c r="V77" i="6" s="1"/>
  <c r="Q77" i="6"/>
  <c r="U77" i="6" s="1"/>
  <c r="P77" i="6"/>
  <c r="X77" i="6" s="1"/>
  <c r="O77" i="6"/>
  <c r="N77" i="6"/>
  <c r="M77" i="6"/>
  <c r="L77" i="6"/>
  <c r="K77" i="6"/>
  <c r="J77" i="6"/>
  <c r="I77" i="6"/>
  <c r="AF76" i="6"/>
  <c r="T76" i="6"/>
  <c r="S76" i="6"/>
  <c r="R76" i="6"/>
  <c r="V76" i="6" s="1"/>
  <c r="Q76" i="6"/>
  <c r="U76" i="6" s="1"/>
  <c r="P76" i="6"/>
  <c r="O76" i="6"/>
  <c r="N76" i="6"/>
  <c r="M76" i="6"/>
  <c r="L76" i="6"/>
  <c r="K76" i="6"/>
  <c r="J76" i="6"/>
  <c r="I76" i="6"/>
  <c r="AF75" i="6"/>
  <c r="T75" i="6"/>
  <c r="S75" i="6"/>
  <c r="R75" i="6"/>
  <c r="Q75" i="6"/>
  <c r="U75" i="6" s="1"/>
  <c r="P75" i="6"/>
  <c r="X75" i="6" s="1"/>
  <c r="O75" i="6"/>
  <c r="N75" i="6"/>
  <c r="M75" i="6"/>
  <c r="L75" i="6"/>
  <c r="K75" i="6"/>
  <c r="J75" i="6"/>
  <c r="I75" i="6"/>
  <c r="AF74" i="6"/>
  <c r="T74" i="6"/>
  <c r="X74" i="6" s="1"/>
  <c r="S74" i="6"/>
  <c r="R74" i="6"/>
  <c r="Q74" i="6"/>
  <c r="P74" i="6"/>
  <c r="O74" i="6"/>
  <c r="N74" i="6"/>
  <c r="M74" i="6"/>
  <c r="U74" i="6" s="1"/>
  <c r="L74" i="6"/>
  <c r="K74" i="6"/>
  <c r="J74" i="6"/>
  <c r="I74" i="6"/>
  <c r="AF73" i="6"/>
  <c r="T73" i="6"/>
  <c r="X73" i="6" s="1"/>
  <c r="S73" i="6"/>
  <c r="W73" i="6" s="1"/>
  <c r="R73" i="6"/>
  <c r="Q73" i="6"/>
  <c r="P73" i="6"/>
  <c r="O73" i="6"/>
  <c r="N73" i="6"/>
  <c r="M73" i="6"/>
  <c r="L73" i="6"/>
  <c r="K73" i="6"/>
  <c r="J73" i="6"/>
  <c r="I73" i="6"/>
  <c r="AF72" i="6"/>
  <c r="T72" i="6"/>
  <c r="X72" i="6" s="1"/>
  <c r="S72" i="6"/>
  <c r="W72" i="6" s="1"/>
  <c r="R72" i="6"/>
  <c r="V72" i="6" s="1"/>
  <c r="Q72" i="6"/>
  <c r="P72" i="6"/>
  <c r="O72" i="6"/>
  <c r="N72" i="6"/>
  <c r="M72" i="6"/>
  <c r="L72" i="6"/>
  <c r="K72" i="6"/>
  <c r="J72" i="6"/>
  <c r="I72" i="6"/>
  <c r="AF71" i="6"/>
  <c r="T71" i="6"/>
  <c r="X71" i="6" s="1"/>
  <c r="S71" i="6"/>
  <c r="W71" i="6" s="1"/>
  <c r="R71" i="6"/>
  <c r="V71" i="6" s="1"/>
  <c r="Q71" i="6"/>
  <c r="U71" i="6" s="1"/>
  <c r="P71" i="6"/>
  <c r="O71" i="6"/>
  <c r="N71" i="6"/>
  <c r="M71" i="6"/>
  <c r="L71" i="6"/>
  <c r="K71" i="6"/>
  <c r="J71" i="6"/>
  <c r="I71" i="6"/>
  <c r="AF70" i="6"/>
  <c r="T70" i="6"/>
  <c r="S70" i="6"/>
  <c r="W70" i="6" s="1"/>
  <c r="R70" i="6"/>
  <c r="V70" i="6" s="1"/>
  <c r="Q70" i="6"/>
  <c r="U70" i="6" s="1"/>
  <c r="P70" i="6"/>
  <c r="O70" i="6"/>
  <c r="N70" i="6"/>
  <c r="M70" i="6"/>
  <c r="L70" i="6"/>
  <c r="K70" i="6"/>
  <c r="J70" i="6"/>
  <c r="I70" i="6"/>
  <c r="X70" i="6" s="1"/>
  <c r="AF69" i="6"/>
  <c r="T69" i="6"/>
  <c r="S69" i="6"/>
  <c r="W69" i="6" s="1"/>
  <c r="R69" i="6"/>
  <c r="V69" i="6" s="1"/>
  <c r="Q69" i="6"/>
  <c r="U69" i="6" s="1"/>
  <c r="P69" i="6"/>
  <c r="X69" i="6" s="1"/>
  <c r="O69" i="6"/>
  <c r="N69" i="6"/>
  <c r="M69" i="6"/>
  <c r="L69" i="6"/>
  <c r="K69" i="6"/>
  <c r="J69" i="6"/>
  <c r="I69" i="6"/>
  <c r="AF68" i="6"/>
  <c r="T68" i="6"/>
  <c r="S68" i="6"/>
  <c r="R68" i="6"/>
  <c r="V68" i="6" s="1"/>
  <c r="Q68" i="6"/>
  <c r="U68" i="6" s="1"/>
  <c r="P68" i="6"/>
  <c r="X68" i="6" s="1"/>
  <c r="O68" i="6"/>
  <c r="N68" i="6"/>
  <c r="M68" i="6"/>
  <c r="L68" i="6"/>
  <c r="K68" i="6"/>
  <c r="J68" i="6"/>
  <c r="I68" i="6"/>
  <c r="AF67" i="6"/>
  <c r="T67" i="6"/>
  <c r="S67" i="6"/>
  <c r="R67" i="6"/>
  <c r="Q67" i="6"/>
  <c r="U67" i="6" s="1"/>
  <c r="P67" i="6"/>
  <c r="X67" i="6" s="1"/>
  <c r="O67" i="6"/>
  <c r="N67" i="6"/>
  <c r="M67" i="6"/>
  <c r="L67" i="6"/>
  <c r="K67" i="6"/>
  <c r="J67" i="6"/>
  <c r="I67" i="6"/>
  <c r="AF66" i="6"/>
  <c r="T66" i="6"/>
  <c r="X66" i="6" s="1"/>
  <c r="S66" i="6"/>
  <c r="R66" i="6"/>
  <c r="Q66" i="6"/>
  <c r="P66" i="6"/>
  <c r="O66" i="6"/>
  <c r="W66" i="6" s="1"/>
  <c r="N66" i="6"/>
  <c r="M66" i="6"/>
  <c r="U66" i="6" s="1"/>
  <c r="L66" i="6"/>
  <c r="K66" i="6"/>
  <c r="J66" i="6"/>
  <c r="I66" i="6"/>
  <c r="AF65" i="6"/>
  <c r="T65" i="6"/>
  <c r="X65" i="6" s="1"/>
  <c r="S65" i="6"/>
  <c r="W65" i="6" s="1"/>
  <c r="R65" i="6"/>
  <c r="Q65" i="6"/>
  <c r="P65" i="6"/>
  <c r="O65" i="6"/>
  <c r="N65" i="6"/>
  <c r="M65" i="6"/>
  <c r="L65" i="6"/>
  <c r="K65" i="6"/>
  <c r="J65" i="6"/>
  <c r="I65" i="6"/>
  <c r="AF64" i="6"/>
  <c r="T64" i="6"/>
  <c r="X64" i="6" s="1"/>
  <c r="S64" i="6"/>
  <c r="W64" i="6" s="1"/>
  <c r="R64" i="6"/>
  <c r="V64" i="6" s="1"/>
  <c r="Q64" i="6"/>
  <c r="P64" i="6"/>
  <c r="O64" i="6"/>
  <c r="N64" i="6"/>
  <c r="M64" i="6"/>
  <c r="L64" i="6"/>
  <c r="K64" i="6"/>
  <c r="J64" i="6"/>
  <c r="I64" i="6"/>
  <c r="AF63" i="6"/>
  <c r="T63" i="6"/>
  <c r="X63" i="6" s="1"/>
  <c r="S63" i="6"/>
  <c r="W63" i="6" s="1"/>
  <c r="R63" i="6"/>
  <c r="V63" i="6" s="1"/>
  <c r="Q63" i="6"/>
  <c r="U63" i="6" s="1"/>
  <c r="P63" i="6"/>
  <c r="O63" i="6"/>
  <c r="N63" i="6"/>
  <c r="M63" i="6"/>
  <c r="L63" i="6"/>
  <c r="K63" i="6"/>
  <c r="J63" i="6"/>
  <c r="I63" i="6"/>
  <c r="AF62" i="6"/>
  <c r="T62" i="6"/>
  <c r="S62" i="6"/>
  <c r="W62" i="6" s="1"/>
  <c r="R62" i="6"/>
  <c r="V62" i="6" s="1"/>
  <c r="Q62" i="6"/>
  <c r="U62" i="6" s="1"/>
  <c r="P62" i="6"/>
  <c r="O62" i="6"/>
  <c r="N62" i="6"/>
  <c r="M62" i="6"/>
  <c r="L62" i="6"/>
  <c r="K62" i="6"/>
  <c r="J62" i="6"/>
  <c r="I62" i="6"/>
  <c r="X62" i="6" s="1"/>
  <c r="AF61" i="6"/>
  <c r="T61" i="6"/>
  <c r="S61" i="6"/>
  <c r="W61" i="6" s="1"/>
  <c r="R61" i="6"/>
  <c r="V61" i="6" s="1"/>
  <c r="Q61" i="6"/>
  <c r="U61" i="6" s="1"/>
  <c r="P61" i="6"/>
  <c r="X61" i="6" s="1"/>
  <c r="O61" i="6"/>
  <c r="N61" i="6"/>
  <c r="M61" i="6"/>
  <c r="L61" i="6"/>
  <c r="K61" i="6"/>
  <c r="J61" i="6"/>
  <c r="I61" i="6"/>
  <c r="AF60" i="6"/>
  <c r="T60" i="6"/>
  <c r="S60" i="6"/>
  <c r="R60" i="6"/>
  <c r="V60" i="6" s="1"/>
  <c r="Q60" i="6"/>
  <c r="U60" i="6" s="1"/>
  <c r="P60" i="6"/>
  <c r="X60" i="6" s="1"/>
  <c r="O60" i="6"/>
  <c r="N60" i="6"/>
  <c r="M60" i="6"/>
  <c r="L60" i="6"/>
  <c r="K60" i="6"/>
  <c r="J60" i="6"/>
  <c r="I60" i="6"/>
  <c r="AF59" i="6"/>
  <c r="T59" i="6"/>
  <c r="S59" i="6"/>
  <c r="R59" i="6"/>
  <c r="Q59" i="6"/>
  <c r="U59" i="6" s="1"/>
  <c r="P59" i="6"/>
  <c r="X59" i="6" s="1"/>
  <c r="O59" i="6"/>
  <c r="N59" i="6"/>
  <c r="M59" i="6"/>
  <c r="L59" i="6"/>
  <c r="K59" i="6"/>
  <c r="J59" i="6"/>
  <c r="I59" i="6"/>
  <c r="AF58" i="6"/>
  <c r="T58" i="6"/>
  <c r="X58" i="6" s="1"/>
  <c r="S58" i="6"/>
  <c r="R58" i="6"/>
  <c r="Q58" i="6"/>
  <c r="P58" i="6"/>
  <c r="O58" i="6"/>
  <c r="N58" i="6"/>
  <c r="M58" i="6"/>
  <c r="U58" i="6" s="1"/>
  <c r="L58" i="6"/>
  <c r="K58" i="6"/>
  <c r="J58" i="6"/>
  <c r="I58" i="6"/>
  <c r="AF57" i="6"/>
  <c r="T57" i="6"/>
  <c r="X57" i="6" s="1"/>
  <c r="S57" i="6"/>
  <c r="W57" i="6" s="1"/>
  <c r="R57" i="6"/>
  <c r="Q57" i="6"/>
  <c r="P57" i="6"/>
  <c r="O57" i="6"/>
  <c r="N57" i="6"/>
  <c r="M57" i="6"/>
  <c r="L57" i="6"/>
  <c r="K57" i="6"/>
  <c r="J57" i="6"/>
  <c r="I57" i="6"/>
  <c r="AF56" i="6"/>
  <c r="T56" i="6"/>
  <c r="X56" i="6" s="1"/>
  <c r="S56" i="6"/>
  <c r="W56" i="6" s="1"/>
  <c r="R56" i="6"/>
  <c r="V56" i="6" s="1"/>
  <c r="Q56" i="6"/>
  <c r="P56" i="6"/>
  <c r="O56" i="6"/>
  <c r="N56" i="6"/>
  <c r="M56" i="6"/>
  <c r="L56" i="6"/>
  <c r="K56" i="6"/>
  <c r="J56" i="6"/>
  <c r="I56" i="6"/>
  <c r="AF55" i="6"/>
  <c r="T55" i="6"/>
  <c r="X55" i="6" s="1"/>
  <c r="S55" i="6"/>
  <c r="W55" i="6" s="1"/>
  <c r="R55" i="6"/>
  <c r="V55" i="6" s="1"/>
  <c r="Q55" i="6"/>
  <c r="U55" i="6" s="1"/>
  <c r="P55" i="6"/>
  <c r="O55" i="6"/>
  <c r="N55" i="6"/>
  <c r="M55" i="6"/>
  <c r="L55" i="6"/>
  <c r="K55" i="6"/>
  <c r="J55" i="6"/>
  <c r="I55" i="6"/>
  <c r="AF54" i="6"/>
  <c r="T54" i="6"/>
  <c r="X54" i="6" s="1"/>
  <c r="S54" i="6"/>
  <c r="W54" i="6" s="1"/>
  <c r="R54" i="6"/>
  <c r="V54" i="6" s="1"/>
  <c r="Q54" i="6"/>
  <c r="U54" i="6" s="1"/>
  <c r="Y54" i="6" s="1"/>
  <c r="P54" i="6"/>
  <c r="O54" i="6"/>
  <c r="N54" i="6"/>
  <c r="M54" i="6"/>
  <c r="L54" i="6"/>
  <c r="K54" i="6"/>
  <c r="J54" i="6"/>
  <c r="I54" i="6"/>
  <c r="AF53" i="6"/>
  <c r="T53" i="6"/>
  <c r="S53" i="6"/>
  <c r="W53" i="6" s="1"/>
  <c r="R53" i="6"/>
  <c r="V53" i="6" s="1"/>
  <c r="Q53" i="6"/>
  <c r="U53" i="6" s="1"/>
  <c r="P53" i="6"/>
  <c r="X53" i="6" s="1"/>
  <c r="O53" i="6"/>
  <c r="N53" i="6"/>
  <c r="M53" i="6"/>
  <c r="L53" i="6"/>
  <c r="K53" i="6"/>
  <c r="J53" i="6"/>
  <c r="I53" i="6"/>
  <c r="AF52" i="6"/>
  <c r="T52" i="6"/>
  <c r="S52" i="6"/>
  <c r="R52" i="6"/>
  <c r="V52" i="6" s="1"/>
  <c r="Q52" i="6"/>
  <c r="U52" i="6" s="1"/>
  <c r="P52" i="6"/>
  <c r="X52" i="6" s="1"/>
  <c r="O52" i="6"/>
  <c r="N52" i="6"/>
  <c r="M52" i="6"/>
  <c r="L52" i="6"/>
  <c r="K52" i="6"/>
  <c r="J52" i="6"/>
  <c r="I52" i="6"/>
  <c r="AF51" i="6"/>
  <c r="T51" i="6"/>
  <c r="S51" i="6"/>
  <c r="R51" i="6"/>
  <c r="Q51" i="6"/>
  <c r="U51" i="6" s="1"/>
  <c r="P51" i="6"/>
  <c r="X51" i="6" s="1"/>
  <c r="O51" i="6"/>
  <c r="N51" i="6"/>
  <c r="M51" i="6"/>
  <c r="L51" i="6"/>
  <c r="K51" i="6"/>
  <c r="J51" i="6"/>
  <c r="I51" i="6"/>
  <c r="AF50" i="6"/>
  <c r="T50" i="6"/>
  <c r="S50" i="6"/>
  <c r="R50" i="6"/>
  <c r="Q50" i="6"/>
  <c r="P50" i="6"/>
  <c r="O50" i="6"/>
  <c r="N50" i="6"/>
  <c r="M50" i="6"/>
  <c r="U50" i="6" s="1"/>
  <c r="L50" i="6"/>
  <c r="K50" i="6"/>
  <c r="J50" i="6"/>
  <c r="I50" i="6"/>
  <c r="AF49" i="6"/>
  <c r="T49" i="6"/>
  <c r="X49" i="6" s="1"/>
  <c r="S49" i="6"/>
  <c r="R49" i="6"/>
  <c r="Q49" i="6"/>
  <c r="P49" i="6"/>
  <c r="O49" i="6"/>
  <c r="N49" i="6"/>
  <c r="M49" i="6"/>
  <c r="L49" i="6"/>
  <c r="K49" i="6"/>
  <c r="J49" i="6"/>
  <c r="I49" i="6"/>
  <c r="W49" i="6" s="1"/>
  <c r="AF48" i="6"/>
  <c r="T48" i="6"/>
  <c r="X48" i="6" s="1"/>
  <c r="S48" i="6"/>
  <c r="W48" i="6" s="1"/>
  <c r="R48" i="6"/>
  <c r="V48" i="6" s="1"/>
  <c r="Q48" i="6"/>
  <c r="P48" i="6"/>
  <c r="O48" i="6"/>
  <c r="N48" i="6"/>
  <c r="M48" i="6"/>
  <c r="L48" i="6"/>
  <c r="K48" i="6"/>
  <c r="J48" i="6"/>
  <c r="I48" i="6"/>
  <c r="AF47" i="6"/>
  <c r="T47" i="6"/>
  <c r="X47" i="6" s="1"/>
  <c r="S47" i="6"/>
  <c r="W47" i="6" s="1"/>
  <c r="R47" i="6"/>
  <c r="V47" i="6" s="1"/>
  <c r="Q47" i="6"/>
  <c r="P47" i="6"/>
  <c r="O47" i="6"/>
  <c r="N47" i="6"/>
  <c r="M47" i="6"/>
  <c r="L47" i="6"/>
  <c r="K47" i="6"/>
  <c r="J47" i="6"/>
  <c r="I47" i="6"/>
  <c r="U47" i="6" s="1"/>
  <c r="AF46" i="6"/>
  <c r="T46" i="6"/>
  <c r="X46" i="6" s="1"/>
  <c r="S46" i="6"/>
  <c r="W46" i="6" s="1"/>
  <c r="R46" i="6"/>
  <c r="V46" i="6" s="1"/>
  <c r="Q46" i="6"/>
  <c r="U46" i="6" s="1"/>
  <c r="Y46" i="6" s="1"/>
  <c r="P46" i="6"/>
  <c r="O46" i="6"/>
  <c r="N46" i="6"/>
  <c r="M46" i="6"/>
  <c r="L46" i="6"/>
  <c r="K46" i="6"/>
  <c r="J46" i="6"/>
  <c r="I46" i="6"/>
  <c r="AF45" i="6"/>
  <c r="T45" i="6"/>
  <c r="S45" i="6"/>
  <c r="W45" i="6" s="1"/>
  <c r="R45" i="6"/>
  <c r="V45" i="6" s="1"/>
  <c r="Q45" i="6"/>
  <c r="U45" i="6" s="1"/>
  <c r="P45" i="6"/>
  <c r="X45" i="6" s="1"/>
  <c r="O45" i="6"/>
  <c r="N45" i="6"/>
  <c r="M45" i="6"/>
  <c r="L45" i="6"/>
  <c r="K45" i="6"/>
  <c r="J45" i="6"/>
  <c r="I45" i="6"/>
  <c r="AF44" i="6"/>
  <c r="T44" i="6"/>
  <c r="S44" i="6"/>
  <c r="R44" i="6"/>
  <c r="V44" i="6" s="1"/>
  <c r="Q44" i="6"/>
  <c r="U44" i="6" s="1"/>
  <c r="P44" i="6"/>
  <c r="X44" i="6" s="1"/>
  <c r="O44" i="6"/>
  <c r="N44" i="6"/>
  <c r="M44" i="6"/>
  <c r="L44" i="6"/>
  <c r="K44" i="6"/>
  <c r="J44" i="6"/>
  <c r="I44" i="6"/>
  <c r="AF43" i="6"/>
  <c r="T43" i="6"/>
  <c r="S43" i="6"/>
  <c r="R43" i="6"/>
  <c r="Q43" i="6"/>
  <c r="U43" i="6" s="1"/>
  <c r="P43" i="6"/>
  <c r="X43" i="6" s="1"/>
  <c r="O43" i="6"/>
  <c r="N43" i="6"/>
  <c r="M43" i="6"/>
  <c r="L43" i="6"/>
  <c r="K43" i="6"/>
  <c r="J43" i="6"/>
  <c r="I43" i="6"/>
  <c r="AF42" i="6"/>
  <c r="T42" i="6"/>
  <c r="S42" i="6"/>
  <c r="R42" i="6"/>
  <c r="Q42" i="6"/>
  <c r="P42" i="6"/>
  <c r="O42" i="6"/>
  <c r="N42" i="6"/>
  <c r="M42" i="6"/>
  <c r="U42" i="6" s="1"/>
  <c r="L42" i="6"/>
  <c r="K42" i="6"/>
  <c r="J42" i="6"/>
  <c r="I42" i="6"/>
  <c r="AF41" i="6"/>
  <c r="T41" i="6"/>
  <c r="X41" i="6" s="1"/>
  <c r="S41" i="6"/>
  <c r="R41" i="6"/>
  <c r="Q41" i="6"/>
  <c r="P41" i="6"/>
  <c r="O41" i="6"/>
  <c r="N41" i="6"/>
  <c r="M41" i="6"/>
  <c r="L41" i="6"/>
  <c r="K41" i="6"/>
  <c r="J41" i="6"/>
  <c r="I41" i="6"/>
  <c r="AF40" i="6"/>
  <c r="T40" i="6"/>
  <c r="X40" i="6" s="1"/>
  <c r="S40" i="6"/>
  <c r="W40" i="6" s="1"/>
  <c r="R40" i="6"/>
  <c r="V40" i="6" s="1"/>
  <c r="Q40" i="6"/>
  <c r="P40" i="6"/>
  <c r="O40" i="6"/>
  <c r="N40" i="6"/>
  <c r="M40" i="6"/>
  <c r="L40" i="6"/>
  <c r="K40" i="6"/>
  <c r="J40" i="6"/>
  <c r="I40" i="6"/>
  <c r="AF39" i="6"/>
  <c r="T39" i="6"/>
  <c r="X39" i="6" s="1"/>
  <c r="S39" i="6"/>
  <c r="W39" i="6" s="1"/>
  <c r="R39" i="6"/>
  <c r="V39" i="6" s="1"/>
  <c r="Q39" i="6"/>
  <c r="U39" i="6" s="1"/>
  <c r="P39" i="6"/>
  <c r="O39" i="6"/>
  <c r="N39" i="6"/>
  <c r="M39" i="6"/>
  <c r="L39" i="6"/>
  <c r="K39" i="6"/>
  <c r="J39" i="6"/>
  <c r="I39" i="6"/>
  <c r="AF38" i="6"/>
  <c r="T38" i="6"/>
  <c r="S38" i="6"/>
  <c r="W38" i="6" s="1"/>
  <c r="R38" i="6"/>
  <c r="V38" i="6" s="1"/>
  <c r="Q38" i="6"/>
  <c r="U38" i="6" s="1"/>
  <c r="P38" i="6"/>
  <c r="O38" i="6"/>
  <c r="N38" i="6"/>
  <c r="M38" i="6"/>
  <c r="L38" i="6"/>
  <c r="K38" i="6"/>
  <c r="J38" i="6"/>
  <c r="I38" i="6"/>
  <c r="X38" i="6" s="1"/>
  <c r="AF37" i="6"/>
  <c r="T37" i="6"/>
  <c r="S37" i="6"/>
  <c r="W37" i="6" s="1"/>
  <c r="R37" i="6"/>
  <c r="V37" i="6" s="1"/>
  <c r="Q37" i="6"/>
  <c r="U37" i="6" s="1"/>
  <c r="P37" i="6"/>
  <c r="X37" i="6" s="1"/>
  <c r="O37" i="6"/>
  <c r="N37" i="6"/>
  <c r="M37" i="6"/>
  <c r="L37" i="6"/>
  <c r="K37" i="6"/>
  <c r="J37" i="6"/>
  <c r="I37" i="6"/>
  <c r="AF36" i="6"/>
  <c r="T36" i="6"/>
  <c r="S36" i="6"/>
  <c r="R36" i="6"/>
  <c r="V36" i="6" s="1"/>
  <c r="Q36" i="6"/>
  <c r="U36" i="6" s="1"/>
  <c r="P36" i="6"/>
  <c r="X36" i="6" s="1"/>
  <c r="O36" i="6"/>
  <c r="N36" i="6"/>
  <c r="M36" i="6"/>
  <c r="L36" i="6"/>
  <c r="K36" i="6"/>
  <c r="J36" i="6"/>
  <c r="I36" i="6"/>
  <c r="AF35" i="6"/>
  <c r="T35" i="6"/>
  <c r="S35" i="6"/>
  <c r="R35" i="6"/>
  <c r="Q35" i="6"/>
  <c r="U35" i="6" s="1"/>
  <c r="P35" i="6"/>
  <c r="X35" i="6" s="1"/>
  <c r="O35" i="6"/>
  <c r="N35" i="6"/>
  <c r="M35" i="6"/>
  <c r="L35" i="6"/>
  <c r="K35" i="6"/>
  <c r="J35" i="6"/>
  <c r="I35" i="6"/>
  <c r="AF34" i="6"/>
  <c r="T34" i="6"/>
  <c r="X34" i="6" s="1"/>
  <c r="S34" i="6"/>
  <c r="R34" i="6"/>
  <c r="V34" i="6" s="1"/>
  <c r="Q34" i="6"/>
  <c r="P34" i="6"/>
  <c r="O34" i="6"/>
  <c r="N34" i="6"/>
  <c r="M34" i="6"/>
  <c r="L34" i="6"/>
  <c r="K34" i="6"/>
  <c r="J34" i="6"/>
  <c r="I34" i="6"/>
  <c r="AF33" i="6"/>
  <c r="T33" i="6"/>
  <c r="X33" i="6" s="1"/>
  <c r="S33" i="6"/>
  <c r="W33" i="6" s="1"/>
  <c r="R33" i="6"/>
  <c r="Q33" i="6"/>
  <c r="P33" i="6"/>
  <c r="O33" i="6"/>
  <c r="N33" i="6"/>
  <c r="M33" i="6"/>
  <c r="L33" i="6"/>
  <c r="K33" i="6"/>
  <c r="J33" i="6"/>
  <c r="I33" i="6"/>
  <c r="AF32" i="6"/>
  <c r="T32" i="6"/>
  <c r="X32" i="6" s="1"/>
  <c r="S32" i="6"/>
  <c r="W32" i="6" s="1"/>
  <c r="R32" i="6"/>
  <c r="V32" i="6" s="1"/>
  <c r="Q32" i="6"/>
  <c r="P32" i="6"/>
  <c r="O32" i="6"/>
  <c r="N32" i="6"/>
  <c r="M32" i="6"/>
  <c r="L32" i="6"/>
  <c r="K32" i="6"/>
  <c r="J32" i="6"/>
  <c r="I32" i="6"/>
  <c r="AF31" i="6"/>
  <c r="T31" i="6"/>
  <c r="X31" i="6" s="1"/>
  <c r="S31" i="6"/>
  <c r="W31" i="6" s="1"/>
  <c r="R31" i="6"/>
  <c r="V31" i="6" s="1"/>
  <c r="Q31" i="6"/>
  <c r="U31" i="6" s="1"/>
  <c r="P31" i="6"/>
  <c r="O31" i="6"/>
  <c r="N31" i="6"/>
  <c r="M31" i="6"/>
  <c r="L31" i="6"/>
  <c r="K31" i="6"/>
  <c r="J31" i="6"/>
  <c r="I31" i="6"/>
  <c r="AF30" i="6"/>
  <c r="T30" i="6"/>
  <c r="S30" i="6"/>
  <c r="W30" i="6" s="1"/>
  <c r="R30" i="6"/>
  <c r="V30" i="6" s="1"/>
  <c r="Q30" i="6"/>
  <c r="U30" i="6" s="1"/>
  <c r="P30" i="6"/>
  <c r="O30" i="6"/>
  <c r="N30" i="6"/>
  <c r="M30" i="6"/>
  <c r="L30" i="6"/>
  <c r="K30" i="6"/>
  <c r="J30" i="6"/>
  <c r="I30" i="6"/>
  <c r="X30" i="6" s="1"/>
  <c r="AF29" i="6"/>
  <c r="T29" i="6"/>
  <c r="S29" i="6"/>
  <c r="R29" i="6"/>
  <c r="V29" i="6" s="1"/>
  <c r="Q29" i="6"/>
  <c r="U29" i="6" s="1"/>
  <c r="P29" i="6"/>
  <c r="X29" i="6" s="1"/>
  <c r="O29" i="6"/>
  <c r="N29" i="6"/>
  <c r="M29" i="6"/>
  <c r="L29" i="6"/>
  <c r="K29" i="6"/>
  <c r="J29" i="6"/>
  <c r="I29" i="6"/>
  <c r="AF28" i="6"/>
  <c r="T28" i="6"/>
  <c r="S28" i="6"/>
  <c r="R28" i="6"/>
  <c r="V28" i="6" s="1"/>
  <c r="Q28" i="6"/>
  <c r="U28" i="6" s="1"/>
  <c r="P28" i="6"/>
  <c r="O28" i="6"/>
  <c r="N28" i="6"/>
  <c r="M28" i="6"/>
  <c r="L28" i="6"/>
  <c r="K28" i="6"/>
  <c r="J28" i="6"/>
  <c r="I28" i="6"/>
  <c r="AF27" i="6"/>
  <c r="T27" i="6"/>
  <c r="S27" i="6"/>
  <c r="R27" i="6"/>
  <c r="V27" i="6" s="1"/>
  <c r="Q27" i="6"/>
  <c r="U27" i="6" s="1"/>
  <c r="P27" i="6"/>
  <c r="O27" i="6"/>
  <c r="N27" i="6"/>
  <c r="M27" i="6"/>
  <c r="L27" i="6"/>
  <c r="K27" i="6"/>
  <c r="J27" i="6"/>
  <c r="I27" i="6"/>
  <c r="AF26" i="6"/>
  <c r="T26" i="6"/>
  <c r="S26" i="6"/>
  <c r="R26" i="6"/>
  <c r="Q26" i="6"/>
  <c r="U26" i="6" s="1"/>
  <c r="P26" i="6"/>
  <c r="O26" i="6"/>
  <c r="N26" i="6"/>
  <c r="M26" i="6"/>
  <c r="L26" i="6"/>
  <c r="K26" i="6"/>
  <c r="J26" i="6"/>
  <c r="I26" i="6"/>
  <c r="AF25" i="6"/>
  <c r="T25" i="6"/>
  <c r="X25" i="6" s="1"/>
  <c r="S25" i="6"/>
  <c r="W25" i="6" s="1"/>
  <c r="R25" i="6"/>
  <c r="Q25" i="6"/>
  <c r="P25" i="6"/>
  <c r="O25" i="6"/>
  <c r="N25" i="6"/>
  <c r="M25" i="6"/>
  <c r="L25" i="6"/>
  <c r="K25" i="6"/>
  <c r="J25" i="6"/>
  <c r="I25" i="6"/>
  <c r="AF24" i="6"/>
  <c r="T24" i="6"/>
  <c r="X24" i="6" s="1"/>
  <c r="S24" i="6"/>
  <c r="W24" i="6" s="1"/>
  <c r="R24" i="6"/>
  <c r="V24" i="6" s="1"/>
  <c r="Q24" i="6"/>
  <c r="P24" i="6"/>
  <c r="O24" i="6"/>
  <c r="N24" i="6"/>
  <c r="M24" i="6"/>
  <c r="L24" i="6"/>
  <c r="K24" i="6"/>
  <c r="J24" i="6"/>
  <c r="I24" i="6"/>
  <c r="AF23" i="6"/>
  <c r="T23" i="6"/>
  <c r="X23" i="6" s="1"/>
  <c r="S23" i="6"/>
  <c r="W23" i="6" s="1"/>
  <c r="R23" i="6"/>
  <c r="V23" i="6" s="1"/>
  <c r="Q23" i="6"/>
  <c r="U23" i="6" s="1"/>
  <c r="P23" i="6"/>
  <c r="O23" i="6"/>
  <c r="N23" i="6"/>
  <c r="M23" i="6"/>
  <c r="L23" i="6"/>
  <c r="K23" i="6"/>
  <c r="J23" i="6"/>
  <c r="I23" i="6"/>
  <c r="AF22" i="6"/>
  <c r="T22" i="6"/>
  <c r="S22" i="6"/>
  <c r="W22" i="6" s="1"/>
  <c r="R22" i="6"/>
  <c r="V22" i="6" s="1"/>
  <c r="Q22" i="6"/>
  <c r="U22" i="6" s="1"/>
  <c r="P22" i="6"/>
  <c r="O22" i="6"/>
  <c r="N22" i="6"/>
  <c r="M22" i="6"/>
  <c r="L22" i="6"/>
  <c r="K22" i="6"/>
  <c r="J22" i="6"/>
  <c r="I22" i="6"/>
  <c r="AF21" i="6"/>
  <c r="T21" i="6"/>
  <c r="S21" i="6"/>
  <c r="R21" i="6"/>
  <c r="V21" i="6" s="1"/>
  <c r="Q21" i="6"/>
  <c r="U21" i="6" s="1"/>
  <c r="P21" i="6"/>
  <c r="O21" i="6"/>
  <c r="N21" i="6"/>
  <c r="M21" i="6"/>
  <c r="L21" i="6"/>
  <c r="K21" i="6"/>
  <c r="J21" i="6"/>
  <c r="I21" i="6"/>
  <c r="AF20" i="6"/>
  <c r="T20" i="6"/>
  <c r="S20" i="6"/>
  <c r="R20" i="6"/>
  <c r="Q20" i="6"/>
  <c r="U20" i="6" s="1"/>
  <c r="P20" i="6"/>
  <c r="X20" i="6" s="1"/>
  <c r="O20" i="6"/>
  <c r="N20" i="6"/>
  <c r="M20" i="6"/>
  <c r="L20" i="6"/>
  <c r="K20" i="6"/>
  <c r="J20" i="6"/>
  <c r="I20" i="6"/>
  <c r="AF19" i="6"/>
  <c r="T19" i="6"/>
  <c r="S19" i="6"/>
  <c r="W19" i="6" s="1"/>
  <c r="R19" i="6"/>
  <c r="Q19" i="6"/>
  <c r="U19" i="6" s="1"/>
  <c r="P19" i="6"/>
  <c r="O19" i="6"/>
  <c r="N19" i="6"/>
  <c r="M19" i="6"/>
  <c r="L19" i="6"/>
  <c r="K19" i="6"/>
  <c r="J19" i="6"/>
  <c r="I19" i="6"/>
  <c r="AF18" i="6"/>
  <c r="T18" i="6"/>
  <c r="S18" i="6"/>
  <c r="R18" i="6"/>
  <c r="Q18" i="6"/>
  <c r="P18" i="6"/>
  <c r="O18" i="6"/>
  <c r="N18" i="6"/>
  <c r="M18" i="6"/>
  <c r="L18" i="6"/>
  <c r="K18" i="6"/>
  <c r="J18" i="6"/>
  <c r="I18" i="6"/>
  <c r="X18" i="6" s="1"/>
  <c r="AF17" i="6"/>
  <c r="T17" i="6"/>
  <c r="X17" i="6" s="1"/>
  <c r="S17" i="6"/>
  <c r="W17" i="6" s="1"/>
  <c r="R17" i="6"/>
  <c r="Q17" i="6"/>
  <c r="P17" i="6"/>
  <c r="O17" i="6"/>
  <c r="N17" i="6"/>
  <c r="M17" i="6"/>
  <c r="L17" i="6"/>
  <c r="K17" i="6"/>
  <c r="J17" i="6"/>
  <c r="I17" i="6"/>
  <c r="AF16" i="6"/>
  <c r="T16" i="6"/>
  <c r="X16" i="6" s="1"/>
  <c r="S16" i="6"/>
  <c r="W16" i="6" s="1"/>
  <c r="R16" i="6"/>
  <c r="V16" i="6" s="1"/>
  <c r="Q16" i="6"/>
  <c r="P16" i="6"/>
  <c r="O16" i="6"/>
  <c r="N16" i="6"/>
  <c r="M16" i="6"/>
  <c r="L16" i="6"/>
  <c r="K16" i="6"/>
  <c r="J16" i="6"/>
  <c r="I16" i="6"/>
  <c r="AF15" i="6"/>
  <c r="T15" i="6"/>
  <c r="X15" i="6" s="1"/>
  <c r="S15" i="6"/>
  <c r="W15" i="6" s="1"/>
  <c r="R15" i="6"/>
  <c r="V15" i="6" s="1"/>
  <c r="Q15" i="6"/>
  <c r="U15" i="6" s="1"/>
  <c r="P15" i="6"/>
  <c r="O15" i="6"/>
  <c r="N15" i="6"/>
  <c r="M15" i="6"/>
  <c r="L15" i="6"/>
  <c r="K15" i="6"/>
  <c r="J15" i="6"/>
  <c r="I15" i="6"/>
  <c r="AF14" i="6"/>
  <c r="T14" i="6"/>
  <c r="S14" i="6"/>
  <c r="W14" i="6" s="1"/>
  <c r="R14" i="6"/>
  <c r="V14" i="6" s="1"/>
  <c r="Q14" i="6"/>
  <c r="U14" i="6" s="1"/>
  <c r="P14" i="6"/>
  <c r="O14" i="6"/>
  <c r="N14" i="6"/>
  <c r="M14" i="6"/>
  <c r="L14" i="6"/>
  <c r="K14" i="6"/>
  <c r="J14" i="6"/>
  <c r="I14" i="6"/>
  <c r="X14" i="6" s="1"/>
  <c r="AF13" i="6"/>
  <c r="T13" i="6"/>
  <c r="S13" i="6"/>
  <c r="W13" i="6" s="1"/>
  <c r="R13" i="6"/>
  <c r="V13" i="6" s="1"/>
  <c r="Q13" i="6"/>
  <c r="U13" i="6" s="1"/>
  <c r="P13" i="6"/>
  <c r="X13" i="6" s="1"/>
  <c r="O13" i="6"/>
  <c r="N13" i="6"/>
  <c r="M13" i="6"/>
  <c r="L13" i="6"/>
  <c r="K13" i="6"/>
  <c r="J13" i="6"/>
  <c r="I13" i="6"/>
  <c r="AF12" i="6"/>
  <c r="T12" i="6"/>
  <c r="S12" i="6"/>
  <c r="R12" i="6"/>
  <c r="V12" i="6" s="1"/>
  <c r="Q12" i="6"/>
  <c r="U12" i="6" s="1"/>
  <c r="P12" i="6"/>
  <c r="O12" i="6"/>
  <c r="N12" i="6"/>
  <c r="M12" i="6"/>
  <c r="L12" i="6"/>
  <c r="K12" i="6"/>
  <c r="J12" i="6"/>
  <c r="I12" i="6"/>
  <c r="AF11" i="6"/>
  <c r="T11" i="6"/>
  <c r="S11" i="6"/>
  <c r="R11" i="6"/>
  <c r="V11" i="6" s="1"/>
  <c r="Q11" i="6"/>
  <c r="U11" i="6" s="1"/>
  <c r="P11" i="6"/>
  <c r="O11" i="6"/>
  <c r="N11" i="6"/>
  <c r="M11" i="6"/>
  <c r="L11" i="6"/>
  <c r="K11" i="6"/>
  <c r="J11" i="6"/>
  <c r="I11" i="6"/>
  <c r="AF10" i="6"/>
  <c r="T10" i="6"/>
  <c r="S10" i="6"/>
  <c r="R10" i="6"/>
  <c r="Q10" i="6"/>
  <c r="U10" i="6" s="1"/>
  <c r="P10" i="6"/>
  <c r="O10" i="6"/>
  <c r="N10" i="6"/>
  <c r="V10" i="6" s="1"/>
  <c r="M10" i="6"/>
  <c r="L10" i="6"/>
  <c r="K10" i="6"/>
  <c r="J10" i="6"/>
  <c r="I10" i="6"/>
  <c r="X10" i="6" s="1"/>
  <c r="AF9" i="6"/>
  <c r="T9" i="6"/>
  <c r="X9" i="6" s="1"/>
  <c r="S9" i="6"/>
  <c r="R9" i="6"/>
  <c r="Q9" i="6"/>
  <c r="P9" i="6"/>
  <c r="O9" i="6"/>
  <c r="N9" i="6"/>
  <c r="M9" i="6"/>
  <c r="L9" i="6"/>
  <c r="U9" i="6" s="1"/>
  <c r="K9" i="6"/>
  <c r="J9" i="6"/>
  <c r="I9" i="6"/>
  <c r="AF8" i="6"/>
  <c r="T8" i="6"/>
  <c r="X8" i="6" s="1"/>
  <c r="S8" i="6"/>
  <c r="W8" i="6" s="1"/>
  <c r="R8" i="6"/>
  <c r="Q8" i="6"/>
  <c r="P8" i="6"/>
  <c r="O8" i="6"/>
  <c r="N8" i="6"/>
  <c r="M8" i="6"/>
  <c r="L8" i="6"/>
  <c r="K8" i="6"/>
  <c r="J8" i="6"/>
  <c r="I8" i="6"/>
  <c r="V8" i="6" s="1"/>
  <c r="AF7" i="6"/>
  <c r="T7" i="6"/>
  <c r="X7" i="6" s="1"/>
  <c r="S7" i="6"/>
  <c r="W7" i="6" s="1"/>
  <c r="R7" i="6"/>
  <c r="V7" i="6" s="1"/>
  <c r="Q7" i="6"/>
  <c r="U7" i="6" s="1"/>
  <c r="P7" i="6"/>
  <c r="O7" i="6"/>
  <c r="N7" i="6"/>
  <c r="M7" i="6"/>
  <c r="L7" i="6"/>
  <c r="K7" i="6"/>
  <c r="J7" i="6"/>
  <c r="I7" i="6"/>
  <c r="AF6" i="6"/>
  <c r="T6" i="6"/>
  <c r="X6" i="6" s="1"/>
  <c r="S6" i="6"/>
  <c r="W6" i="6" s="1"/>
  <c r="R6" i="6"/>
  <c r="V6" i="6" s="1"/>
  <c r="Q6" i="6"/>
  <c r="U6" i="6" s="1"/>
  <c r="P6" i="6"/>
  <c r="O6" i="6"/>
  <c r="N6" i="6"/>
  <c r="M6" i="6"/>
  <c r="L6" i="6"/>
  <c r="K6" i="6"/>
  <c r="J6" i="6"/>
  <c r="I6" i="6"/>
  <c r="AF5" i="6"/>
  <c r="T5" i="6"/>
  <c r="S5" i="6"/>
  <c r="W5" i="6" s="1"/>
  <c r="R5" i="6"/>
  <c r="V5" i="6" s="1"/>
  <c r="Q5" i="6"/>
  <c r="U5" i="6" s="1"/>
  <c r="P5" i="6"/>
  <c r="O5" i="6"/>
  <c r="N5" i="6"/>
  <c r="M5" i="6"/>
  <c r="L5" i="6"/>
  <c r="K5" i="6"/>
  <c r="J5" i="6"/>
  <c r="I5" i="6"/>
  <c r="AH2" i="6"/>
  <c r="G22" i="5"/>
  <c r="F22" i="5"/>
  <c r="E22" i="5"/>
  <c r="D22" i="5"/>
  <c r="G21" i="5"/>
  <c r="F21" i="5"/>
  <c r="E21" i="5"/>
  <c r="D21" i="5"/>
  <c r="G20" i="5"/>
  <c r="F20" i="5"/>
  <c r="E20" i="5"/>
  <c r="D20" i="5"/>
  <c r="G19" i="5"/>
  <c r="F19" i="5"/>
  <c r="E19" i="5"/>
  <c r="D19" i="5"/>
  <c r="D17" i="5"/>
  <c r="C13" i="5"/>
  <c r="F18" i="5" s="1"/>
  <c r="C12" i="5"/>
  <c r="G17" i="5" s="1"/>
  <c r="C15" i="4"/>
  <c r="C10" i="4"/>
  <c r="C8" i="4"/>
  <c r="C7" i="4"/>
  <c r="C6" i="4"/>
  <c r="C22" i="2"/>
  <c r="C20" i="2"/>
  <c r="C14" i="4" s="1"/>
  <c r="C18" i="2"/>
  <c r="C19" i="2" s="1"/>
  <c r="C11" i="4" s="1"/>
  <c r="C21" i="2" l="1"/>
  <c r="C23" i="2"/>
  <c r="C9" i="4"/>
  <c r="X5" i="6"/>
  <c r="W10" i="6"/>
  <c r="V42" i="6"/>
  <c r="V66" i="6"/>
  <c r="V74" i="6"/>
  <c r="V82" i="6"/>
  <c r="V90" i="6"/>
  <c r="Y90" i="6" s="1"/>
  <c r="V98" i="6"/>
  <c r="Y98" i="6" s="1"/>
  <c r="V106" i="6"/>
  <c r="V114" i="6"/>
  <c r="V130" i="6"/>
  <c r="V186" i="6"/>
  <c r="V202" i="6"/>
  <c r="V210" i="6"/>
  <c r="V226" i="6"/>
  <c r="Y226" i="6" s="1"/>
  <c r="V242" i="6"/>
  <c r="V266" i="6"/>
  <c r="V282" i="6"/>
  <c r="V306" i="6"/>
  <c r="V314" i="6"/>
  <c r="V346" i="6"/>
  <c r="V17" i="6"/>
  <c r="U25" i="6"/>
  <c r="V33" i="6"/>
  <c r="U41" i="6"/>
  <c r="W210" i="6"/>
  <c r="W282" i="6"/>
  <c r="W298" i="6"/>
  <c r="X301" i="6"/>
  <c r="U356" i="6"/>
  <c r="W21" i="6"/>
  <c r="Y21" i="6" s="1"/>
  <c r="W29" i="6"/>
  <c r="Y29" i="6" s="1"/>
  <c r="Y53" i="6"/>
  <c r="Y61" i="6"/>
  <c r="W101" i="6"/>
  <c r="W109" i="6"/>
  <c r="W213" i="6"/>
  <c r="W221" i="6"/>
  <c r="W229" i="6"/>
  <c r="Y229" i="6" s="1"/>
  <c r="W237" i="6"/>
  <c r="Y237" i="6" s="1"/>
  <c r="W317" i="6"/>
  <c r="W325" i="6"/>
  <c r="V356" i="6"/>
  <c r="U401" i="6"/>
  <c r="Y7" i="6"/>
  <c r="W12" i="6"/>
  <c r="U16" i="6"/>
  <c r="Y16" i="6" s="1"/>
  <c r="X26" i="6"/>
  <c r="W28" i="6"/>
  <c r="U32" i="6"/>
  <c r="X42" i="6"/>
  <c r="X50" i="6"/>
  <c r="U80" i="6"/>
  <c r="X82" i="6"/>
  <c r="X90" i="6"/>
  <c r="X122" i="6"/>
  <c r="Y122" i="6" s="1"/>
  <c r="X130" i="6"/>
  <c r="U144" i="6"/>
  <c r="U160" i="6"/>
  <c r="X162" i="6"/>
  <c r="X170" i="6"/>
  <c r="U176" i="6"/>
  <c r="U184" i="6"/>
  <c r="Y184" i="6" s="1"/>
  <c r="U192" i="6"/>
  <c r="Y192" i="6" s="1"/>
  <c r="U200" i="6"/>
  <c r="X202" i="6"/>
  <c r="X210" i="6"/>
  <c r="U216" i="6"/>
  <c r="U224" i="6"/>
  <c r="U232" i="6"/>
  <c r="X242" i="6"/>
  <c r="X250" i="6"/>
  <c r="X258" i="6"/>
  <c r="X266" i="6"/>
  <c r="U272" i="6"/>
  <c r="X274" i="6"/>
  <c r="X282" i="6"/>
  <c r="U288" i="6"/>
  <c r="X290" i="6"/>
  <c r="U296" i="6"/>
  <c r="Y296" i="6" s="1"/>
  <c r="X298" i="6"/>
  <c r="X306" i="6"/>
  <c r="V322" i="6"/>
  <c r="X330" i="6"/>
  <c r="X338" i="6"/>
  <c r="X377" i="6"/>
  <c r="W9" i="6"/>
  <c r="V20" i="6"/>
  <c r="Y20" i="6" s="1"/>
  <c r="V91" i="6"/>
  <c r="V131" i="6"/>
  <c r="V139" i="6"/>
  <c r="V163" i="6"/>
  <c r="U167" i="6"/>
  <c r="V171" i="6"/>
  <c r="V220" i="6"/>
  <c r="Y220" i="6" s="1"/>
  <c r="V228" i="6"/>
  <c r="V236" i="6"/>
  <c r="V316" i="6"/>
  <c r="V324" i="6"/>
  <c r="V339" i="6"/>
  <c r="V362" i="6"/>
  <c r="U381" i="6"/>
  <c r="X391" i="6"/>
  <c r="X11" i="6"/>
  <c r="U8" i="6"/>
  <c r="X12" i="6"/>
  <c r="Y15" i="6"/>
  <c r="W20" i="6"/>
  <c r="U24" i="6"/>
  <c r="Y24" i="6" s="1"/>
  <c r="W34" i="6"/>
  <c r="V50" i="6"/>
  <c r="V58" i="6"/>
  <c r="V122" i="6"/>
  <c r="V138" i="6"/>
  <c r="V146" i="6"/>
  <c r="V154" i="6"/>
  <c r="V162" i="6"/>
  <c r="V170" i="6"/>
  <c r="V178" i="6"/>
  <c r="Y178" i="6" s="1"/>
  <c r="V194" i="6"/>
  <c r="V218" i="6"/>
  <c r="V234" i="6"/>
  <c r="V250" i="6"/>
  <c r="V258" i="6"/>
  <c r="V274" i="6"/>
  <c r="V290" i="6"/>
  <c r="V298" i="6"/>
  <c r="Y298" i="6" s="1"/>
  <c r="W348" i="6"/>
  <c r="X350" i="6"/>
  <c r="W11" i="6"/>
  <c r="Y11" i="6" s="1"/>
  <c r="V19" i="6"/>
  <c r="W42" i="6"/>
  <c r="Y42" i="6" s="1"/>
  <c r="V49" i="6"/>
  <c r="W50" i="6"/>
  <c r="V57" i="6"/>
  <c r="W58" i="6"/>
  <c r="V65" i="6"/>
  <c r="V73" i="6"/>
  <c r="W74" i="6"/>
  <c r="V81" i="6"/>
  <c r="W82" i="6"/>
  <c r="Y82" i="6" s="1"/>
  <c r="V89" i="6"/>
  <c r="W90" i="6"/>
  <c r="V97" i="6"/>
  <c r="W98" i="6"/>
  <c r="V105" i="6"/>
  <c r="W106" i="6"/>
  <c r="V113" i="6"/>
  <c r="W114" i="6"/>
  <c r="Y114" i="6" s="1"/>
  <c r="V121" i="6"/>
  <c r="W122" i="6"/>
  <c r="V128" i="6"/>
  <c r="V129" i="6"/>
  <c r="W130" i="6"/>
  <c r="V137" i="6"/>
  <c r="W138" i="6"/>
  <c r="V145" i="6"/>
  <c r="W146" i="6"/>
  <c r="V153" i="6"/>
  <c r="W154" i="6"/>
  <c r="X157" i="6"/>
  <c r="V161" i="6"/>
  <c r="W162" i="6"/>
  <c r="X165" i="6"/>
  <c r="Y165" i="6" s="1"/>
  <c r="W169" i="6"/>
  <c r="W170" i="6"/>
  <c r="X173" i="6"/>
  <c r="V177" i="6"/>
  <c r="W178" i="6"/>
  <c r="V185" i="6"/>
  <c r="V193" i="6"/>
  <c r="W194" i="6"/>
  <c r="Y194" i="6" s="1"/>
  <c r="V201" i="6"/>
  <c r="W202" i="6"/>
  <c r="V209" i="6"/>
  <c r="V217" i="6"/>
  <c r="W218" i="6"/>
  <c r="V225" i="6"/>
  <c r="V233" i="6"/>
  <c r="V241" i="6"/>
  <c r="V249" i="6"/>
  <c r="V256" i="6"/>
  <c r="V257" i="6"/>
  <c r="W258" i="6"/>
  <c r="V265" i="6"/>
  <c r="W266" i="6"/>
  <c r="V273" i="6"/>
  <c r="W274" i="6"/>
  <c r="V280" i="6"/>
  <c r="V281" i="6"/>
  <c r="V288" i="6"/>
  <c r="Y288" i="6" s="1"/>
  <c r="V289" i="6"/>
  <c r="X291" i="6"/>
  <c r="V296" i="6"/>
  <c r="V297" i="6"/>
  <c r="V305" i="6"/>
  <c r="V313" i="6"/>
  <c r="W314" i="6"/>
  <c r="U323" i="6"/>
  <c r="Y328" i="6"/>
  <c r="W331" i="6"/>
  <c r="U332" i="6"/>
  <c r="X333" i="6"/>
  <c r="V336" i="6"/>
  <c r="Y336" i="6" s="1"/>
  <c r="W339" i="6"/>
  <c r="Y339" i="6" s="1"/>
  <c r="X341" i="6"/>
  <c r="Y341" i="6" s="1"/>
  <c r="V391" i="6"/>
  <c r="U380" i="6"/>
  <c r="U18" i="6"/>
  <c r="X19" i="6"/>
  <c r="X28" i="6"/>
  <c r="W36" i="6"/>
  <c r="U40" i="6"/>
  <c r="Y40" i="6" s="1"/>
  <c r="W44" i="6"/>
  <c r="U48" i="6"/>
  <c r="Y48" i="6" s="1"/>
  <c r="W52" i="6"/>
  <c r="U56" i="6"/>
  <c r="Y56" i="6" s="1"/>
  <c r="W60" i="6"/>
  <c r="U64" i="6"/>
  <c r="Y64" i="6" s="1"/>
  <c r="I84" i="10" s="1"/>
  <c r="W68" i="6"/>
  <c r="Y68" i="6" s="1"/>
  <c r="U72" i="6"/>
  <c r="Y72" i="6" s="1"/>
  <c r="W76" i="6"/>
  <c r="Y80" i="6"/>
  <c r="W84" i="6"/>
  <c r="V88" i="6"/>
  <c r="W92" i="6"/>
  <c r="U96" i="6"/>
  <c r="Y96" i="6" s="1"/>
  <c r="I116" i="9" s="1"/>
  <c r="W100" i="6"/>
  <c r="U104" i="6"/>
  <c r="Y104" i="6" s="1"/>
  <c r="W108" i="6"/>
  <c r="U112" i="6"/>
  <c r="Y112" i="6" s="1"/>
  <c r="W116" i="6"/>
  <c r="U120" i="6"/>
  <c r="Y120" i="6" s="1"/>
  <c r="W124" i="6"/>
  <c r="U128" i="6"/>
  <c r="W132" i="6"/>
  <c r="Y132" i="6" s="1"/>
  <c r="U136" i="6"/>
  <c r="Y136" i="6" s="1"/>
  <c r="W140" i="6"/>
  <c r="Y144" i="6"/>
  <c r="W148" i="6"/>
  <c r="U152" i="6"/>
  <c r="Y152" i="6" s="1"/>
  <c r="W156" i="6"/>
  <c r="Y160" i="6"/>
  <c r="I180" i="10" s="1"/>
  <c r="W164" i="6"/>
  <c r="Y164" i="6" s="1"/>
  <c r="V168" i="6"/>
  <c r="W172" i="6"/>
  <c r="Y176" i="6"/>
  <c r="W180" i="6"/>
  <c r="W188" i="6"/>
  <c r="W196" i="6"/>
  <c r="Y196" i="6" s="1"/>
  <c r="Y200" i="6"/>
  <c r="W204" i="6"/>
  <c r="W212" i="6"/>
  <c r="Y216" i="6"/>
  <c r="W220" i="6"/>
  <c r="Y224" i="6"/>
  <c r="W228" i="6"/>
  <c r="Y232" i="6"/>
  <c r="Z232" i="6" s="1"/>
  <c r="W236" i="6"/>
  <c r="U240" i="6"/>
  <c r="Y240" i="6" s="1"/>
  <c r="W244" i="6"/>
  <c r="U248" i="6"/>
  <c r="Y248" i="6" s="1"/>
  <c r="W252" i="6"/>
  <c r="U256" i="6"/>
  <c r="W260" i="6"/>
  <c r="Y260" i="6" s="1"/>
  <c r="U264" i="6"/>
  <c r="Y264" i="6" s="1"/>
  <c r="AE264" i="6" s="1"/>
  <c r="W268" i="6"/>
  <c r="Y272" i="6"/>
  <c r="W276" i="6"/>
  <c r="U280" i="6"/>
  <c r="W284" i="6"/>
  <c r="W292" i="6"/>
  <c r="W300" i="6"/>
  <c r="Y300" i="6" s="1"/>
  <c r="U304" i="6"/>
  <c r="Y304" i="6" s="1"/>
  <c r="W308" i="6"/>
  <c r="U312" i="6"/>
  <c r="Y312" i="6" s="1"/>
  <c r="W316" i="6"/>
  <c r="W324" i="6"/>
  <c r="W332" i="6"/>
  <c r="W340" i="6"/>
  <c r="X358" i="6"/>
  <c r="Y358" i="6" s="1"/>
  <c r="U361" i="6"/>
  <c r="U365" i="6"/>
  <c r="X393" i="6"/>
  <c r="U397" i="6"/>
  <c r="V18" i="6"/>
  <c r="X22" i="6"/>
  <c r="W27" i="6"/>
  <c r="Y27" i="6" s="1"/>
  <c r="X76" i="6"/>
  <c r="Y76" i="6" s="1"/>
  <c r="X84" i="6"/>
  <c r="X92" i="6"/>
  <c r="X100" i="6"/>
  <c r="X108" i="6"/>
  <c r="X124" i="6"/>
  <c r="X188" i="6"/>
  <c r="X204" i="6"/>
  <c r="X212" i="6"/>
  <c r="Y212" i="6" s="1"/>
  <c r="X228" i="6"/>
  <c r="X236" i="6"/>
  <c r="X316" i="6"/>
  <c r="X343" i="6"/>
  <c r="X401" i="6"/>
  <c r="Y401" i="6" s="1"/>
  <c r="W403" i="6"/>
  <c r="W18" i="6"/>
  <c r="V26" i="6"/>
  <c r="Y26" i="6" s="1"/>
  <c r="X27" i="6"/>
  <c r="V35" i="6"/>
  <c r="V43" i="6"/>
  <c r="V51" i="6"/>
  <c r="V59" i="6"/>
  <c r="V67" i="6"/>
  <c r="V75" i="6"/>
  <c r="Y75" i="6" s="1"/>
  <c r="V83" i="6"/>
  <c r="Y83" i="6" s="1"/>
  <c r="V99" i="6"/>
  <c r="V107" i="6"/>
  <c r="V115" i="6"/>
  <c r="V123" i="6"/>
  <c r="U127" i="6"/>
  <c r="V147" i="6"/>
  <c r="V155" i="6"/>
  <c r="U175" i="6"/>
  <c r="Y175" i="6" s="1"/>
  <c r="V179" i="6"/>
  <c r="V187" i="6"/>
  <c r="V195" i="6"/>
  <c r="V203" i="6"/>
  <c r="V211" i="6"/>
  <c r="V219" i="6"/>
  <c r="V227" i="6"/>
  <c r="V235" i="6"/>
  <c r="Y235" i="6" s="1"/>
  <c r="V243" i="6"/>
  <c r="V251" i="6"/>
  <c r="V259" i="6"/>
  <c r="V267" i="6"/>
  <c r="V275" i="6"/>
  <c r="V283" i="6"/>
  <c r="V291" i="6"/>
  <c r="V299" i="6"/>
  <c r="Y299" i="6" s="1"/>
  <c r="V307" i="6"/>
  <c r="V315" i="6"/>
  <c r="V323" i="6"/>
  <c r="X327" i="6"/>
  <c r="V331" i="6"/>
  <c r="Y331" i="6" s="1"/>
  <c r="X332" i="6"/>
  <c r="X335" i="6"/>
  <c r="W357" i="6"/>
  <c r="X369" i="6"/>
  <c r="U396" i="6"/>
  <c r="Y13" i="6"/>
  <c r="Z13" i="6" s="1"/>
  <c r="X21" i="6"/>
  <c r="W26" i="6"/>
  <c r="Y30" i="6"/>
  <c r="I50" i="8" s="1"/>
  <c r="U34" i="6"/>
  <c r="Y34" i="6" s="1"/>
  <c r="Z34" i="6" s="1"/>
  <c r="W35" i="6"/>
  <c r="W41" i="6"/>
  <c r="W43" i="6"/>
  <c r="W51" i="6"/>
  <c r="W59" i="6"/>
  <c r="W67" i="6"/>
  <c r="W75" i="6"/>
  <c r="W83" i="6"/>
  <c r="W91" i="6"/>
  <c r="Y91" i="6" s="1"/>
  <c r="W99" i="6"/>
  <c r="W107" i="6"/>
  <c r="W115" i="6"/>
  <c r="W123" i="6"/>
  <c r="W131" i="6"/>
  <c r="W139" i="6"/>
  <c r="W147" i="6"/>
  <c r="Y147" i="6" s="1"/>
  <c r="W155" i="6"/>
  <c r="Y155" i="6" s="1"/>
  <c r="W163" i="6"/>
  <c r="W171" i="6"/>
  <c r="W179" i="6"/>
  <c r="W187" i="6"/>
  <c r="W195" i="6"/>
  <c r="W203" i="6"/>
  <c r="W211" i="6"/>
  <c r="Y211" i="6" s="1"/>
  <c r="W219" i="6"/>
  <c r="Y219" i="6" s="1"/>
  <c r="W227" i="6"/>
  <c r="W235" i="6"/>
  <c r="W243" i="6"/>
  <c r="W251" i="6"/>
  <c r="W259" i="6"/>
  <c r="W267" i="6"/>
  <c r="W275" i="6"/>
  <c r="Y275" i="6" s="1"/>
  <c r="W283" i="6"/>
  <c r="Y283" i="6" s="1"/>
  <c r="W291" i="6"/>
  <c r="W299" i="6"/>
  <c r="W307" i="6"/>
  <c r="W315" i="6"/>
  <c r="U363" i="6"/>
  <c r="U385" i="6"/>
  <c r="W392" i="6"/>
  <c r="V402" i="6"/>
  <c r="I27" i="10"/>
  <c r="I27" i="9"/>
  <c r="I27" i="8"/>
  <c r="AE7" i="6"/>
  <c r="Z7" i="6"/>
  <c r="I54" i="9"/>
  <c r="I54" i="8"/>
  <c r="Y5" i="6"/>
  <c r="Y19" i="6"/>
  <c r="Y22" i="6"/>
  <c r="Y28" i="6"/>
  <c r="Y39" i="6"/>
  <c r="Y47" i="6"/>
  <c r="Y55" i="6"/>
  <c r="Y63" i="6"/>
  <c r="Y71" i="6"/>
  <c r="Y79" i="6"/>
  <c r="Y87" i="6"/>
  <c r="Y95" i="6"/>
  <c r="Y103" i="6"/>
  <c r="Y111" i="6"/>
  <c r="Y119" i="6"/>
  <c r="Y135" i="6"/>
  <c r="Y143" i="6"/>
  <c r="Y151" i="6"/>
  <c r="Y159" i="6"/>
  <c r="Y183" i="6"/>
  <c r="Y191" i="6"/>
  <c r="Y199" i="6"/>
  <c r="Y207" i="6"/>
  <c r="Y215" i="6"/>
  <c r="Y223" i="6"/>
  <c r="Y231" i="6"/>
  <c r="Y239" i="6"/>
  <c r="Y247" i="6"/>
  <c r="Y255" i="6"/>
  <c r="Y263" i="6"/>
  <c r="Y271" i="6"/>
  <c r="Y279" i="6"/>
  <c r="Y287" i="6"/>
  <c r="Y295" i="6"/>
  <c r="Y303" i="6"/>
  <c r="Y311" i="6"/>
  <c r="Y319" i="6"/>
  <c r="Y327" i="6"/>
  <c r="I50" i="10"/>
  <c r="I50" i="9"/>
  <c r="Z30" i="6"/>
  <c r="AE30" i="6"/>
  <c r="G23" i="5"/>
  <c r="Y8" i="6"/>
  <c r="Y36" i="6"/>
  <c r="Y44" i="6"/>
  <c r="Y52" i="6"/>
  <c r="Y60" i="6"/>
  <c r="Y84" i="6"/>
  <c r="Y92" i="6"/>
  <c r="Y100" i="6"/>
  <c r="Y108" i="6"/>
  <c r="Y116" i="6"/>
  <c r="Y124" i="6"/>
  <c r="Y127" i="6"/>
  <c r="Y140" i="6"/>
  <c r="Y148" i="6"/>
  <c r="Y156" i="6"/>
  <c r="Y167" i="6"/>
  <c r="Y172" i="6"/>
  <c r="Y180" i="6"/>
  <c r="Y188" i="6"/>
  <c r="Y204" i="6"/>
  <c r="Y236" i="6"/>
  <c r="Y244" i="6"/>
  <c r="Y252" i="6"/>
  <c r="Y268" i="6"/>
  <c r="Y276" i="6"/>
  <c r="Y284" i="6"/>
  <c r="Y292" i="6"/>
  <c r="Y308" i="6"/>
  <c r="Y316" i="6"/>
  <c r="I33" i="10"/>
  <c r="I33" i="9"/>
  <c r="I33" i="8"/>
  <c r="AE13" i="6"/>
  <c r="Y38" i="6"/>
  <c r="I66" i="10"/>
  <c r="I66" i="9"/>
  <c r="I66" i="8"/>
  <c r="AE46" i="6"/>
  <c r="Z46" i="6"/>
  <c r="I74" i="10"/>
  <c r="I74" i="9"/>
  <c r="I74" i="8"/>
  <c r="AE54" i="6"/>
  <c r="Z54" i="6"/>
  <c r="Y58" i="6"/>
  <c r="Y62" i="6"/>
  <c r="Y66" i="6"/>
  <c r="Y70" i="6"/>
  <c r="Y74" i="6"/>
  <c r="Y78" i="6"/>
  <c r="Y86" i="6"/>
  <c r="Y94" i="6"/>
  <c r="Y102" i="6"/>
  <c r="Y106" i="6"/>
  <c r="Y110" i="6"/>
  <c r="Y118" i="6"/>
  <c r="Y126" i="6"/>
  <c r="Y130" i="6"/>
  <c r="Y134" i="6"/>
  <c r="Y138" i="6"/>
  <c r="Y142" i="6"/>
  <c r="Y146" i="6"/>
  <c r="Y150" i="6"/>
  <c r="Y154" i="6"/>
  <c r="Y158" i="6"/>
  <c r="Y162" i="6"/>
  <c r="Y166" i="6"/>
  <c r="Y170" i="6"/>
  <c r="Y174" i="6"/>
  <c r="Y182" i="6"/>
  <c r="Y186" i="6"/>
  <c r="Y190" i="6"/>
  <c r="Y198" i="6"/>
  <c r="Y202" i="6"/>
  <c r="Y206" i="6"/>
  <c r="Y210" i="6"/>
  <c r="Y214" i="6"/>
  <c r="Y218" i="6"/>
  <c r="Y222" i="6"/>
  <c r="Y230" i="6"/>
  <c r="Y234" i="6"/>
  <c r="Y238" i="6"/>
  <c r="Y246" i="6"/>
  <c r="Y254" i="6"/>
  <c r="Y258" i="6"/>
  <c r="Y262" i="6"/>
  <c r="Y266" i="6"/>
  <c r="Y270" i="6"/>
  <c r="Y274" i="6"/>
  <c r="Y278" i="6"/>
  <c r="Y282" i="6"/>
  <c r="Y286" i="6"/>
  <c r="Y294" i="6"/>
  <c r="Y302" i="6"/>
  <c r="Y310" i="6"/>
  <c r="Y314" i="6"/>
  <c r="Y321" i="6"/>
  <c r="Y322" i="6"/>
  <c r="Y329" i="6"/>
  <c r="Y334" i="6"/>
  <c r="Y342" i="6"/>
  <c r="I35" i="10"/>
  <c r="I35" i="9"/>
  <c r="I35" i="8"/>
  <c r="AE15" i="6"/>
  <c r="Z15" i="6"/>
  <c r="I44" i="10"/>
  <c r="I44" i="9"/>
  <c r="I44" i="8"/>
  <c r="Z24" i="6"/>
  <c r="AE24" i="6"/>
  <c r="Y35" i="6"/>
  <c r="Y43" i="6"/>
  <c r="Y51" i="6"/>
  <c r="Y59" i="6"/>
  <c r="Y67" i="6"/>
  <c r="Y99" i="6"/>
  <c r="Y107" i="6"/>
  <c r="Y115" i="6"/>
  <c r="Y123" i="6"/>
  <c r="Y131" i="6"/>
  <c r="Y139" i="6"/>
  <c r="Y163" i="6"/>
  <c r="Y171" i="6"/>
  <c r="Y179" i="6"/>
  <c r="Y187" i="6"/>
  <c r="Y195" i="6"/>
  <c r="Y203" i="6"/>
  <c r="Y227" i="6"/>
  <c r="Y243" i="6"/>
  <c r="Y251" i="6"/>
  <c r="Y259" i="6"/>
  <c r="Y267" i="6"/>
  <c r="Y291" i="6"/>
  <c r="Y307" i="6"/>
  <c r="Y315" i="6"/>
  <c r="Y6" i="6"/>
  <c r="Y10" i="6"/>
  <c r="Y12" i="6"/>
  <c r="Y23" i="6"/>
  <c r="Y208" i="6"/>
  <c r="Y320" i="6"/>
  <c r="I348" i="10"/>
  <c r="I348" i="9"/>
  <c r="I348" i="8"/>
  <c r="Z328" i="6"/>
  <c r="AE328" i="6"/>
  <c r="Y332" i="6"/>
  <c r="Y32" i="6"/>
  <c r="Y37" i="6"/>
  <c r="Y45" i="6"/>
  <c r="I73" i="10"/>
  <c r="I73" i="9"/>
  <c r="I73" i="8"/>
  <c r="AE53" i="6"/>
  <c r="Z53" i="6"/>
  <c r="I81" i="10"/>
  <c r="I81" i="9"/>
  <c r="I81" i="8"/>
  <c r="AE61" i="6"/>
  <c r="Z61" i="6"/>
  <c r="Y69" i="6"/>
  <c r="Y77" i="6"/>
  <c r="Y85" i="6"/>
  <c r="Y93" i="6"/>
  <c r="Y101" i="6"/>
  <c r="Y109" i="6"/>
  <c r="Y117" i="6"/>
  <c r="Y125" i="6"/>
  <c r="Y133" i="6"/>
  <c r="Y141" i="6"/>
  <c r="Y149" i="6"/>
  <c r="Y157" i="6"/>
  <c r="Y173" i="6"/>
  <c r="Y181" i="6"/>
  <c r="Y189" i="6"/>
  <c r="Y197" i="6"/>
  <c r="Y205" i="6"/>
  <c r="Y213" i="6"/>
  <c r="Y221" i="6"/>
  <c r="Y245" i="6"/>
  <c r="Y253" i="6"/>
  <c r="Y261" i="6"/>
  <c r="Y269" i="6"/>
  <c r="Y277" i="6"/>
  <c r="Y285" i="6"/>
  <c r="Y293" i="6"/>
  <c r="Y301" i="6"/>
  <c r="Y309" i="6"/>
  <c r="Y317" i="6"/>
  <c r="Y325" i="6"/>
  <c r="Y333" i="6"/>
  <c r="Y356" i="6"/>
  <c r="H26" i="5"/>
  <c r="G22" i="4"/>
  <c r="G21" i="4"/>
  <c r="G23" i="4"/>
  <c r="C17" i="4"/>
  <c r="Y14" i="6"/>
  <c r="Y31" i="6"/>
  <c r="I60" i="10"/>
  <c r="I60" i="9"/>
  <c r="I60" i="8"/>
  <c r="Z40" i="6"/>
  <c r="AE40" i="6"/>
  <c r="I68" i="10"/>
  <c r="I68" i="9"/>
  <c r="I68" i="8"/>
  <c r="Z48" i="6"/>
  <c r="AE48" i="6"/>
  <c r="I76" i="10"/>
  <c r="I76" i="9"/>
  <c r="I76" i="8"/>
  <c r="Z56" i="6"/>
  <c r="AE56" i="6"/>
  <c r="I92" i="10"/>
  <c r="I92" i="9"/>
  <c r="I92" i="8"/>
  <c r="Z72" i="6"/>
  <c r="AE72" i="6"/>
  <c r="I100" i="10"/>
  <c r="I100" i="9"/>
  <c r="I100" i="8"/>
  <c r="Z80" i="6"/>
  <c r="AE80" i="6"/>
  <c r="I116" i="10"/>
  <c r="I124" i="10"/>
  <c r="I124" i="9"/>
  <c r="I124" i="8"/>
  <c r="Z104" i="6"/>
  <c r="AE104" i="6"/>
  <c r="I132" i="10"/>
  <c r="I132" i="9"/>
  <c r="I132" i="8"/>
  <c r="Z112" i="6"/>
  <c r="AE112" i="6"/>
  <c r="I140" i="10"/>
  <c r="I140" i="9"/>
  <c r="I140" i="8"/>
  <c r="Z120" i="6"/>
  <c r="AE120" i="6"/>
  <c r="I156" i="10"/>
  <c r="I156" i="9"/>
  <c r="I156" i="8"/>
  <c r="Z136" i="6"/>
  <c r="AE136" i="6"/>
  <c r="I164" i="10"/>
  <c r="I164" i="9"/>
  <c r="I164" i="8"/>
  <c r="Z144" i="6"/>
  <c r="AE144" i="6"/>
  <c r="I172" i="10"/>
  <c r="I172" i="9"/>
  <c r="I172" i="8"/>
  <c r="Z152" i="6"/>
  <c r="AE152" i="6"/>
  <c r="AE160" i="6"/>
  <c r="I196" i="10"/>
  <c r="I196" i="9"/>
  <c r="I196" i="8"/>
  <c r="Z176" i="6"/>
  <c r="AE176" i="6"/>
  <c r="I220" i="10"/>
  <c r="I220" i="9"/>
  <c r="I220" i="8"/>
  <c r="Z200" i="6"/>
  <c r="AE200" i="6"/>
  <c r="I236" i="10"/>
  <c r="I236" i="9"/>
  <c r="I236" i="8"/>
  <c r="Z216" i="6"/>
  <c r="AE216" i="6"/>
  <c r="I244" i="10"/>
  <c r="I244" i="9"/>
  <c r="I244" i="8"/>
  <c r="Z224" i="6"/>
  <c r="AE224" i="6"/>
  <c r="I252" i="8"/>
  <c r="I260" i="10"/>
  <c r="I260" i="9"/>
  <c r="I260" i="8"/>
  <c r="Z240" i="6"/>
  <c r="AE240" i="6"/>
  <c r="I268" i="10"/>
  <c r="I268" i="9"/>
  <c r="I268" i="8"/>
  <c r="Z248" i="6"/>
  <c r="AE248" i="6"/>
  <c r="Z264" i="6"/>
  <c r="I292" i="10"/>
  <c r="I292" i="9"/>
  <c r="I292" i="8"/>
  <c r="Z272" i="6"/>
  <c r="AE272" i="6"/>
  <c r="I324" i="10"/>
  <c r="I324" i="9"/>
  <c r="I324" i="8"/>
  <c r="Z304" i="6"/>
  <c r="AE304" i="6"/>
  <c r="I332" i="10"/>
  <c r="I332" i="9"/>
  <c r="I332" i="8"/>
  <c r="Z312" i="6"/>
  <c r="AE312" i="6"/>
  <c r="V348" i="6"/>
  <c r="Y348" i="6" s="1"/>
  <c r="X354" i="6"/>
  <c r="X361" i="6"/>
  <c r="W362" i="6"/>
  <c r="X375" i="6"/>
  <c r="V375" i="6"/>
  <c r="Y375" i="6" s="1"/>
  <c r="U402" i="6"/>
  <c r="U403" i="6"/>
  <c r="V404" i="6"/>
  <c r="U49" i="6"/>
  <c r="U65" i="6"/>
  <c r="Y65" i="6" s="1"/>
  <c r="U73" i="6"/>
  <c r="Y73" i="6" s="1"/>
  <c r="U81" i="6"/>
  <c r="Y81" i="6" s="1"/>
  <c r="U89" i="6"/>
  <c r="Y89" i="6" s="1"/>
  <c r="U97" i="6"/>
  <c r="Y97" i="6" s="1"/>
  <c r="U105" i="6"/>
  <c r="Y105" i="6" s="1"/>
  <c r="U113" i="6"/>
  <c r="U121" i="6"/>
  <c r="Y121" i="6" s="1"/>
  <c r="U129" i="6"/>
  <c r="Y129" i="6" s="1"/>
  <c r="U137" i="6"/>
  <c r="Y137" i="6" s="1"/>
  <c r="U145" i="6"/>
  <c r="U153" i="6"/>
  <c r="Y153" i="6" s="1"/>
  <c r="U161" i="6"/>
  <c r="Y161" i="6" s="1"/>
  <c r="U169" i="6"/>
  <c r="U177" i="6"/>
  <c r="Y177" i="6" s="1"/>
  <c r="U185" i="6"/>
  <c r="Y185" i="6" s="1"/>
  <c r="U193" i="6"/>
  <c r="Y193" i="6" s="1"/>
  <c r="U201" i="6"/>
  <c r="U209" i="6"/>
  <c r="Y209" i="6" s="1"/>
  <c r="U217" i="6"/>
  <c r="Y217" i="6" s="1"/>
  <c r="U225" i="6"/>
  <c r="Y225" i="6" s="1"/>
  <c r="U233" i="6"/>
  <c r="Y233" i="6" s="1"/>
  <c r="U241" i="6"/>
  <c r="U249" i="6"/>
  <c r="U257" i="6"/>
  <c r="Y257" i="6" s="1"/>
  <c r="U265" i="6"/>
  <c r="Y265" i="6" s="1"/>
  <c r="U273" i="6"/>
  <c r="Y273" i="6" s="1"/>
  <c r="U281" i="6"/>
  <c r="Y281" i="6" s="1"/>
  <c r="U289" i="6"/>
  <c r="Y289" i="6" s="1"/>
  <c r="U297" i="6"/>
  <c r="Y297" i="6" s="1"/>
  <c r="U305" i="6"/>
  <c r="U313" i="6"/>
  <c r="W323" i="6"/>
  <c r="Y323" i="6" s="1"/>
  <c r="X324" i="6"/>
  <c r="Y324" i="6" s="1"/>
  <c r="V330" i="6"/>
  <c r="Y330" i="6" s="1"/>
  <c r="U337" i="6"/>
  <c r="Y337" i="6" s="1"/>
  <c r="V338" i="6"/>
  <c r="Y338" i="6" s="1"/>
  <c r="X340" i="6"/>
  <c r="X347" i="6"/>
  <c r="Y347" i="6" s="1"/>
  <c r="U350" i="6"/>
  <c r="Y350" i="6" s="1"/>
  <c r="V357" i="6"/>
  <c r="U360" i="6"/>
  <c r="X362" i="6"/>
  <c r="V363" i="6"/>
  <c r="U368" i="6"/>
  <c r="V369" i="6"/>
  <c r="Y369" i="6" s="1"/>
  <c r="U371" i="6"/>
  <c r="V371" i="6"/>
  <c r="U372" i="6"/>
  <c r="W372" i="6"/>
  <c r="X373" i="6"/>
  <c r="W384" i="6"/>
  <c r="U384" i="6"/>
  <c r="V385" i="6"/>
  <c r="Y385" i="6" s="1"/>
  <c r="U387" i="6"/>
  <c r="V387" i="6"/>
  <c r="U388" i="6"/>
  <c r="W388" i="6"/>
  <c r="X389" i="6"/>
  <c r="W400" i="6"/>
  <c r="U400" i="6"/>
  <c r="V403" i="6"/>
  <c r="W404" i="6"/>
  <c r="U17" i="6"/>
  <c r="Y17" i="6" s="1"/>
  <c r="U33" i="6"/>
  <c r="U57" i="6"/>
  <c r="Y57" i="6" s="1"/>
  <c r="D23" i="4"/>
  <c r="E17" i="5"/>
  <c r="E23" i="5" s="1"/>
  <c r="V9" i="6"/>
  <c r="V25" i="6"/>
  <c r="V41" i="6"/>
  <c r="Y41" i="6" s="1"/>
  <c r="U88" i="6"/>
  <c r="Y88" i="6" s="1"/>
  <c r="U168" i="6"/>
  <c r="Y168" i="6" s="1"/>
  <c r="V169" i="6"/>
  <c r="W242" i="6"/>
  <c r="W250" i="6"/>
  <c r="Y250" i="6" s="1"/>
  <c r="W290" i="6"/>
  <c r="W306" i="6"/>
  <c r="Y306" i="6" s="1"/>
  <c r="V343" i="6"/>
  <c r="U344" i="6"/>
  <c r="U351" i="6"/>
  <c r="Y351" i="6" s="1"/>
  <c r="V353" i="6"/>
  <c r="V359" i="6"/>
  <c r="V360" i="6"/>
  <c r="V365" i="6"/>
  <c r="W365" i="6"/>
  <c r="X367" i="6"/>
  <c r="U367" i="6"/>
  <c r="W368" i="6"/>
  <c r="V368" i="6"/>
  <c r="V381" i="6"/>
  <c r="W381" i="6"/>
  <c r="U383" i="6"/>
  <c r="V384" i="6"/>
  <c r="V397" i="6"/>
  <c r="W397" i="6"/>
  <c r="Y397" i="6" s="1"/>
  <c r="X399" i="6"/>
  <c r="U399" i="6"/>
  <c r="V400" i="6"/>
  <c r="C16" i="4"/>
  <c r="C22" i="4"/>
  <c r="E23" i="4"/>
  <c r="F17" i="5"/>
  <c r="F23" i="5" s="1"/>
  <c r="U335" i="6"/>
  <c r="V344" i="6"/>
  <c r="W346" i="6"/>
  <c r="W353" i="6"/>
  <c r="X363" i="6"/>
  <c r="W366" i="6"/>
  <c r="U366" i="6"/>
  <c r="X366" i="6"/>
  <c r="X370" i="6"/>
  <c r="Y370" i="6" s="1"/>
  <c r="X371" i="6"/>
  <c r="W382" i="6"/>
  <c r="U382" i="6"/>
  <c r="X382" i="6"/>
  <c r="X386" i="6"/>
  <c r="Y386" i="6" s="1"/>
  <c r="X387" i="6"/>
  <c r="W398" i="6"/>
  <c r="X398" i="6"/>
  <c r="X402" i="6"/>
  <c r="X403" i="6"/>
  <c r="D22" i="4"/>
  <c r="F23" i="4"/>
  <c r="X346" i="6"/>
  <c r="V361" i="6"/>
  <c r="U364" i="6"/>
  <c r="V364" i="6"/>
  <c r="W364" i="6"/>
  <c r="X383" i="6"/>
  <c r="V383" i="6"/>
  <c r="Y394" i="6"/>
  <c r="C21" i="4"/>
  <c r="E22" i="4"/>
  <c r="D18" i="5"/>
  <c r="D23" i="5" s="1"/>
  <c r="V349" i="6"/>
  <c r="X355" i="6"/>
  <c r="Y355" i="6" s="1"/>
  <c r="W361" i="6"/>
  <c r="X365" i="6"/>
  <c r="W376" i="6"/>
  <c r="U376" i="6"/>
  <c r="V377" i="6"/>
  <c r="Y377" i="6" s="1"/>
  <c r="U379" i="6"/>
  <c r="V379" i="6"/>
  <c r="V380" i="6"/>
  <c r="W380" i="6"/>
  <c r="X381" i="6"/>
  <c r="Y392" i="6"/>
  <c r="V393" i="6"/>
  <c r="Y393" i="6" s="1"/>
  <c r="U395" i="6"/>
  <c r="V395" i="6"/>
  <c r="V396" i="6"/>
  <c r="W396" i="6"/>
  <c r="G18" i="5"/>
  <c r="D21" i="4"/>
  <c r="F22" i="4"/>
  <c r="E18" i="5"/>
  <c r="D24" i="5"/>
  <c r="W318" i="6"/>
  <c r="Y318" i="6" s="1"/>
  <c r="W326" i="6"/>
  <c r="Y326" i="6" s="1"/>
  <c r="U343" i="6"/>
  <c r="Y343" i="6" s="1"/>
  <c r="V345" i="6"/>
  <c r="W349" i="6"/>
  <c r="U352" i="6"/>
  <c r="U359" i="6"/>
  <c r="U362" i="6"/>
  <c r="V373" i="6"/>
  <c r="W373" i="6"/>
  <c r="V389" i="6"/>
  <c r="W389" i="6"/>
  <c r="Y391" i="6"/>
  <c r="Y396" i="6"/>
  <c r="E21" i="4"/>
  <c r="W345" i="6"/>
  <c r="V352" i="6"/>
  <c r="W354" i="6"/>
  <c r="Y354" i="6" s="1"/>
  <c r="W374" i="6"/>
  <c r="U374" i="6"/>
  <c r="X374" i="6"/>
  <c r="X378" i="6"/>
  <c r="Y378" i="6" s="1"/>
  <c r="X379" i="6"/>
  <c r="W390" i="6"/>
  <c r="U390" i="6"/>
  <c r="X390" i="6"/>
  <c r="X395" i="6"/>
  <c r="Y404" i="6"/>
  <c r="V372" i="6"/>
  <c r="V388" i="6"/>
  <c r="V367" i="6"/>
  <c r="V399" i="6"/>
  <c r="E24" i="5" l="1"/>
  <c r="F24" i="5"/>
  <c r="F25" i="5" s="1"/>
  <c r="C23" i="4"/>
  <c r="H23" i="4" s="1"/>
  <c r="G24" i="5"/>
  <c r="G25" i="5" s="1"/>
  <c r="F21" i="4"/>
  <c r="H21" i="4"/>
  <c r="E25" i="5"/>
  <c r="Z296" i="6"/>
  <c r="AE296" i="6"/>
  <c r="I316" i="10"/>
  <c r="I316" i="9"/>
  <c r="I316" i="8"/>
  <c r="I212" i="10"/>
  <c r="I212" i="9"/>
  <c r="I212" i="8"/>
  <c r="Z192" i="6"/>
  <c r="AE192" i="6"/>
  <c r="AE184" i="6"/>
  <c r="I204" i="8"/>
  <c r="Z184" i="6"/>
  <c r="I204" i="10"/>
  <c r="I204" i="9"/>
  <c r="I421" i="10"/>
  <c r="I421" i="9"/>
  <c r="I421" i="8"/>
  <c r="Z401" i="6"/>
  <c r="AE401" i="6"/>
  <c r="Z339" i="6"/>
  <c r="I359" i="10"/>
  <c r="I359" i="9"/>
  <c r="AE339" i="6"/>
  <c r="I359" i="8"/>
  <c r="AE42" i="6"/>
  <c r="Z42" i="6"/>
  <c r="I62" i="8"/>
  <c r="I62" i="10"/>
  <c r="I62" i="9"/>
  <c r="I31" i="10"/>
  <c r="Z11" i="6"/>
  <c r="I31" i="9"/>
  <c r="I31" i="8"/>
  <c r="AE11" i="6"/>
  <c r="Y201" i="6"/>
  <c r="I284" i="9"/>
  <c r="I252" i="10"/>
  <c r="Z160" i="6"/>
  <c r="I54" i="10"/>
  <c r="I252" i="9"/>
  <c r="Y389" i="6"/>
  <c r="Y33" i="6"/>
  <c r="Y357" i="6"/>
  <c r="I284" i="10"/>
  <c r="I180" i="8"/>
  <c r="AE64" i="6"/>
  <c r="Y242" i="6"/>
  <c r="I284" i="8"/>
  <c r="Y313" i="6"/>
  <c r="Y249" i="6"/>
  <c r="Y49" i="6"/>
  <c r="I180" i="9"/>
  <c r="AE96" i="6"/>
  <c r="Z64" i="6"/>
  <c r="Y280" i="6"/>
  <c r="Y305" i="6"/>
  <c r="Y241" i="6"/>
  <c r="Y113" i="6"/>
  <c r="Z96" i="6"/>
  <c r="I84" i="8"/>
  <c r="Y145" i="6"/>
  <c r="Y335" i="6"/>
  <c r="Y390" i="6"/>
  <c r="Y362" i="6"/>
  <c r="Y25" i="6"/>
  <c r="AE25" i="6" s="1"/>
  <c r="Y340" i="6"/>
  <c r="AE232" i="6"/>
  <c r="I116" i="8"/>
  <c r="I84" i="9"/>
  <c r="AE34" i="6"/>
  <c r="Y373" i="6"/>
  <c r="Y290" i="6"/>
  <c r="Y9" i="6"/>
  <c r="Y228" i="6"/>
  <c r="Y50" i="6"/>
  <c r="Z50" i="6" s="1"/>
  <c r="AE341" i="6"/>
  <c r="Z341" i="6"/>
  <c r="I361" i="10"/>
  <c r="I361" i="9"/>
  <c r="I361" i="8"/>
  <c r="I70" i="8"/>
  <c r="AE50" i="6"/>
  <c r="I70" i="10"/>
  <c r="I70" i="9"/>
  <c r="I47" i="10"/>
  <c r="I47" i="9"/>
  <c r="I47" i="8"/>
  <c r="Z27" i="6"/>
  <c r="AE27" i="6"/>
  <c r="I351" i="10"/>
  <c r="I351" i="9"/>
  <c r="I351" i="8"/>
  <c r="Z331" i="6"/>
  <c r="AE331" i="6"/>
  <c r="I308" i="10"/>
  <c r="I308" i="9"/>
  <c r="I308" i="8"/>
  <c r="Z288" i="6"/>
  <c r="AE288" i="6"/>
  <c r="Y361" i="6"/>
  <c r="I381" i="9" s="1"/>
  <c r="Y18" i="6"/>
  <c r="Y376" i="6"/>
  <c r="Y365" i="6"/>
  <c r="Y363" i="6"/>
  <c r="Y381" i="6"/>
  <c r="Y374" i="6"/>
  <c r="Y345" i="6"/>
  <c r="Y380" i="6"/>
  <c r="Y346" i="6"/>
  <c r="I366" i="9" s="1"/>
  <c r="Y399" i="6"/>
  <c r="Y353" i="6"/>
  <c r="Y349" i="6"/>
  <c r="Y344" i="6"/>
  <c r="Y128" i="6"/>
  <c r="Y398" i="6"/>
  <c r="Y256" i="6"/>
  <c r="H23" i="5"/>
  <c r="D25" i="5"/>
  <c r="I222" i="10"/>
  <c r="I222" i="9"/>
  <c r="I222" i="8"/>
  <c r="Z202" i="6"/>
  <c r="AE202" i="6"/>
  <c r="L54" i="8"/>
  <c r="M54" i="8" s="1"/>
  <c r="Z54" i="8"/>
  <c r="AA54" i="8" s="1"/>
  <c r="AN54" i="8"/>
  <c r="AO54" i="8" s="1"/>
  <c r="Y359" i="6"/>
  <c r="I397" i="10"/>
  <c r="I397" i="9"/>
  <c r="I397" i="8"/>
  <c r="Z377" i="6"/>
  <c r="AE377" i="6"/>
  <c r="I366" i="10"/>
  <c r="I385" i="10"/>
  <c r="I385" i="9"/>
  <c r="I385" i="8"/>
  <c r="AE365" i="6"/>
  <c r="Z365" i="6"/>
  <c r="I310" i="10"/>
  <c r="I310" i="9"/>
  <c r="I310" i="8"/>
  <c r="Z290" i="6"/>
  <c r="AE290" i="6"/>
  <c r="I367" i="10"/>
  <c r="I367" i="9"/>
  <c r="I367" i="8"/>
  <c r="Z347" i="6"/>
  <c r="AE347" i="6"/>
  <c r="I378" i="10"/>
  <c r="I378" i="9"/>
  <c r="I378" i="8"/>
  <c r="AE358" i="6"/>
  <c r="Z358" i="6"/>
  <c r="I374" i="10"/>
  <c r="I374" i="9"/>
  <c r="I374" i="8"/>
  <c r="Z354" i="6"/>
  <c r="AE354" i="6"/>
  <c r="I336" i="10"/>
  <c r="I336" i="9"/>
  <c r="I336" i="8"/>
  <c r="AE316" i="6"/>
  <c r="Z316" i="6"/>
  <c r="I272" i="10"/>
  <c r="I272" i="9"/>
  <c r="I272" i="8"/>
  <c r="AE252" i="6"/>
  <c r="Z252" i="6"/>
  <c r="I208" i="10"/>
  <c r="I208" i="9"/>
  <c r="I208" i="8"/>
  <c r="AE188" i="6"/>
  <c r="Z188" i="6"/>
  <c r="I160" i="10"/>
  <c r="I160" i="9"/>
  <c r="I160" i="8"/>
  <c r="AE140" i="6"/>
  <c r="Z140" i="6"/>
  <c r="I104" i="10"/>
  <c r="I104" i="9"/>
  <c r="I104" i="8"/>
  <c r="AE84" i="6"/>
  <c r="Z84" i="6"/>
  <c r="I331" i="10"/>
  <c r="I331" i="9"/>
  <c r="I331" i="8"/>
  <c r="AE311" i="6"/>
  <c r="Z311" i="6"/>
  <c r="I267" i="10"/>
  <c r="I267" i="9"/>
  <c r="I267" i="8"/>
  <c r="AE247" i="6"/>
  <c r="Z247" i="6"/>
  <c r="I203" i="10"/>
  <c r="I203" i="9"/>
  <c r="I203" i="8"/>
  <c r="AE183" i="6"/>
  <c r="Z183" i="6"/>
  <c r="I115" i="10"/>
  <c r="I115" i="9"/>
  <c r="I115" i="8"/>
  <c r="AE95" i="6"/>
  <c r="Z95" i="6"/>
  <c r="I48" i="10"/>
  <c r="I48" i="9"/>
  <c r="I48" i="8"/>
  <c r="AE28" i="6"/>
  <c r="Z28" i="6"/>
  <c r="I45" i="10"/>
  <c r="I45" i="9"/>
  <c r="I45" i="8"/>
  <c r="Z25" i="6"/>
  <c r="I190" i="10"/>
  <c r="I190" i="9"/>
  <c r="I190" i="8"/>
  <c r="Z170" i="6"/>
  <c r="AE170" i="6"/>
  <c r="I270" i="10"/>
  <c r="I270" i="9"/>
  <c r="I270" i="8"/>
  <c r="Z250" i="6"/>
  <c r="AE250" i="6"/>
  <c r="I405" i="10"/>
  <c r="I405" i="9"/>
  <c r="I405" i="8"/>
  <c r="Z385" i="6"/>
  <c r="AE385" i="6"/>
  <c r="I389" i="10"/>
  <c r="I389" i="9"/>
  <c r="I389" i="8"/>
  <c r="Z369" i="6"/>
  <c r="AE369" i="6"/>
  <c r="I360" i="10"/>
  <c r="I360" i="9"/>
  <c r="I360" i="8"/>
  <c r="AE340" i="6"/>
  <c r="Z340" i="6"/>
  <c r="I286" i="10"/>
  <c r="I286" i="9"/>
  <c r="I286" i="8"/>
  <c r="Z266" i="6"/>
  <c r="AE266" i="6"/>
  <c r="I411" i="10"/>
  <c r="I411" i="9"/>
  <c r="I411" i="8"/>
  <c r="AE391" i="6"/>
  <c r="Z391" i="6"/>
  <c r="I381" i="10"/>
  <c r="I381" i="8"/>
  <c r="AE361" i="6"/>
  <c r="I390" i="10"/>
  <c r="I390" i="9"/>
  <c r="I390" i="8"/>
  <c r="AE370" i="6"/>
  <c r="Z370" i="6"/>
  <c r="I401" i="10"/>
  <c r="I401" i="9"/>
  <c r="I401" i="8"/>
  <c r="AE381" i="6"/>
  <c r="Z381" i="6"/>
  <c r="I262" i="10"/>
  <c r="I262" i="9"/>
  <c r="I262" i="8"/>
  <c r="Z242" i="6"/>
  <c r="AE242" i="6"/>
  <c r="I358" i="10"/>
  <c r="I358" i="9"/>
  <c r="I358" i="8"/>
  <c r="Z338" i="6"/>
  <c r="AE338" i="6"/>
  <c r="Z332" i="10"/>
  <c r="AA332" i="10" s="1"/>
  <c r="AN332" i="10"/>
  <c r="AO332" i="10" s="1"/>
  <c r="L332" i="10"/>
  <c r="M332" i="10" s="1"/>
  <c r="L316" i="8"/>
  <c r="M316" i="8" s="1"/>
  <c r="Z316" i="8"/>
  <c r="AA316" i="8" s="1"/>
  <c r="AN316" i="8"/>
  <c r="AO316" i="8" s="1"/>
  <c r="L292" i="9"/>
  <c r="M292" i="9" s="1"/>
  <c r="Z292" i="9"/>
  <c r="AA292" i="9" s="1"/>
  <c r="AN292" i="9"/>
  <c r="AO292" i="9" s="1"/>
  <c r="L268" i="10"/>
  <c r="M268" i="10" s="1"/>
  <c r="Z268" i="10"/>
  <c r="AA268" i="10" s="1"/>
  <c r="AN268" i="10"/>
  <c r="AO268" i="10" s="1"/>
  <c r="L252" i="8"/>
  <c r="M252" i="8" s="1"/>
  <c r="Z252" i="8"/>
  <c r="AA252" i="8" s="1"/>
  <c r="AN252" i="8"/>
  <c r="AO252" i="8" s="1"/>
  <c r="AN220" i="9"/>
  <c r="AO220" i="9" s="1"/>
  <c r="L220" i="9"/>
  <c r="M220" i="9" s="1"/>
  <c r="Z220" i="9"/>
  <c r="AA220" i="9" s="1"/>
  <c r="L196" i="10"/>
  <c r="M196" i="10" s="1"/>
  <c r="Z196" i="10"/>
  <c r="AA196" i="10" s="1"/>
  <c r="AN196" i="10"/>
  <c r="AO196" i="10" s="1"/>
  <c r="L172" i="8"/>
  <c r="M172" i="8" s="1"/>
  <c r="Z172" i="8"/>
  <c r="AA172" i="8" s="1"/>
  <c r="AN172" i="8"/>
  <c r="AO172" i="8" s="1"/>
  <c r="L124" i="10"/>
  <c r="M124" i="10" s="1"/>
  <c r="Z124" i="10"/>
  <c r="AA124" i="10" s="1"/>
  <c r="AN124" i="10"/>
  <c r="AO124" i="10" s="1"/>
  <c r="Z100" i="8"/>
  <c r="AA100" i="8" s="1"/>
  <c r="AN100" i="8"/>
  <c r="AO100" i="8" s="1"/>
  <c r="L100" i="8"/>
  <c r="M100" i="8" s="1"/>
  <c r="AN76" i="9"/>
  <c r="AO76" i="9" s="1"/>
  <c r="L76" i="9"/>
  <c r="M76" i="9" s="1"/>
  <c r="Z76" i="9"/>
  <c r="AA76" i="9" s="1"/>
  <c r="I29" i="10"/>
  <c r="I29" i="9"/>
  <c r="I29" i="8"/>
  <c r="Z9" i="6"/>
  <c r="AE9" i="6"/>
  <c r="I318" i="10"/>
  <c r="I318" i="9"/>
  <c r="I318" i="8"/>
  <c r="Z298" i="6"/>
  <c r="AE298" i="6"/>
  <c r="I254" i="10"/>
  <c r="I254" i="9"/>
  <c r="I254" i="8"/>
  <c r="Z234" i="6"/>
  <c r="AE234" i="6"/>
  <c r="L74" i="9"/>
  <c r="M74" i="9" s="1"/>
  <c r="Z74" i="9"/>
  <c r="AA74" i="9" s="1"/>
  <c r="AN74" i="9"/>
  <c r="AO74" i="9" s="1"/>
  <c r="I365" i="10"/>
  <c r="I365" i="9"/>
  <c r="I365" i="8"/>
  <c r="AE345" i="6"/>
  <c r="Z345" i="6"/>
  <c r="I418" i="10"/>
  <c r="I418" i="9"/>
  <c r="I418" i="8"/>
  <c r="Z398" i="6"/>
  <c r="AE398" i="6"/>
  <c r="I419" i="10"/>
  <c r="I419" i="9"/>
  <c r="I419" i="8"/>
  <c r="AE399" i="6"/>
  <c r="Z399" i="6"/>
  <c r="I373" i="10"/>
  <c r="I373" i="9"/>
  <c r="I373" i="8"/>
  <c r="AE353" i="6"/>
  <c r="Z353" i="6"/>
  <c r="I383" i="10"/>
  <c r="I383" i="9"/>
  <c r="I383" i="8"/>
  <c r="AE363" i="6"/>
  <c r="Z363" i="6"/>
  <c r="I357" i="10"/>
  <c r="I357" i="9"/>
  <c r="I357" i="8"/>
  <c r="Z337" i="6"/>
  <c r="AE337" i="6"/>
  <c r="I301" i="10"/>
  <c r="I301" i="9"/>
  <c r="I301" i="8"/>
  <c r="Z281" i="6"/>
  <c r="AE281" i="6"/>
  <c r="I237" i="10"/>
  <c r="I237" i="9"/>
  <c r="I237" i="8"/>
  <c r="Z217" i="6"/>
  <c r="AE217" i="6"/>
  <c r="I173" i="10"/>
  <c r="I173" i="9"/>
  <c r="I173" i="8"/>
  <c r="Z153" i="6"/>
  <c r="AE153" i="6"/>
  <c r="I109" i="10"/>
  <c r="I109" i="9"/>
  <c r="I109" i="8"/>
  <c r="Z89" i="6"/>
  <c r="AE89" i="6"/>
  <c r="L359" i="9"/>
  <c r="M359" i="9" s="1"/>
  <c r="Z359" i="9"/>
  <c r="AA359" i="9" s="1"/>
  <c r="AN359" i="9"/>
  <c r="AO359" i="9" s="1"/>
  <c r="I327" i="10"/>
  <c r="I327" i="9"/>
  <c r="I327" i="8"/>
  <c r="Z307" i="6"/>
  <c r="AE307" i="6"/>
  <c r="I263" i="10"/>
  <c r="I263" i="9"/>
  <c r="I263" i="8"/>
  <c r="Z243" i="6"/>
  <c r="AE243" i="6"/>
  <c r="I199" i="10"/>
  <c r="I199" i="9"/>
  <c r="I199" i="8"/>
  <c r="Z179" i="6"/>
  <c r="AE179" i="6"/>
  <c r="I135" i="10"/>
  <c r="I135" i="9"/>
  <c r="I135" i="8"/>
  <c r="Z115" i="6"/>
  <c r="AE115" i="6"/>
  <c r="I71" i="10"/>
  <c r="I71" i="9"/>
  <c r="I71" i="8"/>
  <c r="Z51" i="6"/>
  <c r="AE51" i="6"/>
  <c r="I398" i="10"/>
  <c r="I398" i="9"/>
  <c r="I398" i="8"/>
  <c r="AE378" i="6"/>
  <c r="Z378" i="6"/>
  <c r="I126" i="10"/>
  <c r="I126" i="9"/>
  <c r="I126" i="8"/>
  <c r="Z106" i="6"/>
  <c r="AE106" i="6"/>
  <c r="I409" i="10"/>
  <c r="I409" i="9"/>
  <c r="I409" i="8"/>
  <c r="AE389" i="6"/>
  <c r="Z389" i="6"/>
  <c r="I400" i="10"/>
  <c r="I400" i="9"/>
  <c r="I400" i="8"/>
  <c r="Z380" i="6"/>
  <c r="AE380" i="6"/>
  <c r="I350" i="10"/>
  <c r="I350" i="9"/>
  <c r="I350" i="8"/>
  <c r="Z330" i="6"/>
  <c r="AE330" i="6"/>
  <c r="I368" i="10"/>
  <c r="I368" i="9"/>
  <c r="I368" i="8"/>
  <c r="Z348" i="6"/>
  <c r="AE348" i="6"/>
  <c r="I346" i="10"/>
  <c r="I346" i="9"/>
  <c r="I346" i="8"/>
  <c r="AE326" i="6"/>
  <c r="Z326" i="6"/>
  <c r="I326" i="10"/>
  <c r="I326" i="9"/>
  <c r="I326" i="8"/>
  <c r="Z306" i="6"/>
  <c r="AE306" i="6"/>
  <c r="I158" i="10"/>
  <c r="I158" i="9"/>
  <c r="I158" i="8"/>
  <c r="Z138" i="6"/>
  <c r="AE138" i="6"/>
  <c r="I375" i="10"/>
  <c r="I375" i="9"/>
  <c r="I375" i="8"/>
  <c r="AE355" i="6"/>
  <c r="Z355" i="6"/>
  <c r="I417" i="10"/>
  <c r="I417" i="9"/>
  <c r="I417" i="8"/>
  <c r="AE397" i="6"/>
  <c r="Z397" i="6"/>
  <c r="I344" i="10"/>
  <c r="I344" i="9"/>
  <c r="I344" i="8"/>
  <c r="AE324" i="6"/>
  <c r="Z324" i="6"/>
  <c r="I413" i="10"/>
  <c r="I413" i="9"/>
  <c r="I413" i="8"/>
  <c r="Z393" i="6"/>
  <c r="AE393" i="6"/>
  <c r="I61" i="10"/>
  <c r="I61" i="9"/>
  <c r="I61" i="8"/>
  <c r="Z41" i="6"/>
  <c r="AE41" i="6"/>
  <c r="Z421" i="8"/>
  <c r="AA421" i="8" s="1"/>
  <c r="AN421" i="8"/>
  <c r="AO421" i="8" s="1"/>
  <c r="L421" i="8"/>
  <c r="M421" i="8" s="1"/>
  <c r="I395" i="10"/>
  <c r="I395" i="9"/>
  <c r="I395" i="8"/>
  <c r="AE375" i="6"/>
  <c r="Z375" i="6"/>
  <c r="I94" i="10"/>
  <c r="I94" i="9"/>
  <c r="I94" i="8"/>
  <c r="Z74" i="6"/>
  <c r="AE74" i="6"/>
  <c r="Z62" i="10"/>
  <c r="AA62" i="10" s="1"/>
  <c r="L62" i="10"/>
  <c r="M62" i="10" s="1"/>
  <c r="AN62" i="10"/>
  <c r="AO62" i="10" s="1"/>
  <c r="I393" i="10"/>
  <c r="I393" i="9"/>
  <c r="I393" i="8"/>
  <c r="AE373" i="6"/>
  <c r="Z373" i="6"/>
  <c r="I338" i="10"/>
  <c r="I338" i="9"/>
  <c r="I338" i="8"/>
  <c r="AE318" i="6"/>
  <c r="Z318" i="6"/>
  <c r="I369" i="10"/>
  <c r="I369" i="9"/>
  <c r="I369" i="8"/>
  <c r="Z349" i="6"/>
  <c r="AE349" i="6"/>
  <c r="I377" i="10"/>
  <c r="I377" i="9"/>
  <c r="I377" i="8"/>
  <c r="Z357" i="6"/>
  <c r="AE357" i="6"/>
  <c r="I343" i="10"/>
  <c r="I343" i="9"/>
  <c r="I343" i="8"/>
  <c r="Z323" i="6"/>
  <c r="AE323" i="6"/>
  <c r="L361" i="10"/>
  <c r="M361" i="10" s="1"/>
  <c r="Z361" i="10"/>
  <c r="AA361" i="10" s="1"/>
  <c r="AN361" i="10"/>
  <c r="AO361" i="10" s="1"/>
  <c r="I297" i="10"/>
  <c r="I297" i="9"/>
  <c r="I297" i="8"/>
  <c r="AE277" i="6"/>
  <c r="Z277" i="6"/>
  <c r="I233" i="10"/>
  <c r="I233" i="9"/>
  <c r="I233" i="8"/>
  <c r="AE213" i="6"/>
  <c r="Z213" i="6"/>
  <c r="I169" i="10"/>
  <c r="I169" i="9"/>
  <c r="I169" i="8"/>
  <c r="AE149" i="6"/>
  <c r="Z149" i="6"/>
  <c r="I105" i="10"/>
  <c r="I105" i="9"/>
  <c r="I105" i="8"/>
  <c r="AE85" i="6"/>
  <c r="Z85" i="6"/>
  <c r="I40" i="10"/>
  <c r="I40" i="9"/>
  <c r="I40" i="8"/>
  <c r="AE20" i="6"/>
  <c r="Z20" i="6"/>
  <c r="L33" i="9"/>
  <c r="M33" i="9" s="1"/>
  <c r="Z33" i="9"/>
  <c r="AA33" i="9" s="1"/>
  <c r="AN33" i="9"/>
  <c r="AO33" i="9" s="1"/>
  <c r="Y352" i="6"/>
  <c r="I77" i="10"/>
  <c r="I77" i="9"/>
  <c r="I77" i="8"/>
  <c r="Z57" i="6"/>
  <c r="AE57" i="6"/>
  <c r="I293" i="10"/>
  <c r="I293" i="9"/>
  <c r="I293" i="8"/>
  <c r="Z273" i="6"/>
  <c r="AE273" i="6"/>
  <c r="I229" i="10"/>
  <c r="I229" i="9"/>
  <c r="I229" i="8"/>
  <c r="Z209" i="6"/>
  <c r="AE209" i="6"/>
  <c r="I165" i="10"/>
  <c r="I165" i="9"/>
  <c r="I165" i="8"/>
  <c r="Z145" i="6"/>
  <c r="AE145" i="6"/>
  <c r="I101" i="10"/>
  <c r="I101" i="9"/>
  <c r="I101" i="8"/>
  <c r="Z81" i="6"/>
  <c r="AE81" i="6"/>
  <c r="L316" i="9"/>
  <c r="M316" i="9" s="1"/>
  <c r="Z316" i="9"/>
  <c r="AA316" i="9" s="1"/>
  <c r="AN316" i="9"/>
  <c r="AO316" i="9" s="1"/>
  <c r="L292" i="10"/>
  <c r="M292" i="10" s="1"/>
  <c r="AN292" i="10"/>
  <c r="AO292" i="10" s="1"/>
  <c r="Z292" i="10"/>
  <c r="AA292" i="10" s="1"/>
  <c r="AN252" i="9"/>
  <c r="AO252" i="9" s="1"/>
  <c r="L252" i="9"/>
  <c r="M252" i="9" s="1"/>
  <c r="Z252" i="9"/>
  <c r="AA252" i="9" s="1"/>
  <c r="L220" i="10"/>
  <c r="M220" i="10" s="1"/>
  <c r="Z220" i="10"/>
  <c r="AA220" i="10" s="1"/>
  <c r="AN220" i="10"/>
  <c r="AO220" i="10" s="1"/>
  <c r="L204" i="8"/>
  <c r="M204" i="8" s="1"/>
  <c r="Z204" i="8"/>
  <c r="AA204" i="8" s="1"/>
  <c r="AN204" i="8"/>
  <c r="AO204" i="8" s="1"/>
  <c r="Z172" i="9"/>
  <c r="AA172" i="9" s="1"/>
  <c r="AN172" i="9"/>
  <c r="AO172" i="9" s="1"/>
  <c r="L172" i="9"/>
  <c r="M172" i="9" s="1"/>
  <c r="L132" i="8"/>
  <c r="M132" i="8" s="1"/>
  <c r="Z132" i="8"/>
  <c r="AA132" i="8" s="1"/>
  <c r="AN132" i="8"/>
  <c r="AO132" i="8" s="1"/>
  <c r="AN100" i="9"/>
  <c r="AO100" i="9" s="1"/>
  <c r="L100" i="9"/>
  <c r="M100" i="9" s="1"/>
  <c r="Z100" i="9"/>
  <c r="AA100" i="9" s="1"/>
  <c r="AN76" i="10"/>
  <c r="AO76" i="10" s="1"/>
  <c r="L76" i="10"/>
  <c r="M76" i="10" s="1"/>
  <c r="Z76" i="10"/>
  <c r="AA76" i="10" s="1"/>
  <c r="Z60" i="8"/>
  <c r="AA60" i="8" s="1"/>
  <c r="AN60" i="8"/>
  <c r="AO60" i="8" s="1"/>
  <c r="L60" i="8"/>
  <c r="M60" i="8" s="1"/>
  <c r="I376" i="10"/>
  <c r="I376" i="9"/>
  <c r="I376" i="8"/>
  <c r="Z356" i="6"/>
  <c r="AE356" i="6"/>
  <c r="I353" i="10"/>
  <c r="I353" i="9"/>
  <c r="I353" i="8"/>
  <c r="AE333" i="6"/>
  <c r="Z333" i="6"/>
  <c r="I289" i="10"/>
  <c r="I289" i="9"/>
  <c r="I289" i="8"/>
  <c r="AE269" i="6"/>
  <c r="Z269" i="6"/>
  <c r="I225" i="10"/>
  <c r="I225" i="9"/>
  <c r="I225" i="8"/>
  <c r="AE205" i="6"/>
  <c r="Z205" i="6"/>
  <c r="I161" i="10"/>
  <c r="I161" i="9"/>
  <c r="I161" i="8"/>
  <c r="AE141" i="6"/>
  <c r="Z141" i="6"/>
  <c r="I97" i="10"/>
  <c r="I97" i="9"/>
  <c r="I97" i="8"/>
  <c r="AE77" i="6"/>
  <c r="Z77" i="6"/>
  <c r="I49" i="10"/>
  <c r="I49" i="9"/>
  <c r="I49" i="8"/>
  <c r="AE29" i="6"/>
  <c r="Z29" i="6"/>
  <c r="L421" i="9"/>
  <c r="M421" i="9" s="1"/>
  <c r="Z421" i="9"/>
  <c r="AA421" i="9" s="1"/>
  <c r="AN421" i="9"/>
  <c r="AO421" i="9" s="1"/>
  <c r="AN359" i="10"/>
  <c r="AO359" i="10" s="1"/>
  <c r="L359" i="10"/>
  <c r="M359" i="10" s="1"/>
  <c r="Z359" i="10"/>
  <c r="AA359" i="10" s="1"/>
  <c r="I319" i="10"/>
  <c r="I319" i="9"/>
  <c r="I319" i="8"/>
  <c r="Z299" i="6"/>
  <c r="AE299" i="6"/>
  <c r="I255" i="10"/>
  <c r="I255" i="9"/>
  <c r="I255" i="8"/>
  <c r="Z235" i="6"/>
  <c r="AE235" i="6"/>
  <c r="I191" i="10"/>
  <c r="I191" i="9"/>
  <c r="I191" i="8"/>
  <c r="Z171" i="6"/>
  <c r="AE171" i="6"/>
  <c r="I127" i="10"/>
  <c r="I127" i="9"/>
  <c r="I127" i="8"/>
  <c r="Z107" i="6"/>
  <c r="AE107" i="6"/>
  <c r="I63" i="10"/>
  <c r="I63" i="9"/>
  <c r="I63" i="8"/>
  <c r="Z43" i="6"/>
  <c r="AE43" i="6"/>
  <c r="I342" i="10"/>
  <c r="I342" i="9"/>
  <c r="I342" i="8"/>
  <c r="Z322" i="6"/>
  <c r="AE322" i="6"/>
  <c r="I314" i="10"/>
  <c r="I314" i="9"/>
  <c r="I314" i="8"/>
  <c r="AE294" i="6"/>
  <c r="Z294" i="6"/>
  <c r="I282" i="10"/>
  <c r="I282" i="9"/>
  <c r="I282" i="8"/>
  <c r="AE262" i="6"/>
  <c r="Z262" i="6"/>
  <c r="I250" i="10"/>
  <c r="I250" i="9"/>
  <c r="I250" i="8"/>
  <c r="AE230" i="6"/>
  <c r="Z230" i="6"/>
  <c r="I218" i="10"/>
  <c r="I218" i="9"/>
  <c r="I218" i="8"/>
  <c r="AE198" i="6"/>
  <c r="Z198" i="6"/>
  <c r="I186" i="10"/>
  <c r="I186" i="9"/>
  <c r="I186" i="8"/>
  <c r="AE166" i="6"/>
  <c r="Z166" i="6"/>
  <c r="I154" i="10"/>
  <c r="I154" i="9"/>
  <c r="I154" i="8"/>
  <c r="AE134" i="6"/>
  <c r="Z134" i="6"/>
  <c r="I122" i="10"/>
  <c r="I122" i="9"/>
  <c r="I122" i="8"/>
  <c r="AE102" i="6"/>
  <c r="Z102" i="6"/>
  <c r="I90" i="10"/>
  <c r="I90" i="9"/>
  <c r="I90" i="8"/>
  <c r="AE70" i="6"/>
  <c r="Z70" i="6"/>
  <c r="Z74" i="10"/>
  <c r="AA74" i="10" s="1"/>
  <c r="L74" i="10"/>
  <c r="M74" i="10" s="1"/>
  <c r="AN74" i="10"/>
  <c r="AO74" i="10" s="1"/>
  <c r="AN66" i="8"/>
  <c r="AO66" i="8" s="1"/>
  <c r="L66" i="8"/>
  <c r="M66" i="8" s="1"/>
  <c r="Z66" i="8"/>
  <c r="AA66" i="8" s="1"/>
  <c r="I58" i="10"/>
  <c r="I58" i="9"/>
  <c r="I58" i="8"/>
  <c r="AE38" i="6"/>
  <c r="Z38" i="6"/>
  <c r="L33" i="10"/>
  <c r="M33" i="10" s="1"/>
  <c r="Z33" i="10"/>
  <c r="AA33" i="10" s="1"/>
  <c r="AN33" i="10"/>
  <c r="AO33" i="10" s="1"/>
  <c r="I328" i="10"/>
  <c r="I328" i="9"/>
  <c r="I328" i="8"/>
  <c r="AE308" i="6"/>
  <c r="Z308" i="6"/>
  <c r="I264" i="10"/>
  <c r="I264" i="9"/>
  <c r="I264" i="8"/>
  <c r="AE244" i="6"/>
  <c r="Z244" i="6"/>
  <c r="I200" i="10"/>
  <c r="I200" i="9"/>
  <c r="I200" i="8"/>
  <c r="AE180" i="6"/>
  <c r="Z180" i="6"/>
  <c r="I152" i="10"/>
  <c r="I152" i="9"/>
  <c r="I152" i="8"/>
  <c r="AE132" i="6"/>
  <c r="Z132" i="6"/>
  <c r="I96" i="10"/>
  <c r="I96" i="9"/>
  <c r="I96" i="8"/>
  <c r="AE76" i="6"/>
  <c r="Z76" i="6"/>
  <c r="I323" i="10"/>
  <c r="I323" i="9"/>
  <c r="I323" i="8"/>
  <c r="AE303" i="6"/>
  <c r="Z303" i="6"/>
  <c r="I259" i="10"/>
  <c r="I259" i="9"/>
  <c r="I259" i="8"/>
  <c r="AE239" i="6"/>
  <c r="Z239" i="6"/>
  <c r="I179" i="10"/>
  <c r="I179" i="9"/>
  <c r="I179" i="8"/>
  <c r="AE159" i="6"/>
  <c r="Z159" i="6"/>
  <c r="I107" i="10"/>
  <c r="I107" i="9"/>
  <c r="I107" i="8"/>
  <c r="AE87" i="6"/>
  <c r="Z87" i="6"/>
  <c r="I46" i="10"/>
  <c r="I46" i="9"/>
  <c r="I46" i="8"/>
  <c r="Z26" i="6"/>
  <c r="AE26" i="6"/>
  <c r="L54" i="9"/>
  <c r="M54" i="9" s="1"/>
  <c r="Z54" i="9"/>
  <c r="AA54" i="9" s="1"/>
  <c r="AN54" i="9"/>
  <c r="AO54" i="9" s="1"/>
  <c r="I355" i="10"/>
  <c r="I355" i="9"/>
  <c r="I355" i="8"/>
  <c r="AE335" i="6"/>
  <c r="Z335" i="6"/>
  <c r="I371" i="10"/>
  <c r="I371" i="9"/>
  <c r="I371" i="8"/>
  <c r="AE351" i="6"/>
  <c r="Z351" i="6"/>
  <c r="I188" i="10"/>
  <c r="I188" i="9"/>
  <c r="I188" i="8"/>
  <c r="Z168" i="6"/>
  <c r="AE168" i="6"/>
  <c r="I53" i="10"/>
  <c r="I53" i="9"/>
  <c r="I53" i="8"/>
  <c r="Z33" i="6"/>
  <c r="AE33" i="6"/>
  <c r="Y360" i="6"/>
  <c r="I285" i="10"/>
  <c r="I285" i="9"/>
  <c r="I285" i="8"/>
  <c r="Z265" i="6"/>
  <c r="AE265" i="6"/>
  <c r="I221" i="10"/>
  <c r="I221" i="9"/>
  <c r="I221" i="8"/>
  <c r="Z201" i="6"/>
  <c r="AE201" i="6"/>
  <c r="I157" i="10"/>
  <c r="I157" i="9"/>
  <c r="I157" i="8"/>
  <c r="Z137" i="6"/>
  <c r="AE137" i="6"/>
  <c r="I93" i="10"/>
  <c r="I93" i="9"/>
  <c r="I93" i="8"/>
  <c r="Z73" i="6"/>
  <c r="AE73" i="6"/>
  <c r="L316" i="10"/>
  <c r="M316" i="10" s="1"/>
  <c r="Z316" i="10"/>
  <c r="AA316" i="10" s="1"/>
  <c r="AN316" i="10"/>
  <c r="AO316" i="10" s="1"/>
  <c r="Z252" i="10"/>
  <c r="AA252" i="10" s="1"/>
  <c r="L252" i="10"/>
  <c r="M252" i="10" s="1"/>
  <c r="AN252" i="10"/>
  <c r="AO252" i="10" s="1"/>
  <c r="L236" i="8"/>
  <c r="M236" i="8" s="1"/>
  <c r="Z236" i="8"/>
  <c r="AA236" i="8" s="1"/>
  <c r="AN236" i="8"/>
  <c r="AO236" i="8" s="1"/>
  <c r="AN204" i="9"/>
  <c r="AO204" i="9" s="1"/>
  <c r="L204" i="9"/>
  <c r="M204" i="9" s="1"/>
  <c r="Z204" i="9"/>
  <c r="AA204" i="9" s="1"/>
  <c r="AN172" i="10"/>
  <c r="AO172" i="10" s="1"/>
  <c r="L172" i="10"/>
  <c r="M172" i="10" s="1"/>
  <c r="Z172" i="10"/>
  <c r="AA172" i="10" s="1"/>
  <c r="L156" i="8"/>
  <c r="M156" i="8" s="1"/>
  <c r="Z156" i="8"/>
  <c r="AA156" i="8" s="1"/>
  <c r="AN156" i="8"/>
  <c r="AO156" i="8" s="1"/>
  <c r="AN132" i="9"/>
  <c r="AO132" i="9" s="1"/>
  <c r="L132" i="9"/>
  <c r="M132" i="9" s="1"/>
  <c r="Z132" i="9"/>
  <c r="AA132" i="9" s="1"/>
  <c r="AN100" i="10"/>
  <c r="AO100" i="10" s="1"/>
  <c r="L100" i="10"/>
  <c r="M100" i="10" s="1"/>
  <c r="Z100" i="10"/>
  <c r="AA100" i="10" s="1"/>
  <c r="Z84" i="8"/>
  <c r="AA84" i="8" s="1"/>
  <c r="AN84" i="8"/>
  <c r="AO84" i="8" s="1"/>
  <c r="L84" i="8"/>
  <c r="M84" i="8" s="1"/>
  <c r="L60" i="9"/>
  <c r="M60" i="9" s="1"/>
  <c r="Z60" i="9"/>
  <c r="AA60" i="9" s="1"/>
  <c r="AN60" i="9"/>
  <c r="AO60" i="9" s="1"/>
  <c r="I34" i="10"/>
  <c r="I34" i="9"/>
  <c r="I34" i="8"/>
  <c r="Z14" i="6"/>
  <c r="AE14" i="6"/>
  <c r="I345" i="10"/>
  <c r="I345" i="9"/>
  <c r="I345" i="8"/>
  <c r="AE325" i="6"/>
  <c r="Z325" i="6"/>
  <c r="I281" i="10"/>
  <c r="I281" i="9"/>
  <c r="I281" i="8"/>
  <c r="AE261" i="6"/>
  <c r="Z261" i="6"/>
  <c r="I217" i="10"/>
  <c r="I217" i="9"/>
  <c r="I217" i="8"/>
  <c r="AE197" i="6"/>
  <c r="Z197" i="6"/>
  <c r="I153" i="10"/>
  <c r="I153" i="9"/>
  <c r="I153" i="8"/>
  <c r="AE133" i="6"/>
  <c r="Z133" i="6"/>
  <c r="I89" i="10"/>
  <c r="I89" i="9"/>
  <c r="I89" i="8"/>
  <c r="AE69" i="6"/>
  <c r="Z69" i="6"/>
  <c r="L73" i="8"/>
  <c r="M73" i="8" s="1"/>
  <c r="Z73" i="8"/>
  <c r="AA73" i="8" s="1"/>
  <c r="AN73" i="8"/>
  <c r="AO73" i="8" s="1"/>
  <c r="L348" i="8"/>
  <c r="M348" i="8" s="1"/>
  <c r="Z348" i="8"/>
  <c r="AA348" i="8" s="1"/>
  <c r="AN348" i="8"/>
  <c r="AO348" i="8" s="1"/>
  <c r="I43" i="10"/>
  <c r="I43" i="9"/>
  <c r="I43" i="8"/>
  <c r="Z23" i="6"/>
  <c r="AE23" i="6"/>
  <c r="Z421" i="10"/>
  <c r="AA421" i="10" s="1"/>
  <c r="AN421" i="10"/>
  <c r="AO421" i="10" s="1"/>
  <c r="L421" i="10"/>
  <c r="M421" i="10" s="1"/>
  <c r="I311" i="10"/>
  <c r="I311" i="9"/>
  <c r="I311" i="8"/>
  <c r="Z291" i="6"/>
  <c r="AE291" i="6"/>
  <c r="I247" i="10"/>
  <c r="I247" i="9"/>
  <c r="I247" i="8"/>
  <c r="Z227" i="6"/>
  <c r="AE227" i="6"/>
  <c r="I183" i="10"/>
  <c r="I183" i="9"/>
  <c r="I183" i="8"/>
  <c r="Z163" i="6"/>
  <c r="AE163" i="6"/>
  <c r="I119" i="10"/>
  <c r="I119" i="9"/>
  <c r="I119" i="8"/>
  <c r="Z99" i="6"/>
  <c r="AE99" i="6"/>
  <c r="I55" i="10"/>
  <c r="I55" i="9"/>
  <c r="I55" i="8"/>
  <c r="Z35" i="6"/>
  <c r="AE35" i="6"/>
  <c r="L35" i="8"/>
  <c r="M35" i="8" s="1"/>
  <c r="Z35" i="8"/>
  <c r="AA35" i="8" s="1"/>
  <c r="AN35" i="8"/>
  <c r="AO35" i="8" s="1"/>
  <c r="I341" i="10"/>
  <c r="I341" i="9"/>
  <c r="I341" i="8"/>
  <c r="Z321" i="6"/>
  <c r="AE321" i="6"/>
  <c r="I278" i="10"/>
  <c r="I278" i="9"/>
  <c r="I278" i="8"/>
  <c r="Z258" i="6"/>
  <c r="AE258" i="6"/>
  <c r="I246" i="10"/>
  <c r="I246" i="9"/>
  <c r="I246" i="8"/>
  <c r="Z226" i="6"/>
  <c r="AE226" i="6"/>
  <c r="I214" i="10"/>
  <c r="I214" i="9"/>
  <c r="I214" i="8"/>
  <c r="Z194" i="6"/>
  <c r="AE194" i="6"/>
  <c r="I182" i="10"/>
  <c r="I182" i="9"/>
  <c r="I182" i="8"/>
  <c r="Z162" i="6"/>
  <c r="AE162" i="6"/>
  <c r="I150" i="10"/>
  <c r="I150" i="9"/>
  <c r="I150" i="8"/>
  <c r="Z130" i="6"/>
  <c r="AE130" i="6"/>
  <c r="I118" i="10"/>
  <c r="I118" i="9"/>
  <c r="I118" i="8"/>
  <c r="Z98" i="6"/>
  <c r="AE98" i="6"/>
  <c r="I86" i="10"/>
  <c r="I86" i="9"/>
  <c r="I86" i="8"/>
  <c r="Z66" i="6"/>
  <c r="AE66" i="6"/>
  <c r="Z66" i="9"/>
  <c r="AA66" i="9" s="1"/>
  <c r="AN66" i="9"/>
  <c r="AO66" i="9" s="1"/>
  <c r="L66" i="9"/>
  <c r="M66" i="9" s="1"/>
  <c r="I41" i="10"/>
  <c r="I41" i="9"/>
  <c r="I41" i="8"/>
  <c r="AE21" i="6"/>
  <c r="Z21" i="6"/>
  <c r="I320" i="10"/>
  <c r="I320" i="9"/>
  <c r="I320" i="8"/>
  <c r="AE300" i="6"/>
  <c r="Z300" i="6"/>
  <c r="I256" i="10"/>
  <c r="I256" i="9"/>
  <c r="I256" i="8"/>
  <c r="AE236" i="6"/>
  <c r="Z236" i="6"/>
  <c r="I195" i="10"/>
  <c r="I195" i="9"/>
  <c r="I195" i="8"/>
  <c r="AE175" i="6"/>
  <c r="Z175" i="6"/>
  <c r="I147" i="10"/>
  <c r="I147" i="9"/>
  <c r="I147" i="8"/>
  <c r="AE127" i="6"/>
  <c r="Z127" i="6"/>
  <c r="I88" i="10"/>
  <c r="I88" i="9"/>
  <c r="I88" i="8"/>
  <c r="AE68" i="6"/>
  <c r="Z68" i="6"/>
  <c r="I315" i="10"/>
  <c r="I315" i="9"/>
  <c r="I315" i="8"/>
  <c r="AE295" i="6"/>
  <c r="Z295" i="6"/>
  <c r="I251" i="10"/>
  <c r="I251" i="9"/>
  <c r="I251" i="8"/>
  <c r="AE231" i="6"/>
  <c r="Z231" i="6"/>
  <c r="I171" i="10"/>
  <c r="I171" i="9"/>
  <c r="I171" i="8"/>
  <c r="AE151" i="6"/>
  <c r="Z151" i="6"/>
  <c r="I99" i="10"/>
  <c r="I99" i="9"/>
  <c r="I99" i="8"/>
  <c r="AE79" i="6"/>
  <c r="Z79" i="6"/>
  <c r="I42" i="10"/>
  <c r="I42" i="9"/>
  <c r="I42" i="8"/>
  <c r="AE22" i="6"/>
  <c r="Z22" i="6"/>
  <c r="Z54" i="10"/>
  <c r="AA54" i="10" s="1"/>
  <c r="L54" i="10"/>
  <c r="M54" i="10" s="1"/>
  <c r="AN54" i="10"/>
  <c r="AO54" i="10" s="1"/>
  <c r="I424" i="10"/>
  <c r="I424" i="9"/>
  <c r="I424" i="8"/>
  <c r="Z404" i="6"/>
  <c r="AE404" i="6"/>
  <c r="I394" i="10"/>
  <c r="I394" i="9"/>
  <c r="I394" i="8"/>
  <c r="AE374" i="6"/>
  <c r="Z374" i="6"/>
  <c r="Y379" i="6"/>
  <c r="Y367" i="6"/>
  <c r="I364" i="10"/>
  <c r="I364" i="9"/>
  <c r="I364" i="8"/>
  <c r="AE344" i="6"/>
  <c r="Z344" i="6"/>
  <c r="I108" i="10"/>
  <c r="I108" i="9"/>
  <c r="I108" i="8"/>
  <c r="Z88" i="6"/>
  <c r="AE88" i="6"/>
  <c r="I37" i="10"/>
  <c r="I37" i="9"/>
  <c r="I37" i="8"/>
  <c r="Z17" i="6"/>
  <c r="AE17" i="6"/>
  <c r="Y388" i="6"/>
  <c r="Y372" i="6"/>
  <c r="I277" i="10"/>
  <c r="I277" i="9"/>
  <c r="I277" i="8"/>
  <c r="Z257" i="6"/>
  <c r="AE257" i="6"/>
  <c r="I213" i="10"/>
  <c r="I213" i="9"/>
  <c r="I213" i="8"/>
  <c r="Z193" i="6"/>
  <c r="AE193" i="6"/>
  <c r="I149" i="10"/>
  <c r="I149" i="9"/>
  <c r="I149" i="8"/>
  <c r="Z129" i="6"/>
  <c r="AE129" i="6"/>
  <c r="I85" i="10"/>
  <c r="I85" i="9"/>
  <c r="I85" i="8"/>
  <c r="Z65" i="6"/>
  <c r="AE65" i="6"/>
  <c r="L324" i="8"/>
  <c r="M324" i="8" s="1"/>
  <c r="Z324" i="8"/>
  <c r="AA324" i="8" s="1"/>
  <c r="AN324" i="8"/>
  <c r="AO324" i="8" s="1"/>
  <c r="L260" i="8"/>
  <c r="M260" i="8" s="1"/>
  <c r="Z260" i="8"/>
  <c r="AA260" i="8" s="1"/>
  <c r="AN260" i="8"/>
  <c r="AO260" i="8" s="1"/>
  <c r="AN236" i="9"/>
  <c r="AO236" i="9" s="1"/>
  <c r="L236" i="9"/>
  <c r="M236" i="9" s="1"/>
  <c r="Z236" i="9"/>
  <c r="AA236" i="9" s="1"/>
  <c r="L204" i="10"/>
  <c r="M204" i="10" s="1"/>
  <c r="Z204" i="10"/>
  <c r="AA204" i="10" s="1"/>
  <c r="AN204" i="10"/>
  <c r="AO204" i="10" s="1"/>
  <c r="L180" i="8"/>
  <c r="M180" i="8" s="1"/>
  <c r="Z180" i="8"/>
  <c r="AA180" i="8" s="1"/>
  <c r="AN180" i="8"/>
  <c r="AO180" i="8" s="1"/>
  <c r="Z156" i="9"/>
  <c r="AA156" i="9" s="1"/>
  <c r="AN156" i="9"/>
  <c r="AO156" i="9" s="1"/>
  <c r="L156" i="9"/>
  <c r="M156" i="9" s="1"/>
  <c r="L132" i="10"/>
  <c r="M132" i="10" s="1"/>
  <c r="Z132" i="10"/>
  <c r="AA132" i="10" s="1"/>
  <c r="AN132" i="10"/>
  <c r="AO132" i="10" s="1"/>
  <c r="Z116" i="8"/>
  <c r="AA116" i="8" s="1"/>
  <c r="AN116" i="8"/>
  <c r="AO116" i="8" s="1"/>
  <c r="L116" i="8"/>
  <c r="M116" i="8" s="1"/>
  <c r="AN84" i="9"/>
  <c r="AO84" i="9" s="1"/>
  <c r="L84" i="9"/>
  <c r="M84" i="9" s="1"/>
  <c r="Z84" i="9"/>
  <c r="AA84" i="9" s="1"/>
  <c r="AN60" i="10"/>
  <c r="AO60" i="10" s="1"/>
  <c r="L60" i="10"/>
  <c r="M60" i="10" s="1"/>
  <c r="Z60" i="10"/>
  <c r="AA60" i="10" s="1"/>
  <c r="I337" i="10"/>
  <c r="I337" i="9"/>
  <c r="I337" i="8"/>
  <c r="AE317" i="6"/>
  <c r="Z317" i="6"/>
  <c r="I273" i="10"/>
  <c r="I273" i="9"/>
  <c r="I273" i="8"/>
  <c r="AE253" i="6"/>
  <c r="Z253" i="6"/>
  <c r="I209" i="10"/>
  <c r="I209" i="9"/>
  <c r="I209" i="8"/>
  <c r="AE189" i="6"/>
  <c r="Z189" i="6"/>
  <c r="I145" i="10"/>
  <c r="I145" i="9"/>
  <c r="I145" i="8"/>
  <c r="AE125" i="6"/>
  <c r="Z125" i="6"/>
  <c r="Z73" i="9"/>
  <c r="AA73" i="9" s="1"/>
  <c r="AN73" i="9"/>
  <c r="AO73" i="9" s="1"/>
  <c r="L73" i="9"/>
  <c r="M73" i="9" s="1"/>
  <c r="Z47" i="8"/>
  <c r="AA47" i="8" s="1"/>
  <c r="AN47" i="8"/>
  <c r="AO47" i="8" s="1"/>
  <c r="L47" i="8"/>
  <c r="M47" i="8" s="1"/>
  <c r="L348" i="9"/>
  <c r="M348" i="9" s="1"/>
  <c r="Z348" i="9"/>
  <c r="AA348" i="9" s="1"/>
  <c r="AN348" i="9"/>
  <c r="AO348" i="9" s="1"/>
  <c r="I32" i="10"/>
  <c r="I32" i="9"/>
  <c r="I32" i="8"/>
  <c r="AE12" i="6"/>
  <c r="Z12" i="6"/>
  <c r="I303" i="10"/>
  <c r="I303" i="9"/>
  <c r="I303" i="8"/>
  <c r="Z283" i="6"/>
  <c r="AE283" i="6"/>
  <c r="I239" i="10"/>
  <c r="I239" i="9"/>
  <c r="I239" i="8"/>
  <c r="Z219" i="6"/>
  <c r="AE219" i="6"/>
  <c r="I175" i="10"/>
  <c r="I175" i="9"/>
  <c r="I175" i="8"/>
  <c r="Z155" i="6"/>
  <c r="AE155" i="6"/>
  <c r="I111" i="10"/>
  <c r="I111" i="9"/>
  <c r="I111" i="8"/>
  <c r="Z91" i="6"/>
  <c r="AE91" i="6"/>
  <c r="AN35" i="9"/>
  <c r="AO35" i="9" s="1"/>
  <c r="L35" i="9"/>
  <c r="M35" i="9" s="1"/>
  <c r="Z35" i="9"/>
  <c r="AA35" i="9" s="1"/>
  <c r="I362" i="10"/>
  <c r="I362" i="9"/>
  <c r="I362" i="8"/>
  <c r="AE342" i="6"/>
  <c r="Z342" i="6"/>
  <c r="I306" i="10"/>
  <c r="I306" i="9"/>
  <c r="I306" i="8"/>
  <c r="AE286" i="6"/>
  <c r="Z286" i="6"/>
  <c r="I274" i="10"/>
  <c r="I274" i="9"/>
  <c r="I274" i="8"/>
  <c r="AE254" i="6"/>
  <c r="Z254" i="6"/>
  <c r="I242" i="10"/>
  <c r="I242" i="9"/>
  <c r="I242" i="8"/>
  <c r="AE222" i="6"/>
  <c r="Z222" i="6"/>
  <c r="I210" i="10"/>
  <c r="I210" i="9"/>
  <c r="I210" i="8"/>
  <c r="AE190" i="6"/>
  <c r="Z190" i="6"/>
  <c r="I178" i="10"/>
  <c r="I178" i="9"/>
  <c r="I178" i="8"/>
  <c r="AE158" i="6"/>
  <c r="Z158" i="6"/>
  <c r="I146" i="10"/>
  <c r="I146" i="9"/>
  <c r="I146" i="8"/>
  <c r="AE126" i="6"/>
  <c r="Z126" i="6"/>
  <c r="I114" i="10"/>
  <c r="I114" i="9"/>
  <c r="I114" i="8"/>
  <c r="AE94" i="6"/>
  <c r="Z94" i="6"/>
  <c r="I82" i="10"/>
  <c r="I82" i="9"/>
  <c r="I82" i="8"/>
  <c r="AE62" i="6"/>
  <c r="Z62" i="6"/>
  <c r="Z66" i="10"/>
  <c r="AA66" i="10" s="1"/>
  <c r="AN66" i="10"/>
  <c r="AO66" i="10" s="1"/>
  <c r="L66" i="10"/>
  <c r="M66" i="10" s="1"/>
  <c r="I36" i="10"/>
  <c r="I36" i="9"/>
  <c r="I36" i="8"/>
  <c r="Z16" i="6"/>
  <c r="AE16" i="6"/>
  <c r="I312" i="10"/>
  <c r="I312" i="9"/>
  <c r="I312" i="8"/>
  <c r="AE292" i="6"/>
  <c r="Z292" i="6"/>
  <c r="I248" i="10"/>
  <c r="I248" i="9"/>
  <c r="I248" i="8"/>
  <c r="AE228" i="6"/>
  <c r="Z228" i="6"/>
  <c r="I192" i="10"/>
  <c r="I192" i="9"/>
  <c r="I192" i="8"/>
  <c r="AE172" i="6"/>
  <c r="Z172" i="6"/>
  <c r="I144" i="10"/>
  <c r="I144" i="9"/>
  <c r="I144" i="8"/>
  <c r="AE124" i="6"/>
  <c r="Z124" i="6"/>
  <c r="I80" i="10"/>
  <c r="I80" i="9"/>
  <c r="I80" i="8"/>
  <c r="AE60" i="6"/>
  <c r="Z60" i="6"/>
  <c r="AN50" i="8"/>
  <c r="AO50" i="8" s="1"/>
  <c r="L50" i="8"/>
  <c r="M50" i="8" s="1"/>
  <c r="Z50" i="8"/>
  <c r="AA50" i="8" s="1"/>
  <c r="I307" i="10"/>
  <c r="I307" i="9"/>
  <c r="I307" i="8"/>
  <c r="AE287" i="6"/>
  <c r="Z287" i="6"/>
  <c r="I243" i="10"/>
  <c r="I243" i="9"/>
  <c r="I243" i="8"/>
  <c r="AE223" i="6"/>
  <c r="Z223" i="6"/>
  <c r="I163" i="10"/>
  <c r="I163" i="9"/>
  <c r="I163" i="8"/>
  <c r="AE143" i="6"/>
  <c r="Z143" i="6"/>
  <c r="I91" i="10"/>
  <c r="I91" i="9"/>
  <c r="I91" i="8"/>
  <c r="AE71" i="6"/>
  <c r="Z71" i="6"/>
  <c r="I39" i="10"/>
  <c r="I39" i="9"/>
  <c r="I39" i="8"/>
  <c r="AE19" i="6"/>
  <c r="Z19" i="6"/>
  <c r="I363" i="10"/>
  <c r="I363" i="9"/>
  <c r="I363" i="8"/>
  <c r="Z343" i="6"/>
  <c r="AE343" i="6"/>
  <c r="Y395" i="6"/>
  <c r="Y366" i="6"/>
  <c r="I370" i="10"/>
  <c r="I370" i="9"/>
  <c r="I370" i="8"/>
  <c r="Z350" i="6"/>
  <c r="AE350" i="6"/>
  <c r="I333" i="10"/>
  <c r="I333" i="9"/>
  <c r="I333" i="8"/>
  <c r="Z313" i="6"/>
  <c r="AE313" i="6"/>
  <c r="I269" i="10"/>
  <c r="I269" i="9"/>
  <c r="I269" i="8"/>
  <c r="Z249" i="6"/>
  <c r="AE249" i="6"/>
  <c r="I205" i="10"/>
  <c r="I205" i="9"/>
  <c r="I205" i="8"/>
  <c r="Z185" i="6"/>
  <c r="AE185" i="6"/>
  <c r="I141" i="10"/>
  <c r="I141" i="9"/>
  <c r="I141" i="8"/>
  <c r="Z121" i="6"/>
  <c r="AE121" i="6"/>
  <c r="I69" i="10"/>
  <c r="I69" i="9"/>
  <c r="I69" i="8"/>
  <c r="Z49" i="6"/>
  <c r="AE49" i="6"/>
  <c r="L324" i="9"/>
  <c r="M324" i="9" s="1"/>
  <c r="Z324" i="9"/>
  <c r="AA324" i="9" s="1"/>
  <c r="AN324" i="9"/>
  <c r="AO324" i="9" s="1"/>
  <c r="L284" i="8"/>
  <c r="M284" i="8" s="1"/>
  <c r="Z284" i="8"/>
  <c r="AA284" i="8" s="1"/>
  <c r="AN284" i="8"/>
  <c r="AO284" i="8" s="1"/>
  <c r="L260" i="9"/>
  <c r="M260" i="9" s="1"/>
  <c r="AN260" i="9"/>
  <c r="AO260" i="9" s="1"/>
  <c r="Z260" i="9"/>
  <c r="AA260" i="9" s="1"/>
  <c r="L236" i="10"/>
  <c r="M236" i="10" s="1"/>
  <c r="Z236" i="10"/>
  <c r="AA236" i="10" s="1"/>
  <c r="AN236" i="10"/>
  <c r="AO236" i="10" s="1"/>
  <c r="L212" i="8"/>
  <c r="M212" i="8" s="1"/>
  <c r="Z212" i="8"/>
  <c r="AA212" i="8" s="1"/>
  <c r="AN212" i="8"/>
  <c r="AO212" i="8" s="1"/>
  <c r="Z180" i="9"/>
  <c r="AA180" i="9" s="1"/>
  <c r="AN180" i="9"/>
  <c r="AO180" i="9" s="1"/>
  <c r="L180" i="9"/>
  <c r="M180" i="9" s="1"/>
  <c r="L156" i="10"/>
  <c r="M156" i="10" s="1"/>
  <c r="Z156" i="10"/>
  <c r="AA156" i="10" s="1"/>
  <c r="AN156" i="10"/>
  <c r="AO156" i="10" s="1"/>
  <c r="L140" i="8"/>
  <c r="M140" i="8" s="1"/>
  <c r="Z140" i="8"/>
  <c r="AA140" i="8" s="1"/>
  <c r="AN140" i="8"/>
  <c r="AO140" i="8" s="1"/>
  <c r="AN116" i="9"/>
  <c r="AO116" i="9" s="1"/>
  <c r="L116" i="9"/>
  <c r="M116" i="9" s="1"/>
  <c r="Z116" i="9"/>
  <c r="AA116" i="9" s="1"/>
  <c r="AN84" i="10"/>
  <c r="AO84" i="10" s="1"/>
  <c r="L84" i="10"/>
  <c r="M84" i="10" s="1"/>
  <c r="Z84" i="10"/>
  <c r="AA84" i="10" s="1"/>
  <c r="Z68" i="8"/>
  <c r="AA68" i="8" s="1"/>
  <c r="AN68" i="8"/>
  <c r="AO68" i="8" s="1"/>
  <c r="L68" i="8"/>
  <c r="M68" i="8" s="1"/>
  <c r="I51" i="10"/>
  <c r="I51" i="9"/>
  <c r="I51" i="8"/>
  <c r="Z31" i="6"/>
  <c r="AE31" i="6"/>
  <c r="I329" i="10"/>
  <c r="I329" i="9"/>
  <c r="I329" i="8"/>
  <c r="AE309" i="6"/>
  <c r="Z309" i="6"/>
  <c r="I265" i="10"/>
  <c r="I265" i="9"/>
  <c r="I265" i="8"/>
  <c r="AE245" i="6"/>
  <c r="Z245" i="6"/>
  <c r="I201" i="10"/>
  <c r="I201" i="9"/>
  <c r="I201" i="8"/>
  <c r="AE181" i="6"/>
  <c r="Z181" i="6"/>
  <c r="I137" i="10"/>
  <c r="I137" i="9"/>
  <c r="I137" i="8"/>
  <c r="AE117" i="6"/>
  <c r="Z117" i="6"/>
  <c r="Z73" i="10"/>
  <c r="AA73" i="10" s="1"/>
  <c r="AN73" i="10"/>
  <c r="AO73" i="10" s="1"/>
  <c r="L73" i="10"/>
  <c r="M73" i="10" s="1"/>
  <c r="L47" i="9"/>
  <c r="M47" i="9" s="1"/>
  <c r="Z47" i="9"/>
  <c r="AA47" i="9" s="1"/>
  <c r="AN47" i="9"/>
  <c r="AO47" i="9" s="1"/>
  <c r="AN348" i="10"/>
  <c r="AO348" i="10" s="1"/>
  <c r="L348" i="10"/>
  <c r="M348" i="10" s="1"/>
  <c r="Z348" i="10"/>
  <c r="AA348" i="10" s="1"/>
  <c r="I30" i="10"/>
  <c r="I30" i="9"/>
  <c r="I30" i="8"/>
  <c r="Z10" i="6"/>
  <c r="AE10" i="6"/>
  <c r="L351" i="8"/>
  <c r="M351" i="8" s="1"/>
  <c r="Z351" i="8"/>
  <c r="AA351" i="8" s="1"/>
  <c r="AN351" i="8"/>
  <c r="AO351" i="8" s="1"/>
  <c r="I295" i="10"/>
  <c r="I295" i="9"/>
  <c r="I295" i="8"/>
  <c r="Z275" i="6"/>
  <c r="AE275" i="6"/>
  <c r="I231" i="10"/>
  <c r="I231" i="9"/>
  <c r="I231" i="8"/>
  <c r="Z211" i="6"/>
  <c r="AE211" i="6"/>
  <c r="I167" i="10"/>
  <c r="I167" i="9"/>
  <c r="I167" i="8"/>
  <c r="Z147" i="6"/>
  <c r="AE147" i="6"/>
  <c r="I103" i="10"/>
  <c r="I103" i="9"/>
  <c r="I103" i="8"/>
  <c r="Z83" i="6"/>
  <c r="AE83" i="6"/>
  <c r="L35" i="10"/>
  <c r="M35" i="10" s="1"/>
  <c r="Z35" i="10"/>
  <c r="AA35" i="10" s="1"/>
  <c r="AN35" i="10"/>
  <c r="AO35" i="10" s="1"/>
  <c r="I334" i="10"/>
  <c r="I334" i="9"/>
  <c r="I334" i="8"/>
  <c r="Z314" i="6"/>
  <c r="AE314" i="6"/>
  <c r="I302" i="10"/>
  <c r="I302" i="9"/>
  <c r="I302" i="8"/>
  <c r="Z282" i="6"/>
  <c r="AE282" i="6"/>
  <c r="I238" i="10"/>
  <c r="I238" i="9"/>
  <c r="I238" i="8"/>
  <c r="Z218" i="6"/>
  <c r="AE218" i="6"/>
  <c r="I206" i="10"/>
  <c r="I206" i="9"/>
  <c r="I206" i="8"/>
  <c r="Z186" i="6"/>
  <c r="AE186" i="6"/>
  <c r="I174" i="10"/>
  <c r="I174" i="9"/>
  <c r="I174" i="8"/>
  <c r="Z154" i="6"/>
  <c r="AE154" i="6"/>
  <c r="I142" i="10"/>
  <c r="I142" i="9"/>
  <c r="I142" i="8"/>
  <c r="Z122" i="6"/>
  <c r="AE122" i="6"/>
  <c r="I110" i="10"/>
  <c r="I110" i="9"/>
  <c r="I110" i="8"/>
  <c r="Z90" i="6"/>
  <c r="AE90" i="6"/>
  <c r="I78" i="10"/>
  <c r="I78" i="9"/>
  <c r="I78" i="8"/>
  <c r="Z58" i="6"/>
  <c r="AE58" i="6"/>
  <c r="L70" i="8"/>
  <c r="M70" i="8" s="1"/>
  <c r="Z70" i="8"/>
  <c r="AA70" i="8" s="1"/>
  <c r="AN70" i="8"/>
  <c r="AO70" i="8" s="1"/>
  <c r="I304" i="10"/>
  <c r="I304" i="9"/>
  <c r="I304" i="8"/>
  <c r="AE284" i="6"/>
  <c r="Z284" i="6"/>
  <c r="I240" i="10"/>
  <c r="I240" i="9"/>
  <c r="I240" i="8"/>
  <c r="AE220" i="6"/>
  <c r="Z220" i="6"/>
  <c r="I187" i="10"/>
  <c r="I187" i="9"/>
  <c r="I187" i="8"/>
  <c r="AE167" i="6"/>
  <c r="Z167" i="6"/>
  <c r="I136" i="10"/>
  <c r="I136" i="9"/>
  <c r="I136" i="8"/>
  <c r="AE116" i="6"/>
  <c r="Z116" i="6"/>
  <c r="I72" i="10"/>
  <c r="I72" i="9"/>
  <c r="I72" i="8"/>
  <c r="AE52" i="6"/>
  <c r="Z52" i="6"/>
  <c r="Z50" i="9"/>
  <c r="AA50" i="9" s="1"/>
  <c r="AN50" i="9"/>
  <c r="AO50" i="9" s="1"/>
  <c r="L50" i="9"/>
  <c r="M50" i="9" s="1"/>
  <c r="I299" i="10"/>
  <c r="I299" i="9"/>
  <c r="I299" i="8"/>
  <c r="AE279" i="6"/>
  <c r="Z279" i="6"/>
  <c r="I235" i="10"/>
  <c r="I235" i="9"/>
  <c r="I235" i="8"/>
  <c r="AE215" i="6"/>
  <c r="Z215" i="6"/>
  <c r="I155" i="10"/>
  <c r="I155" i="9"/>
  <c r="I155" i="8"/>
  <c r="AE135" i="6"/>
  <c r="Z135" i="6"/>
  <c r="I83" i="10"/>
  <c r="I83" i="9"/>
  <c r="I83" i="8"/>
  <c r="AE63" i="6"/>
  <c r="Z63" i="6"/>
  <c r="I25" i="10"/>
  <c r="I25" i="9"/>
  <c r="I25" i="8"/>
  <c r="AE5" i="6"/>
  <c r="Z5" i="6"/>
  <c r="I396" i="10"/>
  <c r="I396" i="9"/>
  <c r="I396" i="8"/>
  <c r="AE376" i="6"/>
  <c r="Z376" i="6"/>
  <c r="Y364" i="6"/>
  <c r="H22" i="4"/>
  <c r="Y387" i="6"/>
  <c r="Y371" i="6"/>
  <c r="I325" i="10"/>
  <c r="I325" i="9"/>
  <c r="I325" i="8"/>
  <c r="Z305" i="6"/>
  <c r="AE305" i="6"/>
  <c r="I261" i="10"/>
  <c r="I261" i="9"/>
  <c r="I261" i="8"/>
  <c r="Z241" i="6"/>
  <c r="AE241" i="6"/>
  <c r="I197" i="10"/>
  <c r="I197" i="9"/>
  <c r="I197" i="8"/>
  <c r="Z177" i="6"/>
  <c r="AE177" i="6"/>
  <c r="I133" i="10"/>
  <c r="I133" i="9"/>
  <c r="I133" i="8"/>
  <c r="Z113" i="6"/>
  <c r="AE113" i="6"/>
  <c r="Y403" i="6"/>
  <c r="L324" i="10"/>
  <c r="M324" i="10" s="1"/>
  <c r="Z324" i="10"/>
  <c r="AA324" i="10" s="1"/>
  <c r="AN324" i="10"/>
  <c r="AO324" i="10" s="1"/>
  <c r="L308" i="8"/>
  <c r="M308" i="8" s="1"/>
  <c r="Z308" i="8"/>
  <c r="AA308" i="8" s="1"/>
  <c r="AN308" i="8"/>
  <c r="AO308" i="8" s="1"/>
  <c r="L284" i="9"/>
  <c r="M284" i="9" s="1"/>
  <c r="Z284" i="9"/>
  <c r="AA284" i="9" s="1"/>
  <c r="AN284" i="9"/>
  <c r="AO284" i="9" s="1"/>
  <c r="L260" i="10"/>
  <c r="M260" i="10" s="1"/>
  <c r="Z260" i="10"/>
  <c r="AA260" i="10" s="1"/>
  <c r="AN260" i="10"/>
  <c r="AO260" i="10" s="1"/>
  <c r="L244" i="8"/>
  <c r="M244" i="8" s="1"/>
  <c r="Z244" i="8"/>
  <c r="AA244" i="8" s="1"/>
  <c r="AN244" i="8"/>
  <c r="AO244" i="8" s="1"/>
  <c r="AN212" i="9"/>
  <c r="AO212" i="9" s="1"/>
  <c r="L212" i="9"/>
  <c r="M212" i="9" s="1"/>
  <c r="Z212" i="9"/>
  <c r="AA212" i="9" s="1"/>
  <c r="AN180" i="10"/>
  <c r="AO180" i="10" s="1"/>
  <c r="L180" i="10"/>
  <c r="M180" i="10" s="1"/>
  <c r="Z180" i="10"/>
  <c r="AA180" i="10" s="1"/>
  <c r="L164" i="8"/>
  <c r="M164" i="8" s="1"/>
  <c r="Z164" i="8"/>
  <c r="AA164" i="8" s="1"/>
  <c r="AN164" i="8"/>
  <c r="AO164" i="8" s="1"/>
  <c r="AN140" i="9"/>
  <c r="AO140" i="9" s="1"/>
  <c r="L140" i="9"/>
  <c r="M140" i="9" s="1"/>
  <c r="Z140" i="9"/>
  <c r="AA140" i="9" s="1"/>
  <c r="L116" i="10"/>
  <c r="M116" i="10" s="1"/>
  <c r="Z116" i="10"/>
  <c r="AA116" i="10" s="1"/>
  <c r="AN116" i="10"/>
  <c r="AO116" i="10" s="1"/>
  <c r="Z92" i="8"/>
  <c r="AA92" i="8" s="1"/>
  <c r="AN92" i="8"/>
  <c r="AO92" i="8" s="1"/>
  <c r="L92" i="8"/>
  <c r="M92" i="8" s="1"/>
  <c r="L68" i="9"/>
  <c r="M68" i="9" s="1"/>
  <c r="Z68" i="9"/>
  <c r="AA68" i="9" s="1"/>
  <c r="AN68" i="9"/>
  <c r="AO68" i="9" s="1"/>
  <c r="Z31" i="8"/>
  <c r="AA31" i="8" s="1"/>
  <c r="AN31" i="8"/>
  <c r="AO31" i="8" s="1"/>
  <c r="L31" i="8"/>
  <c r="M31" i="8" s="1"/>
  <c r="I321" i="10"/>
  <c r="I321" i="9"/>
  <c r="I321" i="8"/>
  <c r="AE301" i="6"/>
  <c r="Z301" i="6"/>
  <c r="I257" i="10"/>
  <c r="I257" i="9"/>
  <c r="I257" i="8"/>
  <c r="AE237" i="6"/>
  <c r="Z237" i="6"/>
  <c r="I193" i="10"/>
  <c r="I193" i="9"/>
  <c r="I193" i="8"/>
  <c r="AE173" i="6"/>
  <c r="Z173" i="6"/>
  <c r="I129" i="10"/>
  <c r="I129" i="9"/>
  <c r="I129" i="8"/>
  <c r="AE109" i="6"/>
  <c r="Z109" i="6"/>
  <c r="L81" i="8"/>
  <c r="M81" i="8" s="1"/>
  <c r="Z81" i="8"/>
  <c r="AA81" i="8" s="1"/>
  <c r="AN81" i="8"/>
  <c r="AO81" i="8" s="1"/>
  <c r="I65" i="10"/>
  <c r="I65" i="9"/>
  <c r="I65" i="8"/>
  <c r="AE45" i="6"/>
  <c r="Z45" i="6"/>
  <c r="Z47" i="10"/>
  <c r="AA47" i="10" s="1"/>
  <c r="AN47" i="10"/>
  <c r="AO47" i="10" s="1"/>
  <c r="L47" i="10"/>
  <c r="M47" i="10" s="1"/>
  <c r="I26" i="10"/>
  <c r="I26" i="9"/>
  <c r="I26" i="8"/>
  <c r="Z6" i="6"/>
  <c r="AE6" i="6"/>
  <c r="L351" i="9"/>
  <c r="M351" i="9" s="1"/>
  <c r="Z351" i="9"/>
  <c r="AA351" i="9" s="1"/>
  <c r="AN351" i="9"/>
  <c r="AO351" i="9" s="1"/>
  <c r="I287" i="10"/>
  <c r="I287" i="9"/>
  <c r="I287" i="8"/>
  <c r="Z267" i="6"/>
  <c r="AE267" i="6"/>
  <c r="I223" i="10"/>
  <c r="I223" i="9"/>
  <c r="I223" i="8"/>
  <c r="Z203" i="6"/>
  <c r="AE203" i="6"/>
  <c r="I159" i="10"/>
  <c r="I159" i="9"/>
  <c r="I159" i="8"/>
  <c r="Z139" i="6"/>
  <c r="AE139" i="6"/>
  <c r="I95" i="10"/>
  <c r="I95" i="9"/>
  <c r="I95" i="8"/>
  <c r="Z75" i="6"/>
  <c r="AE75" i="6"/>
  <c r="Z44" i="8"/>
  <c r="AA44" i="8" s="1"/>
  <c r="AN44" i="8"/>
  <c r="AO44" i="8" s="1"/>
  <c r="L44" i="8"/>
  <c r="M44" i="8" s="1"/>
  <c r="I354" i="10"/>
  <c r="I354" i="9"/>
  <c r="I354" i="8"/>
  <c r="AE334" i="6"/>
  <c r="Z334" i="6"/>
  <c r="I330" i="10"/>
  <c r="I330" i="9"/>
  <c r="I330" i="8"/>
  <c r="AE310" i="6"/>
  <c r="Z310" i="6"/>
  <c r="I298" i="10"/>
  <c r="I298" i="9"/>
  <c r="I298" i="8"/>
  <c r="AE278" i="6"/>
  <c r="Z278" i="6"/>
  <c r="I266" i="10"/>
  <c r="I266" i="9"/>
  <c r="I266" i="8"/>
  <c r="AE246" i="6"/>
  <c r="Z246" i="6"/>
  <c r="I234" i="10"/>
  <c r="I234" i="9"/>
  <c r="I234" i="8"/>
  <c r="AE214" i="6"/>
  <c r="Z214" i="6"/>
  <c r="I202" i="10"/>
  <c r="I202" i="9"/>
  <c r="I202" i="8"/>
  <c r="AE182" i="6"/>
  <c r="Z182" i="6"/>
  <c r="I170" i="10"/>
  <c r="I170" i="9"/>
  <c r="I170" i="8"/>
  <c r="AE150" i="6"/>
  <c r="Z150" i="6"/>
  <c r="I138" i="10"/>
  <c r="I138" i="9"/>
  <c r="I138" i="8"/>
  <c r="AE118" i="6"/>
  <c r="Z118" i="6"/>
  <c r="I106" i="10"/>
  <c r="I106" i="9"/>
  <c r="I106" i="8"/>
  <c r="AE86" i="6"/>
  <c r="Z86" i="6"/>
  <c r="L70" i="9"/>
  <c r="M70" i="9" s="1"/>
  <c r="Z70" i="9"/>
  <c r="AA70" i="9" s="1"/>
  <c r="AN70" i="9"/>
  <c r="AO70" i="9" s="1"/>
  <c r="I296" i="10"/>
  <c r="I296" i="9"/>
  <c r="I296" i="8"/>
  <c r="AE276" i="6"/>
  <c r="Z276" i="6"/>
  <c r="I232" i="10"/>
  <c r="I232" i="9"/>
  <c r="I232" i="8"/>
  <c r="AE212" i="6"/>
  <c r="Z212" i="6"/>
  <c r="I184" i="10"/>
  <c r="I184" i="9"/>
  <c r="I184" i="8"/>
  <c r="AE164" i="6"/>
  <c r="Z164" i="6"/>
  <c r="I128" i="10"/>
  <c r="I128" i="9"/>
  <c r="I128" i="8"/>
  <c r="AE108" i="6"/>
  <c r="Z108" i="6"/>
  <c r="I64" i="10"/>
  <c r="I64" i="9"/>
  <c r="I64" i="8"/>
  <c r="AE44" i="6"/>
  <c r="Z44" i="6"/>
  <c r="AN50" i="10"/>
  <c r="AO50" i="10" s="1"/>
  <c r="L50" i="10"/>
  <c r="M50" i="10" s="1"/>
  <c r="Z50" i="10"/>
  <c r="AA50" i="10" s="1"/>
  <c r="I291" i="10"/>
  <c r="I291" i="9"/>
  <c r="I291" i="8"/>
  <c r="AE271" i="6"/>
  <c r="Z271" i="6"/>
  <c r="I227" i="10"/>
  <c r="I227" i="9"/>
  <c r="I227" i="8"/>
  <c r="AE207" i="6"/>
  <c r="Z207" i="6"/>
  <c r="I139" i="10"/>
  <c r="I139" i="9"/>
  <c r="I139" i="8"/>
  <c r="AE119" i="6"/>
  <c r="Z119" i="6"/>
  <c r="I75" i="10"/>
  <c r="I75" i="9"/>
  <c r="I75" i="8"/>
  <c r="AE55" i="6"/>
  <c r="Z55" i="6"/>
  <c r="L27" i="8"/>
  <c r="M27" i="8" s="1"/>
  <c r="Z27" i="8"/>
  <c r="AA27" i="8" s="1"/>
  <c r="AN27" i="8"/>
  <c r="AO27" i="8" s="1"/>
  <c r="I410" i="10"/>
  <c r="I410" i="9"/>
  <c r="I410" i="8"/>
  <c r="AE390" i="6"/>
  <c r="Z390" i="6"/>
  <c r="I412" i="10"/>
  <c r="I412" i="9"/>
  <c r="I412" i="8"/>
  <c r="AE392" i="6"/>
  <c r="Z392" i="6"/>
  <c r="Y383" i="6"/>
  <c r="I317" i="10"/>
  <c r="I317" i="9"/>
  <c r="I317" i="8"/>
  <c r="Z297" i="6"/>
  <c r="AE297" i="6"/>
  <c r="I253" i="10"/>
  <c r="I253" i="9"/>
  <c r="I253" i="8"/>
  <c r="Z233" i="6"/>
  <c r="AE233" i="6"/>
  <c r="Y169" i="6"/>
  <c r="I125" i="10"/>
  <c r="I125" i="9"/>
  <c r="I125" i="8"/>
  <c r="Z105" i="6"/>
  <c r="AE105" i="6"/>
  <c r="Y402" i="6"/>
  <c r="L332" i="8"/>
  <c r="M332" i="8" s="1"/>
  <c r="Z332" i="8"/>
  <c r="AA332" i="8" s="1"/>
  <c r="AN332" i="8"/>
  <c r="AO332" i="8" s="1"/>
  <c r="L308" i="9"/>
  <c r="M308" i="9" s="1"/>
  <c r="Z308" i="9"/>
  <c r="AA308" i="9" s="1"/>
  <c r="AN308" i="9"/>
  <c r="AO308" i="9" s="1"/>
  <c r="L284" i="10"/>
  <c r="M284" i="10" s="1"/>
  <c r="AN284" i="10"/>
  <c r="AO284" i="10" s="1"/>
  <c r="Z284" i="10"/>
  <c r="AA284" i="10" s="1"/>
  <c r="L268" i="8"/>
  <c r="M268" i="8" s="1"/>
  <c r="Z268" i="8"/>
  <c r="AA268" i="8" s="1"/>
  <c r="AN268" i="8"/>
  <c r="AO268" i="8" s="1"/>
  <c r="AN244" i="9"/>
  <c r="AO244" i="9" s="1"/>
  <c r="L244" i="9"/>
  <c r="M244" i="9" s="1"/>
  <c r="Z244" i="9"/>
  <c r="AA244" i="9" s="1"/>
  <c r="L212" i="10"/>
  <c r="M212" i="10" s="1"/>
  <c r="Z212" i="10"/>
  <c r="AA212" i="10" s="1"/>
  <c r="AN212" i="10"/>
  <c r="AO212" i="10" s="1"/>
  <c r="L196" i="8"/>
  <c r="M196" i="8" s="1"/>
  <c r="Z196" i="8"/>
  <c r="AA196" i="8" s="1"/>
  <c r="AN196" i="8"/>
  <c r="AO196" i="8" s="1"/>
  <c r="Z164" i="9"/>
  <c r="AA164" i="9" s="1"/>
  <c r="AN164" i="9"/>
  <c r="AO164" i="9" s="1"/>
  <c r="L164" i="9"/>
  <c r="M164" i="9" s="1"/>
  <c r="L140" i="10"/>
  <c r="M140" i="10" s="1"/>
  <c r="Z140" i="10"/>
  <c r="AA140" i="10" s="1"/>
  <c r="AN140" i="10"/>
  <c r="AO140" i="10" s="1"/>
  <c r="Z124" i="8"/>
  <c r="AA124" i="8" s="1"/>
  <c r="AN124" i="8"/>
  <c r="AO124" i="8" s="1"/>
  <c r="L124" i="8"/>
  <c r="M124" i="8" s="1"/>
  <c r="AN92" i="9"/>
  <c r="AO92" i="9" s="1"/>
  <c r="L92" i="9"/>
  <c r="M92" i="9" s="1"/>
  <c r="Z92" i="9"/>
  <c r="AA92" i="9" s="1"/>
  <c r="AN68" i="10"/>
  <c r="AO68" i="10" s="1"/>
  <c r="L68" i="10"/>
  <c r="M68" i="10" s="1"/>
  <c r="Z68" i="10"/>
  <c r="AA68" i="10" s="1"/>
  <c r="L31" i="9"/>
  <c r="M31" i="9" s="1"/>
  <c r="Z31" i="9"/>
  <c r="AA31" i="9" s="1"/>
  <c r="AN31" i="9"/>
  <c r="AO31" i="9" s="1"/>
  <c r="L361" i="8"/>
  <c r="M361" i="8" s="1"/>
  <c r="Z361" i="8"/>
  <c r="AA361" i="8" s="1"/>
  <c r="AN361" i="8"/>
  <c r="AO361" i="8" s="1"/>
  <c r="I313" i="10"/>
  <c r="I313" i="9"/>
  <c r="I313" i="8"/>
  <c r="AE293" i="6"/>
  <c r="Z293" i="6"/>
  <c r="I249" i="10"/>
  <c r="I249" i="9"/>
  <c r="I249" i="8"/>
  <c r="AE229" i="6"/>
  <c r="Z229" i="6"/>
  <c r="I185" i="10"/>
  <c r="I185" i="9"/>
  <c r="I185" i="8"/>
  <c r="AE165" i="6"/>
  <c r="Z165" i="6"/>
  <c r="I121" i="10"/>
  <c r="I121" i="9"/>
  <c r="I121" i="8"/>
  <c r="AE101" i="6"/>
  <c r="Z101" i="6"/>
  <c r="Z81" i="9"/>
  <c r="AA81" i="9" s="1"/>
  <c r="AN81" i="9"/>
  <c r="AO81" i="9" s="1"/>
  <c r="L81" i="9"/>
  <c r="M81" i="9" s="1"/>
  <c r="I57" i="10"/>
  <c r="I57" i="9"/>
  <c r="I57" i="8"/>
  <c r="AE37" i="6"/>
  <c r="Z37" i="6"/>
  <c r="I356" i="10"/>
  <c r="I356" i="9"/>
  <c r="I356" i="8"/>
  <c r="Z336" i="6"/>
  <c r="AE336" i="6"/>
  <c r="I340" i="10"/>
  <c r="I340" i="9"/>
  <c r="I340" i="8"/>
  <c r="Z320" i="6"/>
  <c r="AE320" i="6"/>
  <c r="L351" i="10"/>
  <c r="M351" i="10" s="1"/>
  <c r="Z351" i="10"/>
  <c r="AA351" i="10" s="1"/>
  <c r="AN351" i="10"/>
  <c r="AO351" i="10" s="1"/>
  <c r="I279" i="10"/>
  <c r="I279" i="9"/>
  <c r="I279" i="8"/>
  <c r="Z259" i="6"/>
  <c r="AE259" i="6"/>
  <c r="I215" i="10"/>
  <c r="I215" i="9"/>
  <c r="I215" i="8"/>
  <c r="Z195" i="6"/>
  <c r="AE195" i="6"/>
  <c r="I151" i="10"/>
  <c r="I151" i="9"/>
  <c r="I151" i="8"/>
  <c r="Z131" i="6"/>
  <c r="AE131" i="6"/>
  <c r="I87" i="10"/>
  <c r="I87" i="9"/>
  <c r="I87" i="8"/>
  <c r="Z67" i="6"/>
  <c r="AE67" i="6"/>
  <c r="L44" i="9"/>
  <c r="M44" i="9" s="1"/>
  <c r="Z44" i="9"/>
  <c r="AA44" i="9" s="1"/>
  <c r="AN44" i="9"/>
  <c r="AO44" i="9" s="1"/>
  <c r="I294" i="10"/>
  <c r="I294" i="9"/>
  <c r="I294" i="8"/>
  <c r="Z274" i="6"/>
  <c r="AE274" i="6"/>
  <c r="I230" i="10"/>
  <c r="I230" i="9"/>
  <c r="I230" i="8"/>
  <c r="Z210" i="6"/>
  <c r="AE210" i="6"/>
  <c r="I198" i="10"/>
  <c r="I198" i="9"/>
  <c r="I198" i="8"/>
  <c r="Z178" i="6"/>
  <c r="AE178" i="6"/>
  <c r="I166" i="10"/>
  <c r="I166" i="9"/>
  <c r="I166" i="8"/>
  <c r="Z146" i="6"/>
  <c r="AE146" i="6"/>
  <c r="I134" i="10"/>
  <c r="I134" i="9"/>
  <c r="I134" i="8"/>
  <c r="Z114" i="6"/>
  <c r="AE114" i="6"/>
  <c r="I102" i="10"/>
  <c r="I102" i="9"/>
  <c r="I102" i="8"/>
  <c r="Z82" i="6"/>
  <c r="AE82" i="6"/>
  <c r="Z70" i="10"/>
  <c r="AA70" i="10" s="1"/>
  <c r="AN70" i="10"/>
  <c r="AO70" i="10" s="1"/>
  <c r="L70" i="10"/>
  <c r="M70" i="10" s="1"/>
  <c r="L62" i="8"/>
  <c r="M62" i="8" s="1"/>
  <c r="Z62" i="8"/>
  <c r="AA62" i="8" s="1"/>
  <c r="AN62" i="8"/>
  <c r="AO62" i="8" s="1"/>
  <c r="I288" i="10"/>
  <c r="I288" i="9"/>
  <c r="I288" i="8"/>
  <c r="AE268" i="6"/>
  <c r="Z268" i="6"/>
  <c r="I224" i="10"/>
  <c r="I224" i="9"/>
  <c r="I224" i="8"/>
  <c r="AE204" i="6"/>
  <c r="Z204" i="6"/>
  <c r="I176" i="10"/>
  <c r="I176" i="9"/>
  <c r="I176" i="8"/>
  <c r="AE156" i="6"/>
  <c r="Z156" i="6"/>
  <c r="I120" i="10"/>
  <c r="I120" i="9"/>
  <c r="I120" i="8"/>
  <c r="AE100" i="6"/>
  <c r="Z100" i="6"/>
  <c r="I56" i="10"/>
  <c r="I56" i="9"/>
  <c r="I56" i="8"/>
  <c r="AE36" i="6"/>
  <c r="Z36" i="6"/>
  <c r="I347" i="10"/>
  <c r="I347" i="9"/>
  <c r="I347" i="8"/>
  <c r="AE327" i="6"/>
  <c r="Z327" i="6"/>
  <c r="I283" i="10"/>
  <c r="I283" i="9"/>
  <c r="I283" i="8"/>
  <c r="AE263" i="6"/>
  <c r="Z263" i="6"/>
  <c r="I219" i="10"/>
  <c r="I219" i="9"/>
  <c r="I219" i="8"/>
  <c r="AE199" i="6"/>
  <c r="Z199" i="6"/>
  <c r="I131" i="10"/>
  <c r="I131" i="9"/>
  <c r="I131" i="8"/>
  <c r="AE111" i="6"/>
  <c r="Z111" i="6"/>
  <c r="I67" i="10"/>
  <c r="I67" i="9"/>
  <c r="I67" i="8"/>
  <c r="AE47" i="6"/>
  <c r="Z47" i="6"/>
  <c r="AN27" i="9"/>
  <c r="AO27" i="9" s="1"/>
  <c r="L27" i="9"/>
  <c r="M27" i="9" s="1"/>
  <c r="Z27" i="9"/>
  <c r="AA27" i="9" s="1"/>
  <c r="I416" i="10"/>
  <c r="I416" i="9"/>
  <c r="I416" i="8"/>
  <c r="Z396" i="6"/>
  <c r="AE396" i="6"/>
  <c r="I382" i="10"/>
  <c r="I382" i="9"/>
  <c r="I382" i="8"/>
  <c r="AE362" i="6"/>
  <c r="Z362" i="6"/>
  <c r="I414" i="10"/>
  <c r="I414" i="9"/>
  <c r="I414" i="8"/>
  <c r="AE394" i="6"/>
  <c r="Z394" i="6"/>
  <c r="Y382" i="6"/>
  <c r="Y400" i="6"/>
  <c r="Y384" i="6"/>
  <c r="Y368" i="6"/>
  <c r="AH3" i="6" s="1"/>
  <c r="I309" i="10"/>
  <c r="I309" i="9"/>
  <c r="I309" i="8"/>
  <c r="Z289" i="6"/>
  <c r="AE289" i="6"/>
  <c r="I245" i="10"/>
  <c r="I245" i="9"/>
  <c r="I245" i="8"/>
  <c r="Z225" i="6"/>
  <c r="AE225" i="6"/>
  <c r="I181" i="10"/>
  <c r="I181" i="9"/>
  <c r="I181" i="8"/>
  <c r="Z161" i="6"/>
  <c r="AE161" i="6"/>
  <c r="I117" i="10"/>
  <c r="I117" i="9"/>
  <c r="I117" i="8"/>
  <c r="Z97" i="6"/>
  <c r="AE97" i="6"/>
  <c r="I406" i="10"/>
  <c r="I406" i="9"/>
  <c r="I406" i="8"/>
  <c r="AE386" i="6"/>
  <c r="Z386" i="6"/>
  <c r="L332" i="9"/>
  <c r="M332" i="9" s="1"/>
  <c r="Z332" i="9"/>
  <c r="AA332" i="9" s="1"/>
  <c r="AN332" i="9"/>
  <c r="AO332" i="9" s="1"/>
  <c r="L308" i="10"/>
  <c r="M308" i="10" s="1"/>
  <c r="Z308" i="10"/>
  <c r="AA308" i="10" s="1"/>
  <c r="AN308" i="10"/>
  <c r="AO308" i="10" s="1"/>
  <c r="L292" i="8"/>
  <c r="M292" i="8" s="1"/>
  <c r="Z292" i="8"/>
  <c r="AA292" i="8" s="1"/>
  <c r="AN292" i="8"/>
  <c r="AO292" i="8" s="1"/>
  <c r="L268" i="9"/>
  <c r="M268" i="9" s="1"/>
  <c r="Z268" i="9"/>
  <c r="AA268" i="9" s="1"/>
  <c r="AN268" i="9"/>
  <c r="AO268" i="9" s="1"/>
  <c r="L244" i="10"/>
  <c r="M244" i="10" s="1"/>
  <c r="Z244" i="10"/>
  <c r="AA244" i="10" s="1"/>
  <c r="AN244" i="10"/>
  <c r="AO244" i="10" s="1"/>
  <c r="L220" i="8"/>
  <c r="M220" i="8" s="1"/>
  <c r="Z220" i="8"/>
  <c r="AA220" i="8" s="1"/>
  <c r="AN220" i="8"/>
  <c r="AO220" i="8" s="1"/>
  <c r="AN196" i="9"/>
  <c r="AO196" i="9" s="1"/>
  <c r="L196" i="9"/>
  <c r="M196" i="9" s="1"/>
  <c r="Z196" i="9"/>
  <c r="AA196" i="9" s="1"/>
  <c r="AN164" i="10"/>
  <c r="AO164" i="10" s="1"/>
  <c r="L164" i="10"/>
  <c r="M164" i="10" s="1"/>
  <c r="Z164" i="10"/>
  <c r="AA164" i="10" s="1"/>
  <c r="AN124" i="9"/>
  <c r="AO124" i="9" s="1"/>
  <c r="L124" i="9"/>
  <c r="M124" i="9" s="1"/>
  <c r="Z124" i="9"/>
  <c r="AA124" i="9" s="1"/>
  <c r="AN92" i="10"/>
  <c r="AO92" i="10" s="1"/>
  <c r="L92" i="10"/>
  <c r="M92" i="10" s="1"/>
  <c r="Z92" i="10"/>
  <c r="AA92" i="10" s="1"/>
  <c r="Z76" i="8"/>
  <c r="AA76" i="8" s="1"/>
  <c r="AN76" i="8"/>
  <c r="AO76" i="8" s="1"/>
  <c r="L76" i="8"/>
  <c r="M76" i="8" s="1"/>
  <c r="Z31" i="10"/>
  <c r="AA31" i="10" s="1"/>
  <c r="AN31" i="10"/>
  <c r="AO31" i="10" s="1"/>
  <c r="L31" i="10"/>
  <c r="M31" i="10" s="1"/>
  <c r="L361" i="9"/>
  <c r="M361" i="9" s="1"/>
  <c r="Z361" i="9"/>
  <c r="AA361" i="9" s="1"/>
  <c r="AN361" i="9"/>
  <c r="AO361" i="9" s="1"/>
  <c r="I305" i="10"/>
  <c r="I305" i="9"/>
  <c r="I305" i="8"/>
  <c r="AE285" i="6"/>
  <c r="Z285" i="6"/>
  <c r="I241" i="10"/>
  <c r="I241" i="9"/>
  <c r="I241" i="8"/>
  <c r="AE221" i="6"/>
  <c r="Z221" i="6"/>
  <c r="I177" i="10"/>
  <c r="I177" i="9"/>
  <c r="I177" i="8"/>
  <c r="AE157" i="6"/>
  <c r="Z157" i="6"/>
  <c r="I113" i="10"/>
  <c r="I113" i="9"/>
  <c r="I113" i="8"/>
  <c r="AE93" i="6"/>
  <c r="Z93" i="6"/>
  <c r="Z81" i="10"/>
  <c r="AA81" i="10" s="1"/>
  <c r="AN81" i="10"/>
  <c r="AO81" i="10" s="1"/>
  <c r="L81" i="10"/>
  <c r="M81" i="10" s="1"/>
  <c r="I52" i="10"/>
  <c r="I52" i="9"/>
  <c r="I52" i="8"/>
  <c r="Z32" i="6"/>
  <c r="AE32" i="6"/>
  <c r="I352" i="10"/>
  <c r="I352" i="9"/>
  <c r="I352" i="8"/>
  <c r="AE332" i="6"/>
  <c r="Z332" i="6"/>
  <c r="I228" i="10"/>
  <c r="I228" i="9"/>
  <c r="I228" i="8"/>
  <c r="Z208" i="6"/>
  <c r="AE208" i="6"/>
  <c r="L359" i="8"/>
  <c r="M359" i="8" s="1"/>
  <c r="Z359" i="8"/>
  <c r="AA359" i="8" s="1"/>
  <c r="AN359" i="8"/>
  <c r="AO359" i="8" s="1"/>
  <c r="I335" i="10"/>
  <c r="I335" i="9"/>
  <c r="I335" i="8"/>
  <c r="Z315" i="6"/>
  <c r="AE315" i="6"/>
  <c r="I271" i="10"/>
  <c r="I271" i="9"/>
  <c r="I271" i="8"/>
  <c r="Z251" i="6"/>
  <c r="AE251" i="6"/>
  <c r="I207" i="10"/>
  <c r="I207" i="9"/>
  <c r="I207" i="8"/>
  <c r="Z187" i="6"/>
  <c r="AE187" i="6"/>
  <c r="I143" i="10"/>
  <c r="I143" i="9"/>
  <c r="I143" i="8"/>
  <c r="Z123" i="6"/>
  <c r="AE123" i="6"/>
  <c r="I79" i="10"/>
  <c r="I79" i="9"/>
  <c r="I79" i="8"/>
  <c r="Z59" i="6"/>
  <c r="AE59" i="6"/>
  <c r="Z44" i="10"/>
  <c r="AA44" i="10" s="1"/>
  <c r="AN44" i="10"/>
  <c r="AO44" i="10" s="1"/>
  <c r="L44" i="10"/>
  <c r="M44" i="10" s="1"/>
  <c r="I349" i="10"/>
  <c r="I349" i="9"/>
  <c r="I349" i="8"/>
  <c r="Z329" i="6"/>
  <c r="AE329" i="6"/>
  <c r="I322" i="10"/>
  <c r="I322" i="9"/>
  <c r="I322" i="8"/>
  <c r="AE302" i="6"/>
  <c r="Z302" i="6"/>
  <c r="I290" i="10"/>
  <c r="I290" i="9"/>
  <c r="I290" i="8"/>
  <c r="AE270" i="6"/>
  <c r="Z270" i="6"/>
  <c r="I258" i="10"/>
  <c r="I258" i="9"/>
  <c r="I258" i="8"/>
  <c r="AE238" i="6"/>
  <c r="Z238" i="6"/>
  <c r="I226" i="10"/>
  <c r="I226" i="9"/>
  <c r="I226" i="8"/>
  <c r="AE206" i="6"/>
  <c r="Z206" i="6"/>
  <c r="I194" i="10"/>
  <c r="I194" i="9"/>
  <c r="I194" i="8"/>
  <c r="AE174" i="6"/>
  <c r="Z174" i="6"/>
  <c r="I162" i="10"/>
  <c r="I162" i="9"/>
  <c r="I162" i="8"/>
  <c r="AE142" i="6"/>
  <c r="Z142" i="6"/>
  <c r="I130" i="10"/>
  <c r="I130" i="9"/>
  <c r="I130" i="8"/>
  <c r="AE110" i="6"/>
  <c r="Z110" i="6"/>
  <c r="I98" i="10"/>
  <c r="I98" i="9"/>
  <c r="I98" i="8"/>
  <c r="AE78" i="6"/>
  <c r="Z78" i="6"/>
  <c r="AN74" i="8"/>
  <c r="AO74" i="8" s="1"/>
  <c r="L74" i="8"/>
  <c r="M74" i="8" s="1"/>
  <c r="Z74" i="8"/>
  <c r="AA74" i="8" s="1"/>
  <c r="L62" i="9"/>
  <c r="M62" i="9" s="1"/>
  <c r="Z62" i="9"/>
  <c r="AA62" i="9" s="1"/>
  <c r="AN62" i="9"/>
  <c r="AO62" i="9" s="1"/>
  <c r="L33" i="8"/>
  <c r="M33" i="8" s="1"/>
  <c r="Z33" i="8"/>
  <c r="AA33" i="8" s="1"/>
  <c r="AN33" i="8"/>
  <c r="AO33" i="8" s="1"/>
  <c r="I280" i="10"/>
  <c r="I280" i="9"/>
  <c r="I280" i="8"/>
  <c r="AE260" i="6"/>
  <c r="Z260" i="6"/>
  <c r="I216" i="10"/>
  <c r="I216" i="9"/>
  <c r="I216" i="8"/>
  <c r="AE196" i="6"/>
  <c r="Z196" i="6"/>
  <c r="I168" i="10"/>
  <c r="I168" i="9"/>
  <c r="I168" i="8"/>
  <c r="AE148" i="6"/>
  <c r="Z148" i="6"/>
  <c r="I112" i="10"/>
  <c r="I112" i="9"/>
  <c r="I112" i="8"/>
  <c r="AE92" i="6"/>
  <c r="Z92" i="6"/>
  <c r="I28" i="10"/>
  <c r="I28" i="9"/>
  <c r="I28" i="8"/>
  <c r="Z8" i="6"/>
  <c r="AE8" i="6"/>
  <c r="I339" i="10"/>
  <c r="I339" i="9"/>
  <c r="I339" i="8"/>
  <c r="AE319" i="6"/>
  <c r="Z319" i="6"/>
  <c r="I275" i="10"/>
  <c r="I275" i="9"/>
  <c r="I275" i="8"/>
  <c r="AE255" i="6"/>
  <c r="Z255" i="6"/>
  <c r="I211" i="10"/>
  <c r="I211" i="9"/>
  <c r="I211" i="8"/>
  <c r="AE191" i="6"/>
  <c r="Z191" i="6"/>
  <c r="I123" i="10"/>
  <c r="I123" i="9"/>
  <c r="I123" i="8"/>
  <c r="AE103" i="6"/>
  <c r="Z103" i="6"/>
  <c r="I59" i="10"/>
  <c r="I59" i="9"/>
  <c r="I59" i="8"/>
  <c r="AE39" i="6"/>
  <c r="Z39" i="6"/>
  <c r="L27" i="10"/>
  <c r="M27" i="10" s="1"/>
  <c r="Z27" i="10"/>
  <c r="AA27" i="10" s="1"/>
  <c r="AN27" i="10"/>
  <c r="AO27" i="10" s="1"/>
  <c r="H25" i="5" l="1"/>
  <c r="H27" i="5" s="1"/>
  <c r="I300" i="8"/>
  <c r="I300" i="10"/>
  <c r="Z280" i="6"/>
  <c r="AE280" i="6"/>
  <c r="I300" i="9"/>
  <c r="AE346" i="6"/>
  <c r="Z361" i="6"/>
  <c r="Z346" i="6"/>
  <c r="I366" i="8"/>
  <c r="I276" i="8"/>
  <c r="Z256" i="6"/>
  <c r="AE256" i="6"/>
  <c r="I276" i="10"/>
  <c r="I276" i="9"/>
  <c r="I38" i="10"/>
  <c r="I38" i="9"/>
  <c r="I38" i="8"/>
  <c r="Z18" i="6"/>
  <c r="AE18" i="6"/>
  <c r="I148" i="10"/>
  <c r="I148" i="9"/>
  <c r="I148" i="8"/>
  <c r="Z128" i="6"/>
  <c r="AE128" i="6"/>
  <c r="L112" i="8"/>
  <c r="M112" i="8" s="1"/>
  <c r="Z112" i="8"/>
  <c r="AA112" i="8" s="1"/>
  <c r="AN112" i="8"/>
  <c r="AO112" i="8" s="1"/>
  <c r="I404" i="10"/>
  <c r="I404" i="9"/>
  <c r="I404" i="8"/>
  <c r="AE384" i="6"/>
  <c r="Z384" i="6"/>
  <c r="L56" i="8"/>
  <c r="M56" i="8" s="1"/>
  <c r="Z56" i="8"/>
  <c r="AA56" i="8" s="1"/>
  <c r="AN56" i="8"/>
  <c r="AO56" i="8" s="1"/>
  <c r="L198" i="10"/>
  <c r="M198" i="10" s="1"/>
  <c r="Z198" i="10"/>
  <c r="AA198" i="10" s="1"/>
  <c r="AN198" i="10"/>
  <c r="AO198" i="10" s="1"/>
  <c r="AN356" i="10"/>
  <c r="AO356" i="10" s="1"/>
  <c r="L356" i="10"/>
  <c r="M356" i="10" s="1"/>
  <c r="Z356" i="10"/>
  <c r="AA356" i="10" s="1"/>
  <c r="AM140" i="10"/>
  <c r="AQ140" i="10" s="1"/>
  <c r="Z261" i="8"/>
  <c r="AA261" i="8" s="1"/>
  <c r="AN261" i="8"/>
  <c r="AO261" i="8" s="1"/>
  <c r="L261" i="8"/>
  <c r="M261" i="8" s="1"/>
  <c r="AN329" i="10"/>
  <c r="AO329" i="10" s="1"/>
  <c r="L329" i="10"/>
  <c r="M329" i="10" s="1"/>
  <c r="Z329" i="10"/>
  <c r="AA329" i="10" s="1"/>
  <c r="L163" i="9"/>
  <c r="M163" i="9" s="1"/>
  <c r="Z163" i="9"/>
  <c r="AA163" i="9" s="1"/>
  <c r="AN163" i="9"/>
  <c r="AO163" i="9" s="1"/>
  <c r="L247" i="10"/>
  <c r="M247" i="10" s="1"/>
  <c r="Z247" i="10"/>
  <c r="AA247" i="10" s="1"/>
  <c r="AN247" i="10"/>
  <c r="AO247" i="10" s="1"/>
  <c r="AN179" i="8"/>
  <c r="AO179" i="8" s="1"/>
  <c r="L179" i="8"/>
  <c r="M179" i="8" s="1"/>
  <c r="Z179" i="8"/>
  <c r="AA179" i="8" s="1"/>
  <c r="Z127" i="8"/>
  <c r="AA127" i="8" s="1"/>
  <c r="AN127" i="8"/>
  <c r="AO127" i="8" s="1"/>
  <c r="L127" i="8"/>
  <c r="M127" i="8" s="1"/>
  <c r="L289" i="8"/>
  <c r="M289" i="8" s="1"/>
  <c r="Z289" i="8"/>
  <c r="AA289" i="8" s="1"/>
  <c r="AN289" i="8"/>
  <c r="AO289" i="8" s="1"/>
  <c r="Z229" i="8"/>
  <c r="AA229" i="8" s="1"/>
  <c r="AN229" i="8"/>
  <c r="AO229" i="8" s="1"/>
  <c r="L229" i="8"/>
  <c r="M229" i="8" s="1"/>
  <c r="L169" i="9"/>
  <c r="M169" i="9" s="1"/>
  <c r="Z169" i="9"/>
  <c r="AA169" i="9" s="1"/>
  <c r="AN169" i="9"/>
  <c r="AO169" i="9" s="1"/>
  <c r="L413" i="9"/>
  <c r="M413" i="9" s="1"/>
  <c r="Z413" i="9"/>
  <c r="AA413" i="9" s="1"/>
  <c r="AN413" i="9"/>
  <c r="AO413" i="9" s="1"/>
  <c r="L326" i="8"/>
  <c r="M326" i="8" s="1"/>
  <c r="Z326" i="8"/>
  <c r="AA326" i="8" s="1"/>
  <c r="AN326" i="8"/>
  <c r="AO326" i="8" s="1"/>
  <c r="Z109" i="10"/>
  <c r="AA109" i="10" s="1"/>
  <c r="AN109" i="10"/>
  <c r="AO109" i="10" s="1"/>
  <c r="L109" i="10"/>
  <c r="M109" i="10" s="1"/>
  <c r="L383" i="9"/>
  <c r="M383" i="9" s="1"/>
  <c r="Z383" i="9"/>
  <c r="AA383" i="9" s="1"/>
  <c r="AN383" i="9"/>
  <c r="AO383" i="9" s="1"/>
  <c r="AN418" i="10"/>
  <c r="AO418" i="10" s="1"/>
  <c r="L418" i="10"/>
  <c r="M418" i="10" s="1"/>
  <c r="Z418" i="10"/>
  <c r="AA418" i="10" s="1"/>
  <c r="AN286" i="9"/>
  <c r="AO286" i="9" s="1"/>
  <c r="L286" i="9"/>
  <c r="M286" i="9" s="1"/>
  <c r="Z286" i="9"/>
  <c r="AA286" i="9" s="1"/>
  <c r="AN123" i="10"/>
  <c r="AO123" i="10" s="1"/>
  <c r="L123" i="10"/>
  <c r="M123" i="10" s="1"/>
  <c r="Z123" i="10"/>
  <c r="AA123" i="10" s="1"/>
  <c r="AN275" i="8"/>
  <c r="AO275" i="8" s="1"/>
  <c r="L275" i="8"/>
  <c r="M275" i="8" s="1"/>
  <c r="Z275" i="8"/>
  <c r="AA275" i="8" s="1"/>
  <c r="L112" i="9"/>
  <c r="M112" i="9" s="1"/>
  <c r="Z112" i="9"/>
  <c r="AA112" i="9" s="1"/>
  <c r="AN112" i="9"/>
  <c r="AO112" i="9" s="1"/>
  <c r="AN280" i="10"/>
  <c r="AO280" i="10" s="1"/>
  <c r="L280" i="10"/>
  <c r="M280" i="10" s="1"/>
  <c r="Z280" i="10"/>
  <c r="AA280" i="10" s="1"/>
  <c r="Z98" i="10"/>
  <c r="AA98" i="10" s="1"/>
  <c r="AN98" i="10"/>
  <c r="AO98" i="10" s="1"/>
  <c r="L98" i="10"/>
  <c r="M98" i="10" s="1"/>
  <c r="Z162" i="8"/>
  <c r="AA162" i="8" s="1"/>
  <c r="AN162" i="8"/>
  <c r="AO162" i="8" s="1"/>
  <c r="L162" i="8"/>
  <c r="M162" i="8" s="1"/>
  <c r="L258" i="9"/>
  <c r="M258" i="9" s="1"/>
  <c r="Z258" i="9"/>
  <c r="AA258" i="9" s="1"/>
  <c r="AN258" i="9"/>
  <c r="AO258" i="9" s="1"/>
  <c r="L349" i="10"/>
  <c r="M349" i="10" s="1"/>
  <c r="Z349" i="10"/>
  <c r="AA349" i="10" s="1"/>
  <c r="AN349" i="10"/>
  <c r="AO349" i="10" s="1"/>
  <c r="AN79" i="10"/>
  <c r="AO79" i="10" s="1"/>
  <c r="L79" i="10"/>
  <c r="M79" i="10" s="1"/>
  <c r="Z79" i="10"/>
  <c r="AA79" i="10" s="1"/>
  <c r="L207" i="8"/>
  <c r="M207" i="8" s="1"/>
  <c r="Z207" i="8"/>
  <c r="AA207" i="8" s="1"/>
  <c r="AN207" i="8"/>
  <c r="AO207" i="8" s="1"/>
  <c r="AN52" i="10"/>
  <c r="AO52" i="10" s="1"/>
  <c r="Z52" i="10"/>
  <c r="AA52" i="10" s="1"/>
  <c r="L52" i="10"/>
  <c r="M52" i="10" s="1"/>
  <c r="L113" i="10"/>
  <c r="M113" i="10" s="1"/>
  <c r="Z113" i="10"/>
  <c r="AA113" i="10" s="1"/>
  <c r="AN113" i="10"/>
  <c r="AO113" i="10" s="1"/>
  <c r="L241" i="8"/>
  <c r="M241" i="8" s="1"/>
  <c r="Z241" i="8"/>
  <c r="AA241" i="8" s="1"/>
  <c r="AN241" i="8"/>
  <c r="AO241" i="8" s="1"/>
  <c r="Y220" i="8"/>
  <c r="Z406" i="9"/>
  <c r="AA406" i="9" s="1"/>
  <c r="AN406" i="9"/>
  <c r="AO406" i="9" s="1"/>
  <c r="L406" i="9"/>
  <c r="M406" i="9" s="1"/>
  <c r="L245" i="10"/>
  <c r="M245" i="10" s="1"/>
  <c r="Z245" i="10"/>
  <c r="AA245" i="10" s="1"/>
  <c r="AN245" i="10"/>
  <c r="AO245" i="10" s="1"/>
  <c r="I420" i="10"/>
  <c r="I420" i="9"/>
  <c r="I420" i="8"/>
  <c r="AE400" i="6"/>
  <c r="Z400" i="6"/>
  <c r="Z416" i="10"/>
  <c r="AA416" i="10" s="1"/>
  <c r="AN416" i="10"/>
  <c r="AO416" i="10" s="1"/>
  <c r="L416" i="10"/>
  <c r="M416" i="10" s="1"/>
  <c r="L67" i="10"/>
  <c r="M67" i="10" s="1"/>
  <c r="Z67" i="10"/>
  <c r="AA67" i="10" s="1"/>
  <c r="AN67" i="10"/>
  <c r="AO67" i="10" s="1"/>
  <c r="AN219" i="8"/>
  <c r="AO219" i="8" s="1"/>
  <c r="L219" i="8"/>
  <c r="M219" i="8" s="1"/>
  <c r="Z219" i="8"/>
  <c r="AA219" i="8" s="1"/>
  <c r="AN56" i="9"/>
  <c r="AO56" i="9" s="1"/>
  <c r="L56" i="9"/>
  <c r="M56" i="9" s="1"/>
  <c r="Z56" i="9"/>
  <c r="AA56" i="9" s="1"/>
  <c r="AN224" i="10"/>
  <c r="AO224" i="10" s="1"/>
  <c r="L224" i="10"/>
  <c r="M224" i="10" s="1"/>
  <c r="Z224" i="10"/>
  <c r="AA224" i="10" s="1"/>
  <c r="AN102" i="10"/>
  <c r="AO102" i="10" s="1"/>
  <c r="L102" i="10"/>
  <c r="M102" i="10" s="1"/>
  <c r="Z102" i="10"/>
  <c r="AA102" i="10" s="1"/>
  <c r="L166" i="8"/>
  <c r="M166" i="8" s="1"/>
  <c r="Z166" i="8"/>
  <c r="AA166" i="8" s="1"/>
  <c r="AN166" i="8"/>
  <c r="AO166" i="8" s="1"/>
  <c r="AN294" i="9"/>
  <c r="AO294" i="9" s="1"/>
  <c r="L294" i="9"/>
  <c r="M294" i="9" s="1"/>
  <c r="Z294" i="9"/>
  <c r="AA294" i="9" s="1"/>
  <c r="AN87" i="9"/>
  <c r="AO87" i="9" s="1"/>
  <c r="L87" i="9"/>
  <c r="M87" i="9" s="1"/>
  <c r="Z87" i="9"/>
  <c r="AA87" i="9" s="1"/>
  <c r="Z279" i="10"/>
  <c r="AA279" i="10" s="1"/>
  <c r="AN279" i="10"/>
  <c r="AO279" i="10" s="1"/>
  <c r="L279" i="10"/>
  <c r="M279" i="10" s="1"/>
  <c r="L340" i="8"/>
  <c r="M340" i="8" s="1"/>
  <c r="Z340" i="8"/>
  <c r="AA340" i="8" s="1"/>
  <c r="AN340" i="8"/>
  <c r="AO340" i="8" s="1"/>
  <c r="L185" i="9"/>
  <c r="M185" i="9" s="1"/>
  <c r="Z185" i="9"/>
  <c r="AA185" i="9" s="1"/>
  <c r="AN185" i="9"/>
  <c r="AO185" i="9" s="1"/>
  <c r="Y140" i="10"/>
  <c r="AC140" i="10" s="1"/>
  <c r="I422" i="10"/>
  <c r="I422" i="9"/>
  <c r="I422" i="8"/>
  <c r="AE402" i="6"/>
  <c r="Z402" i="6"/>
  <c r="L317" i="10"/>
  <c r="M317" i="10" s="1"/>
  <c r="Z317" i="10"/>
  <c r="AA317" i="10" s="1"/>
  <c r="AN317" i="10"/>
  <c r="AO317" i="10" s="1"/>
  <c r="AN139" i="10"/>
  <c r="AO139" i="10" s="1"/>
  <c r="L139" i="10"/>
  <c r="M139" i="10" s="1"/>
  <c r="Z139" i="10"/>
  <c r="AA139" i="10" s="1"/>
  <c r="AN291" i="8"/>
  <c r="AO291" i="8" s="1"/>
  <c r="L291" i="8"/>
  <c r="M291" i="8" s="1"/>
  <c r="Z291" i="8"/>
  <c r="AA291" i="8" s="1"/>
  <c r="L64" i="8"/>
  <c r="M64" i="8" s="1"/>
  <c r="Z64" i="8"/>
  <c r="AA64" i="8" s="1"/>
  <c r="AN64" i="8"/>
  <c r="AO64" i="8" s="1"/>
  <c r="L232" i="9"/>
  <c r="M232" i="9" s="1"/>
  <c r="Z232" i="9"/>
  <c r="AA232" i="9" s="1"/>
  <c r="AN232" i="9"/>
  <c r="AO232" i="9" s="1"/>
  <c r="Z138" i="9"/>
  <c r="AA138" i="9" s="1"/>
  <c r="L138" i="9"/>
  <c r="M138" i="9" s="1"/>
  <c r="AN138" i="9"/>
  <c r="AO138" i="9" s="1"/>
  <c r="L234" i="10"/>
  <c r="M234" i="10" s="1"/>
  <c r="Z234" i="10"/>
  <c r="AA234" i="10" s="1"/>
  <c r="AN234" i="10"/>
  <c r="AO234" i="10" s="1"/>
  <c r="Z298" i="8"/>
  <c r="AA298" i="8" s="1"/>
  <c r="AN298" i="8"/>
  <c r="AO298" i="8" s="1"/>
  <c r="L298" i="8"/>
  <c r="M298" i="8" s="1"/>
  <c r="Z159" i="9"/>
  <c r="AA159" i="9" s="1"/>
  <c r="AN159" i="9"/>
  <c r="AO159" i="9" s="1"/>
  <c r="L159" i="9"/>
  <c r="M159" i="9" s="1"/>
  <c r="L193" i="10"/>
  <c r="M193" i="10" s="1"/>
  <c r="Z193" i="10"/>
  <c r="AA193" i="10" s="1"/>
  <c r="AN193" i="10"/>
  <c r="AO193" i="10" s="1"/>
  <c r="L321" i="8"/>
  <c r="M321" i="8" s="1"/>
  <c r="Z321" i="8"/>
  <c r="AA321" i="8" s="1"/>
  <c r="AN321" i="8"/>
  <c r="AO321" i="8" s="1"/>
  <c r="K180" i="10"/>
  <c r="O180" i="10" s="1"/>
  <c r="L261" i="9"/>
  <c r="M261" i="9" s="1"/>
  <c r="Z261" i="9"/>
  <c r="AA261" i="9" s="1"/>
  <c r="AN261" i="9"/>
  <c r="AO261" i="9" s="1"/>
  <c r="I407" i="10"/>
  <c r="I407" i="9"/>
  <c r="I407" i="8"/>
  <c r="Z387" i="6"/>
  <c r="AE387" i="6"/>
  <c r="AN396" i="10"/>
  <c r="AO396" i="10" s="1"/>
  <c r="L396" i="10"/>
  <c r="M396" i="10" s="1"/>
  <c r="Z396" i="10"/>
  <c r="AA396" i="10" s="1"/>
  <c r="AN155" i="10"/>
  <c r="AO155" i="10" s="1"/>
  <c r="L155" i="10"/>
  <c r="M155" i="10" s="1"/>
  <c r="Z155" i="10"/>
  <c r="AA155" i="10" s="1"/>
  <c r="AN299" i="8"/>
  <c r="AO299" i="8" s="1"/>
  <c r="L299" i="8"/>
  <c r="M299" i="8" s="1"/>
  <c r="Z299" i="8"/>
  <c r="AA299" i="8" s="1"/>
  <c r="L72" i="8"/>
  <c r="M72" i="8" s="1"/>
  <c r="Z72" i="8"/>
  <c r="AA72" i="8" s="1"/>
  <c r="AN72" i="8"/>
  <c r="AO72" i="8" s="1"/>
  <c r="L240" i="9"/>
  <c r="M240" i="9" s="1"/>
  <c r="Z240" i="9"/>
  <c r="AA240" i="9" s="1"/>
  <c r="AN240" i="9"/>
  <c r="AO240" i="9" s="1"/>
  <c r="Y70" i="8"/>
  <c r="AN142" i="10"/>
  <c r="AO142" i="10" s="1"/>
  <c r="L142" i="10"/>
  <c r="M142" i="10" s="1"/>
  <c r="Z142" i="10"/>
  <c r="AA142" i="10" s="1"/>
  <c r="L206" i="8"/>
  <c r="M206" i="8" s="1"/>
  <c r="Z206" i="8"/>
  <c r="AA206" i="8" s="1"/>
  <c r="AN206" i="8"/>
  <c r="AO206" i="8" s="1"/>
  <c r="AN334" i="9"/>
  <c r="AO334" i="9" s="1"/>
  <c r="L334" i="9"/>
  <c r="M334" i="9" s="1"/>
  <c r="Z334" i="9"/>
  <c r="AA334" i="9" s="1"/>
  <c r="L167" i="10"/>
  <c r="M167" i="10" s="1"/>
  <c r="Z167" i="10"/>
  <c r="AA167" i="10" s="1"/>
  <c r="AN167" i="10"/>
  <c r="AO167" i="10" s="1"/>
  <c r="L295" i="8"/>
  <c r="M295" i="8" s="1"/>
  <c r="Z295" i="8"/>
  <c r="AA295" i="8" s="1"/>
  <c r="AN295" i="8"/>
  <c r="AO295" i="8" s="1"/>
  <c r="L30" i="8"/>
  <c r="M30" i="8" s="1"/>
  <c r="Z30" i="8"/>
  <c r="AA30" i="8" s="1"/>
  <c r="AN30" i="8"/>
  <c r="AO30" i="8" s="1"/>
  <c r="L137" i="10"/>
  <c r="M137" i="10" s="1"/>
  <c r="Z137" i="10"/>
  <c r="AA137" i="10" s="1"/>
  <c r="AN137" i="10"/>
  <c r="AO137" i="10" s="1"/>
  <c r="L265" i="8"/>
  <c r="M265" i="8" s="1"/>
  <c r="Z265" i="8"/>
  <c r="AA265" i="8" s="1"/>
  <c r="AN265" i="8"/>
  <c r="AO265" i="8" s="1"/>
  <c r="L205" i="9"/>
  <c r="M205" i="9" s="1"/>
  <c r="Z205" i="9"/>
  <c r="AA205" i="9" s="1"/>
  <c r="AN205" i="9"/>
  <c r="AO205" i="9" s="1"/>
  <c r="Z370" i="10"/>
  <c r="AA370" i="10" s="1"/>
  <c r="L370" i="10"/>
  <c r="M370" i="10" s="1"/>
  <c r="AN370" i="10"/>
  <c r="AO370" i="10" s="1"/>
  <c r="Z163" i="10"/>
  <c r="AA163" i="10" s="1"/>
  <c r="AN163" i="10"/>
  <c r="AO163" i="10" s="1"/>
  <c r="L163" i="10"/>
  <c r="M163" i="10" s="1"/>
  <c r="AN307" i="8"/>
  <c r="AO307" i="8" s="1"/>
  <c r="L307" i="8"/>
  <c r="M307" i="8" s="1"/>
  <c r="Z307" i="8"/>
  <c r="AA307" i="8" s="1"/>
  <c r="L80" i="8"/>
  <c r="M80" i="8" s="1"/>
  <c r="Z80" i="8"/>
  <c r="AA80" i="8" s="1"/>
  <c r="AN80" i="8"/>
  <c r="AO80" i="8" s="1"/>
  <c r="L248" i="9"/>
  <c r="M248" i="9" s="1"/>
  <c r="Z248" i="9"/>
  <c r="AA248" i="9" s="1"/>
  <c r="AN248" i="9"/>
  <c r="AO248" i="9" s="1"/>
  <c r="AN114" i="8"/>
  <c r="AO114" i="8" s="1"/>
  <c r="L114" i="8"/>
  <c r="M114" i="8" s="1"/>
  <c r="Z114" i="8"/>
  <c r="AA114" i="8" s="1"/>
  <c r="L210" i="9"/>
  <c r="M210" i="9" s="1"/>
  <c r="Z210" i="9"/>
  <c r="AA210" i="9" s="1"/>
  <c r="AN210" i="9"/>
  <c r="AO210" i="9" s="1"/>
  <c r="L306" i="10"/>
  <c r="M306" i="10" s="1"/>
  <c r="Z306" i="10"/>
  <c r="AA306" i="10" s="1"/>
  <c r="AN306" i="10"/>
  <c r="AO306" i="10" s="1"/>
  <c r="AM35" i="9"/>
  <c r="AQ35" i="9" s="1"/>
  <c r="L175" i="8"/>
  <c r="M175" i="8" s="1"/>
  <c r="Z175" i="8"/>
  <c r="AA175" i="8" s="1"/>
  <c r="AN175" i="8"/>
  <c r="AO175" i="8" s="1"/>
  <c r="L209" i="10"/>
  <c r="M209" i="10" s="1"/>
  <c r="Z209" i="10"/>
  <c r="AA209" i="10" s="1"/>
  <c r="AN209" i="10"/>
  <c r="AO209" i="10" s="1"/>
  <c r="L337" i="8"/>
  <c r="M337" i="8" s="1"/>
  <c r="Z337" i="8"/>
  <c r="AA337" i="8" s="1"/>
  <c r="AN337" i="8"/>
  <c r="AO337" i="8" s="1"/>
  <c r="AM180" i="8"/>
  <c r="Z149" i="8"/>
  <c r="AA149" i="8" s="1"/>
  <c r="AN149" i="8"/>
  <c r="AO149" i="8" s="1"/>
  <c r="L149" i="8"/>
  <c r="M149" i="8" s="1"/>
  <c r="L108" i="10"/>
  <c r="M108" i="10" s="1"/>
  <c r="Z108" i="10"/>
  <c r="AA108" i="10" s="1"/>
  <c r="AN108" i="10"/>
  <c r="AO108" i="10" s="1"/>
  <c r="L424" i="9"/>
  <c r="M424" i="9" s="1"/>
  <c r="Z424" i="9"/>
  <c r="AA424" i="9" s="1"/>
  <c r="AN424" i="9"/>
  <c r="AO424" i="9" s="1"/>
  <c r="Z42" i="9"/>
  <c r="AA42" i="9" s="1"/>
  <c r="AN42" i="9"/>
  <c r="AO42" i="9" s="1"/>
  <c r="L42" i="9"/>
  <c r="M42" i="9" s="1"/>
  <c r="Z251" i="10"/>
  <c r="AA251" i="10" s="1"/>
  <c r="L251" i="10"/>
  <c r="M251" i="10" s="1"/>
  <c r="AN251" i="10"/>
  <c r="AO251" i="10" s="1"/>
  <c r="L147" i="9"/>
  <c r="M147" i="9" s="1"/>
  <c r="Z147" i="9"/>
  <c r="AA147" i="9" s="1"/>
  <c r="AN147" i="9"/>
  <c r="AO147" i="9" s="1"/>
  <c r="Z320" i="10"/>
  <c r="AA320" i="10" s="1"/>
  <c r="AN320" i="10"/>
  <c r="AO320" i="10" s="1"/>
  <c r="L320" i="10"/>
  <c r="M320" i="10" s="1"/>
  <c r="L118" i="8"/>
  <c r="M118" i="8" s="1"/>
  <c r="Z118" i="8"/>
  <c r="AA118" i="8" s="1"/>
  <c r="AN118" i="8"/>
  <c r="AO118" i="8" s="1"/>
  <c r="Z214" i="9"/>
  <c r="AA214" i="9" s="1"/>
  <c r="AN214" i="9"/>
  <c r="AO214" i="9" s="1"/>
  <c r="L214" i="9"/>
  <c r="M214" i="9" s="1"/>
  <c r="L341" i="10"/>
  <c r="M341" i="10" s="1"/>
  <c r="Z341" i="10"/>
  <c r="AA341" i="10" s="1"/>
  <c r="AN341" i="10"/>
  <c r="AO341" i="10" s="1"/>
  <c r="AN55" i="10"/>
  <c r="AO55" i="10" s="1"/>
  <c r="L55" i="10"/>
  <c r="M55" i="10" s="1"/>
  <c r="Z55" i="10"/>
  <c r="AA55" i="10" s="1"/>
  <c r="L183" i="8"/>
  <c r="M183" i="8" s="1"/>
  <c r="Z183" i="8"/>
  <c r="AA183" i="8" s="1"/>
  <c r="AN183" i="8"/>
  <c r="AO183" i="8" s="1"/>
  <c r="Z89" i="9"/>
  <c r="AA89" i="9" s="1"/>
  <c r="AN89" i="9"/>
  <c r="AO89" i="9" s="1"/>
  <c r="L89" i="9"/>
  <c r="M89" i="9" s="1"/>
  <c r="L281" i="10"/>
  <c r="M281" i="10" s="1"/>
  <c r="Z281" i="10"/>
  <c r="AA281" i="10" s="1"/>
  <c r="AN281" i="10"/>
  <c r="AO281" i="10" s="1"/>
  <c r="AN34" i="8"/>
  <c r="AO34" i="8" s="1"/>
  <c r="L34" i="8"/>
  <c r="M34" i="8" s="1"/>
  <c r="Z34" i="8"/>
  <c r="AA34" i="8" s="1"/>
  <c r="Z157" i="10"/>
  <c r="AA157" i="10" s="1"/>
  <c r="AN157" i="10"/>
  <c r="AO157" i="10" s="1"/>
  <c r="L157" i="10"/>
  <c r="M157" i="10" s="1"/>
  <c r="Z285" i="8"/>
  <c r="AA285" i="8" s="1"/>
  <c r="AN285" i="8"/>
  <c r="AO285" i="8" s="1"/>
  <c r="L285" i="8"/>
  <c r="M285" i="8" s="1"/>
  <c r="Z53" i="10"/>
  <c r="AA53" i="10" s="1"/>
  <c r="L53" i="10"/>
  <c r="M53" i="10" s="1"/>
  <c r="AN53" i="10"/>
  <c r="AO53" i="10" s="1"/>
  <c r="AN371" i="8"/>
  <c r="AO371" i="8" s="1"/>
  <c r="L371" i="8"/>
  <c r="M371" i="8" s="1"/>
  <c r="Z371" i="8"/>
  <c r="AA371" i="8" s="1"/>
  <c r="L179" i="9"/>
  <c r="M179" i="9" s="1"/>
  <c r="Z179" i="9"/>
  <c r="AA179" i="9" s="1"/>
  <c r="AN179" i="9"/>
  <c r="AO179" i="9" s="1"/>
  <c r="L96" i="10"/>
  <c r="M96" i="10" s="1"/>
  <c r="AN96" i="10"/>
  <c r="AO96" i="10" s="1"/>
  <c r="Z96" i="10"/>
  <c r="AA96" i="10" s="1"/>
  <c r="AN200" i="8"/>
  <c r="AO200" i="8" s="1"/>
  <c r="L200" i="8"/>
  <c r="M200" i="8" s="1"/>
  <c r="Z200" i="8"/>
  <c r="AA200" i="8" s="1"/>
  <c r="AN154" i="9"/>
  <c r="AO154" i="9" s="1"/>
  <c r="L154" i="9"/>
  <c r="M154" i="9" s="1"/>
  <c r="Z154" i="9"/>
  <c r="AA154" i="9" s="1"/>
  <c r="L250" i="10"/>
  <c r="M250" i="10" s="1"/>
  <c r="Z250" i="10"/>
  <c r="AA250" i="10" s="1"/>
  <c r="AN250" i="10"/>
  <c r="AO250" i="10" s="1"/>
  <c r="Z314" i="8"/>
  <c r="AA314" i="8" s="1"/>
  <c r="AN314" i="8"/>
  <c r="AO314" i="8" s="1"/>
  <c r="L314" i="8"/>
  <c r="M314" i="8" s="1"/>
  <c r="AN127" i="9"/>
  <c r="AO127" i="9" s="1"/>
  <c r="L127" i="9"/>
  <c r="M127" i="9" s="1"/>
  <c r="Z127" i="9"/>
  <c r="AA127" i="9" s="1"/>
  <c r="L319" i="10"/>
  <c r="M319" i="10" s="1"/>
  <c r="Z319" i="10"/>
  <c r="AA319" i="10" s="1"/>
  <c r="AN319" i="10"/>
  <c r="AO319" i="10" s="1"/>
  <c r="L97" i="8"/>
  <c r="M97" i="8" s="1"/>
  <c r="Z97" i="8"/>
  <c r="AA97" i="8" s="1"/>
  <c r="AN97" i="8"/>
  <c r="AO97" i="8" s="1"/>
  <c r="AN289" i="9"/>
  <c r="AO289" i="9" s="1"/>
  <c r="L289" i="9"/>
  <c r="M289" i="9" s="1"/>
  <c r="Z289" i="9"/>
  <c r="AA289" i="9" s="1"/>
  <c r="AM60" i="8"/>
  <c r="K100" i="9"/>
  <c r="O100" i="9" s="1"/>
  <c r="AM220" i="10"/>
  <c r="AQ220" i="10" s="1"/>
  <c r="L229" i="9"/>
  <c r="M229" i="9" s="1"/>
  <c r="Z229" i="9"/>
  <c r="AA229" i="9" s="1"/>
  <c r="AN229" i="9"/>
  <c r="AO229" i="9" s="1"/>
  <c r="AN169" i="10"/>
  <c r="AO169" i="10" s="1"/>
  <c r="L169" i="10"/>
  <c r="M169" i="10" s="1"/>
  <c r="Z169" i="10"/>
  <c r="AA169" i="10" s="1"/>
  <c r="L297" i="8"/>
  <c r="M297" i="8" s="1"/>
  <c r="Z297" i="8"/>
  <c r="AA297" i="8" s="1"/>
  <c r="AN297" i="8"/>
  <c r="AO297" i="8" s="1"/>
  <c r="L343" i="8"/>
  <c r="M343" i="8" s="1"/>
  <c r="Z343" i="8"/>
  <c r="AA343" i="8" s="1"/>
  <c r="AN343" i="8"/>
  <c r="AO343" i="8" s="1"/>
  <c r="L338" i="9"/>
  <c r="M338" i="9" s="1"/>
  <c r="Z338" i="9"/>
  <c r="AA338" i="9" s="1"/>
  <c r="AN338" i="9"/>
  <c r="AO338" i="9" s="1"/>
  <c r="Z413" i="10"/>
  <c r="AA413" i="10" s="1"/>
  <c r="AN413" i="10"/>
  <c r="AO413" i="10" s="1"/>
  <c r="L413" i="10"/>
  <c r="M413" i="10" s="1"/>
  <c r="L417" i="8"/>
  <c r="M417" i="8" s="1"/>
  <c r="Z417" i="8"/>
  <c r="AA417" i="8" s="1"/>
  <c r="AN417" i="8"/>
  <c r="AO417" i="8" s="1"/>
  <c r="AN326" i="9"/>
  <c r="AO326" i="9" s="1"/>
  <c r="L326" i="9"/>
  <c r="M326" i="9" s="1"/>
  <c r="Z326" i="9"/>
  <c r="AA326" i="9" s="1"/>
  <c r="Z350" i="10"/>
  <c r="AA350" i="10" s="1"/>
  <c r="AN350" i="10"/>
  <c r="AO350" i="10" s="1"/>
  <c r="L350" i="10"/>
  <c r="M350" i="10" s="1"/>
  <c r="L409" i="8"/>
  <c r="M409" i="8" s="1"/>
  <c r="Z409" i="8"/>
  <c r="AA409" i="8" s="1"/>
  <c r="AN409" i="8"/>
  <c r="AO409" i="8" s="1"/>
  <c r="L135" i="10"/>
  <c r="M135" i="10" s="1"/>
  <c r="Z135" i="10"/>
  <c r="AA135" i="10" s="1"/>
  <c r="AN135" i="10"/>
  <c r="AO135" i="10" s="1"/>
  <c r="L263" i="8"/>
  <c r="M263" i="8" s="1"/>
  <c r="Z263" i="8"/>
  <c r="AA263" i="8" s="1"/>
  <c r="AN263" i="8"/>
  <c r="AO263" i="8" s="1"/>
  <c r="L237" i="9"/>
  <c r="M237" i="9" s="1"/>
  <c r="Z237" i="9"/>
  <c r="AA237" i="9" s="1"/>
  <c r="AN237" i="9"/>
  <c r="AO237" i="9" s="1"/>
  <c r="Z383" i="10"/>
  <c r="AA383" i="10" s="1"/>
  <c r="AN383" i="10"/>
  <c r="AO383" i="10" s="1"/>
  <c r="L383" i="10"/>
  <c r="M383" i="10" s="1"/>
  <c r="AN419" i="8"/>
  <c r="AO419" i="8" s="1"/>
  <c r="L419" i="8"/>
  <c r="M419" i="8" s="1"/>
  <c r="Z419" i="8"/>
  <c r="AA419" i="8" s="1"/>
  <c r="AN318" i="9"/>
  <c r="AO318" i="9" s="1"/>
  <c r="L318" i="9"/>
  <c r="M318" i="9" s="1"/>
  <c r="Z318" i="9"/>
  <c r="AA318" i="9" s="1"/>
  <c r="AM100" i="8"/>
  <c r="L358" i="8"/>
  <c r="M358" i="8" s="1"/>
  <c r="Z358" i="8"/>
  <c r="AA358" i="8" s="1"/>
  <c r="AN358" i="8"/>
  <c r="AO358" i="8" s="1"/>
  <c r="Z390" i="9"/>
  <c r="AA390" i="9" s="1"/>
  <c r="AN390" i="9"/>
  <c r="AO390" i="9" s="1"/>
  <c r="L390" i="9"/>
  <c r="M390" i="9" s="1"/>
  <c r="Z286" i="10"/>
  <c r="AA286" i="10" s="1"/>
  <c r="AN286" i="10"/>
  <c r="AO286" i="10" s="1"/>
  <c r="L286" i="10"/>
  <c r="M286" i="10" s="1"/>
  <c r="Z389" i="8"/>
  <c r="AA389" i="8" s="1"/>
  <c r="AN389" i="8"/>
  <c r="AO389" i="8" s="1"/>
  <c r="L389" i="8"/>
  <c r="M389" i="8" s="1"/>
  <c r="L190" i="9"/>
  <c r="M190" i="9" s="1"/>
  <c r="Z190" i="9"/>
  <c r="AA190" i="9" s="1"/>
  <c r="AN190" i="9"/>
  <c r="AO190" i="9" s="1"/>
  <c r="AN115" i="10"/>
  <c r="AO115" i="10" s="1"/>
  <c r="L115" i="10"/>
  <c r="M115" i="10" s="1"/>
  <c r="Z115" i="10"/>
  <c r="AA115" i="10" s="1"/>
  <c r="AN267" i="8"/>
  <c r="AO267" i="8" s="1"/>
  <c r="L267" i="8"/>
  <c r="M267" i="8" s="1"/>
  <c r="Z267" i="8"/>
  <c r="AA267" i="8" s="1"/>
  <c r="L160" i="9"/>
  <c r="M160" i="9" s="1"/>
  <c r="Z160" i="9"/>
  <c r="AA160" i="9" s="1"/>
  <c r="AN160" i="9"/>
  <c r="AO160" i="9" s="1"/>
  <c r="L336" i="10"/>
  <c r="M336" i="10" s="1"/>
  <c r="Z336" i="10"/>
  <c r="AA336" i="10" s="1"/>
  <c r="AN336" i="10"/>
  <c r="AO336" i="10" s="1"/>
  <c r="Z378" i="8"/>
  <c r="AA378" i="8" s="1"/>
  <c r="AN378" i="8"/>
  <c r="AO378" i="8" s="1"/>
  <c r="L378" i="8"/>
  <c r="M378" i="8" s="1"/>
  <c r="AN385" i="9"/>
  <c r="AO385" i="9" s="1"/>
  <c r="L385" i="9"/>
  <c r="M385" i="9" s="1"/>
  <c r="Z385" i="9"/>
  <c r="AA385" i="9" s="1"/>
  <c r="L271" i="10"/>
  <c r="M271" i="10" s="1"/>
  <c r="Z271" i="10"/>
  <c r="AA271" i="10" s="1"/>
  <c r="AN271" i="10"/>
  <c r="AO271" i="10" s="1"/>
  <c r="Z113" i="9"/>
  <c r="AA113" i="9" s="1"/>
  <c r="AN113" i="9"/>
  <c r="AO113" i="9" s="1"/>
  <c r="L113" i="9"/>
  <c r="M113" i="9" s="1"/>
  <c r="L294" i="8"/>
  <c r="M294" i="8" s="1"/>
  <c r="Z294" i="8"/>
  <c r="AA294" i="8" s="1"/>
  <c r="AN294" i="8"/>
  <c r="AO294" i="8" s="1"/>
  <c r="L185" i="8"/>
  <c r="M185" i="8" s="1"/>
  <c r="Z185" i="8"/>
  <c r="AA185" i="8" s="1"/>
  <c r="AN185" i="8"/>
  <c r="AO185" i="8" s="1"/>
  <c r="AN330" i="10"/>
  <c r="AO330" i="10" s="1"/>
  <c r="L330" i="10"/>
  <c r="M330" i="10" s="1"/>
  <c r="Z330" i="10"/>
  <c r="AA330" i="10" s="1"/>
  <c r="Y180" i="10"/>
  <c r="AC180" i="10" s="1"/>
  <c r="AN396" i="9"/>
  <c r="AO396" i="9" s="1"/>
  <c r="L396" i="9"/>
  <c r="M396" i="9" s="1"/>
  <c r="Z396" i="9"/>
  <c r="AA396" i="9" s="1"/>
  <c r="AN240" i="8"/>
  <c r="AO240" i="8" s="1"/>
  <c r="L240" i="8"/>
  <c r="M240" i="8" s="1"/>
  <c r="Z240" i="8"/>
  <c r="AA240" i="8" s="1"/>
  <c r="Z144" i="10"/>
  <c r="AA144" i="10" s="1"/>
  <c r="AN144" i="10"/>
  <c r="AO144" i="10" s="1"/>
  <c r="L144" i="10"/>
  <c r="M144" i="10" s="1"/>
  <c r="L306" i="9"/>
  <c r="M306" i="9" s="1"/>
  <c r="Z306" i="9"/>
  <c r="AA306" i="9" s="1"/>
  <c r="AN306" i="9"/>
  <c r="AO306" i="9" s="1"/>
  <c r="AN213" i="10"/>
  <c r="AO213" i="10" s="1"/>
  <c r="Z213" i="10"/>
  <c r="AA213" i="10" s="1"/>
  <c r="L213" i="10"/>
  <c r="M213" i="10" s="1"/>
  <c r="L55" i="9"/>
  <c r="M55" i="9" s="1"/>
  <c r="Z55" i="9"/>
  <c r="AA55" i="9" s="1"/>
  <c r="AN55" i="9"/>
  <c r="AO55" i="9" s="1"/>
  <c r="AN281" i="9"/>
  <c r="AO281" i="9" s="1"/>
  <c r="L281" i="9"/>
  <c r="M281" i="9" s="1"/>
  <c r="Z281" i="9"/>
  <c r="AA281" i="9" s="1"/>
  <c r="AN157" i="9"/>
  <c r="AO157" i="9" s="1"/>
  <c r="L157" i="9"/>
  <c r="M157" i="9" s="1"/>
  <c r="Z157" i="9"/>
  <c r="AA157" i="9" s="1"/>
  <c r="AN161" i="10"/>
  <c r="AO161" i="10" s="1"/>
  <c r="L161" i="10"/>
  <c r="M161" i="10" s="1"/>
  <c r="Z161" i="10"/>
  <c r="AA161" i="10" s="1"/>
  <c r="L101" i="10"/>
  <c r="M101" i="10" s="1"/>
  <c r="Z101" i="10"/>
  <c r="AA101" i="10" s="1"/>
  <c r="AN101" i="10"/>
  <c r="AO101" i="10" s="1"/>
  <c r="Z375" i="10"/>
  <c r="AA375" i="10" s="1"/>
  <c r="AN375" i="10"/>
  <c r="AO375" i="10" s="1"/>
  <c r="L375" i="10"/>
  <c r="M375" i="10" s="1"/>
  <c r="AN350" i="9"/>
  <c r="AO350" i="9" s="1"/>
  <c r="L350" i="9"/>
  <c r="M350" i="9" s="1"/>
  <c r="Z350" i="9"/>
  <c r="AA350" i="9" s="1"/>
  <c r="L327" i="10"/>
  <c r="M327" i="10" s="1"/>
  <c r="Z327" i="10"/>
  <c r="AA327" i="10" s="1"/>
  <c r="AN327" i="10"/>
  <c r="AO327" i="10" s="1"/>
  <c r="K100" i="8"/>
  <c r="AN262" i="10"/>
  <c r="AO262" i="10" s="1"/>
  <c r="L262" i="10"/>
  <c r="M262" i="10" s="1"/>
  <c r="Z262" i="10"/>
  <c r="AA262" i="10" s="1"/>
  <c r="L390" i="8"/>
  <c r="M390" i="8" s="1"/>
  <c r="Z390" i="8"/>
  <c r="AA390" i="8" s="1"/>
  <c r="AN390" i="8"/>
  <c r="AO390" i="8" s="1"/>
  <c r="AN405" i="10"/>
  <c r="AO405" i="10" s="1"/>
  <c r="L405" i="10"/>
  <c r="M405" i="10" s="1"/>
  <c r="Z405" i="10"/>
  <c r="AA405" i="10" s="1"/>
  <c r="L190" i="8"/>
  <c r="M190" i="8" s="1"/>
  <c r="Z190" i="8"/>
  <c r="AA190" i="8" s="1"/>
  <c r="AN190" i="8"/>
  <c r="AO190" i="8" s="1"/>
  <c r="L115" i="9"/>
  <c r="M115" i="9" s="1"/>
  <c r="Z115" i="9"/>
  <c r="AA115" i="9" s="1"/>
  <c r="AN115" i="9"/>
  <c r="AO115" i="9" s="1"/>
  <c r="L331" i="10"/>
  <c r="M331" i="10" s="1"/>
  <c r="Z331" i="10"/>
  <c r="AA331" i="10" s="1"/>
  <c r="AN331" i="10"/>
  <c r="AO331" i="10" s="1"/>
  <c r="AN160" i="8"/>
  <c r="AO160" i="8" s="1"/>
  <c r="L160" i="8"/>
  <c r="M160" i="8" s="1"/>
  <c r="Z160" i="8"/>
  <c r="AA160" i="8" s="1"/>
  <c r="L59" i="8"/>
  <c r="M59" i="8" s="1"/>
  <c r="Z59" i="8"/>
  <c r="AA59" i="8" s="1"/>
  <c r="AN59" i="8"/>
  <c r="AO59" i="8" s="1"/>
  <c r="Z275" i="9"/>
  <c r="AA275" i="9" s="1"/>
  <c r="AN275" i="9"/>
  <c r="AO275" i="9" s="1"/>
  <c r="L275" i="9"/>
  <c r="M275" i="9" s="1"/>
  <c r="Z112" i="10"/>
  <c r="AA112" i="10" s="1"/>
  <c r="AN112" i="10"/>
  <c r="AO112" i="10" s="1"/>
  <c r="L112" i="10"/>
  <c r="M112" i="10" s="1"/>
  <c r="AN216" i="8"/>
  <c r="AO216" i="8" s="1"/>
  <c r="L216" i="8"/>
  <c r="M216" i="8" s="1"/>
  <c r="Z216" i="8"/>
  <c r="AA216" i="8" s="1"/>
  <c r="AN162" i="9"/>
  <c r="AO162" i="9" s="1"/>
  <c r="L162" i="9"/>
  <c r="M162" i="9" s="1"/>
  <c r="Z162" i="9"/>
  <c r="AA162" i="9" s="1"/>
  <c r="L258" i="10"/>
  <c r="M258" i="10" s="1"/>
  <c r="Z258" i="10"/>
  <c r="AA258" i="10" s="1"/>
  <c r="AN258" i="10"/>
  <c r="AO258" i="10" s="1"/>
  <c r="Z322" i="8"/>
  <c r="AA322" i="8" s="1"/>
  <c r="AN322" i="8"/>
  <c r="AO322" i="8" s="1"/>
  <c r="L322" i="8"/>
  <c r="M322" i="8" s="1"/>
  <c r="L207" i="9"/>
  <c r="M207" i="9" s="1"/>
  <c r="Z207" i="9"/>
  <c r="AA207" i="9" s="1"/>
  <c r="AN207" i="9"/>
  <c r="AO207" i="9" s="1"/>
  <c r="AN352" i="8"/>
  <c r="AO352" i="8" s="1"/>
  <c r="L352" i="8"/>
  <c r="M352" i="8" s="1"/>
  <c r="Z352" i="8"/>
  <c r="AA352" i="8" s="1"/>
  <c r="AN241" i="9"/>
  <c r="AO241" i="9" s="1"/>
  <c r="L241" i="9"/>
  <c r="M241" i="9" s="1"/>
  <c r="Z241" i="9"/>
  <c r="AA241" i="9" s="1"/>
  <c r="K220" i="8"/>
  <c r="Z406" i="10"/>
  <c r="AA406" i="10" s="1"/>
  <c r="L406" i="10"/>
  <c r="M406" i="10" s="1"/>
  <c r="AN406" i="10"/>
  <c r="AO406" i="10" s="1"/>
  <c r="Z181" i="8"/>
  <c r="AA181" i="8" s="1"/>
  <c r="AN181" i="8"/>
  <c r="AO181" i="8" s="1"/>
  <c r="L181" i="8"/>
  <c r="M181" i="8" s="1"/>
  <c r="I402" i="10"/>
  <c r="I402" i="9"/>
  <c r="I402" i="8"/>
  <c r="Z382" i="6"/>
  <c r="AE382" i="6"/>
  <c r="L382" i="8"/>
  <c r="M382" i="8" s="1"/>
  <c r="Z382" i="8"/>
  <c r="AA382" i="8" s="1"/>
  <c r="AN382" i="8"/>
  <c r="AO382" i="8" s="1"/>
  <c r="Z219" i="9"/>
  <c r="AA219" i="9" s="1"/>
  <c r="AN219" i="9"/>
  <c r="AO219" i="9" s="1"/>
  <c r="L219" i="9"/>
  <c r="M219" i="9" s="1"/>
  <c r="L56" i="10"/>
  <c r="M56" i="10" s="1"/>
  <c r="AN56" i="10"/>
  <c r="AO56" i="10" s="1"/>
  <c r="Z56" i="10"/>
  <c r="AA56" i="10" s="1"/>
  <c r="AN176" i="8"/>
  <c r="AO176" i="8" s="1"/>
  <c r="L176" i="8"/>
  <c r="M176" i="8" s="1"/>
  <c r="Z176" i="8"/>
  <c r="AA176" i="8" s="1"/>
  <c r="K70" i="10"/>
  <c r="O70" i="10" s="1"/>
  <c r="L166" i="9"/>
  <c r="M166" i="9" s="1"/>
  <c r="Z166" i="9"/>
  <c r="AA166" i="9" s="1"/>
  <c r="AN166" i="9"/>
  <c r="AO166" i="9" s="1"/>
  <c r="L294" i="10"/>
  <c r="M294" i="10" s="1"/>
  <c r="Z294" i="10"/>
  <c r="AA294" i="10" s="1"/>
  <c r="AN294" i="10"/>
  <c r="AO294" i="10" s="1"/>
  <c r="AN87" i="10"/>
  <c r="AO87" i="10" s="1"/>
  <c r="L87" i="10"/>
  <c r="M87" i="10" s="1"/>
  <c r="Z87" i="10"/>
  <c r="AA87" i="10" s="1"/>
  <c r="L215" i="8"/>
  <c r="M215" i="8" s="1"/>
  <c r="Z215" i="8"/>
  <c r="AA215" i="8" s="1"/>
  <c r="AN215" i="8"/>
  <c r="AO215" i="8" s="1"/>
  <c r="L340" i="9"/>
  <c r="M340" i="9" s="1"/>
  <c r="Z340" i="9"/>
  <c r="AA340" i="9" s="1"/>
  <c r="AN340" i="9"/>
  <c r="AO340" i="9" s="1"/>
  <c r="L185" i="10"/>
  <c r="M185" i="10" s="1"/>
  <c r="AN185" i="10"/>
  <c r="AO185" i="10" s="1"/>
  <c r="Z185" i="10"/>
  <c r="AA185" i="10" s="1"/>
  <c r="L313" i="8"/>
  <c r="M313" i="8" s="1"/>
  <c r="Z313" i="8"/>
  <c r="AA313" i="8" s="1"/>
  <c r="AN313" i="8"/>
  <c r="AO313" i="8" s="1"/>
  <c r="K140" i="10"/>
  <c r="O140" i="10" s="1"/>
  <c r="Z253" i="8"/>
  <c r="AA253" i="8" s="1"/>
  <c r="AN253" i="8"/>
  <c r="AO253" i="8" s="1"/>
  <c r="L253" i="8"/>
  <c r="M253" i="8" s="1"/>
  <c r="I403" i="10"/>
  <c r="I403" i="9"/>
  <c r="I403" i="8"/>
  <c r="AE383" i="6"/>
  <c r="Z383" i="6"/>
  <c r="Z410" i="8"/>
  <c r="AA410" i="8" s="1"/>
  <c r="AN410" i="8"/>
  <c r="AO410" i="8" s="1"/>
  <c r="L410" i="8"/>
  <c r="M410" i="8" s="1"/>
  <c r="L75" i="8"/>
  <c r="M75" i="8" s="1"/>
  <c r="Z75" i="8"/>
  <c r="AA75" i="8" s="1"/>
  <c r="AN75" i="8"/>
  <c r="AO75" i="8" s="1"/>
  <c r="Z291" i="9"/>
  <c r="AA291" i="9" s="1"/>
  <c r="AN291" i="9"/>
  <c r="AO291" i="9" s="1"/>
  <c r="L291" i="9"/>
  <c r="M291" i="9" s="1"/>
  <c r="AN64" i="9"/>
  <c r="AO64" i="9" s="1"/>
  <c r="L64" i="9"/>
  <c r="M64" i="9" s="1"/>
  <c r="Z64" i="9"/>
  <c r="AA64" i="9" s="1"/>
  <c r="Z232" i="10"/>
  <c r="AA232" i="10" s="1"/>
  <c r="AN232" i="10"/>
  <c r="AO232" i="10" s="1"/>
  <c r="L232" i="10"/>
  <c r="M232" i="10" s="1"/>
  <c r="L138" i="10"/>
  <c r="M138" i="10" s="1"/>
  <c r="Z138" i="10"/>
  <c r="AA138" i="10" s="1"/>
  <c r="AN138" i="10"/>
  <c r="AO138" i="10" s="1"/>
  <c r="Z202" i="8"/>
  <c r="AA202" i="8" s="1"/>
  <c r="AN202" i="8"/>
  <c r="AO202" i="8" s="1"/>
  <c r="L202" i="8"/>
  <c r="M202" i="8" s="1"/>
  <c r="L298" i="9"/>
  <c r="M298" i="9" s="1"/>
  <c r="Z298" i="9"/>
  <c r="AA298" i="9" s="1"/>
  <c r="AN298" i="9"/>
  <c r="AO298" i="9" s="1"/>
  <c r="L159" i="10"/>
  <c r="M159" i="10" s="1"/>
  <c r="Z159" i="10"/>
  <c r="AA159" i="10" s="1"/>
  <c r="AN159" i="10"/>
  <c r="AO159" i="10" s="1"/>
  <c r="L287" i="8"/>
  <c r="M287" i="8" s="1"/>
  <c r="Z287" i="8"/>
  <c r="AA287" i="8" s="1"/>
  <c r="AN287" i="8"/>
  <c r="AO287" i="8" s="1"/>
  <c r="AN26" i="8"/>
  <c r="AO26" i="8" s="1"/>
  <c r="L26" i="8"/>
  <c r="M26" i="8" s="1"/>
  <c r="Z26" i="8"/>
  <c r="AA26" i="8" s="1"/>
  <c r="L65" i="8"/>
  <c r="M65" i="8" s="1"/>
  <c r="Z65" i="8"/>
  <c r="AA65" i="8" s="1"/>
  <c r="AN65" i="8"/>
  <c r="AO65" i="8" s="1"/>
  <c r="AN129" i="8"/>
  <c r="AO129" i="8" s="1"/>
  <c r="L129" i="8"/>
  <c r="M129" i="8" s="1"/>
  <c r="Z129" i="8"/>
  <c r="AA129" i="8" s="1"/>
  <c r="L321" i="9"/>
  <c r="M321" i="9" s="1"/>
  <c r="Z321" i="9"/>
  <c r="AA321" i="9" s="1"/>
  <c r="AN321" i="9"/>
  <c r="AO321" i="9" s="1"/>
  <c r="Y140" i="9"/>
  <c r="AC140" i="9" s="1"/>
  <c r="AM180" i="10"/>
  <c r="AQ180" i="10" s="1"/>
  <c r="L261" i="10"/>
  <c r="M261" i="10" s="1"/>
  <c r="AN261" i="10"/>
  <c r="AO261" i="10" s="1"/>
  <c r="Z261" i="10"/>
  <c r="AA261" i="10" s="1"/>
  <c r="L83" i="8"/>
  <c r="M83" i="8" s="1"/>
  <c r="Z83" i="8"/>
  <c r="AA83" i="8" s="1"/>
  <c r="AN83" i="8"/>
  <c r="AO83" i="8" s="1"/>
  <c r="Z299" i="9"/>
  <c r="AA299" i="9" s="1"/>
  <c r="AN299" i="9"/>
  <c r="AO299" i="9" s="1"/>
  <c r="L299" i="9"/>
  <c r="M299" i="9" s="1"/>
  <c r="L72" i="9"/>
  <c r="M72" i="9" s="1"/>
  <c r="Z72" i="9"/>
  <c r="AA72" i="9" s="1"/>
  <c r="AN72" i="9"/>
  <c r="AO72" i="9" s="1"/>
  <c r="Z240" i="10"/>
  <c r="AA240" i="10" s="1"/>
  <c r="AN240" i="10"/>
  <c r="AO240" i="10" s="1"/>
  <c r="L240" i="10"/>
  <c r="M240" i="10" s="1"/>
  <c r="K70" i="8"/>
  <c r="L110" i="8"/>
  <c r="M110" i="8" s="1"/>
  <c r="Z110" i="8"/>
  <c r="AA110" i="8" s="1"/>
  <c r="AN110" i="8"/>
  <c r="AO110" i="8" s="1"/>
  <c r="Z206" i="9"/>
  <c r="AA206" i="9" s="1"/>
  <c r="AN206" i="9"/>
  <c r="AO206" i="9" s="1"/>
  <c r="L206" i="9"/>
  <c r="M206" i="9" s="1"/>
  <c r="L334" i="10"/>
  <c r="M334" i="10" s="1"/>
  <c r="Z334" i="10"/>
  <c r="AA334" i="10" s="1"/>
  <c r="AN334" i="10"/>
  <c r="AO334" i="10" s="1"/>
  <c r="Z103" i="8"/>
  <c r="AA103" i="8" s="1"/>
  <c r="AN103" i="8"/>
  <c r="AO103" i="8" s="1"/>
  <c r="L103" i="8"/>
  <c r="M103" i="8" s="1"/>
  <c r="L295" i="9"/>
  <c r="M295" i="9" s="1"/>
  <c r="Z295" i="9"/>
  <c r="AA295" i="9" s="1"/>
  <c r="AN295" i="9"/>
  <c r="AO295" i="9" s="1"/>
  <c r="L30" i="9"/>
  <c r="M30" i="9" s="1"/>
  <c r="Z30" i="9"/>
  <c r="AA30" i="9" s="1"/>
  <c r="AN30" i="9"/>
  <c r="AO30" i="9" s="1"/>
  <c r="AN265" i="9"/>
  <c r="AO265" i="9" s="1"/>
  <c r="L265" i="9"/>
  <c r="M265" i="9" s="1"/>
  <c r="Z265" i="9"/>
  <c r="AA265" i="9" s="1"/>
  <c r="AN205" i="10"/>
  <c r="AO205" i="10" s="1"/>
  <c r="L205" i="10"/>
  <c r="M205" i="10" s="1"/>
  <c r="Z205" i="10"/>
  <c r="AA205" i="10" s="1"/>
  <c r="Z333" i="8"/>
  <c r="AA333" i="8" s="1"/>
  <c r="AN333" i="8"/>
  <c r="AO333" i="8" s="1"/>
  <c r="L333" i="8"/>
  <c r="M333" i="8" s="1"/>
  <c r="I386" i="10"/>
  <c r="I386" i="9"/>
  <c r="I386" i="8"/>
  <c r="Z366" i="6"/>
  <c r="AE366" i="6"/>
  <c r="L91" i="8"/>
  <c r="M91" i="8" s="1"/>
  <c r="Z91" i="8"/>
  <c r="AA91" i="8" s="1"/>
  <c r="AN91" i="8"/>
  <c r="AO91" i="8" s="1"/>
  <c r="Z307" i="9"/>
  <c r="AA307" i="9" s="1"/>
  <c r="AN307" i="9"/>
  <c r="AO307" i="9" s="1"/>
  <c r="L307" i="9"/>
  <c r="M307" i="9" s="1"/>
  <c r="L80" i="9"/>
  <c r="M80" i="9" s="1"/>
  <c r="Z80" i="9"/>
  <c r="AA80" i="9" s="1"/>
  <c r="AN80" i="9"/>
  <c r="AO80" i="9" s="1"/>
  <c r="Z248" i="10"/>
  <c r="AA248" i="10" s="1"/>
  <c r="AN248" i="10"/>
  <c r="AO248" i="10" s="1"/>
  <c r="L248" i="10"/>
  <c r="M248" i="10" s="1"/>
  <c r="Z36" i="8"/>
  <c r="AA36" i="8" s="1"/>
  <c r="AN36" i="8"/>
  <c r="AO36" i="8" s="1"/>
  <c r="L36" i="8"/>
  <c r="M36" i="8" s="1"/>
  <c r="L114" i="9"/>
  <c r="M114" i="9" s="1"/>
  <c r="Z114" i="9"/>
  <c r="AA114" i="9" s="1"/>
  <c r="AN114" i="9"/>
  <c r="AO114" i="9" s="1"/>
  <c r="AN210" i="10"/>
  <c r="AO210" i="10" s="1"/>
  <c r="Z210" i="10"/>
  <c r="AA210" i="10" s="1"/>
  <c r="L210" i="10"/>
  <c r="M210" i="10" s="1"/>
  <c r="Z274" i="8"/>
  <c r="AA274" i="8" s="1"/>
  <c r="AN274" i="8"/>
  <c r="AO274" i="8" s="1"/>
  <c r="L274" i="8"/>
  <c r="M274" i="8" s="1"/>
  <c r="Z175" i="9"/>
  <c r="AA175" i="9" s="1"/>
  <c r="AN175" i="9"/>
  <c r="AO175" i="9" s="1"/>
  <c r="L175" i="9"/>
  <c r="M175" i="9" s="1"/>
  <c r="L32" i="8"/>
  <c r="M32" i="8" s="1"/>
  <c r="Z32" i="8"/>
  <c r="AA32" i="8" s="1"/>
  <c r="AN32" i="8"/>
  <c r="AO32" i="8" s="1"/>
  <c r="L145" i="8"/>
  <c r="M145" i="8" s="1"/>
  <c r="Z145" i="8"/>
  <c r="AA145" i="8" s="1"/>
  <c r="AN145" i="8"/>
  <c r="AO145" i="8" s="1"/>
  <c r="L337" i="9"/>
  <c r="M337" i="9" s="1"/>
  <c r="Z337" i="9"/>
  <c r="AA337" i="9" s="1"/>
  <c r="AN337" i="9"/>
  <c r="AO337" i="9" s="1"/>
  <c r="Y180" i="8"/>
  <c r="AN149" i="9"/>
  <c r="AO149" i="9" s="1"/>
  <c r="L149" i="9"/>
  <c r="M149" i="9" s="1"/>
  <c r="Z149" i="9"/>
  <c r="AA149" i="9" s="1"/>
  <c r="AN37" i="8"/>
  <c r="AO37" i="8" s="1"/>
  <c r="L37" i="8"/>
  <c r="M37" i="8" s="1"/>
  <c r="Z37" i="8"/>
  <c r="AA37" i="8" s="1"/>
  <c r="L424" i="10"/>
  <c r="M424" i="10" s="1"/>
  <c r="Z424" i="10"/>
  <c r="AA424" i="10" s="1"/>
  <c r="AN424" i="10"/>
  <c r="AO424" i="10" s="1"/>
  <c r="AN42" i="10"/>
  <c r="AO42" i="10" s="1"/>
  <c r="L42" i="10"/>
  <c r="M42" i="10" s="1"/>
  <c r="Z42" i="10"/>
  <c r="AA42" i="10" s="1"/>
  <c r="AN171" i="8"/>
  <c r="AO171" i="8" s="1"/>
  <c r="L171" i="8"/>
  <c r="M171" i="8" s="1"/>
  <c r="Z171" i="8"/>
  <c r="AA171" i="8" s="1"/>
  <c r="AN147" i="10"/>
  <c r="AO147" i="10" s="1"/>
  <c r="L147" i="10"/>
  <c r="M147" i="10" s="1"/>
  <c r="Z147" i="10"/>
  <c r="AA147" i="10" s="1"/>
  <c r="AN256" i="8"/>
  <c r="AO256" i="8" s="1"/>
  <c r="L256" i="8"/>
  <c r="M256" i="8" s="1"/>
  <c r="Z256" i="8"/>
  <c r="AA256" i="8" s="1"/>
  <c r="Z118" i="9"/>
  <c r="AA118" i="9" s="1"/>
  <c r="AN118" i="9"/>
  <c r="AO118" i="9" s="1"/>
  <c r="L118" i="9"/>
  <c r="M118" i="9" s="1"/>
  <c r="L214" i="10"/>
  <c r="M214" i="10" s="1"/>
  <c r="Z214" i="10"/>
  <c r="AA214" i="10" s="1"/>
  <c r="AN214" i="10"/>
  <c r="AO214" i="10" s="1"/>
  <c r="L278" i="8"/>
  <c r="M278" i="8" s="1"/>
  <c r="Z278" i="8"/>
  <c r="AA278" i="8" s="1"/>
  <c r="AN278" i="8"/>
  <c r="AO278" i="8" s="1"/>
  <c r="AM35" i="8"/>
  <c r="Z183" i="9"/>
  <c r="AA183" i="9" s="1"/>
  <c r="AN183" i="9"/>
  <c r="AO183" i="9" s="1"/>
  <c r="L183" i="9"/>
  <c r="M183" i="9" s="1"/>
  <c r="Z89" i="10"/>
  <c r="AA89" i="10" s="1"/>
  <c r="AN89" i="10"/>
  <c r="AO89" i="10" s="1"/>
  <c r="L89" i="10"/>
  <c r="M89" i="10" s="1"/>
  <c r="L217" i="8"/>
  <c r="M217" i="8" s="1"/>
  <c r="Z217" i="8"/>
  <c r="AA217" i="8" s="1"/>
  <c r="AN217" i="8"/>
  <c r="AO217" i="8" s="1"/>
  <c r="Z34" i="9"/>
  <c r="AA34" i="9" s="1"/>
  <c r="AN34" i="9"/>
  <c r="AO34" i="9" s="1"/>
  <c r="L34" i="9"/>
  <c r="M34" i="9" s="1"/>
  <c r="Y100" i="10"/>
  <c r="AC100" i="10" s="1"/>
  <c r="AN93" i="8"/>
  <c r="AO93" i="8" s="1"/>
  <c r="L93" i="8"/>
  <c r="M93" i="8" s="1"/>
  <c r="Z93" i="8"/>
  <c r="AA93" i="8" s="1"/>
  <c r="L285" i="9"/>
  <c r="M285" i="9" s="1"/>
  <c r="Z285" i="9"/>
  <c r="AA285" i="9" s="1"/>
  <c r="AN285" i="9"/>
  <c r="AO285" i="9" s="1"/>
  <c r="Z371" i="9"/>
  <c r="AA371" i="9" s="1"/>
  <c r="AN371" i="9"/>
  <c r="AO371" i="9" s="1"/>
  <c r="L371" i="9"/>
  <c r="M371" i="9" s="1"/>
  <c r="Z179" i="10"/>
  <c r="AA179" i="10" s="1"/>
  <c r="AN179" i="10"/>
  <c r="AO179" i="10" s="1"/>
  <c r="L179" i="10"/>
  <c r="M179" i="10" s="1"/>
  <c r="AN323" i="8"/>
  <c r="AO323" i="8" s="1"/>
  <c r="L323" i="8"/>
  <c r="M323" i="8" s="1"/>
  <c r="Z323" i="8"/>
  <c r="AA323" i="8" s="1"/>
  <c r="L200" i="9"/>
  <c r="M200" i="9" s="1"/>
  <c r="Z200" i="9"/>
  <c r="AA200" i="9" s="1"/>
  <c r="AN200" i="9"/>
  <c r="AO200" i="9" s="1"/>
  <c r="L154" i="10"/>
  <c r="M154" i="10" s="1"/>
  <c r="Z154" i="10"/>
  <c r="AA154" i="10" s="1"/>
  <c r="AN154" i="10"/>
  <c r="AO154" i="10" s="1"/>
  <c r="Z218" i="8"/>
  <c r="AA218" i="8" s="1"/>
  <c r="AN218" i="8"/>
  <c r="AO218" i="8" s="1"/>
  <c r="L218" i="8"/>
  <c r="M218" i="8" s="1"/>
  <c r="L314" i="9"/>
  <c r="M314" i="9" s="1"/>
  <c r="Z314" i="9"/>
  <c r="AA314" i="9" s="1"/>
  <c r="AN314" i="9"/>
  <c r="AO314" i="9" s="1"/>
  <c r="L127" i="10"/>
  <c r="M127" i="10" s="1"/>
  <c r="Z127" i="10"/>
  <c r="AA127" i="10" s="1"/>
  <c r="AN127" i="10"/>
  <c r="AO127" i="10" s="1"/>
  <c r="L255" i="8"/>
  <c r="M255" i="8" s="1"/>
  <c r="Z255" i="8"/>
  <c r="AA255" i="8" s="1"/>
  <c r="AN255" i="8"/>
  <c r="AO255" i="8" s="1"/>
  <c r="L49" i="8"/>
  <c r="M49" i="8" s="1"/>
  <c r="Z49" i="8"/>
  <c r="AA49" i="8" s="1"/>
  <c r="AN49" i="8"/>
  <c r="AO49" i="8" s="1"/>
  <c r="Z97" i="9"/>
  <c r="AA97" i="9" s="1"/>
  <c r="AN97" i="9"/>
  <c r="AO97" i="9" s="1"/>
  <c r="L97" i="9"/>
  <c r="M97" i="9" s="1"/>
  <c r="L289" i="10"/>
  <c r="M289" i="10" s="1"/>
  <c r="Z289" i="10"/>
  <c r="AA289" i="10" s="1"/>
  <c r="AN289" i="10"/>
  <c r="AO289" i="10" s="1"/>
  <c r="AN376" i="8"/>
  <c r="AO376" i="8" s="1"/>
  <c r="L376" i="8"/>
  <c r="M376" i="8" s="1"/>
  <c r="Z376" i="8"/>
  <c r="AA376" i="8" s="1"/>
  <c r="Y60" i="8"/>
  <c r="AM100" i="9"/>
  <c r="AQ100" i="9" s="1"/>
  <c r="Y220" i="10"/>
  <c r="AC220" i="10" s="1"/>
  <c r="Z229" i="10"/>
  <c r="AA229" i="10" s="1"/>
  <c r="AN229" i="10"/>
  <c r="AO229" i="10" s="1"/>
  <c r="L229" i="10"/>
  <c r="M229" i="10" s="1"/>
  <c r="AN77" i="8"/>
  <c r="AO77" i="8" s="1"/>
  <c r="L77" i="8"/>
  <c r="M77" i="8" s="1"/>
  <c r="Z77" i="8"/>
  <c r="AA77" i="8" s="1"/>
  <c r="L105" i="8"/>
  <c r="M105" i="8" s="1"/>
  <c r="Z105" i="8"/>
  <c r="AA105" i="8" s="1"/>
  <c r="AN105" i="8"/>
  <c r="AO105" i="8" s="1"/>
  <c r="AN297" i="9"/>
  <c r="AO297" i="9" s="1"/>
  <c r="L297" i="9"/>
  <c r="M297" i="9" s="1"/>
  <c r="Z297" i="9"/>
  <c r="AA297" i="9" s="1"/>
  <c r="L343" i="9"/>
  <c r="M343" i="9" s="1"/>
  <c r="Z343" i="9"/>
  <c r="AA343" i="9" s="1"/>
  <c r="AN343" i="9"/>
  <c r="AO343" i="9" s="1"/>
  <c r="AN338" i="10"/>
  <c r="AO338" i="10" s="1"/>
  <c r="L338" i="10"/>
  <c r="M338" i="10" s="1"/>
  <c r="Z338" i="10"/>
  <c r="AA338" i="10" s="1"/>
  <c r="AN395" i="8"/>
  <c r="AO395" i="8" s="1"/>
  <c r="L395" i="8"/>
  <c r="M395" i="8" s="1"/>
  <c r="Z395" i="8"/>
  <c r="AA395" i="8" s="1"/>
  <c r="AN61" i="8"/>
  <c r="AO61" i="8" s="1"/>
  <c r="L61" i="8"/>
  <c r="M61" i="8" s="1"/>
  <c r="Z61" i="8"/>
  <c r="AA61" i="8" s="1"/>
  <c r="AN417" i="9"/>
  <c r="AO417" i="9" s="1"/>
  <c r="L417" i="9"/>
  <c r="M417" i="9" s="1"/>
  <c r="Z417" i="9"/>
  <c r="AA417" i="9" s="1"/>
  <c r="AN326" i="10"/>
  <c r="AO326" i="10" s="1"/>
  <c r="L326" i="10"/>
  <c r="M326" i="10" s="1"/>
  <c r="Z326" i="10"/>
  <c r="AA326" i="10" s="1"/>
  <c r="AN368" i="8"/>
  <c r="AO368" i="8" s="1"/>
  <c r="L368" i="8"/>
  <c r="M368" i="8" s="1"/>
  <c r="Z368" i="8"/>
  <c r="AA368" i="8" s="1"/>
  <c r="AN409" i="9"/>
  <c r="AO409" i="9" s="1"/>
  <c r="L409" i="9"/>
  <c r="M409" i="9" s="1"/>
  <c r="Z409" i="9"/>
  <c r="AA409" i="9" s="1"/>
  <c r="Z71" i="8"/>
  <c r="AA71" i="8" s="1"/>
  <c r="AN71" i="8"/>
  <c r="AO71" i="8" s="1"/>
  <c r="L71" i="8"/>
  <c r="M71" i="8" s="1"/>
  <c r="L263" i="9"/>
  <c r="M263" i="9" s="1"/>
  <c r="Z263" i="9"/>
  <c r="AA263" i="9" s="1"/>
  <c r="AN263" i="9"/>
  <c r="AO263" i="9" s="1"/>
  <c r="L237" i="10"/>
  <c r="M237" i="10" s="1"/>
  <c r="Z237" i="10"/>
  <c r="AA237" i="10" s="1"/>
  <c r="AN237" i="10"/>
  <c r="AO237" i="10" s="1"/>
  <c r="Z357" i="8"/>
  <c r="AA357" i="8" s="1"/>
  <c r="AN357" i="8"/>
  <c r="AO357" i="8" s="1"/>
  <c r="L357" i="8"/>
  <c r="M357" i="8" s="1"/>
  <c r="Z419" i="9"/>
  <c r="AA419" i="9" s="1"/>
  <c r="AN419" i="9"/>
  <c r="AO419" i="9" s="1"/>
  <c r="L419" i="9"/>
  <c r="M419" i="9" s="1"/>
  <c r="AN318" i="10"/>
  <c r="AO318" i="10" s="1"/>
  <c r="L318" i="10"/>
  <c r="M318" i="10" s="1"/>
  <c r="Z318" i="10"/>
  <c r="AA318" i="10" s="1"/>
  <c r="Y100" i="8"/>
  <c r="AN358" i="9"/>
  <c r="AO358" i="9" s="1"/>
  <c r="L358" i="9"/>
  <c r="M358" i="9" s="1"/>
  <c r="Z358" i="9"/>
  <c r="AA358" i="9" s="1"/>
  <c r="AN390" i="10"/>
  <c r="AO390" i="10" s="1"/>
  <c r="L390" i="10"/>
  <c r="M390" i="10" s="1"/>
  <c r="Z390" i="10"/>
  <c r="AA390" i="10" s="1"/>
  <c r="AN411" i="8"/>
  <c r="AO411" i="8" s="1"/>
  <c r="L411" i="8"/>
  <c r="M411" i="8" s="1"/>
  <c r="Z411" i="8"/>
  <c r="AA411" i="8" s="1"/>
  <c r="L389" i="9"/>
  <c r="M389" i="9" s="1"/>
  <c r="Z389" i="9"/>
  <c r="AA389" i="9" s="1"/>
  <c r="AN389" i="9"/>
  <c r="AO389" i="9" s="1"/>
  <c r="L190" i="10"/>
  <c r="M190" i="10" s="1"/>
  <c r="Z190" i="10"/>
  <c r="AA190" i="10" s="1"/>
  <c r="AN190" i="10"/>
  <c r="AO190" i="10" s="1"/>
  <c r="L48" i="8"/>
  <c r="M48" i="8" s="1"/>
  <c r="Z48" i="8"/>
  <c r="AA48" i="8" s="1"/>
  <c r="AN48" i="8"/>
  <c r="AO48" i="8" s="1"/>
  <c r="Z267" i="9"/>
  <c r="AA267" i="9" s="1"/>
  <c r="AN267" i="9"/>
  <c r="AO267" i="9" s="1"/>
  <c r="L267" i="9"/>
  <c r="M267" i="9" s="1"/>
  <c r="L160" i="10"/>
  <c r="M160" i="10" s="1"/>
  <c r="Z160" i="10"/>
  <c r="AA160" i="10" s="1"/>
  <c r="AN160" i="10"/>
  <c r="AO160" i="10" s="1"/>
  <c r="AN272" i="8"/>
  <c r="AO272" i="8" s="1"/>
  <c r="L272" i="8"/>
  <c r="M272" i="8" s="1"/>
  <c r="Z272" i="8"/>
  <c r="AA272" i="8" s="1"/>
  <c r="L378" i="9"/>
  <c r="M378" i="9" s="1"/>
  <c r="Z378" i="9"/>
  <c r="AA378" i="9" s="1"/>
  <c r="AN378" i="9"/>
  <c r="AO378" i="9" s="1"/>
  <c r="AN385" i="10"/>
  <c r="AO385" i="10" s="1"/>
  <c r="L385" i="10"/>
  <c r="M385" i="10" s="1"/>
  <c r="Z385" i="10"/>
  <c r="AA385" i="10" s="1"/>
  <c r="Z397" i="8"/>
  <c r="AA397" i="8" s="1"/>
  <c r="AN397" i="8"/>
  <c r="AO397" i="8" s="1"/>
  <c r="L397" i="8"/>
  <c r="M397" i="8" s="1"/>
  <c r="L98" i="9"/>
  <c r="M98" i="9" s="1"/>
  <c r="Z98" i="9"/>
  <c r="AA98" i="9" s="1"/>
  <c r="AN98" i="9"/>
  <c r="AO98" i="9" s="1"/>
  <c r="L283" i="10"/>
  <c r="M283" i="10" s="1"/>
  <c r="Z283" i="10"/>
  <c r="AA283" i="10" s="1"/>
  <c r="AN283" i="10"/>
  <c r="AO283" i="10" s="1"/>
  <c r="AN232" i="8"/>
  <c r="AO232" i="8" s="1"/>
  <c r="L232" i="8"/>
  <c r="M232" i="8" s="1"/>
  <c r="Z232" i="8"/>
  <c r="AA232" i="8" s="1"/>
  <c r="AN238" i="10"/>
  <c r="AO238" i="10" s="1"/>
  <c r="L238" i="10"/>
  <c r="M238" i="10" s="1"/>
  <c r="Z238" i="10"/>
  <c r="AA238" i="10" s="1"/>
  <c r="L69" i="10"/>
  <c r="M69" i="10" s="1"/>
  <c r="Z69" i="10"/>
  <c r="AA69" i="10" s="1"/>
  <c r="AN69" i="10"/>
  <c r="AO69" i="10" s="1"/>
  <c r="AM60" i="10"/>
  <c r="AQ60" i="10" s="1"/>
  <c r="AN42" i="8"/>
  <c r="AO42" i="8" s="1"/>
  <c r="L42" i="8"/>
  <c r="M42" i="8" s="1"/>
  <c r="Z42" i="8"/>
  <c r="AA42" i="8" s="1"/>
  <c r="L342" i="10"/>
  <c r="M342" i="10" s="1"/>
  <c r="Z342" i="10"/>
  <c r="AA342" i="10" s="1"/>
  <c r="AN342" i="10"/>
  <c r="AO342" i="10" s="1"/>
  <c r="Y100" i="9"/>
  <c r="AC100" i="9" s="1"/>
  <c r="AN377" i="10"/>
  <c r="AO377" i="10" s="1"/>
  <c r="L377" i="10"/>
  <c r="M377" i="10" s="1"/>
  <c r="Z377" i="10"/>
  <c r="AA377" i="10" s="1"/>
  <c r="Z338" i="8"/>
  <c r="AA338" i="8" s="1"/>
  <c r="AN338" i="8"/>
  <c r="AO338" i="8" s="1"/>
  <c r="L338" i="8"/>
  <c r="M338" i="8" s="1"/>
  <c r="AN126" i="10"/>
  <c r="AO126" i="10" s="1"/>
  <c r="L126" i="10"/>
  <c r="M126" i="10" s="1"/>
  <c r="Z126" i="10"/>
  <c r="AA126" i="10" s="1"/>
  <c r="Z135" i="9"/>
  <c r="AA135" i="9" s="1"/>
  <c r="AN135" i="9"/>
  <c r="AO135" i="9" s="1"/>
  <c r="L135" i="9"/>
  <c r="M135" i="9" s="1"/>
  <c r="Z237" i="8"/>
  <c r="AA237" i="8" s="1"/>
  <c r="AN237" i="8"/>
  <c r="AO237" i="8" s="1"/>
  <c r="L237" i="8"/>
  <c r="M237" i="8" s="1"/>
  <c r="L318" i="8"/>
  <c r="M318" i="8" s="1"/>
  <c r="Z318" i="8"/>
  <c r="AA318" i="8" s="1"/>
  <c r="AN318" i="8"/>
  <c r="AO318" i="8" s="1"/>
  <c r="L385" i="8"/>
  <c r="M385" i="8" s="1"/>
  <c r="Z385" i="8"/>
  <c r="AA385" i="8" s="1"/>
  <c r="AN385" i="8"/>
  <c r="AO385" i="8" s="1"/>
  <c r="AN59" i="9"/>
  <c r="AO59" i="9" s="1"/>
  <c r="L59" i="9"/>
  <c r="M59" i="9" s="1"/>
  <c r="Z59" i="9"/>
  <c r="AA59" i="9" s="1"/>
  <c r="Z275" i="10"/>
  <c r="AA275" i="10" s="1"/>
  <c r="AN275" i="10"/>
  <c r="AO275" i="10" s="1"/>
  <c r="L275" i="10"/>
  <c r="M275" i="10" s="1"/>
  <c r="Z28" i="8"/>
  <c r="AA28" i="8" s="1"/>
  <c r="AN28" i="8"/>
  <c r="AO28" i="8" s="1"/>
  <c r="L28" i="8"/>
  <c r="M28" i="8" s="1"/>
  <c r="L216" i="9"/>
  <c r="M216" i="9" s="1"/>
  <c r="Z216" i="9"/>
  <c r="AA216" i="9" s="1"/>
  <c r="AN216" i="9"/>
  <c r="AO216" i="9" s="1"/>
  <c r="L162" i="10"/>
  <c r="M162" i="10" s="1"/>
  <c r="Z162" i="10"/>
  <c r="AA162" i="10" s="1"/>
  <c r="AN162" i="10"/>
  <c r="AO162" i="10" s="1"/>
  <c r="Z226" i="8"/>
  <c r="AA226" i="8" s="1"/>
  <c r="AN226" i="8"/>
  <c r="AO226" i="8" s="1"/>
  <c r="L226" i="8"/>
  <c r="M226" i="8" s="1"/>
  <c r="L322" i="9"/>
  <c r="M322" i="9" s="1"/>
  <c r="Z322" i="9"/>
  <c r="AA322" i="9" s="1"/>
  <c r="AN322" i="9"/>
  <c r="AO322" i="9" s="1"/>
  <c r="Z207" i="10"/>
  <c r="AA207" i="10" s="1"/>
  <c r="AN207" i="10"/>
  <c r="AO207" i="10" s="1"/>
  <c r="L207" i="10"/>
  <c r="M207" i="10" s="1"/>
  <c r="L335" i="8"/>
  <c r="M335" i="8" s="1"/>
  <c r="Z335" i="8"/>
  <c r="AA335" i="8" s="1"/>
  <c r="AN335" i="8"/>
  <c r="AO335" i="8" s="1"/>
  <c r="Z352" i="9"/>
  <c r="AA352" i="9" s="1"/>
  <c r="AN352" i="9"/>
  <c r="AO352" i="9" s="1"/>
  <c r="L352" i="9"/>
  <c r="M352" i="9" s="1"/>
  <c r="AN241" i="10"/>
  <c r="AO241" i="10" s="1"/>
  <c r="L241" i="10"/>
  <c r="M241" i="10" s="1"/>
  <c r="Z241" i="10"/>
  <c r="AA241" i="10" s="1"/>
  <c r="AN181" i="9"/>
  <c r="AO181" i="9" s="1"/>
  <c r="L181" i="9"/>
  <c r="M181" i="9" s="1"/>
  <c r="Z181" i="9"/>
  <c r="AA181" i="9" s="1"/>
  <c r="Z382" i="9"/>
  <c r="AA382" i="9" s="1"/>
  <c r="AN382" i="9"/>
  <c r="AO382" i="9" s="1"/>
  <c r="L382" i="9"/>
  <c r="M382" i="9" s="1"/>
  <c r="AN219" i="10"/>
  <c r="AO219" i="10" s="1"/>
  <c r="L219" i="10"/>
  <c r="M219" i="10" s="1"/>
  <c r="Z219" i="10"/>
  <c r="AA219" i="10" s="1"/>
  <c r="AN347" i="8"/>
  <c r="AO347" i="8" s="1"/>
  <c r="L347" i="8"/>
  <c r="M347" i="8" s="1"/>
  <c r="Z347" i="8"/>
  <c r="AA347" i="8" s="1"/>
  <c r="L176" i="9"/>
  <c r="M176" i="9" s="1"/>
  <c r="Z176" i="9"/>
  <c r="AA176" i="9" s="1"/>
  <c r="AN176" i="9"/>
  <c r="AO176" i="9" s="1"/>
  <c r="AM70" i="10"/>
  <c r="AQ70" i="10" s="1"/>
  <c r="Z166" i="10"/>
  <c r="AA166" i="10" s="1"/>
  <c r="AN166" i="10"/>
  <c r="AO166" i="10" s="1"/>
  <c r="L166" i="10"/>
  <c r="M166" i="10" s="1"/>
  <c r="L230" i="8"/>
  <c r="M230" i="8" s="1"/>
  <c r="Z230" i="8"/>
  <c r="AA230" i="8" s="1"/>
  <c r="AN230" i="8"/>
  <c r="AO230" i="8" s="1"/>
  <c r="L215" i="9"/>
  <c r="M215" i="9" s="1"/>
  <c r="Z215" i="9"/>
  <c r="AA215" i="9" s="1"/>
  <c r="AN215" i="9"/>
  <c r="AO215" i="9" s="1"/>
  <c r="Z340" i="10"/>
  <c r="AA340" i="10" s="1"/>
  <c r="AN340" i="10"/>
  <c r="AO340" i="10" s="1"/>
  <c r="L340" i="10"/>
  <c r="M340" i="10" s="1"/>
  <c r="L57" i="8"/>
  <c r="M57" i="8" s="1"/>
  <c r="Z57" i="8"/>
  <c r="AA57" i="8" s="1"/>
  <c r="AN57" i="8"/>
  <c r="AO57" i="8" s="1"/>
  <c r="L121" i="8"/>
  <c r="M121" i="8" s="1"/>
  <c r="Z121" i="8"/>
  <c r="AA121" i="8" s="1"/>
  <c r="AN121" i="8"/>
  <c r="AO121" i="8" s="1"/>
  <c r="L313" i="9"/>
  <c r="M313" i="9" s="1"/>
  <c r="AN313" i="9"/>
  <c r="AO313" i="9" s="1"/>
  <c r="Z313" i="9"/>
  <c r="AA313" i="9" s="1"/>
  <c r="L253" i="9"/>
  <c r="M253" i="9" s="1"/>
  <c r="Z253" i="9"/>
  <c r="AA253" i="9" s="1"/>
  <c r="AN253" i="9"/>
  <c r="AO253" i="9" s="1"/>
  <c r="L410" i="9"/>
  <c r="M410" i="9" s="1"/>
  <c r="Z410" i="9"/>
  <c r="AA410" i="9" s="1"/>
  <c r="AN410" i="9"/>
  <c r="AO410" i="9" s="1"/>
  <c r="L75" i="9"/>
  <c r="M75" i="9" s="1"/>
  <c r="Z75" i="9"/>
  <c r="AA75" i="9" s="1"/>
  <c r="AN75" i="9"/>
  <c r="AO75" i="9" s="1"/>
  <c r="L291" i="10"/>
  <c r="M291" i="10" s="1"/>
  <c r="Z291" i="10"/>
  <c r="AA291" i="10" s="1"/>
  <c r="AN291" i="10"/>
  <c r="AO291" i="10" s="1"/>
  <c r="L64" i="10"/>
  <c r="M64" i="10" s="1"/>
  <c r="AN64" i="10"/>
  <c r="AO64" i="10" s="1"/>
  <c r="Z64" i="10"/>
  <c r="AA64" i="10" s="1"/>
  <c r="AN184" i="8"/>
  <c r="AO184" i="8" s="1"/>
  <c r="L184" i="8"/>
  <c r="M184" i="8" s="1"/>
  <c r="Z184" i="8"/>
  <c r="AA184" i="8" s="1"/>
  <c r="AN106" i="8"/>
  <c r="AO106" i="8" s="1"/>
  <c r="L106" i="8"/>
  <c r="M106" i="8" s="1"/>
  <c r="Z106" i="8"/>
  <c r="AA106" i="8" s="1"/>
  <c r="L202" i="9"/>
  <c r="M202" i="9" s="1"/>
  <c r="Z202" i="9"/>
  <c r="AA202" i="9" s="1"/>
  <c r="AN202" i="9"/>
  <c r="AO202" i="9" s="1"/>
  <c r="Z298" i="10"/>
  <c r="AA298" i="10" s="1"/>
  <c r="AN298" i="10"/>
  <c r="AO298" i="10" s="1"/>
  <c r="L298" i="10"/>
  <c r="M298" i="10" s="1"/>
  <c r="Z354" i="8"/>
  <c r="AA354" i="8" s="1"/>
  <c r="AN354" i="8"/>
  <c r="AO354" i="8" s="1"/>
  <c r="L354" i="8"/>
  <c r="M354" i="8" s="1"/>
  <c r="Z95" i="8"/>
  <c r="AA95" i="8" s="1"/>
  <c r="AN95" i="8"/>
  <c r="AO95" i="8" s="1"/>
  <c r="L95" i="8"/>
  <c r="M95" i="8" s="1"/>
  <c r="L287" i="9"/>
  <c r="M287" i="9" s="1"/>
  <c r="Z287" i="9"/>
  <c r="AA287" i="9" s="1"/>
  <c r="AN287" i="9"/>
  <c r="AO287" i="9" s="1"/>
  <c r="Z26" i="9"/>
  <c r="AA26" i="9" s="1"/>
  <c r="AN26" i="9"/>
  <c r="AO26" i="9" s="1"/>
  <c r="L26" i="9"/>
  <c r="M26" i="9" s="1"/>
  <c r="L65" i="9"/>
  <c r="M65" i="9" s="1"/>
  <c r="Z65" i="9"/>
  <c r="AA65" i="9" s="1"/>
  <c r="AN65" i="9"/>
  <c r="AO65" i="9" s="1"/>
  <c r="Z129" i="9"/>
  <c r="AA129" i="9" s="1"/>
  <c r="AN129" i="9"/>
  <c r="AO129" i="9" s="1"/>
  <c r="L129" i="9"/>
  <c r="M129" i="9" s="1"/>
  <c r="AN321" i="10"/>
  <c r="AO321" i="10" s="1"/>
  <c r="L321" i="10"/>
  <c r="M321" i="10" s="1"/>
  <c r="Z321" i="10"/>
  <c r="AA321" i="10" s="1"/>
  <c r="K140" i="9"/>
  <c r="O140" i="9" s="1"/>
  <c r="AM260" i="10"/>
  <c r="AQ260" i="10" s="1"/>
  <c r="I423" i="10"/>
  <c r="I423" i="9"/>
  <c r="I423" i="8"/>
  <c r="Z403" i="6"/>
  <c r="AE403" i="6"/>
  <c r="Z197" i="8"/>
  <c r="AA197" i="8" s="1"/>
  <c r="AN197" i="8"/>
  <c r="AO197" i="8" s="1"/>
  <c r="L197" i="8"/>
  <c r="M197" i="8" s="1"/>
  <c r="I384" i="10"/>
  <c r="I384" i="9"/>
  <c r="I384" i="8"/>
  <c r="Z364" i="6"/>
  <c r="AE364" i="6"/>
  <c r="L83" i="9"/>
  <c r="M83" i="9" s="1"/>
  <c r="Z83" i="9"/>
  <c r="AA83" i="9" s="1"/>
  <c r="AN83" i="9"/>
  <c r="AO83" i="9" s="1"/>
  <c r="L299" i="10"/>
  <c r="M299" i="10" s="1"/>
  <c r="Z299" i="10"/>
  <c r="AA299" i="10" s="1"/>
  <c r="AN299" i="10"/>
  <c r="AO299" i="10" s="1"/>
  <c r="L72" i="10"/>
  <c r="M72" i="10" s="1"/>
  <c r="AN72" i="10"/>
  <c r="AO72" i="10" s="1"/>
  <c r="Z72" i="10"/>
  <c r="AA72" i="10" s="1"/>
  <c r="AN187" i="8"/>
  <c r="AO187" i="8" s="1"/>
  <c r="L187" i="8"/>
  <c r="M187" i="8" s="1"/>
  <c r="Z187" i="8"/>
  <c r="AA187" i="8" s="1"/>
  <c r="Z110" i="9"/>
  <c r="AA110" i="9" s="1"/>
  <c r="AN110" i="9"/>
  <c r="AO110" i="9" s="1"/>
  <c r="L110" i="9"/>
  <c r="M110" i="9" s="1"/>
  <c r="L206" i="10"/>
  <c r="M206" i="10" s="1"/>
  <c r="Z206" i="10"/>
  <c r="AA206" i="10" s="1"/>
  <c r="AN206" i="10"/>
  <c r="AO206" i="10" s="1"/>
  <c r="L302" i="8"/>
  <c r="M302" i="8" s="1"/>
  <c r="Z302" i="8"/>
  <c r="AA302" i="8" s="1"/>
  <c r="AN302" i="8"/>
  <c r="AO302" i="8" s="1"/>
  <c r="AM35" i="10"/>
  <c r="AQ35" i="10" s="1"/>
  <c r="AN103" i="9"/>
  <c r="AO103" i="9" s="1"/>
  <c r="L103" i="9"/>
  <c r="M103" i="9" s="1"/>
  <c r="Z103" i="9"/>
  <c r="AA103" i="9" s="1"/>
  <c r="Z295" i="10"/>
  <c r="AA295" i="10" s="1"/>
  <c r="AN295" i="10"/>
  <c r="AO295" i="10" s="1"/>
  <c r="L295" i="10"/>
  <c r="M295" i="10" s="1"/>
  <c r="L30" i="10"/>
  <c r="M30" i="10" s="1"/>
  <c r="Z30" i="10"/>
  <c r="AA30" i="10" s="1"/>
  <c r="AN30" i="10"/>
  <c r="AO30" i="10" s="1"/>
  <c r="AN265" i="10"/>
  <c r="AO265" i="10" s="1"/>
  <c r="L265" i="10"/>
  <c r="M265" i="10" s="1"/>
  <c r="Z265" i="10"/>
  <c r="AA265" i="10" s="1"/>
  <c r="AM140" i="8"/>
  <c r="K180" i="9"/>
  <c r="O180" i="9" s="1"/>
  <c r="Z141" i="8"/>
  <c r="AA141" i="8" s="1"/>
  <c r="AN141" i="8"/>
  <c r="AO141" i="8" s="1"/>
  <c r="L141" i="8"/>
  <c r="M141" i="8" s="1"/>
  <c r="Z333" i="9"/>
  <c r="AA333" i="9" s="1"/>
  <c r="AN333" i="9"/>
  <c r="AO333" i="9" s="1"/>
  <c r="L333" i="9"/>
  <c r="M333" i="9" s="1"/>
  <c r="I415" i="10"/>
  <c r="I415" i="9"/>
  <c r="I415" i="8"/>
  <c r="Z395" i="6"/>
  <c r="AE395" i="6"/>
  <c r="L91" i="9"/>
  <c r="M91" i="9" s="1"/>
  <c r="Z91" i="9"/>
  <c r="AA91" i="9" s="1"/>
  <c r="AN91" i="9"/>
  <c r="AO91" i="9" s="1"/>
  <c r="Z307" i="10"/>
  <c r="AA307" i="10" s="1"/>
  <c r="AN307" i="10"/>
  <c r="AO307" i="10" s="1"/>
  <c r="L307" i="10"/>
  <c r="M307" i="10" s="1"/>
  <c r="L80" i="10"/>
  <c r="M80" i="10" s="1"/>
  <c r="AN80" i="10"/>
  <c r="AO80" i="10" s="1"/>
  <c r="Z80" i="10"/>
  <c r="AA80" i="10" s="1"/>
  <c r="AN192" i="8"/>
  <c r="AO192" i="8" s="1"/>
  <c r="L192" i="8"/>
  <c r="M192" i="8" s="1"/>
  <c r="Z192" i="8"/>
  <c r="AA192" i="8" s="1"/>
  <c r="L36" i="9"/>
  <c r="M36" i="9" s="1"/>
  <c r="Z36" i="9"/>
  <c r="AA36" i="9" s="1"/>
  <c r="AN36" i="9"/>
  <c r="AO36" i="9" s="1"/>
  <c r="L114" i="10"/>
  <c r="M114" i="10" s="1"/>
  <c r="Z114" i="10"/>
  <c r="AA114" i="10" s="1"/>
  <c r="AN114" i="10"/>
  <c r="AO114" i="10" s="1"/>
  <c r="Z178" i="8"/>
  <c r="AA178" i="8" s="1"/>
  <c r="AN178" i="8"/>
  <c r="AO178" i="8" s="1"/>
  <c r="L178" i="8"/>
  <c r="M178" i="8" s="1"/>
  <c r="L274" i="9"/>
  <c r="M274" i="9" s="1"/>
  <c r="Z274" i="9"/>
  <c r="AA274" i="9" s="1"/>
  <c r="AN274" i="9"/>
  <c r="AO274" i="9" s="1"/>
  <c r="L175" i="10"/>
  <c r="M175" i="10" s="1"/>
  <c r="Z175" i="10"/>
  <c r="AA175" i="10" s="1"/>
  <c r="AN175" i="10"/>
  <c r="AO175" i="10" s="1"/>
  <c r="L303" i="8"/>
  <c r="M303" i="8" s="1"/>
  <c r="Z303" i="8"/>
  <c r="AA303" i="8" s="1"/>
  <c r="AN303" i="8"/>
  <c r="AO303" i="8" s="1"/>
  <c r="AN32" i="9"/>
  <c r="AO32" i="9" s="1"/>
  <c r="L32" i="9"/>
  <c r="M32" i="9" s="1"/>
  <c r="Z32" i="9"/>
  <c r="AA32" i="9" s="1"/>
  <c r="L145" i="9"/>
  <c r="M145" i="9" s="1"/>
  <c r="Z145" i="9"/>
  <c r="AA145" i="9" s="1"/>
  <c r="AN145" i="9"/>
  <c r="AO145" i="9" s="1"/>
  <c r="Z337" i="10"/>
  <c r="AA337" i="10" s="1"/>
  <c r="AN337" i="10"/>
  <c r="AO337" i="10" s="1"/>
  <c r="L337" i="10"/>
  <c r="M337" i="10" s="1"/>
  <c r="K180" i="8"/>
  <c r="Z149" i="10"/>
  <c r="AA149" i="10" s="1"/>
  <c r="AN149" i="10"/>
  <c r="AO149" i="10" s="1"/>
  <c r="L149" i="10"/>
  <c r="M149" i="10" s="1"/>
  <c r="Z277" i="8"/>
  <c r="AA277" i="8" s="1"/>
  <c r="AN277" i="8"/>
  <c r="AO277" i="8" s="1"/>
  <c r="L277" i="8"/>
  <c r="M277" i="8" s="1"/>
  <c r="Z37" i="9"/>
  <c r="AA37" i="9" s="1"/>
  <c r="AN37" i="9"/>
  <c r="AO37" i="9" s="1"/>
  <c r="L37" i="9"/>
  <c r="M37" i="9" s="1"/>
  <c r="Z394" i="8"/>
  <c r="AA394" i="8" s="1"/>
  <c r="AN394" i="8"/>
  <c r="AO394" i="8" s="1"/>
  <c r="L394" i="8"/>
  <c r="M394" i="8" s="1"/>
  <c r="L171" i="9"/>
  <c r="M171" i="9" s="1"/>
  <c r="Z171" i="9"/>
  <c r="AA171" i="9" s="1"/>
  <c r="AN171" i="9"/>
  <c r="AO171" i="9" s="1"/>
  <c r="L88" i="8"/>
  <c r="M88" i="8" s="1"/>
  <c r="Z88" i="8"/>
  <c r="AA88" i="8" s="1"/>
  <c r="AN88" i="8"/>
  <c r="AO88" i="8" s="1"/>
  <c r="Z256" i="9"/>
  <c r="AA256" i="9" s="1"/>
  <c r="AN256" i="9"/>
  <c r="AO256" i="9" s="1"/>
  <c r="L256" i="9"/>
  <c r="M256" i="9" s="1"/>
  <c r="AN118" i="10"/>
  <c r="AO118" i="10" s="1"/>
  <c r="L118" i="10"/>
  <c r="M118" i="10" s="1"/>
  <c r="Z118" i="10"/>
  <c r="AA118" i="10" s="1"/>
  <c r="L182" i="8"/>
  <c r="M182" i="8" s="1"/>
  <c r="Z182" i="8"/>
  <c r="AA182" i="8" s="1"/>
  <c r="AN182" i="8"/>
  <c r="AO182" i="8" s="1"/>
  <c r="AN278" i="9"/>
  <c r="AO278" i="9" s="1"/>
  <c r="L278" i="9"/>
  <c r="M278" i="9" s="1"/>
  <c r="Z278" i="9"/>
  <c r="AA278" i="9" s="1"/>
  <c r="Y35" i="8"/>
  <c r="L183" i="10"/>
  <c r="M183" i="10" s="1"/>
  <c r="Z183" i="10"/>
  <c r="AA183" i="10" s="1"/>
  <c r="AN183" i="10"/>
  <c r="AO183" i="10" s="1"/>
  <c r="L311" i="8"/>
  <c r="M311" i="8" s="1"/>
  <c r="Z311" i="8"/>
  <c r="AA311" i="8" s="1"/>
  <c r="AN311" i="8"/>
  <c r="AO311" i="8" s="1"/>
  <c r="L43" i="8"/>
  <c r="M43" i="8" s="1"/>
  <c r="Z43" i="8"/>
  <c r="AA43" i="8" s="1"/>
  <c r="AN43" i="8"/>
  <c r="AO43" i="8" s="1"/>
  <c r="AN217" i="9"/>
  <c r="AO217" i="9" s="1"/>
  <c r="L217" i="9"/>
  <c r="M217" i="9" s="1"/>
  <c r="Z217" i="9"/>
  <c r="AA217" i="9" s="1"/>
  <c r="AN34" i="10"/>
  <c r="AO34" i="10" s="1"/>
  <c r="L34" i="10"/>
  <c r="M34" i="10" s="1"/>
  <c r="Z34" i="10"/>
  <c r="AA34" i="10" s="1"/>
  <c r="K100" i="10"/>
  <c r="O100" i="10" s="1"/>
  <c r="L93" i="9"/>
  <c r="M93" i="9" s="1"/>
  <c r="Z93" i="9"/>
  <c r="AA93" i="9" s="1"/>
  <c r="AN93" i="9"/>
  <c r="AO93" i="9" s="1"/>
  <c r="AN285" i="10"/>
  <c r="AO285" i="10" s="1"/>
  <c r="L285" i="10"/>
  <c r="M285" i="10" s="1"/>
  <c r="Z285" i="10"/>
  <c r="AA285" i="10" s="1"/>
  <c r="Z371" i="10"/>
  <c r="AA371" i="10" s="1"/>
  <c r="L371" i="10"/>
  <c r="M371" i="10" s="1"/>
  <c r="AN371" i="10"/>
  <c r="AO371" i="10" s="1"/>
  <c r="L107" i="8"/>
  <c r="M107" i="8" s="1"/>
  <c r="Z107" i="8"/>
  <c r="AA107" i="8" s="1"/>
  <c r="AN107" i="8"/>
  <c r="AO107" i="8" s="1"/>
  <c r="AN323" i="9"/>
  <c r="AO323" i="9" s="1"/>
  <c r="L323" i="9"/>
  <c r="M323" i="9" s="1"/>
  <c r="Z323" i="9"/>
  <c r="AA323" i="9" s="1"/>
  <c r="AN200" i="10"/>
  <c r="AO200" i="10" s="1"/>
  <c r="L200" i="10"/>
  <c r="M200" i="10" s="1"/>
  <c r="Z200" i="10"/>
  <c r="AA200" i="10" s="1"/>
  <c r="AN328" i="8"/>
  <c r="AO328" i="8" s="1"/>
  <c r="L328" i="8"/>
  <c r="M328" i="8" s="1"/>
  <c r="Z328" i="8"/>
  <c r="AA328" i="8" s="1"/>
  <c r="AN58" i="8"/>
  <c r="AO58" i="8" s="1"/>
  <c r="L58" i="8"/>
  <c r="M58" i="8" s="1"/>
  <c r="Z58" i="8"/>
  <c r="AA58" i="8" s="1"/>
  <c r="AN122" i="8"/>
  <c r="AO122" i="8" s="1"/>
  <c r="L122" i="8"/>
  <c r="M122" i="8" s="1"/>
  <c r="Z122" i="8"/>
  <c r="AA122" i="8" s="1"/>
  <c r="L218" i="9"/>
  <c r="M218" i="9" s="1"/>
  <c r="Z218" i="9"/>
  <c r="AA218" i="9" s="1"/>
  <c r="AN218" i="9"/>
  <c r="AO218" i="9" s="1"/>
  <c r="L314" i="10"/>
  <c r="M314" i="10" s="1"/>
  <c r="Z314" i="10"/>
  <c r="AA314" i="10" s="1"/>
  <c r="AN314" i="10"/>
  <c r="AO314" i="10" s="1"/>
  <c r="Z63" i="8"/>
  <c r="AA63" i="8" s="1"/>
  <c r="AN63" i="8"/>
  <c r="AO63" i="8" s="1"/>
  <c r="L63" i="8"/>
  <c r="M63" i="8" s="1"/>
  <c r="L255" i="9"/>
  <c r="M255" i="9" s="1"/>
  <c r="Z255" i="9"/>
  <c r="AA255" i="9" s="1"/>
  <c r="AN255" i="9"/>
  <c r="AO255" i="9" s="1"/>
  <c r="L49" i="9"/>
  <c r="M49" i="9" s="1"/>
  <c r="Z49" i="9"/>
  <c r="AA49" i="9" s="1"/>
  <c r="AN49" i="9"/>
  <c r="AO49" i="9" s="1"/>
  <c r="Z97" i="10"/>
  <c r="AA97" i="10" s="1"/>
  <c r="AN97" i="10"/>
  <c r="AO97" i="10" s="1"/>
  <c r="L97" i="10"/>
  <c r="M97" i="10" s="1"/>
  <c r="L225" i="8"/>
  <c r="M225" i="8" s="1"/>
  <c r="Z225" i="8"/>
  <c r="AA225" i="8" s="1"/>
  <c r="AN225" i="8"/>
  <c r="AO225" i="8" s="1"/>
  <c r="L376" i="9"/>
  <c r="M376" i="9" s="1"/>
  <c r="Z376" i="9"/>
  <c r="AA376" i="9" s="1"/>
  <c r="AN376" i="9"/>
  <c r="AO376" i="9" s="1"/>
  <c r="K220" i="10"/>
  <c r="O220" i="10" s="1"/>
  <c r="Z165" i="8"/>
  <c r="AA165" i="8" s="1"/>
  <c r="AN165" i="8"/>
  <c r="AO165" i="8" s="1"/>
  <c r="L165" i="8"/>
  <c r="M165" i="8" s="1"/>
  <c r="L77" i="9"/>
  <c r="M77" i="9" s="1"/>
  <c r="Z77" i="9"/>
  <c r="AA77" i="9" s="1"/>
  <c r="AN77" i="9"/>
  <c r="AO77" i="9" s="1"/>
  <c r="L40" i="8"/>
  <c r="M40" i="8" s="1"/>
  <c r="Z40" i="8"/>
  <c r="AA40" i="8" s="1"/>
  <c r="AN40" i="8"/>
  <c r="AO40" i="8" s="1"/>
  <c r="Z105" i="9"/>
  <c r="AA105" i="9" s="1"/>
  <c r="AN105" i="9"/>
  <c r="AO105" i="9" s="1"/>
  <c r="L105" i="9"/>
  <c r="M105" i="9" s="1"/>
  <c r="L297" i="10"/>
  <c r="M297" i="10" s="1"/>
  <c r="Z297" i="10"/>
  <c r="AA297" i="10" s="1"/>
  <c r="AN297" i="10"/>
  <c r="AO297" i="10" s="1"/>
  <c r="AN343" i="10"/>
  <c r="AO343" i="10" s="1"/>
  <c r="L343" i="10"/>
  <c r="M343" i="10" s="1"/>
  <c r="Z343" i="10"/>
  <c r="AA343" i="10" s="1"/>
  <c r="L369" i="8"/>
  <c r="M369" i="8" s="1"/>
  <c r="Z369" i="8"/>
  <c r="AA369" i="8" s="1"/>
  <c r="AN369" i="8"/>
  <c r="AO369" i="8" s="1"/>
  <c r="Z395" i="9"/>
  <c r="AA395" i="9" s="1"/>
  <c r="AN395" i="9"/>
  <c r="AO395" i="9" s="1"/>
  <c r="L395" i="9"/>
  <c r="M395" i="9" s="1"/>
  <c r="Z61" i="9"/>
  <c r="AA61" i="9" s="1"/>
  <c r="AN61" i="9"/>
  <c r="AO61" i="9" s="1"/>
  <c r="L61" i="9"/>
  <c r="M61" i="9" s="1"/>
  <c r="L417" i="10"/>
  <c r="M417" i="10" s="1"/>
  <c r="Z417" i="10"/>
  <c r="AA417" i="10" s="1"/>
  <c r="AN417" i="10"/>
  <c r="AO417" i="10" s="1"/>
  <c r="L158" i="8"/>
  <c r="M158" i="8" s="1"/>
  <c r="Z158" i="8"/>
  <c r="AA158" i="8" s="1"/>
  <c r="AN158" i="8"/>
  <c r="AO158" i="8" s="1"/>
  <c r="L368" i="9"/>
  <c r="M368" i="9" s="1"/>
  <c r="Z368" i="9"/>
  <c r="AA368" i="9" s="1"/>
  <c r="AN368" i="9"/>
  <c r="AO368" i="9" s="1"/>
  <c r="L409" i="10"/>
  <c r="M409" i="10" s="1"/>
  <c r="Z409" i="10"/>
  <c r="AA409" i="10" s="1"/>
  <c r="AN409" i="10"/>
  <c r="AO409" i="10" s="1"/>
  <c r="L398" i="8"/>
  <c r="M398" i="8" s="1"/>
  <c r="Z398" i="8"/>
  <c r="AA398" i="8" s="1"/>
  <c r="AN398" i="8"/>
  <c r="AO398" i="8" s="1"/>
  <c r="AN71" i="9"/>
  <c r="AO71" i="9" s="1"/>
  <c r="L71" i="9"/>
  <c r="M71" i="9" s="1"/>
  <c r="Z71" i="9"/>
  <c r="AA71" i="9" s="1"/>
  <c r="Z263" i="10"/>
  <c r="AA263" i="10" s="1"/>
  <c r="L263" i="10"/>
  <c r="M263" i="10" s="1"/>
  <c r="AN263" i="10"/>
  <c r="AO263" i="10" s="1"/>
  <c r="Z173" i="8"/>
  <c r="AA173" i="8" s="1"/>
  <c r="AN173" i="8"/>
  <c r="AO173" i="8" s="1"/>
  <c r="L173" i="8"/>
  <c r="M173" i="8" s="1"/>
  <c r="Z357" i="9"/>
  <c r="AA357" i="9" s="1"/>
  <c r="AN357" i="9"/>
  <c r="AO357" i="9" s="1"/>
  <c r="L357" i="9"/>
  <c r="M357" i="9" s="1"/>
  <c r="AN419" i="10"/>
  <c r="AO419" i="10" s="1"/>
  <c r="L419" i="10"/>
  <c r="M419" i="10" s="1"/>
  <c r="Z419" i="10"/>
  <c r="AA419" i="10" s="1"/>
  <c r="Z365" i="8"/>
  <c r="AA365" i="8" s="1"/>
  <c r="AN365" i="8"/>
  <c r="AO365" i="8" s="1"/>
  <c r="L365" i="8"/>
  <c r="M365" i="8" s="1"/>
  <c r="L254" i="8"/>
  <c r="M254" i="8" s="1"/>
  <c r="Z254" i="8"/>
  <c r="AA254" i="8" s="1"/>
  <c r="AN254" i="8"/>
  <c r="AO254" i="8" s="1"/>
  <c r="Y220" i="9"/>
  <c r="AC220" i="9" s="1"/>
  <c r="Z358" i="10"/>
  <c r="AA358" i="10" s="1"/>
  <c r="AN358" i="10"/>
  <c r="AO358" i="10" s="1"/>
  <c r="L358" i="10"/>
  <c r="M358" i="10" s="1"/>
  <c r="L401" i="8"/>
  <c r="M401" i="8" s="1"/>
  <c r="Z401" i="8"/>
  <c r="AA401" i="8" s="1"/>
  <c r="AN401" i="8"/>
  <c r="AO401" i="8" s="1"/>
  <c r="Z411" i="9"/>
  <c r="AA411" i="9" s="1"/>
  <c r="AN411" i="9"/>
  <c r="AO411" i="9" s="1"/>
  <c r="L411" i="9"/>
  <c r="M411" i="9" s="1"/>
  <c r="L389" i="10"/>
  <c r="M389" i="10" s="1"/>
  <c r="AN389" i="10"/>
  <c r="AO389" i="10" s="1"/>
  <c r="Z389" i="10"/>
  <c r="AA389" i="10" s="1"/>
  <c r="L270" i="8"/>
  <c r="M270" i="8" s="1"/>
  <c r="Z270" i="8"/>
  <c r="AA270" i="8" s="1"/>
  <c r="AN270" i="8"/>
  <c r="AO270" i="8" s="1"/>
  <c r="AN48" i="9"/>
  <c r="AO48" i="9" s="1"/>
  <c r="L48" i="9"/>
  <c r="M48" i="9" s="1"/>
  <c r="Z48" i="9"/>
  <c r="AA48" i="9" s="1"/>
  <c r="Z267" i="10"/>
  <c r="AA267" i="10" s="1"/>
  <c r="AN267" i="10"/>
  <c r="AO267" i="10" s="1"/>
  <c r="L267" i="10"/>
  <c r="M267" i="10" s="1"/>
  <c r="L104" i="8"/>
  <c r="M104" i="8" s="1"/>
  <c r="Z104" i="8"/>
  <c r="AA104" i="8" s="1"/>
  <c r="AN104" i="8"/>
  <c r="AO104" i="8" s="1"/>
  <c r="Z272" i="9"/>
  <c r="AA272" i="9" s="1"/>
  <c r="AN272" i="9"/>
  <c r="AO272" i="9" s="1"/>
  <c r="L272" i="9"/>
  <c r="M272" i="9" s="1"/>
  <c r="AN378" i="10"/>
  <c r="AO378" i="10" s="1"/>
  <c r="L378" i="10"/>
  <c r="M378" i="10" s="1"/>
  <c r="Z378" i="10"/>
  <c r="AA378" i="10" s="1"/>
  <c r="L310" i="8"/>
  <c r="M310" i="8" s="1"/>
  <c r="Z310" i="8"/>
  <c r="AA310" i="8" s="1"/>
  <c r="AN310" i="8"/>
  <c r="AO310" i="8" s="1"/>
  <c r="L397" i="9"/>
  <c r="M397" i="9" s="1"/>
  <c r="Z397" i="9"/>
  <c r="AA397" i="9" s="1"/>
  <c r="AN397" i="9"/>
  <c r="AO397" i="9" s="1"/>
  <c r="L222" i="8"/>
  <c r="M222" i="8" s="1"/>
  <c r="Z222" i="8"/>
  <c r="AA222" i="8" s="1"/>
  <c r="AN222" i="8"/>
  <c r="AO222" i="8" s="1"/>
  <c r="L123" i="9"/>
  <c r="M123" i="9" s="1"/>
  <c r="Z123" i="9"/>
  <c r="AA123" i="9" s="1"/>
  <c r="AN123" i="9"/>
  <c r="AO123" i="9" s="1"/>
  <c r="Z194" i="10"/>
  <c r="AA194" i="10" s="1"/>
  <c r="AN194" i="10"/>
  <c r="AO194" i="10" s="1"/>
  <c r="L194" i="10"/>
  <c r="M194" i="10" s="1"/>
  <c r="AM220" i="8"/>
  <c r="AN67" i="9"/>
  <c r="AO67" i="9" s="1"/>
  <c r="L67" i="9"/>
  <c r="M67" i="9" s="1"/>
  <c r="Z67" i="9"/>
  <c r="AA67" i="9" s="1"/>
  <c r="Z102" i="9"/>
  <c r="AA102" i="9" s="1"/>
  <c r="AN102" i="9"/>
  <c r="AO102" i="9" s="1"/>
  <c r="L102" i="9"/>
  <c r="M102" i="9" s="1"/>
  <c r="L139" i="9"/>
  <c r="M139" i="9" s="1"/>
  <c r="Z139" i="9"/>
  <c r="AA139" i="9" s="1"/>
  <c r="AN139" i="9"/>
  <c r="AO139" i="9" s="1"/>
  <c r="Z193" i="9"/>
  <c r="AA193" i="9" s="1"/>
  <c r="L193" i="9"/>
  <c r="M193" i="9" s="1"/>
  <c r="AN193" i="9"/>
  <c r="AO193" i="9" s="1"/>
  <c r="L155" i="9"/>
  <c r="M155" i="9" s="1"/>
  <c r="Z155" i="9"/>
  <c r="AA155" i="9" s="1"/>
  <c r="AN155" i="9"/>
  <c r="AO155" i="9" s="1"/>
  <c r="K35" i="9"/>
  <c r="O35" i="9" s="1"/>
  <c r="AN150" i="10"/>
  <c r="AO150" i="10" s="1"/>
  <c r="L150" i="10"/>
  <c r="M150" i="10" s="1"/>
  <c r="Z150" i="10"/>
  <c r="AA150" i="10" s="1"/>
  <c r="Z355" i="10"/>
  <c r="AA355" i="10" s="1"/>
  <c r="AN355" i="10"/>
  <c r="AO355" i="10" s="1"/>
  <c r="L355" i="10"/>
  <c r="M355" i="10" s="1"/>
  <c r="Z264" i="10"/>
  <c r="AA264" i="10" s="1"/>
  <c r="AN264" i="10"/>
  <c r="AO264" i="10" s="1"/>
  <c r="L264" i="10"/>
  <c r="M264" i="10" s="1"/>
  <c r="Z154" i="8"/>
  <c r="AA154" i="8" s="1"/>
  <c r="AN154" i="8"/>
  <c r="AO154" i="8" s="1"/>
  <c r="L154" i="8"/>
  <c r="M154" i="8" s="1"/>
  <c r="L319" i="9"/>
  <c r="M319" i="9" s="1"/>
  <c r="Z319" i="9"/>
  <c r="AA319" i="9" s="1"/>
  <c r="AN319" i="9"/>
  <c r="AO319" i="9" s="1"/>
  <c r="Z336" i="9"/>
  <c r="AA336" i="9" s="1"/>
  <c r="AN336" i="9"/>
  <c r="AO336" i="9" s="1"/>
  <c r="L336" i="9"/>
  <c r="M336" i="9" s="1"/>
  <c r="AN216" i="10"/>
  <c r="AO216" i="10" s="1"/>
  <c r="L216" i="10"/>
  <c r="M216" i="10" s="1"/>
  <c r="Z216" i="10"/>
  <c r="AA216" i="10" s="1"/>
  <c r="Z130" i="8"/>
  <c r="AA130" i="8" s="1"/>
  <c r="AN130" i="8"/>
  <c r="AO130" i="8" s="1"/>
  <c r="L130" i="8"/>
  <c r="M130" i="8" s="1"/>
  <c r="L352" i="10"/>
  <c r="M352" i="10" s="1"/>
  <c r="Z352" i="10"/>
  <c r="AA352" i="10" s="1"/>
  <c r="AN352" i="10"/>
  <c r="AO352" i="10" s="1"/>
  <c r="Z309" i="8"/>
  <c r="AA309" i="8" s="1"/>
  <c r="AN309" i="8"/>
  <c r="AO309" i="8" s="1"/>
  <c r="L309" i="8"/>
  <c r="M309" i="8" s="1"/>
  <c r="L382" i="10"/>
  <c r="M382" i="10" s="1"/>
  <c r="Z382" i="10"/>
  <c r="AA382" i="10" s="1"/>
  <c r="AN382" i="10"/>
  <c r="AO382" i="10" s="1"/>
  <c r="Y70" i="10"/>
  <c r="AC70" i="10" s="1"/>
  <c r="Z230" i="9"/>
  <c r="AA230" i="9" s="1"/>
  <c r="AN230" i="9"/>
  <c r="AO230" i="9" s="1"/>
  <c r="L230" i="9"/>
  <c r="M230" i="9" s="1"/>
  <c r="Z121" i="9"/>
  <c r="AA121" i="9" s="1"/>
  <c r="AN121" i="9"/>
  <c r="AO121" i="9" s="1"/>
  <c r="L121" i="9"/>
  <c r="M121" i="9" s="1"/>
  <c r="AN313" i="10"/>
  <c r="AO313" i="10" s="1"/>
  <c r="L313" i="10"/>
  <c r="M313" i="10" s="1"/>
  <c r="Z313" i="10"/>
  <c r="AA313" i="10" s="1"/>
  <c r="AN125" i="8"/>
  <c r="AO125" i="8" s="1"/>
  <c r="L125" i="8"/>
  <c r="M125" i="8" s="1"/>
  <c r="Z125" i="8"/>
  <c r="AA125" i="8" s="1"/>
  <c r="L253" i="10"/>
  <c r="M253" i="10" s="1"/>
  <c r="AN253" i="10"/>
  <c r="AO253" i="10" s="1"/>
  <c r="Z253" i="10"/>
  <c r="AA253" i="10" s="1"/>
  <c r="L75" i="10"/>
  <c r="M75" i="10" s="1"/>
  <c r="Z75" i="10"/>
  <c r="AA75" i="10" s="1"/>
  <c r="AN75" i="10"/>
  <c r="AO75" i="10" s="1"/>
  <c r="AN227" i="8"/>
  <c r="AO227" i="8" s="1"/>
  <c r="L227" i="8"/>
  <c r="M227" i="8" s="1"/>
  <c r="Z227" i="8"/>
  <c r="AA227" i="8" s="1"/>
  <c r="Y50" i="10"/>
  <c r="AC50" i="10" s="1"/>
  <c r="L184" i="9"/>
  <c r="M184" i="9" s="1"/>
  <c r="Z184" i="9"/>
  <c r="AA184" i="9" s="1"/>
  <c r="AN184" i="9"/>
  <c r="AO184" i="9" s="1"/>
  <c r="AM70" i="9"/>
  <c r="AQ70" i="9" s="1"/>
  <c r="L106" i="9"/>
  <c r="M106" i="9" s="1"/>
  <c r="Z106" i="9"/>
  <c r="AA106" i="9" s="1"/>
  <c r="AN106" i="9"/>
  <c r="AO106" i="9" s="1"/>
  <c r="Z202" i="10"/>
  <c r="AA202" i="10" s="1"/>
  <c r="AN202" i="10"/>
  <c r="AO202" i="10" s="1"/>
  <c r="L202" i="10"/>
  <c r="M202" i="10" s="1"/>
  <c r="Z266" i="8"/>
  <c r="AA266" i="8" s="1"/>
  <c r="AN266" i="8"/>
  <c r="AO266" i="8" s="1"/>
  <c r="L266" i="8"/>
  <c r="M266" i="8" s="1"/>
  <c r="L354" i="9"/>
  <c r="M354" i="9" s="1"/>
  <c r="Z354" i="9"/>
  <c r="AA354" i="9" s="1"/>
  <c r="AN354" i="9"/>
  <c r="AO354" i="9" s="1"/>
  <c r="AN95" i="9"/>
  <c r="AO95" i="9" s="1"/>
  <c r="L95" i="9"/>
  <c r="M95" i="9" s="1"/>
  <c r="Z95" i="9"/>
  <c r="AA95" i="9" s="1"/>
  <c r="Z287" i="10"/>
  <c r="AA287" i="10" s="1"/>
  <c r="AN287" i="10"/>
  <c r="AO287" i="10" s="1"/>
  <c r="L287" i="10"/>
  <c r="M287" i="10" s="1"/>
  <c r="AN26" i="10"/>
  <c r="AO26" i="10" s="1"/>
  <c r="L26" i="10"/>
  <c r="M26" i="10" s="1"/>
  <c r="Z26" i="10"/>
  <c r="AA26" i="10" s="1"/>
  <c r="Z65" i="10"/>
  <c r="AA65" i="10" s="1"/>
  <c r="AN65" i="10"/>
  <c r="AO65" i="10" s="1"/>
  <c r="L65" i="10"/>
  <c r="M65" i="10" s="1"/>
  <c r="L129" i="10"/>
  <c r="M129" i="10" s="1"/>
  <c r="Z129" i="10"/>
  <c r="AA129" i="10" s="1"/>
  <c r="AN129" i="10"/>
  <c r="AO129" i="10" s="1"/>
  <c r="L257" i="8"/>
  <c r="M257" i="8" s="1"/>
  <c r="Z257" i="8"/>
  <c r="AA257" i="8" s="1"/>
  <c r="AN257" i="8"/>
  <c r="AO257" i="8" s="1"/>
  <c r="AM140" i="9"/>
  <c r="AQ140" i="9" s="1"/>
  <c r="Y260" i="10"/>
  <c r="AC260" i="10" s="1"/>
  <c r="L197" i="9"/>
  <c r="M197" i="9" s="1"/>
  <c r="Z197" i="9"/>
  <c r="AA197" i="9" s="1"/>
  <c r="AN197" i="9"/>
  <c r="AO197" i="9" s="1"/>
  <c r="L83" i="10"/>
  <c r="M83" i="10" s="1"/>
  <c r="Z83" i="10"/>
  <c r="AA83" i="10" s="1"/>
  <c r="AN83" i="10"/>
  <c r="AO83" i="10" s="1"/>
  <c r="AN235" i="8"/>
  <c r="AO235" i="8" s="1"/>
  <c r="L235" i="8"/>
  <c r="M235" i="8" s="1"/>
  <c r="Z235" i="8"/>
  <c r="AA235" i="8" s="1"/>
  <c r="K50" i="9"/>
  <c r="O50" i="9" s="1"/>
  <c r="L187" i="9"/>
  <c r="M187" i="9" s="1"/>
  <c r="Z187" i="9"/>
  <c r="AA187" i="9" s="1"/>
  <c r="AN187" i="9"/>
  <c r="AO187" i="9" s="1"/>
  <c r="AN110" i="10"/>
  <c r="AO110" i="10" s="1"/>
  <c r="L110" i="10"/>
  <c r="M110" i="10" s="1"/>
  <c r="Z110" i="10"/>
  <c r="AA110" i="10" s="1"/>
  <c r="L174" i="8"/>
  <c r="M174" i="8" s="1"/>
  <c r="Z174" i="8"/>
  <c r="AA174" i="8" s="1"/>
  <c r="AN174" i="8"/>
  <c r="AO174" i="8" s="1"/>
  <c r="AN302" i="9"/>
  <c r="AO302" i="9" s="1"/>
  <c r="L302" i="9"/>
  <c r="M302" i="9" s="1"/>
  <c r="Z302" i="9"/>
  <c r="AA302" i="9" s="1"/>
  <c r="Y35" i="10"/>
  <c r="AC35" i="10" s="1"/>
  <c r="L103" i="10"/>
  <c r="M103" i="10" s="1"/>
  <c r="Z103" i="10"/>
  <c r="AA103" i="10" s="1"/>
  <c r="AN103" i="10"/>
  <c r="AO103" i="10" s="1"/>
  <c r="L231" i="8"/>
  <c r="M231" i="8" s="1"/>
  <c r="Z231" i="8"/>
  <c r="AA231" i="8" s="1"/>
  <c r="AN231" i="8"/>
  <c r="AO231" i="8" s="1"/>
  <c r="L201" i="8"/>
  <c r="M201" i="8" s="1"/>
  <c r="Z201" i="8"/>
  <c r="AA201" i="8" s="1"/>
  <c r="AN201" i="8"/>
  <c r="AO201" i="8" s="1"/>
  <c r="Y140" i="8"/>
  <c r="AM180" i="9"/>
  <c r="AQ180" i="9" s="1"/>
  <c r="AN141" i="9"/>
  <c r="AO141" i="9" s="1"/>
  <c r="L141" i="9"/>
  <c r="M141" i="9" s="1"/>
  <c r="Z141" i="9"/>
  <c r="AA141" i="9" s="1"/>
  <c r="L333" i="10"/>
  <c r="M333" i="10" s="1"/>
  <c r="Z333" i="10"/>
  <c r="AA333" i="10" s="1"/>
  <c r="AN333" i="10"/>
  <c r="AO333" i="10" s="1"/>
  <c r="L91" i="10"/>
  <c r="M91" i="10" s="1"/>
  <c r="Z91" i="10"/>
  <c r="AA91" i="10" s="1"/>
  <c r="AN91" i="10"/>
  <c r="AO91" i="10" s="1"/>
  <c r="AN243" i="8"/>
  <c r="AO243" i="8" s="1"/>
  <c r="L243" i="8"/>
  <c r="M243" i="8" s="1"/>
  <c r="Z243" i="8"/>
  <c r="AA243" i="8" s="1"/>
  <c r="Y50" i="8"/>
  <c r="L192" i="9"/>
  <c r="M192" i="9" s="1"/>
  <c r="Z192" i="9"/>
  <c r="AA192" i="9" s="1"/>
  <c r="AN192" i="9"/>
  <c r="AO192" i="9" s="1"/>
  <c r="Z36" i="10"/>
  <c r="AA36" i="10" s="1"/>
  <c r="AN36" i="10"/>
  <c r="AO36" i="10" s="1"/>
  <c r="L36" i="10"/>
  <c r="M36" i="10" s="1"/>
  <c r="AN82" i="8"/>
  <c r="AO82" i="8" s="1"/>
  <c r="L82" i="8"/>
  <c r="M82" i="8" s="1"/>
  <c r="Z82" i="8"/>
  <c r="AA82" i="8" s="1"/>
  <c r="AN178" i="9"/>
  <c r="AO178" i="9" s="1"/>
  <c r="L178" i="9"/>
  <c r="M178" i="9" s="1"/>
  <c r="Z178" i="9"/>
  <c r="AA178" i="9" s="1"/>
  <c r="L274" i="10"/>
  <c r="M274" i="10" s="1"/>
  <c r="Z274" i="10"/>
  <c r="AA274" i="10" s="1"/>
  <c r="AN274" i="10"/>
  <c r="AO274" i="10" s="1"/>
  <c r="Z362" i="8"/>
  <c r="AA362" i="8" s="1"/>
  <c r="AN362" i="8"/>
  <c r="AO362" i="8" s="1"/>
  <c r="L362" i="8"/>
  <c r="M362" i="8" s="1"/>
  <c r="Z111" i="8"/>
  <c r="AA111" i="8" s="1"/>
  <c r="AN111" i="8"/>
  <c r="AO111" i="8" s="1"/>
  <c r="L111" i="8"/>
  <c r="M111" i="8" s="1"/>
  <c r="L303" i="9"/>
  <c r="M303" i="9" s="1"/>
  <c r="Z303" i="9"/>
  <c r="AA303" i="9" s="1"/>
  <c r="AN303" i="9"/>
  <c r="AO303" i="9" s="1"/>
  <c r="L32" i="10"/>
  <c r="M32" i="10" s="1"/>
  <c r="Z32" i="10"/>
  <c r="AA32" i="10" s="1"/>
  <c r="AN32" i="10"/>
  <c r="AO32" i="10" s="1"/>
  <c r="L145" i="10"/>
  <c r="M145" i="10" s="1"/>
  <c r="Z145" i="10"/>
  <c r="AA145" i="10" s="1"/>
  <c r="AN145" i="10"/>
  <c r="AO145" i="10" s="1"/>
  <c r="L273" i="8"/>
  <c r="M273" i="8" s="1"/>
  <c r="Z273" i="8"/>
  <c r="AA273" i="8" s="1"/>
  <c r="AN273" i="8"/>
  <c r="AO273" i="8" s="1"/>
  <c r="AM260" i="8"/>
  <c r="AN85" i="8"/>
  <c r="AO85" i="8" s="1"/>
  <c r="L85" i="8"/>
  <c r="M85" i="8" s="1"/>
  <c r="Z85" i="8"/>
  <c r="AA85" i="8" s="1"/>
  <c r="L277" i="9"/>
  <c r="M277" i="9" s="1"/>
  <c r="Z277" i="9"/>
  <c r="AA277" i="9" s="1"/>
  <c r="AN277" i="9"/>
  <c r="AO277" i="9" s="1"/>
  <c r="AN37" i="10"/>
  <c r="AO37" i="10" s="1"/>
  <c r="L37" i="10"/>
  <c r="M37" i="10" s="1"/>
  <c r="Z37" i="10"/>
  <c r="AA37" i="10" s="1"/>
  <c r="L364" i="8"/>
  <c r="M364" i="8" s="1"/>
  <c r="Z364" i="8"/>
  <c r="AA364" i="8" s="1"/>
  <c r="AN364" i="8"/>
  <c r="AO364" i="8" s="1"/>
  <c r="L394" i="9"/>
  <c r="M394" i="9" s="1"/>
  <c r="Z394" i="9"/>
  <c r="AA394" i="9" s="1"/>
  <c r="AN394" i="9"/>
  <c r="AO394" i="9" s="1"/>
  <c r="Z171" i="10"/>
  <c r="AA171" i="10" s="1"/>
  <c r="AN171" i="10"/>
  <c r="AO171" i="10" s="1"/>
  <c r="L171" i="10"/>
  <c r="M171" i="10" s="1"/>
  <c r="AN315" i="8"/>
  <c r="AO315" i="8" s="1"/>
  <c r="L315" i="8"/>
  <c r="M315" i="8" s="1"/>
  <c r="Z315" i="8"/>
  <c r="AA315" i="8" s="1"/>
  <c r="L88" i="9"/>
  <c r="M88" i="9" s="1"/>
  <c r="Z88" i="9"/>
  <c r="AA88" i="9" s="1"/>
  <c r="AN88" i="9"/>
  <c r="AO88" i="9" s="1"/>
  <c r="Z256" i="10"/>
  <c r="AA256" i="10" s="1"/>
  <c r="AN256" i="10"/>
  <c r="AO256" i="10" s="1"/>
  <c r="L256" i="10"/>
  <c r="M256" i="10" s="1"/>
  <c r="L41" i="8"/>
  <c r="M41" i="8" s="1"/>
  <c r="Z41" i="8"/>
  <c r="AA41" i="8" s="1"/>
  <c r="AN41" i="8"/>
  <c r="AO41" i="8" s="1"/>
  <c r="L86" i="8"/>
  <c r="M86" i="8" s="1"/>
  <c r="Z86" i="8"/>
  <c r="AA86" i="8" s="1"/>
  <c r="AN86" i="8"/>
  <c r="AO86" i="8" s="1"/>
  <c r="L182" i="9"/>
  <c r="M182" i="9" s="1"/>
  <c r="Z182" i="9"/>
  <c r="AA182" i="9" s="1"/>
  <c r="AN182" i="9"/>
  <c r="AO182" i="9" s="1"/>
  <c r="Z278" i="10"/>
  <c r="AA278" i="10" s="1"/>
  <c r="AN278" i="10"/>
  <c r="AO278" i="10" s="1"/>
  <c r="L278" i="10"/>
  <c r="M278" i="10" s="1"/>
  <c r="K35" i="8"/>
  <c r="Z119" i="8"/>
  <c r="AA119" i="8" s="1"/>
  <c r="AN119" i="8"/>
  <c r="AO119" i="8" s="1"/>
  <c r="L119" i="8"/>
  <c r="M119" i="8" s="1"/>
  <c r="L311" i="9"/>
  <c r="M311" i="9" s="1"/>
  <c r="Z311" i="9"/>
  <c r="AA311" i="9" s="1"/>
  <c r="AN311" i="9"/>
  <c r="AO311" i="9" s="1"/>
  <c r="AN43" i="9"/>
  <c r="AO43" i="9" s="1"/>
  <c r="L43" i="9"/>
  <c r="M43" i="9" s="1"/>
  <c r="Z43" i="9"/>
  <c r="AA43" i="9" s="1"/>
  <c r="L217" i="10"/>
  <c r="M217" i="10" s="1"/>
  <c r="Z217" i="10"/>
  <c r="AA217" i="10" s="1"/>
  <c r="AN217" i="10"/>
  <c r="AO217" i="10" s="1"/>
  <c r="L345" i="8"/>
  <c r="M345" i="8" s="1"/>
  <c r="Z345" i="8"/>
  <c r="AA345" i="8" s="1"/>
  <c r="AN345" i="8"/>
  <c r="AO345" i="8" s="1"/>
  <c r="AM60" i="9"/>
  <c r="AQ60" i="9" s="1"/>
  <c r="AM100" i="10"/>
  <c r="AQ100" i="10" s="1"/>
  <c r="L93" i="10"/>
  <c r="M93" i="10" s="1"/>
  <c r="Z93" i="10"/>
  <c r="AA93" i="10" s="1"/>
  <c r="AN93" i="10"/>
  <c r="AO93" i="10" s="1"/>
  <c r="Z221" i="8"/>
  <c r="AA221" i="8" s="1"/>
  <c r="AN221" i="8"/>
  <c r="AO221" i="8" s="1"/>
  <c r="L221" i="8"/>
  <c r="M221" i="8" s="1"/>
  <c r="I380" i="10"/>
  <c r="I380" i="9"/>
  <c r="I380" i="8"/>
  <c r="AE360" i="6"/>
  <c r="Z360" i="6"/>
  <c r="L188" i="8"/>
  <c r="M188" i="8" s="1"/>
  <c r="Z188" i="8"/>
  <c r="AA188" i="8" s="1"/>
  <c r="AN188" i="8"/>
  <c r="AO188" i="8" s="1"/>
  <c r="L107" i="9"/>
  <c r="M107" i="9" s="1"/>
  <c r="Z107" i="9"/>
  <c r="AA107" i="9" s="1"/>
  <c r="AN107" i="9"/>
  <c r="AO107" i="9" s="1"/>
  <c r="Z323" i="10"/>
  <c r="AA323" i="10" s="1"/>
  <c r="AN323" i="10"/>
  <c r="AO323" i="10" s="1"/>
  <c r="L323" i="10"/>
  <c r="M323" i="10" s="1"/>
  <c r="AN152" i="8"/>
  <c r="AO152" i="8" s="1"/>
  <c r="L152" i="8"/>
  <c r="M152" i="8" s="1"/>
  <c r="Z152" i="8"/>
  <c r="AA152" i="8" s="1"/>
  <c r="Z328" i="9"/>
  <c r="AA328" i="9" s="1"/>
  <c r="AN328" i="9"/>
  <c r="AO328" i="9" s="1"/>
  <c r="L328" i="9"/>
  <c r="M328" i="9" s="1"/>
  <c r="Z58" i="9"/>
  <c r="AA58" i="9" s="1"/>
  <c r="AN58" i="9"/>
  <c r="AO58" i="9" s="1"/>
  <c r="L58" i="9"/>
  <c r="M58" i="9" s="1"/>
  <c r="L122" i="9"/>
  <c r="M122" i="9" s="1"/>
  <c r="Z122" i="9"/>
  <c r="AA122" i="9" s="1"/>
  <c r="AN122" i="9"/>
  <c r="AO122" i="9" s="1"/>
  <c r="Z218" i="10"/>
  <c r="AA218" i="10" s="1"/>
  <c r="AN218" i="10"/>
  <c r="AO218" i="10" s="1"/>
  <c r="L218" i="10"/>
  <c r="M218" i="10" s="1"/>
  <c r="Z282" i="8"/>
  <c r="AA282" i="8" s="1"/>
  <c r="AN282" i="8"/>
  <c r="AO282" i="8" s="1"/>
  <c r="L282" i="8"/>
  <c r="M282" i="8" s="1"/>
  <c r="L63" i="9"/>
  <c r="M63" i="9" s="1"/>
  <c r="Z63" i="9"/>
  <c r="AA63" i="9" s="1"/>
  <c r="AN63" i="9"/>
  <c r="AO63" i="9" s="1"/>
  <c r="Z255" i="10"/>
  <c r="AA255" i="10" s="1"/>
  <c r="AN255" i="10"/>
  <c r="AO255" i="10" s="1"/>
  <c r="L255" i="10"/>
  <c r="M255" i="10" s="1"/>
  <c r="L49" i="10"/>
  <c r="M49" i="10" s="1"/>
  <c r="Z49" i="10"/>
  <c r="AA49" i="10" s="1"/>
  <c r="AN49" i="10"/>
  <c r="AO49" i="10" s="1"/>
  <c r="AN225" i="9"/>
  <c r="AO225" i="9" s="1"/>
  <c r="L225" i="9"/>
  <c r="M225" i="9" s="1"/>
  <c r="Z225" i="9"/>
  <c r="AA225" i="9" s="1"/>
  <c r="L376" i="10"/>
  <c r="M376" i="10" s="1"/>
  <c r="Z376" i="10"/>
  <c r="AA376" i="10" s="1"/>
  <c r="AN376" i="10"/>
  <c r="AO376" i="10" s="1"/>
  <c r="AN165" i="9"/>
  <c r="AO165" i="9" s="1"/>
  <c r="L165" i="9"/>
  <c r="M165" i="9" s="1"/>
  <c r="Z165" i="9"/>
  <c r="AA165" i="9" s="1"/>
  <c r="L77" i="10"/>
  <c r="M77" i="10" s="1"/>
  <c r="Z77" i="10"/>
  <c r="AA77" i="10" s="1"/>
  <c r="AN77" i="10"/>
  <c r="AO77" i="10" s="1"/>
  <c r="AN40" i="9"/>
  <c r="AO40" i="9" s="1"/>
  <c r="L40" i="9"/>
  <c r="M40" i="9" s="1"/>
  <c r="Z40" i="9"/>
  <c r="AA40" i="9" s="1"/>
  <c r="L105" i="10"/>
  <c r="M105" i="10" s="1"/>
  <c r="Z105" i="10"/>
  <c r="AA105" i="10" s="1"/>
  <c r="AN105" i="10"/>
  <c r="AO105" i="10" s="1"/>
  <c r="L233" i="8"/>
  <c r="M233" i="8" s="1"/>
  <c r="Z233" i="8"/>
  <c r="AA233" i="8" s="1"/>
  <c r="AN233" i="8"/>
  <c r="AO233" i="8" s="1"/>
  <c r="AN369" i="9"/>
  <c r="AO369" i="9" s="1"/>
  <c r="L369" i="9"/>
  <c r="M369" i="9" s="1"/>
  <c r="Z369" i="9"/>
  <c r="AA369" i="9" s="1"/>
  <c r="Z395" i="10"/>
  <c r="AA395" i="10" s="1"/>
  <c r="AN395" i="10"/>
  <c r="AO395" i="10" s="1"/>
  <c r="L395" i="10"/>
  <c r="M395" i="10" s="1"/>
  <c r="Z61" i="10"/>
  <c r="AA61" i="10" s="1"/>
  <c r="L61" i="10"/>
  <c r="M61" i="10" s="1"/>
  <c r="AN61" i="10"/>
  <c r="AO61" i="10" s="1"/>
  <c r="AN344" i="8"/>
  <c r="AO344" i="8" s="1"/>
  <c r="L344" i="8"/>
  <c r="M344" i="8" s="1"/>
  <c r="Z344" i="8"/>
  <c r="AA344" i="8" s="1"/>
  <c r="L158" i="9"/>
  <c r="M158" i="9" s="1"/>
  <c r="Z158" i="9"/>
  <c r="AA158" i="9" s="1"/>
  <c r="AN158" i="9"/>
  <c r="AO158" i="9" s="1"/>
  <c r="AN368" i="10"/>
  <c r="AO368" i="10" s="1"/>
  <c r="L368" i="10"/>
  <c r="M368" i="10" s="1"/>
  <c r="Z368" i="10"/>
  <c r="AA368" i="10" s="1"/>
  <c r="AN400" i="8"/>
  <c r="AO400" i="8" s="1"/>
  <c r="L400" i="8"/>
  <c r="M400" i="8" s="1"/>
  <c r="Z400" i="8"/>
  <c r="AA400" i="8" s="1"/>
  <c r="Z398" i="9"/>
  <c r="AA398" i="9" s="1"/>
  <c r="AN398" i="9"/>
  <c r="AO398" i="9" s="1"/>
  <c r="L398" i="9"/>
  <c r="M398" i="9" s="1"/>
  <c r="AN71" i="10"/>
  <c r="AO71" i="10" s="1"/>
  <c r="L71" i="10"/>
  <c r="M71" i="10" s="1"/>
  <c r="Z71" i="10"/>
  <c r="AA71" i="10" s="1"/>
  <c r="L199" i="8"/>
  <c r="M199" i="8" s="1"/>
  <c r="Z199" i="8"/>
  <c r="AA199" i="8" s="1"/>
  <c r="AN199" i="8"/>
  <c r="AO199" i="8" s="1"/>
  <c r="AN173" i="9"/>
  <c r="AO173" i="9" s="1"/>
  <c r="L173" i="9"/>
  <c r="M173" i="9" s="1"/>
  <c r="Z173" i="9"/>
  <c r="AA173" i="9" s="1"/>
  <c r="L357" i="10"/>
  <c r="M357" i="10" s="1"/>
  <c r="Z357" i="10"/>
  <c r="AA357" i="10" s="1"/>
  <c r="AN357" i="10"/>
  <c r="AO357" i="10" s="1"/>
  <c r="Z373" i="8"/>
  <c r="AA373" i="8" s="1"/>
  <c r="AN373" i="8"/>
  <c r="AO373" i="8" s="1"/>
  <c r="L373" i="8"/>
  <c r="M373" i="8" s="1"/>
  <c r="Z365" i="9"/>
  <c r="AA365" i="9" s="1"/>
  <c r="AN365" i="9"/>
  <c r="AO365" i="9" s="1"/>
  <c r="L365" i="9"/>
  <c r="M365" i="9" s="1"/>
  <c r="Z254" i="9"/>
  <c r="AA254" i="9" s="1"/>
  <c r="AN254" i="9"/>
  <c r="AO254" i="9" s="1"/>
  <c r="L254" i="9"/>
  <c r="M254" i="9" s="1"/>
  <c r="K220" i="9"/>
  <c r="O220" i="9" s="1"/>
  <c r="AN401" i="9"/>
  <c r="AO401" i="9" s="1"/>
  <c r="L401" i="9"/>
  <c r="M401" i="9" s="1"/>
  <c r="Z401" i="9"/>
  <c r="AA401" i="9" s="1"/>
  <c r="AN411" i="10"/>
  <c r="AO411" i="10" s="1"/>
  <c r="L411" i="10"/>
  <c r="M411" i="10" s="1"/>
  <c r="Z411" i="10"/>
  <c r="AA411" i="10" s="1"/>
  <c r="AN360" i="8"/>
  <c r="AO360" i="8" s="1"/>
  <c r="L360" i="8"/>
  <c r="M360" i="8" s="1"/>
  <c r="Z360" i="8"/>
  <c r="AA360" i="8" s="1"/>
  <c r="AN270" i="9"/>
  <c r="AO270" i="9" s="1"/>
  <c r="L270" i="9"/>
  <c r="M270" i="9" s="1"/>
  <c r="Z270" i="9"/>
  <c r="AA270" i="9" s="1"/>
  <c r="L48" i="10"/>
  <c r="M48" i="10" s="1"/>
  <c r="Z48" i="10"/>
  <c r="AA48" i="10" s="1"/>
  <c r="AN48" i="10"/>
  <c r="AO48" i="10" s="1"/>
  <c r="AN203" i="8"/>
  <c r="AO203" i="8" s="1"/>
  <c r="L203" i="8"/>
  <c r="M203" i="8" s="1"/>
  <c r="Z203" i="8"/>
  <c r="AA203" i="8" s="1"/>
  <c r="L104" i="9"/>
  <c r="M104" i="9" s="1"/>
  <c r="Z104" i="9"/>
  <c r="AA104" i="9" s="1"/>
  <c r="AN104" i="9"/>
  <c r="AO104" i="9" s="1"/>
  <c r="Z272" i="10"/>
  <c r="AA272" i="10" s="1"/>
  <c r="AN272" i="10"/>
  <c r="AO272" i="10" s="1"/>
  <c r="L272" i="10"/>
  <c r="M272" i="10" s="1"/>
  <c r="L374" i="8"/>
  <c r="M374" i="8" s="1"/>
  <c r="Z374" i="8"/>
  <c r="AA374" i="8" s="1"/>
  <c r="AN374" i="8"/>
  <c r="AO374" i="8" s="1"/>
  <c r="AN310" i="9"/>
  <c r="AO310" i="9" s="1"/>
  <c r="L310" i="9"/>
  <c r="M310" i="9" s="1"/>
  <c r="Z310" i="9"/>
  <c r="AA310" i="9" s="1"/>
  <c r="L397" i="10"/>
  <c r="M397" i="10" s="1"/>
  <c r="AN397" i="10"/>
  <c r="AO397" i="10" s="1"/>
  <c r="Z397" i="10"/>
  <c r="AA397" i="10" s="1"/>
  <c r="Z222" i="9"/>
  <c r="AA222" i="9" s="1"/>
  <c r="AN222" i="9"/>
  <c r="AO222" i="9" s="1"/>
  <c r="L222" i="9"/>
  <c r="M222" i="9" s="1"/>
  <c r="Z349" i="9"/>
  <c r="AA349" i="9" s="1"/>
  <c r="AN349" i="9"/>
  <c r="AO349" i="9" s="1"/>
  <c r="L349" i="9"/>
  <c r="M349" i="9" s="1"/>
  <c r="L245" i="9"/>
  <c r="M245" i="9" s="1"/>
  <c r="Z245" i="9"/>
  <c r="AA245" i="9" s="1"/>
  <c r="AN245" i="9"/>
  <c r="AO245" i="9" s="1"/>
  <c r="L279" i="9"/>
  <c r="M279" i="9" s="1"/>
  <c r="Z279" i="9"/>
  <c r="AA279" i="9" s="1"/>
  <c r="AN279" i="9"/>
  <c r="AO279" i="9" s="1"/>
  <c r="Z128" i="10"/>
  <c r="AA128" i="10" s="1"/>
  <c r="AN128" i="10"/>
  <c r="AO128" i="10" s="1"/>
  <c r="L128" i="10"/>
  <c r="M128" i="10" s="1"/>
  <c r="Z138" i="8"/>
  <c r="AA138" i="8" s="1"/>
  <c r="AN138" i="8"/>
  <c r="AO138" i="8" s="1"/>
  <c r="L138" i="8"/>
  <c r="M138" i="8" s="1"/>
  <c r="L159" i="8"/>
  <c r="M159" i="8" s="1"/>
  <c r="Z159" i="8"/>
  <c r="AA159" i="8" s="1"/>
  <c r="AN159" i="8"/>
  <c r="AO159" i="8" s="1"/>
  <c r="I391" i="10"/>
  <c r="I391" i="9"/>
  <c r="I391" i="8"/>
  <c r="Z371" i="6"/>
  <c r="AE371" i="6"/>
  <c r="Z136" i="10"/>
  <c r="AA136" i="10" s="1"/>
  <c r="AN136" i="10"/>
  <c r="AO136" i="10" s="1"/>
  <c r="L136" i="10"/>
  <c r="M136" i="10" s="1"/>
  <c r="L334" i="8"/>
  <c r="M334" i="8" s="1"/>
  <c r="Z334" i="8"/>
  <c r="AA334" i="8" s="1"/>
  <c r="AN334" i="8"/>
  <c r="AO334" i="8" s="1"/>
  <c r="L137" i="9"/>
  <c r="M137" i="9" s="1"/>
  <c r="Z137" i="9"/>
  <c r="AA137" i="9" s="1"/>
  <c r="AN137" i="9"/>
  <c r="AO137" i="9" s="1"/>
  <c r="K260" i="9"/>
  <c r="O260" i="9" s="1"/>
  <c r="L363" i="10"/>
  <c r="M363" i="10" s="1"/>
  <c r="Z363" i="10"/>
  <c r="AA363" i="10" s="1"/>
  <c r="AN363" i="10"/>
  <c r="AO363" i="10" s="1"/>
  <c r="L239" i="10"/>
  <c r="M239" i="10" s="1"/>
  <c r="Z239" i="10"/>
  <c r="AA239" i="10" s="1"/>
  <c r="AN239" i="10"/>
  <c r="AO239" i="10" s="1"/>
  <c r="AN108" i="9"/>
  <c r="AO108" i="9" s="1"/>
  <c r="L108" i="9"/>
  <c r="M108" i="9" s="1"/>
  <c r="Z108" i="9"/>
  <c r="AA108" i="9" s="1"/>
  <c r="Z53" i="9"/>
  <c r="AA53" i="9" s="1"/>
  <c r="AN53" i="9"/>
  <c r="AO53" i="9" s="1"/>
  <c r="L53" i="9"/>
  <c r="M53" i="9" s="1"/>
  <c r="L250" i="9"/>
  <c r="M250" i="9" s="1"/>
  <c r="Z250" i="9"/>
  <c r="AA250" i="9" s="1"/>
  <c r="AN250" i="9"/>
  <c r="AO250" i="9" s="1"/>
  <c r="L226" i="9"/>
  <c r="M226" i="9" s="1"/>
  <c r="Z226" i="9"/>
  <c r="AA226" i="9" s="1"/>
  <c r="AN226" i="9"/>
  <c r="AO226" i="9" s="1"/>
  <c r="AN131" i="8"/>
  <c r="AO131" i="8" s="1"/>
  <c r="L131" i="8"/>
  <c r="M131" i="8" s="1"/>
  <c r="Z131" i="8"/>
  <c r="AA131" i="8" s="1"/>
  <c r="AN347" i="9"/>
  <c r="AO347" i="9" s="1"/>
  <c r="L347" i="9"/>
  <c r="M347" i="9" s="1"/>
  <c r="Z347" i="9"/>
  <c r="AA347" i="9" s="1"/>
  <c r="L176" i="10"/>
  <c r="M176" i="10" s="1"/>
  <c r="Z176" i="10"/>
  <c r="AA176" i="10" s="1"/>
  <c r="AN176" i="10"/>
  <c r="AO176" i="10" s="1"/>
  <c r="AN288" i="8"/>
  <c r="AO288" i="8" s="1"/>
  <c r="L288" i="8"/>
  <c r="M288" i="8" s="1"/>
  <c r="Z288" i="8"/>
  <c r="AA288" i="8" s="1"/>
  <c r="L134" i="8"/>
  <c r="M134" i="8" s="1"/>
  <c r="Z134" i="8"/>
  <c r="AA134" i="8" s="1"/>
  <c r="AN134" i="8"/>
  <c r="AO134" i="8" s="1"/>
  <c r="Z215" i="10"/>
  <c r="AA215" i="10" s="1"/>
  <c r="AN215" i="10"/>
  <c r="AO215" i="10" s="1"/>
  <c r="L215" i="10"/>
  <c r="M215" i="10" s="1"/>
  <c r="L57" i="9"/>
  <c r="M57" i="9" s="1"/>
  <c r="Z57" i="9"/>
  <c r="AA57" i="9" s="1"/>
  <c r="AN57" i="9"/>
  <c r="AO57" i="9" s="1"/>
  <c r="AN410" i="10"/>
  <c r="AO410" i="10" s="1"/>
  <c r="L410" i="10"/>
  <c r="M410" i="10" s="1"/>
  <c r="Z410" i="10"/>
  <c r="AA410" i="10" s="1"/>
  <c r="Z211" i="9"/>
  <c r="AA211" i="9" s="1"/>
  <c r="AN211" i="9"/>
  <c r="AO211" i="9" s="1"/>
  <c r="L211" i="9"/>
  <c r="M211" i="9" s="1"/>
  <c r="Z28" i="10"/>
  <c r="AA28" i="10" s="1"/>
  <c r="AN28" i="10"/>
  <c r="AO28" i="10" s="1"/>
  <c r="L28" i="10"/>
  <c r="M28" i="10" s="1"/>
  <c r="AN168" i="8"/>
  <c r="AO168" i="8" s="1"/>
  <c r="L168" i="8"/>
  <c r="M168" i="8" s="1"/>
  <c r="Z168" i="8"/>
  <c r="AA168" i="8" s="1"/>
  <c r="L130" i="9"/>
  <c r="M130" i="9" s="1"/>
  <c r="Z130" i="9"/>
  <c r="AA130" i="9" s="1"/>
  <c r="AN130" i="9"/>
  <c r="AO130" i="9" s="1"/>
  <c r="Z226" i="10"/>
  <c r="AA226" i="10" s="1"/>
  <c r="AN226" i="10"/>
  <c r="AO226" i="10" s="1"/>
  <c r="L226" i="10"/>
  <c r="M226" i="10" s="1"/>
  <c r="Z290" i="8"/>
  <c r="AA290" i="8" s="1"/>
  <c r="AN290" i="8"/>
  <c r="AO290" i="8" s="1"/>
  <c r="L290" i="8"/>
  <c r="M290" i="8" s="1"/>
  <c r="Z143" i="9"/>
  <c r="AA143" i="9" s="1"/>
  <c r="AN143" i="9"/>
  <c r="AO143" i="9" s="1"/>
  <c r="L143" i="9"/>
  <c r="M143" i="9" s="1"/>
  <c r="AN335" i="10"/>
  <c r="AO335" i="10" s="1"/>
  <c r="L335" i="10"/>
  <c r="M335" i="10" s="1"/>
  <c r="Z335" i="10"/>
  <c r="AA335" i="10" s="1"/>
  <c r="L228" i="8"/>
  <c r="M228" i="8" s="1"/>
  <c r="Z228" i="8"/>
  <c r="AA228" i="8" s="1"/>
  <c r="AN228" i="8"/>
  <c r="AO228" i="8" s="1"/>
  <c r="L177" i="9"/>
  <c r="M177" i="9" s="1"/>
  <c r="Z177" i="9"/>
  <c r="AA177" i="9" s="1"/>
  <c r="AN177" i="9"/>
  <c r="AO177" i="9" s="1"/>
  <c r="AN117" i="8"/>
  <c r="AO117" i="8" s="1"/>
  <c r="L117" i="8"/>
  <c r="M117" i="8" s="1"/>
  <c r="Z117" i="8"/>
  <c r="AA117" i="8" s="1"/>
  <c r="L309" i="9"/>
  <c r="M309" i="9" s="1"/>
  <c r="Z309" i="9"/>
  <c r="AA309" i="9" s="1"/>
  <c r="AN309" i="9"/>
  <c r="AO309" i="9" s="1"/>
  <c r="L414" i="8"/>
  <c r="M414" i="8" s="1"/>
  <c r="Z414" i="8"/>
  <c r="AA414" i="8" s="1"/>
  <c r="AN414" i="8"/>
  <c r="AO414" i="8" s="1"/>
  <c r="Z131" i="9"/>
  <c r="AA131" i="9" s="1"/>
  <c r="AN131" i="9"/>
  <c r="AO131" i="9" s="1"/>
  <c r="L131" i="9"/>
  <c r="M131" i="9" s="1"/>
  <c r="Z347" i="10"/>
  <c r="AA347" i="10" s="1"/>
  <c r="AN347" i="10"/>
  <c r="AO347" i="10" s="1"/>
  <c r="L347" i="10"/>
  <c r="M347" i="10" s="1"/>
  <c r="L120" i="8"/>
  <c r="M120" i="8" s="1"/>
  <c r="Z120" i="8"/>
  <c r="AA120" i="8" s="1"/>
  <c r="AN120" i="8"/>
  <c r="AO120" i="8" s="1"/>
  <c r="Z288" i="9"/>
  <c r="AA288" i="9" s="1"/>
  <c r="AN288" i="9"/>
  <c r="AO288" i="9" s="1"/>
  <c r="L288" i="9"/>
  <c r="M288" i="9" s="1"/>
  <c r="Z134" i="9"/>
  <c r="AA134" i="9" s="1"/>
  <c r="L134" i="9"/>
  <c r="M134" i="9" s="1"/>
  <c r="AN134" i="9"/>
  <c r="AO134" i="9" s="1"/>
  <c r="AN230" i="10"/>
  <c r="AO230" i="10" s="1"/>
  <c r="L230" i="10"/>
  <c r="M230" i="10" s="1"/>
  <c r="Z230" i="10"/>
  <c r="AA230" i="10" s="1"/>
  <c r="L151" i="8"/>
  <c r="M151" i="8" s="1"/>
  <c r="Z151" i="8"/>
  <c r="AA151" i="8" s="1"/>
  <c r="AN151" i="8"/>
  <c r="AO151" i="8" s="1"/>
  <c r="Z57" i="10"/>
  <c r="AA57" i="10" s="1"/>
  <c r="L57" i="10"/>
  <c r="M57" i="10" s="1"/>
  <c r="AN57" i="10"/>
  <c r="AO57" i="10" s="1"/>
  <c r="L121" i="10"/>
  <c r="M121" i="10" s="1"/>
  <c r="Z121" i="10"/>
  <c r="AA121" i="10" s="1"/>
  <c r="AN121" i="10"/>
  <c r="AO121" i="10" s="1"/>
  <c r="L249" i="8"/>
  <c r="M249" i="8" s="1"/>
  <c r="Z249" i="8"/>
  <c r="AA249" i="8" s="1"/>
  <c r="AN249" i="8"/>
  <c r="AO249" i="8" s="1"/>
  <c r="L125" i="9"/>
  <c r="M125" i="9" s="1"/>
  <c r="Z125" i="9"/>
  <c r="AA125" i="9" s="1"/>
  <c r="AN125" i="9"/>
  <c r="AO125" i="9" s="1"/>
  <c r="L412" i="8"/>
  <c r="M412" i="8" s="1"/>
  <c r="Z412" i="8"/>
  <c r="AA412" i="8" s="1"/>
  <c r="AN412" i="8"/>
  <c r="AO412" i="8" s="1"/>
  <c r="Z227" i="9"/>
  <c r="AA227" i="9" s="1"/>
  <c r="AN227" i="9"/>
  <c r="AO227" i="9" s="1"/>
  <c r="L227" i="9"/>
  <c r="M227" i="9" s="1"/>
  <c r="K50" i="10"/>
  <c r="O50" i="10" s="1"/>
  <c r="L184" i="10"/>
  <c r="M184" i="10" s="1"/>
  <c r="Z184" i="10"/>
  <c r="AA184" i="10" s="1"/>
  <c r="AN184" i="10"/>
  <c r="AO184" i="10" s="1"/>
  <c r="AN296" i="8"/>
  <c r="AO296" i="8" s="1"/>
  <c r="L296" i="8"/>
  <c r="M296" i="8" s="1"/>
  <c r="Z296" i="8"/>
  <c r="AA296" i="8" s="1"/>
  <c r="Y70" i="9"/>
  <c r="AC70" i="9" s="1"/>
  <c r="L106" i="10"/>
  <c r="M106" i="10" s="1"/>
  <c r="Z106" i="10"/>
  <c r="AA106" i="10" s="1"/>
  <c r="AN106" i="10"/>
  <c r="AO106" i="10" s="1"/>
  <c r="Z170" i="8"/>
  <c r="AA170" i="8" s="1"/>
  <c r="AN170" i="8"/>
  <c r="AO170" i="8" s="1"/>
  <c r="L170" i="8"/>
  <c r="M170" i="8" s="1"/>
  <c r="L266" i="9"/>
  <c r="M266" i="9" s="1"/>
  <c r="Z266" i="9"/>
  <c r="AA266" i="9" s="1"/>
  <c r="AN266" i="9"/>
  <c r="AO266" i="9" s="1"/>
  <c r="L354" i="10"/>
  <c r="M354" i="10" s="1"/>
  <c r="Z354" i="10"/>
  <c r="AA354" i="10" s="1"/>
  <c r="AN354" i="10"/>
  <c r="AO354" i="10" s="1"/>
  <c r="AN95" i="10"/>
  <c r="AO95" i="10" s="1"/>
  <c r="L95" i="10"/>
  <c r="M95" i="10" s="1"/>
  <c r="Z95" i="10"/>
  <c r="AA95" i="10" s="1"/>
  <c r="L223" i="8"/>
  <c r="M223" i="8" s="1"/>
  <c r="Z223" i="8"/>
  <c r="AA223" i="8" s="1"/>
  <c r="AN223" i="8"/>
  <c r="AO223" i="8" s="1"/>
  <c r="AN257" i="9"/>
  <c r="AO257" i="9" s="1"/>
  <c r="L257" i="9"/>
  <c r="M257" i="9" s="1"/>
  <c r="Z257" i="9"/>
  <c r="AA257" i="9" s="1"/>
  <c r="K260" i="10"/>
  <c r="O260" i="10" s="1"/>
  <c r="AN197" i="10"/>
  <c r="AO197" i="10" s="1"/>
  <c r="L197" i="10"/>
  <c r="M197" i="10" s="1"/>
  <c r="Z197" i="10"/>
  <c r="AA197" i="10" s="1"/>
  <c r="Z325" i="8"/>
  <c r="AA325" i="8" s="1"/>
  <c r="AN325" i="8"/>
  <c r="AO325" i="8" s="1"/>
  <c r="L325" i="8"/>
  <c r="M325" i="8" s="1"/>
  <c r="L25" i="8"/>
  <c r="M25" i="8" s="1"/>
  <c r="Z25" i="8"/>
  <c r="AA25" i="8" s="1"/>
  <c r="AN25" i="8"/>
  <c r="AO25" i="8" s="1"/>
  <c r="Z235" i="9"/>
  <c r="AA235" i="9" s="1"/>
  <c r="AN235" i="9"/>
  <c r="AO235" i="9" s="1"/>
  <c r="L235" i="9"/>
  <c r="M235" i="9" s="1"/>
  <c r="AM50" i="9"/>
  <c r="AQ50" i="9" s="1"/>
  <c r="L187" i="10"/>
  <c r="M187" i="10" s="1"/>
  <c r="Z187" i="10"/>
  <c r="AA187" i="10" s="1"/>
  <c r="AN187" i="10"/>
  <c r="AO187" i="10" s="1"/>
  <c r="AN304" i="8"/>
  <c r="AO304" i="8" s="1"/>
  <c r="L304" i="8"/>
  <c r="M304" i="8" s="1"/>
  <c r="Z304" i="8"/>
  <c r="AA304" i="8" s="1"/>
  <c r="L78" i="8"/>
  <c r="M78" i="8" s="1"/>
  <c r="Z78" i="8"/>
  <c r="AA78" i="8" s="1"/>
  <c r="AN78" i="8"/>
  <c r="AO78" i="8" s="1"/>
  <c r="L174" i="9"/>
  <c r="M174" i="9" s="1"/>
  <c r="Z174" i="9"/>
  <c r="AA174" i="9" s="1"/>
  <c r="AN174" i="9"/>
  <c r="AO174" i="9" s="1"/>
  <c r="AN302" i="10"/>
  <c r="AO302" i="10" s="1"/>
  <c r="L302" i="10"/>
  <c r="M302" i="10" s="1"/>
  <c r="Z302" i="10"/>
  <c r="AA302" i="10" s="1"/>
  <c r="K35" i="10"/>
  <c r="O35" i="10" s="1"/>
  <c r="L231" i="9"/>
  <c r="M231" i="9" s="1"/>
  <c r="Z231" i="9"/>
  <c r="AA231" i="9" s="1"/>
  <c r="AN231" i="9"/>
  <c r="AO231" i="9" s="1"/>
  <c r="AN201" i="9"/>
  <c r="AO201" i="9" s="1"/>
  <c r="L201" i="9"/>
  <c r="M201" i="9" s="1"/>
  <c r="Z201" i="9"/>
  <c r="AA201" i="9" s="1"/>
  <c r="L51" i="8"/>
  <c r="M51" i="8" s="1"/>
  <c r="Z51" i="8"/>
  <c r="AA51" i="8" s="1"/>
  <c r="AN51" i="8"/>
  <c r="AO51" i="8" s="1"/>
  <c r="K140" i="8"/>
  <c r="Y180" i="9"/>
  <c r="AC180" i="9" s="1"/>
  <c r="Z141" i="10"/>
  <c r="AA141" i="10" s="1"/>
  <c r="AN141" i="10"/>
  <c r="AO141" i="10" s="1"/>
  <c r="L141" i="10"/>
  <c r="M141" i="10" s="1"/>
  <c r="Z269" i="8"/>
  <c r="AA269" i="8" s="1"/>
  <c r="AN269" i="8"/>
  <c r="AO269" i="8" s="1"/>
  <c r="L269" i="8"/>
  <c r="M269" i="8" s="1"/>
  <c r="Z39" i="8"/>
  <c r="AA39" i="8" s="1"/>
  <c r="AN39" i="8"/>
  <c r="AO39" i="8" s="1"/>
  <c r="L39" i="8"/>
  <c r="M39" i="8" s="1"/>
  <c r="Z243" i="9"/>
  <c r="AA243" i="9" s="1"/>
  <c r="AN243" i="9"/>
  <c r="AO243" i="9" s="1"/>
  <c r="L243" i="9"/>
  <c r="M243" i="9" s="1"/>
  <c r="K50" i="8"/>
  <c r="AN192" i="10"/>
  <c r="AO192" i="10" s="1"/>
  <c r="L192" i="10"/>
  <c r="M192" i="10" s="1"/>
  <c r="Z192" i="10"/>
  <c r="AA192" i="10" s="1"/>
  <c r="AN312" i="8"/>
  <c r="AO312" i="8" s="1"/>
  <c r="L312" i="8"/>
  <c r="M312" i="8" s="1"/>
  <c r="Z312" i="8"/>
  <c r="AA312" i="8" s="1"/>
  <c r="L82" i="9"/>
  <c r="M82" i="9" s="1"/>
  <c r="Z82" i="9"/>
  <c r="AA82" i="9" s="1"/>
  <c r="AN82" i="9"/>
  <c r="AO82" i="9" s="1"/>
  <c r="L178" i="10"/>
  <c r="M178" i="10" s="1"/>
  <c r="Z178" i="10"/>
  <c r="AA178" i="10" s="1"/>
  <c r="AN178" i="10"/>
  <c r="AO178" i="10" s="1"/>
  <c r="Z242" i="8"/>
  <c r="AA242" i="8" s="1"/>
  <c r="AN242" i="8"/>
  <c r="AO242" i="8" s="1"/>
  <c r="L242" i="8"/>
  <c r="M242" i="8" s="1"/>
  <c r="L362" i="9"/>
  <c r="M362" i="9" s="1"/>
  <c r="Z362" i="9"/>
  <c r="AA362" i="9" s="1"/>
  <c r="AN362" i="9"/>
  <c r="AO362" i="9" s="1"/>
  <c r="AN111" i="9"/>
  <c r="AO111" i="9" s="1"/>
  <c r="L111" i="9"/>
  <c r="M111" i="9" s="1"/>
  <c r="Z111" i="9"/>
  <c r="AA111" i="9" s="1"/>
  <c r="L303" i="10"/>
  <c r="M303" i="10" s="1"/>
  <c r="Z303" i="10"/>
  <c r="AA303" i="10" s="1"/>
  <c r="AN303" i="10"/>
  <c r="AO303" i="10" s="1"/>
  <c r="AN273" i="9"/>
  <c r="AO273" i="9" s="1"/>
  <c r="L273" i="9"/>
  <c r="M273" i="9" s="1"/>
  <c r="Z273" i="9"/>
  <c r="AA273" i="9" s="1"/>
  <c r="Y260" i="8"/>
  <c r="L85" i="9"/>
  <c r="M85" i="9" s="1"/>
  <c r="Z85" i="9"/>
  <c r="AA85" i="9" s="1"/>
  <c r="AN85" i="9"/>
  <c r="AO85" i="9" s="1"/>
  <c r="AN277" i="10"/>
  <c r="AO277" i="10" s="1"/>
  <c r="L277" i="10"/>
  <c r="M277" i="10" s="1"/>
  <c r="Z277" i="10"/>
  <c r="AA277" i="10" s="1"/>
  <c r="L364" i="9"/>
  <c r="M364" i="9" s="1"/>
  <c r="Z364" i="9"/>
  <c r="AA364" i="9" s="1"/>
  <c r="AN364" i="9"/>
  <c r="AO364" i="9" s="1"/>
  <c r="Z394" i="10"/>
  <c r="AA394" i="10" s="1"/>
  <c r="L394" i="10"/>
  <c r="M394" i="10" s="1"/>
  <c r="AN394" i="10"/>
  <c r="AO394" i="10" s="1"/>
  <c r="L99" i="8"/>
  <c r="M99" i="8" s="1"/>
  <c r="Z99" i="8"/>
  <c r="AA99" i="8" s="1"/>
  <c r="AN99" i="8"/>
  <c r="AO99" i="8" s="1"/>
  <c r="AN315" i="9"/>
  <c r="AO315" i="9" s="1"/>
  <c r="L315" i="9"/>
  <c r="M315" i="9" s="1"/>
  <c r="Z315" i="9"/>
  <c r="AA315" i="9" s="1"/>
  <c r="L88" i="10"/>
  <c r="M88" i="10" s="1"/>
  <c r="AN88" i="10"/>
  <c r="AO88" i="10" s="1"/>
  <c r="Z88" i="10"/>
  <c r="AA88" i="10" s="1"/>
  <c r="AN195" i="8"/>
  <c r="AO195" i="8" s="1"/>
  <c r="L195" i="8"/>
  <c r="M195" i="8" s="1"/>
  <c r="Z195" i="8"/>
  <c r="AA195" i="8" s="1"/>
  <c r="L41" i="9"/>
  <c r="M41" i="9" s="1"/>
  <c r="Z41" i="9"/>
  <c r="AA41" i="9" s="1"/>
  <c r="AN41" i="9"/>
  <c r="AO41" i="9" s="1"/>
  <c r="Z86" i="9"/>
  <c r="AA86" i="9" s="1"/>
  <c r="AN86" i="9"/>
  <c r="AO86" i="9" s="1"/>
  <c r="L86" i="9"/>
  <c r="M86" i="9" s="1"/>
  <c r="Z182" i="10"/>
  <c r="AA182" i="10" s="1"/>
  <c r="AN182" i="10"/>
  <c r="AO182" i="10" s="1"/>
  <c r="L182" i="10"/>
  <c r="M182" i="10" s="1"/>
  <c r="L246" i="8"/>
  <c r="M246" i="8" s="1"/>
  <c r="Z246" i="8"/>
  <c r="AA246" i="8" s="1"/>
  <c r="AN246" i="8"/>
  <c r="AO246" i="8" s="1"/>
  <c r="AN119" i="9"/>
  <c r="AO119" i="9" s="1"/>
  <c r="L119" i="9"/>
  <c r="M119" i="9" s="1"/>
  <c r="Z119" i="9"/>
  <c r="AA119" i="9" s="1"/>
  <c r="L311" i="10"/>
  <c r="M311" i="10" s="1"/>
  <c r="Z311" i="10"/>
  <c r="AA311" i="10" s="1"/>
  <c r="AN311" i="10"/>
  <c r="AO311" i="10" s="1"/>
  <c r="L43" i="10"/>
  <c r="M43" i="10" s="1"/>
  <c r="Z43" i="10"/>
  <c r="AA43" i="10" s="1"/>
  <c r="AN43" i="10"/>
  <c r="AO43" i="10" s="1"/>
  <c r="L153" i="8"/>
  <c r="M153" i="8" s="1"/>
  <c r="Z153" i="8"/>
  <c r="AA153" i="8" s="1"/>
  <c r="AN153" i="8"/>
  <c r="AO153" i="8" s="1"/>
  <c r="L345" i="9"/>
  <c r="M345" i="9" s="1"/>
  <c r="Z345" i="9"/>
  <c r="AA345" i="9" s="1"/>
  <c r="AN345" i="9"/>
  <c r="AO345" i="9" s="1"/>
  <c r="Y60" i="9"/>
  <c r="AC60" i="9" s="1"/>
  <c r="L221" i="9"/>
  <c r="M221" i="9" s="1"/>
  <c r="Z221" i="9"/>
  <c r="AA221" i="9" s="1"/>
  <c r="AN221" i="9"/>
  <c r="AO221" i="9" s="1"/>
  <c r="Z188" i="9"/>
  <c r="AA188" i="9" s="1"/>
  <c r="AN188" i="9"/>
  <c r="AO188" i="9" s="1"/>
  <c r="L188" i="9"/>
  <c r="M188" i="9" s="1"/>
  <c r="AN107" i="10"/>
  <c r="AO107" i="10" s="1"/>
  <c r="Z107" i="10"/>
  <c r="AA107" i="10" s="1"/>
  <c r="L107" i="10"/>
  <c r="M107" i="10" s="1"/>
  <c r="AN259" i="8"/>
  <c r="AO259" i="8" s="1"/>
  <c r="L259" i="8"/>
  <c r="M259" i="8" s="1"/>
  <c r="Z259" i="8"/>
  <c r="AA259" i="8" s="1"/>
  <c r="L152" i="9"/>
  <c r="M152" i="9" s="1"/>
  <c r="Z152" i="9"/>
  <c r="AA152" i="9" s="1"/>
  <c r="AN152" i="9"/>
  <c r="AO152" i="9" s="1"/>
  <c r="Z328" i="10"/>
  <c r="AA328" i="10" s="1"/>
  <c r="AN328" i="10"/>
  <c r="AO328" i="10" s="1"/>
  <c r="L328" i="10"/>
  <c r="M328" i="10" s="1"/>
  <c r="Z58" i="10"/>
  <c r="AA58" i="10" s="1"/>
  <c r="L58" i="10"/>
  <c r="M58" i="10" s="1"/>
  <c r="AN58" i="10"/>
  <c r="AO58" i="10" s="1"/>
  <c r="L122" i="10"/>
  <c r="M122" i="10" s="1"/>
  <c r="Z122" i="10"/>
  <c r="AA122" i="10" s="1"/>
  <c r="AN122" i="10"/>
  <c r="AO122" i="10" s="1"/>
  <c r="Z186" i="8"/>
  <c r="AA186" i="8" s="1"/>
  <c r="AN186" i="8"/>
  <c r="AO186" i="8" s="1"/>
  <c r="L186" i="8"/>
  <c r="M186" i="8" s="1"/>
  <c r="L282" i="9"/>
  <c r="M282" i="9" s="1"/>
  <c r="Z282" i="9"/>
  <c r="AA282" i="9" s="1"/>
  <c r="AN282" i="9"/>
  <c r="AO282" i="9" s="1"/>
  <c r="AN63" i="10"/>
  <c r="AO63" i="10" s="1"/>
  <c r="L63" i="10"/>
  <c r="M63" i="10" s="1"/>
  <c r="Z63" i="10"/>
  <c r="AA63" i="10" s="1"/>
  <c r="L191" i="8"/>
  <c r="M191" i="8" s="1"/>
  <c r="Z191" i="8"/>
  <c r="AA191" i="8" s="1"/>
  <c r="AN191" i="8"/>
  <c r="AO191" i="8" s="1"/>
  <c r="L225" i="10"/>
  <c r="M225" i="10" s="1"/>
  <c r="Z225" i="10"/>
  <c r="AA225" i="10" s="1"/>
  <c r="AN225" i="10"/>
  <c r="AO225" i="10" s="1"/>
  <c r="L353" i="8"/>
  <c r="M353" i="8" s="1"/>
  <c r="Z353" i="8"/>
  <c r="AA353" i="8" s="1"/>
  <c r="AN353" i="8"/>
  <c r="AO353" i="8" s="1"/>
  <c r="L165" i="10"/>
  <c r="M165" i="10" s="1"/>
  <c r="Z165" i="10"/>
  <c r="AA165" i="10" s="1"/>
  <c r="AN165" i="10"/>
  <c r="AO165" i="10" s="1"/>
  <c r="Z293" i="8"/>
  <c r="AA293" i="8" s="1"/>
  <c r="AN293" i="8"/>
  <c r="AO293" i="8" s="1"/>
  <c r="L293" i="8"/>
  <c r="M293" i="8" s="1"/>
  <c r="I372" i="10"/>
  <c r="I372" i="9"/>
  <c r="I372" i="8"/>
  <c r="AE352" i="6"/>
  <c r="Z352" i="6"/>
  <c r="L40" i="10"/>
  <c r="M40" i="10" s="1"/>
  <c r="Z40" i="10"/>
  <c r="AA40" i="10" s="1"/>
  <c r="AN40" i="10"/>
  <c r="AO40" i="10" s="1"/>
  <c r="AN233" i="9"/>
  <c r="AO233" i="9" s="1"/>
  <c r="L233" i="9"/>
  <c r="M233" i="9" s="1"/>
  <c r="Z233" i="9"/>
  <c r="AA233" i="9" s="1"/>
  <c r="AN369" i="10"/>
  <c r="AO369" i="10" s="1"/>
  <c r="L369" i="10"/>
  <c r="M369" i="10" s="1"/>
  <c r="Z369" i="10"/>
  <c r="AA369" i="10" s="1"/>
  <c r="L393" i="8"/>
  <c r="M393" i="8" s="1"/>
  <c r="Z393" i="8"/>
  <c r="AA393" i="8" s="1"/>
  <c r="AN393" i="8"/>
  <c r="AO393" i="8" s="1"/>
  <c r="L94" i="8"/>
  <c r="M94" i="8" s="1"/>
  <c r="Z94" i="8"/>
  <c r="AA94" i="8" s="1"/>
  <c r="AN94" i="8"/>
  <c r="AO94" i="8" s="1"/>
  <c r="Z344" i="9"/>
  <c r="AA344" i="9" s="1"/>
  <c r="AN344" i="9"/>
  <c r="AO344" i="9" s="1"/>
  <c r="L344" i="9"/>
  <c r="M344" i="9" s="1"/>
  <c r="AN158" i="10"/>
  <c r="AO158" i="10" s="1"/>
  <c r="L158" i="10"/>
  <c r="M158" i="10" s="1"/>
  <c r="Z158" i="10"/>
  <c r="AA158" i="10" s="1"/>
  <c r="Z346" i="8"/>
  <c r="AA346" i="8" s="1"/>
  <c r="AN346" i="8"/>
  <c r="AO346" i="8" s="1"/>
  <c r="L346" i="8"/>
  <c r="M346" i="8" s="1"/>
  <c r="L400" i="9"/>
  <c r="M400" i="9" s="1"/>
  <c r="Z400" i="9"/>
  <c r="AA400" i="9" s="1"/>
  <c r="AN400" i="9"/>
  <c r="AO400" i="9" s="1"/>
  <c r="Z398" i="10"/>
  <c r="AA398" i="10" s="1"/>
  <c r="L398" i="10"/>
  <c r="M398" i="10" s="1"/>
  <c r="AN398" i="10"/>
  <c r="AO398" i="10" s="1"/>
  <c r="L199" i="9"/>
  <c r="M199" i="9" s="1"/>
  <c r="Z199" i="9"/>
  <c r="AA199" i="9" s="1"/>
  <c r="AN199" i="9"/>
  <c r="AO199" i="9" s="1"/>
  <c r="L173" i="10"/>
  <c r="M173" i="10" s="1"/>
  <c r="Z173" i="10"/>
  <c r="AA173" i="10" s="1"/>
  <c r="AN173" i="10"/>
  <c r="AO173" i="10" s="1"/>
  <c r="Z301" i="8"/>
  <c r="AA301" i="8" s="1"/>
  <c r="AN301" i="8"/>
  <c r="AO301" i="8" s="1"/>
  <c r="L301" i="8"/>
  <c r="M301" i="8" s="1"/>
  <c r="L373" i="9"/>
  <c r="M373" i="9" s="1"/>
  <c r="Z373" i="9"/>
  <c r="AA373" i="9" s="1"/>
  <c r="AN373" i="9"/>
  <c r="AO373" i="9" s="1"/>
  <c r="AN365" i="10"/>
  <c r="AO365" i="10" s="1"/>
  <c r="L365" i="10"/>
  <c r="M365" i="10" s="1"/>
  <c r="Z365" i="10"/>
  <c r="AA365" i="10" s="1"/>
  <c r="AN254" i="10"/>
  <c r="AO254" i="10" s="1"/>
  <c r="L254" i="10"/>
  <c r="M254" i="10" s="1"/>
  <c r="Z254" i="10"/>
  <c r="AA254" i="10" s="1"/>
  <c r="AN29" i="8"/>
  <c r="AO29" i="8" s="1"/>
  <c r="L29" i="8"/>
  <c r="M29" i="8" s="1"/>
  <c r="Z29" i="8"/>
  <c r="AA29" i="8" s="1"/>
  <c r="AM220" i="9"/>
  <c r="AQ220" i="9" s="1"/>
  <c r="L401" i="10"/>
  <c r="M401" i="10" s="1"/>
  <c r="AN401" i="10"/>
  <c r="AO401" i="10" s="1"/>
  <c r="Z401" i="10"/>
  <c r="AA401" i="10" s="1"/>
  <c r="Z381" i="8"/>
  <c r="AA381" i="8" s="1"/>
  <c r="AN381" i="8"/>
  <c r="AO381" i="8" s="1"/>
  <c r="L381" i="8"/>
  <c r="M381" i="8" s="1"/>
  <c r="Z360" i="9"/>
  <c r="AA360" i="9" s="1"/>
  <c r="AN360" i="9"/>
  <c r="AO360" i="9" s="1"/>
  <c r="L360" i="9"/>
  <c r="M360" i="9" s="1"/>
  <c r="AN270" i="10"/>
  <c r="AO270" i="10" s="1"/>
  <c r="L270" i="10"/>
  <c r="M270" i="10" s="1"/>
  <c r="Z270" i="10"/>
  <c r="AA270" i="10" s="1"/>
  <c r="AN45" i="8"/>
  <c r="AO45" i="8" s="1"/>
  <c r="L45" i="8"/>
  <c r="M45" i="8" s="1"/>
  <c r="Z45" i="8"/>
  <c r="AA45" i="8" s="1"/>
  <c r="Z203" i="9"/>
  <c r="AA203" i="9" s="1"/>
  <c r="AN203" i="9"/>
  <c r="AO203" i="9" s="1"/>
  <c r="L203" i="9"/>
  <c r="M203" i="9" s="1"/>
  <c r="Z104" i="10"/>
  <c r="AA104" i="10" s="1"/>
  <c r="AN104" i="10"/>
  <c r="AO104" i="10" s="1"/>
  <c r="L104" i="10"/>
  <c r="M104" i="10" s="1"/>
  <c r="AN208" i="8"/>
  <c r="AO208" i="8" s="1"/>
  <c r="L208" i="8"/>
  <c r="M208" i="8" s="1"/>
  <c r="Z208" i="8"/>
  <c r="AA208" i="8" s="1"/>
  <c r="Z374" i="9"/>
  <c r="AA374" i="9" s="1"/>
  <c r="AN374" i="9"/>
  <c r="AO374" i="9" s="1"/>
  <c r="L374" i="9"/>
  <c r="M374" i="9" s="1"/>
  <c r="AN310" i="10"/>
  <c r="AO310" i="10" s="1"/>
  <c r="L310" i="10"/>
  <c r="M310" i="10" s="1"/>
  <c r="Z310" i="10"/>
  <c r="AA310" i="10" s="1"/>
  <c r="L366" i="8"/>
  <c r="M366" i="8" s="1"/>
  <c r="Z366" i="8"/>
  <c r="AA366" i="8" s="1"/>
  <c r="AN366" i="8"/>
  <c r="AO366" i="8" s="1"/>
  <c r="I379" i="10"/>
  <c r="I379" i="9"/>
  <c r="I379" i="8"/>
  <c r="Z359" i="6"/>
  <c r="AE359" i="6"/>
  <c r="L222" i="10"/>
  <c r="M222" i="10" s="1"/>
  <c r="Z222" i="10"/>
  <c r="AA222" i="10" s="1"/>
  <c r="AN222" i="10"/>
  <c r="AO222" i="10" s="1"/>
  <c r="L339" i="10"/>
  <c r="M339" i="10" s="1"/>
  <c r="Z339" i="10"/>
  <c r="AA339" i="10" s="1"/>
  <c r="AN339" i="10"/>
  <c r="AO339" i="10" s="1"/>
  <c r="AN79" i="9"/>
  <c r="AO79" i="9" s="1"/>
  <c r="L79" i="9"/>
  <c r="M79" i="9" s="1"/>
  <c r="Z79" i="9"/>
  <c r="AA79" i="9" s="1"/>
  <c r="L416" i="9"/>
  <c r="M416" i="9" s="1"/>
  <c r="Z416" i="9"/>
  <c r="AA416" i="9" s="1"/>
  <c r="AN416" i="9"/>
  <c r="AO416" i="9" s="1"/>
  <c r="L224" i="9"/>
  <c r="M224" i="9" s="1"/>
  <c r="Z224" i="9"/>
  <c r="AA224" i="9" s="1"/>
  <c r="AN224" i="9"/>
  <c r="AO224" i="9" s="1"/>
  <c r="Z87" i="8"/>
  <c r="AA87" i="8" s="1"/>
  <c r="AN87" i="8"/>
  <c r="AO87" i="8" s="1"/>
  <c r="L87" i="8"/>
  <c r="M87" i="8" s="1"/>
  <c r="L234" i="9"/>
  <c r="M234" i="9" s="1"/>
  <c r="Z234" i="9"/>
  <c r="AA234" i="9" s="1"/>
  <c r="AN234" i="9"/>
  <c r="AO234" i="9" s="1"/>
  <c r="AM70" i="8"/>
  <c r="L370" i="9"/>
  <c r="M370" i="9" s="1"/>
  <c r="Z370" i="9"/>
  <c r="AA370" i="9" s="1"/>
  <c r="AN370" i="9"/>
  <c r="AO370" i="9" s="1"/>
  <c r="AN248" i="8"/>
  <c r="AO248" i="8" s="1"/>
  <c r="L248" i="8"/>
  <c r="M248" i="8" s="1"/>
  <c r="Z248" i="8"/>
  <c r="AA248" i="8" s="1"/>
  <c r="Z210" i="8"/>
  <c r="AA210" i="8" s="1"/>
  <c r="AN210" i="8"/>
  <c r="AO210" i="8" s="1"/>
  <c r="L210" i="8"/>
  <c r="M210" i="8" s="1"/>
  <c r="I399" i="10"/>
  <c r="I399" i="9"/>
  <c r="I399" i="8"/>
  <c r="Z379" i="6"/>
  <c r="AE379" i="6"/>
  <c r="Z251" i="9"/>
  <c r="AA251" i="9" s="1"/>
  <c r="AN251" i="9"/>
  <c r="AO251" i="9" s="1"/>
  <c r="L251" i="9"/>
  <c r="M251" i="9" s="1"/>
  <c r="Z320" i="9"/>
  <c r="AA320" i="9" s="1"/>
  <c r="AN320" i="9"/>
  <c r="AO320" i="9" s="1"/>
  <c r="L320" i="9"/>
  <c r="M320" i="9" s="1"/>
  <c r="Z341" i="9"/>
  <c r="AA341" i="9" s="1"/>
  <c r="AN341" i="9"/>
  <c r="AO341" i="9" s="1"/>
  <c r="L341" i="9"/>
  <c r="M341" i="9" s="1"/>
  <c r="L89" i="8"/>
  <c r="M89" i="8" s="1"/>
  <c r="Z89" i="8"/>
  <c r="AA89" i="8" s="1"/>
  <c r="AN89" i="8"/>
  <c r="AO89" i="8" s="1"/>
  <c r="L46" i="10"/>
  <c r="M46" i="10" s="1"/>
  <c r="Z46" i="10"/>
  <c r="AA46" i="10" s="1"/>
  <c r="AN46" i="10"/>
  <c r="AO46" i="10" s="1"/>
  <c r="K60" i="8"/>
  <c r="L59" i="10"/>
  <c r="M59" i="10" s="1"/>
  <c r="AN59" i="10"/>
  <c r="AO59" i="10" s="1"/>
  <c r="Z59" i="10"/>
  <c r="AA59" i="10" s="1"/>
  <c r="L322" i="10"/>
  <c r="M322" i="10" s="1"/>
  <c r="Z322" i="10"/>
  <c r="AA322" i="10" s="1"/>
  <c r="AN322" i="10"/>
  <c r="AO322" i="10" s="1"/>
  <c r="L143" i="8"/>
  <c r="M143" i="8" s="1"/>
  <c r="Z143" i="8"/>
  <c r="AA143" i="8" s="1"/>
  <c r="AN143" i="8"/>
  <c r="AO143" i="8" s="1"/>
  <c r="L177" i="8"/>
  <c r="M177" i="8" s="1"/>
  <c r="Z177" i="8"/>
  <c r="AA177" i="8" s="1"/>
  <c r="AN177" i="8"/>
  <c r="AO177" i="8" s="1"/>
  <c r="AN339" i="8"/>
  <c r="AO339" i="8" s="1"/>
  <c r="L339" i="8"/>
  <c r="M339" i="8" s="1"/>
  <c r="Z339" i="8"/>
  <c r="AA339" i="8" s="1"/>
  <c r="L130" i="10"/>
  <c r="M130" i="10" s="1"/>
  <c r="Z130" i="10"/>
  <c r="AA130" i="10" s="1"/>
  <c r="AN130" i="10"/>
  <c r="AO130" i="10" s="1"/>
  <c r="L290" i="9"/>
  <c r="M290" i="9" s="1"/>
  <c r="Z290" i="9"/>
  <c r="AA290" i="9" s="1"/>
  <c r="AN290" i="9"/>
  <c r="AO290" i="9" s="1"/>
  <c r="L143" i="10"/>
  <c r="M143" i="10" s="1"/>
  <c r="Z143" i="10"/>
  <c r="AA143" i="10" s="1"/>
  <c r="AN143" i="10"/>
  <c r="AO143" i="10" s="1"/>
  <c r="L271" i="8"/>
  <c r="M271" i="8" s="1"/>
  <c r="Z271" i="8"/>
  <c r="AA271" i="8" s="1"/>
  <c r="AN271" i="8"/>
  <c r="AO271" i="8" s="1"/>
  <c r="AN177" i="10"/>
  <c r="AO177" i="10" s="1"/>
  <c r="L177" i="10"/>
  <c r="M177" i="10" s="1"/>
  <c r="Z177" i="10"/>
  <c r="AA177" i="10" s="1"/>
  <c r="L117" i="9"/>
  <c r="M117" i="9" s="1"/>
  <c r="Z117" i="9"/>
  <c r="AA117" i="9" s="1"/>
  <c r="AN117" i="9"/>
  <c r="AO117" i="9" s="1"/>
  <c r="L309" i="10"/>
  <c r="M309" i="10" s="1"/>
  <c r="Z309" i="10"/>
  <c r="AA309" i="10" s="1"/>
  <c r="AN309" i="10"/>
  <c r="AO309" i="10" s="1"/>
  <c r="AN131" i="10"/>
  <c r="AO131" i="10" s="1"/>
  <c r="L131" i="10"/>
  <c r="M131" i="10" s="1"/>
  <c r="Z131" i="10"/>
  <c r="AA131" i="10" s="1"/>
  <c r="AN283" i="8"/>
  <c r="AO283" i="8" s="1"/>
  <c r="L283" i="8"/>
  <c r="M283" i="8" s="1"/>
  <c r="Z283" i="8"/>
  <c r="AA283" i="8" s="1"/>
  <c r="L120" i="9"/>
  <c r="M120" i="9" s="1"/>
  <c r="Z120" i="9"/>
  <c r="AA120" i="9" s="1"/>
  <c r="AN120" i="9"/>
  <c r="AO120" i="9" s="1"/>
  <c r="AN288" i="10"/>
  <c r="AO288" i="10" s="1"/>
  <c r="L288" i="10"/>
  <c r="M288" i="10" s="1"/>
  <c r="Z288" i="10"/>
  <c r="AA288" i="10" s="1"/>
  <c r="AN134" i="10"/>
  <c r="AO134" i="10" s="1"/>
  <c r="L134" i="10"/>
  <c r="M134" i="10" s="1"/>
  <c r="Z134" i="10"/>
  <c r="AA134" i="10" s="1"/>
  <c r="L198" i="8"/>
  <c r="M198" i="8" s="1"/>
  <c r="Z198" i="8"/>
  <c r="AA198" i="8" s="1"/>
  <c r="AN198" i="8"/>
  <c r="AO198" i="8" s="1"/>
  <c r="Z151" i="9"/>
  <c r="AA151" i="9" s="1"/>
  <c r="AN151" i="9"/>
  <c r="AO151" i="9" s="1"/>
  <c r="L151" i="9"/>
  <c r="M151" i="9" s="1"/>
  <c r="L356" i="8"/>
  <c r="M356" i="8" s="1"/>
  <c r="Z356" i="8"/>
  <c r="AA356" i="8" s="1"/>
  <c r="AN356" i="8"/>
  <c r="AO356" i="8" s="1"/>
  <c r="AN249" i="9"/>
  <c r="AO249" i="9" s="1"/>
  <c r="L249" i="9"/>
  <c r="M249" i="9" s="1"/>
  <c r="Z249" i="9"/>
  <c r="AA249" i="9" s="1"/>
  <c r="Z125" i="10"/>
  <c r="AA125" i="10" s="1"/>
  <c r="AN125" i="10"/>
  <c r="AO125" i="10" s="1"/>
  <c r="L125" i="10"/>
  <c r="M125" i="10" s="1"/>
  <c r="AN412" i="9"/>
  <c r="AO412" i="9" s="1"/>
  <c r="L412" i="9"/>
  <c r="M412" i="9" s="1"/>
  <c r="Z412" i="9"/>
  <c r="AA412" i="9" s="1"/>
  <c r="AN227" i="10"/>
  <c r="AO227" i="10" s="1"/>
  <c r="L227" i="10"/>
  <c r="M227" i="10" s="1"/>
  <c r="Z227" i="10"/>
  <c r="AA227" i="10" s="1"/>
  <c r="AM50" i="10"/>
  <c r="AQ50" i="10" s="1"/>
  <c r="L128" i="8"/>
  <c r="M128" i="8" s="1"/>
  <c r="Z128" i="8"/>
  <c r="AA128" i="8" s="1"/>
  <c r="AN128" i="8"/>
  <c r="AO128" i="8" s="1"/>
  <c r="Z296" i="9"/>
  <c r="AA296" i="9" s="1"/>
  <c r="AN296" i="9"/>
  <c r="AO296" i="9" s="1"/>
  <c r="L296" i="9"/>
  <c r="M296" i="9" s="1"/>
  <c r="K70" i="9"/>
  <c r="O70" i="9" s="1"/>
  <c r="AN170" i="9"/>
  <c r="AO170" i="9" s="1"/>
  <c r="L170" i="9"/>
  <c r="M170" i="9" s="1"/>
  <c r="Z170" i="9"/>
  <c r="AA170" i="9" s="1"/>
  <c r="L266" i="10"/>
  <c r="M266" i="10" s="1"/>
  <c r="Z266" i="10"/>
  <c r="AA266" i="10" s="1"/>
  <c r="AN266" i="10"/>
  <c r="AO266" i="10" s="1"/>
  <c r="Z330" i="8"/>
  <c r="AA330" i="8" s="1"/>
  <c r="AN330" i="8"/>
  <c r="AO330" i="8" s="1"/>
  <c r="L330" i="8"/>
  <c r="M330" i="8" s="1"/>
  <c r="L223" i="9"/>
  <c r="M223" i="9" s="1"/>
  <c r="Z223" i="9"/>
  <c r="AA223" i="9" s="1"/>
  <c r="AN223" i="9"/>
  <c r="AO223" i="9" s="1"/>
  <c r="AN257" i="10"/>
  <c r="AO257" i="10" s="1"/>
  <c r="L257" i="10"/>
  <c r="M257" i="10" s="1"/>
  <c r="Z257" i="10"/>
  <c r="AA257" i="10" s="1"/>
  <c r="Z133" i="8"/>
  <c r="AA133" i="8" s="1"/>
  <c r="AN133" i="8"/>
  <c r="AO133" i="8" s="1"/>
  <c r="L133" i="8"/>
  <c r="M133" i="8" s="1"/>
  <c r="Z325" i="9"/>
  <c r="AA325" i="9" s="1"/>
  <c r="AN325" i="9"/>
  <c r="AO325" i="9" s="1"/>
  <c r="L325" i="9"/>
  <c r="M325" i="9" s="1"/>
  <c r="L25" i="9"/>
  <c r="M25" i="9" s="1"/>
  <c r="Z25" i="9"/>
  <c r="AA25" i="9" s="1"/>
  <c r="AN25" i="9"/>
  <c r="AO25" i="9" s="1"/>
  <c r="Z235" i="10"/>
  <c r="AA235" i="10" s="1"/>
  <c r="AN235" i="10"/>
  <c r="AO235" i="10" s="1"/>
  <c r="L235" i="10"/>
  <c r="M235" i="10" s="1"/>
  <c r="Y50" i="9"/>
  <c r="AC50" i="9" s="1"/>
  <c r="AN136" i="8"/>
  <c r="AO136" i="8" s="1"/>
  <c r="L136" i="8"/>
  <c r="M136" i="8" s="1"/>
  <c r="Z136" i="8"/>
  <c r="AA136" i="8" s="1"/>
  <c r="Z304" i="9"/>
  <c r="AA304" i="9" s="1"/>
  <c r="AN304" i="9"/>
  <c r="AO304" i="9" s="1"/>
  <c r="L304" i="9"/>
  <c r="M304" i="9" s="1"/>
  <c r="Z78" i="9"/>
  <c r="AA78" i="9" s="1"/>
  <c r="AN78" i="9"/>
  <c r="AO78" i="9" s="1"/>
  <c r="L78" i="9"/>
  <c r="M78" i="9" s="1"/>
  <c r="Z174" i="10"/>
  <c r="AA174" i="10" s="1"/>
  <c r="AN174" i="10"/>
  <c r="AO174" i="10" s="1"/>
  <c r="L174" i="10"/>
  <c r="M174" i="10" s="1"/>
  <c r="L238" i="8"/>
  <c r="M238" i="8" s="1"/>
  <c r="Z238" i="8"/>
  <c r="AA238" i="8" s="1"/>
  <c r="AN238" i="8"/>
  <c r="AO238" i="8" s="1"/>
  <c r="L231" i="10"/>
  <c r="M231" i="10" s="1"/>
  <c r="Z231" i="10"/>
  <c r="AA231" i="10" s="1"/>
  <c r="AN231" i="10"/>
  <c r="AO231" i="10" s="1"/>
  <c r="L201" i="10"/>
  <c r="M201" i="10" s="1"/>
  <c r="Z201" i="10"/>
  <c r="AA201" i="10" s="1"/>
  <c r="AN201" i="10"/>
  <c r="AO201" i="10" s="1"/>
  <c r="L329" i="8"/>
  <c r="M329" i="8" s="1"/>
  <c r="Z329" i="8"/>
  <c r="AA329" i="8" s="1"/>
  <c r="AN329" i="8"/>
  <c r="AO329" i="8" s="1"/>
  <c r="AN51" i="9"/>
  <c r="AO51" i="9" s="1"/>
  <c r="L51" i="9"/>
  <c r="M51" i="9" s="1"/>
  <c r="Z51" i="9"/>
  <c r="AA51" i="9" s="1"/>
  <c r="Y260" i="9"/>
  <c r="AC260" i="9" s="1"/>
  <c r="AN69" i="8"/>
  <c r="AO69" i="8" s="1"/>
  <c r="L69" i="8"/>
  <c r="M69" i="8" s="1"/>
  <c r="Z69" i="8"/>
  <c r="AA69" i="8" s="1"/>
  <c r="L269" i="9"/>
  <c r="M269" i="9" s="1"/>
  <c r="Z269" i="9"/>
  <c r="AA269" i="9" s="1"/>
  <c r="AN269" i="9"/>
  <c r="AO269" i="9" s="1"/>
  <c r="AN363" i="8"/>
  <c r="AO363" i="8" s="1"/>
  <c r="L363" i="8"/>
  <c r="M363" i="8" s="1"/>
  <c r="Z363" i="8"/>
  <c r="AA363" i="8" s="1"/>
  <c r="L39" i="9"/>
  <c r="M39" i="9" s="1"/>
  <c r="Z39" i="9"/>
  <c r="AA39" i="9" s="1"/>
  <c r="AN39" i="9"/>
  <c r="AO39" i="9" s="1"/>
  <c r="Z243" i="10"/>
  <c r="AA243" i="10" s="1"/>
  <c r="AN243" i="10"/>
  <c r="AO243" i="10" s="1"/>
  <c r="L243" i="10"/>
  <c r="M243" i="10" s="1"/>
  <c r="AM50" i="8"/>
  <c r="AN144" i="8"/>
  <c r="AO144" i="8" s="1"/>
  <c r="L144" i="8"/>
  <c r="M144" i="8" s="1"/>
  <c r="Z144" i="8"/>
  <c r="AA144" i="8" s="1"/>
  <c r="Z312" i="9"/>
  <c r="AA312" i="9" s="1"/>
  <c r="AN312" i="9"/>
  <c r="AO312" i="9" s="1"/>
  <c r="L312" i="9"/>
  <c r="M312" i="9" s="1"/>
  <c r="Z82" i="10"/>
  <c r="AA82" i="10" s="1"/>
  <c r="AN82" i="10"/>
  <c r="AO82" i="10" s="1"/>
  <c r="L82" i="10"/>
  <c r="M82" i="10" s="1"/>
  <c r="Z146" i="8"/>
  <c r="AA146" i="8" s="1"/>
  <c r="AN146" i="8"/>
  <c r="AO146" i="8" s="1"/>
  <c r="L146" i="8"/>
  <c r="M146" i="8" s="1"/>
  <c r="L242" i="9"/>
  <c r="M242" i="9" s="1"/>
  <c r="Z242" i="9"/>
  <c r="AA242" i="9" s="1"/>
  <c r="AN242" i="9"/>
  <c r="AO242" i="9" s="1"/>
  <c r="Z362" i="10"/>
  <c r="AA362" i="10" s="1"/>
  <c r="AN362" i="10"/>
  <c r="AO362" i="10" s="1"/>
  <c r="L362" i="10"/>
  <c r="M362" i="10" s="1"/>
  <c r="L111" i="10"/>
  <c r="M111" i="10" s="1"/>
  <c r="Z111" i="10"/>
  <c r="AA111" i="10" s="1"/>
  <c r="AN111" i="10"/>
  <c r="AO111" i="10" s="1"/>
  <c r="L239" i="8"/>
  <c r="M239" i="8" s="1"/>
  <c r="Z239" i="8"/>
  <c r="AA239" i="8" s="1"/>
  <c r="AN239" i="8"/>
  <c r="AO239" i="8" s="1"/>
  <c r="AN273" i="10"/>
  <c r="AO273" i="10" s="1"/>
  <c r="L273" i="10"/>
  <c r="M273" i="10" s="1"/>
  <c r="Z273" i="10"/>
  <c r="AA273" i="10" s="1"/>
  <c r="Y60" i="10"/>
  <c r="AC60" i="10" s="1"/>
  <c r="K260" i="8"/>
  <c r="L85" i="10"/>
  <c r="M85" i="10" s="1"/>
  <c r="Z85" i="10"/>
  <c r="AA85" i="10" s="1"/>
  <c r="AN85" i="10"/>
  <c r="AO85" i="10" s="1"/>
  <c r="Z213" i="8"/>
  <c r="AA213" i="8" s="1"/>
  <c r="AN213" i="8"/>
  <c r="AO213" i="8" s="1"/>
  <c r="L213" i="8"/>
  <c r="M213" i="8" s="1"/>
  <c r="I392" i="10"/>
  <c r="I392" i="9"/>
  <c r="I392" i="8"/>
  <c r="Z372" i="6"/>
  <c r="AE372" i="6"/>
  <c r="L364" i="10"/>
  <c r="M364" i="10" s="1"/>
  <c r="Z364" i="10"/>
  <c r="AA364" i="10" s="1"/>
  <c r="AN364" i="10"/>
  <c r="AO364" i="10" s="1"/>
  <c r="L99" i="9"/>
  <c r="M99" i="9" s="1"/>
  <c r="Z99" i="9"/>
  <c r="AA99" i="9" s="1"/>
  <c r="AN99" i="9"/>
  <c r="AO99" i="9" s="1"/>
  <c r="Z315" i="10"/>
  <c r="AA315" i="10" s="1"/>
  <c r="AN315" i="10"/>
  <c r="AO315" i="10" s="1"/>
  <c r="L315" i="10"/>
  <c r="M315" i="10" s="1"/>
  <c r="Z195" i="9"/>
  <c r="AA195" i="9" s="1"/>
  <c r="AN195" i="9"/>
  <c r="AO195" i="9" s="1"/>
  <c r="L195" i="9"/>
  <c r="M195" i="9" s="1"/>
  <c r="L41" i="10"/>
  <c r="M41" i="10" s="1"/>
  <c r="Z41" i="10"/>
  <c r="AA41" i="10" s="1"/>
  <c r="AN41" i="10"/>
  <c r="AO41" i="10" s="1"/>
  <c r="Z86" i="10"/>
  <c r="AA86" i="10" s="1"/>
  <c r="AN86" i="10"/>
  <c r="AO86" i="10" s="1"/>
  <c r="L86" i="10"/>
  <c r="M86" i="10" s="1"/>
  <c r="L150" i="8"/>
  <c r="M150" i="8" s="1"/>
  <c r="Z150" i="8"/>
  <c r="AA150" i="8" s="1"/>
  <c r="AN150" i="8"/>
  <c r="AO150" i="8" s="1"/>
  <c r="Z246" i="9"/>
  <c r="AA246" i="9" s="1"/>
  <c r="AN246" i="9"/>
  <c r="AO246" i="9" s="1"/>
  <c r="L246" i="9"/>
  <c r="M246" i="9" s="1"/>
  <c r="L119" i="10"/>
  <c r="M119" i="10" s="1"/>
  <c r="Z119" i="10"/>
  <c r="AA119" i="10" s="1"/>
  <c r="AN119" i="10"/>
  <c r="AO119" i="10" s="1"/>
  <c r="L247" i="8"/>
  <c r="M247" i="8" s="1"/>
  <c r="Z247" i="8"/>
  <c r="AA247" i="8" s="1"/>
  <c r="AN247" i="8"/>
  <c r="AO247" i="8" s="1"/>
  <c r="L153" i="9"/>
  <c r="M153" i="9" s="1"/>
  <c r="Z153" i="9"/>
  <c r="AA153" i="9" s="1"/>
  <c r="AN153" i="9"/>
  <c r="AO153" i="9" s="1"/>
  <c r="Z345" i="10"/>
  <c r="AA345" i="10" s="1"/>
  <c r="AN345" i="10"/>
  <c r="AO345" i="10" s="1"/>
  <c r="L345" i="10"/>
  <c r="M345" i="10" s="1"/>
  <c r="K60" i="9"/>
  <c r="O60" i="9" s="1"/>
  <c r="Z221" i="10"/>
  <c r="AA221" i="10" s="1"/>
  <c r="AN221" i="10"/>
  <c r="AO221" i="10" s="1"/>
  <c r="L221" i="10"/>
  <c r="M221" i="10" s="1"/>
  <c r="L188" i="10"/>
  <c r="M188" i="10" s="1"/>
  <c r="Z188" i="10"/>
  <c r="AA188" i="10" s="1"/>
  <c r="AN188" i="10"/>
  <c r="AO188" i="10" s="1"/>
  <c r="AN355" i="8"/>
  <c r="AO355" i="8" s="1"/>
  <c r="L355" i="8"/>
  <c r="M355" i="8" s="1"/>
  <c r="Z355" i="8"/>
  <c r="AA355" i="8" s="1"/>
  <c r="L46" i="8"/>
  <c r="M46" i="8" s="1"/>
  <c r="Z46" i="8"/>
  <c r="AA46" i="8" s="1"/>
  <c r="AN46" i="8"/>
  <c r="AO46" i="8" s="1"/>
  <c r="Z259" i="9"/>
  <c r="AA259" i="9" s="1"/>
  <c r="AN259" i="9"/>
  <c r="AO259" i="9" s="1"/>
  <c r="L259" i="9"/>
  <c r="M259" i="9" s="1"/>
  <c r="Z152" i="10"/>
  <c r="AA152" i="10" s="1"/>
  <c r="AN152" i="10"/>
  <c r="AO152" i="10" s="1"/>
  <c r="L152" i="10"/>
  <c r="M152" i="10" s="1"/>
  <c r="AN264" i="8"/>
  <c r="AO264" i="8" s="1"/>
  <c r="L264" i="8"/>
  <c r="M264" i="8" s="1"/>
  <c r="Z264" i="8"/>
  <c r="AA264" i="8" s="1"/>
  <c r="AN90" i="8"/>
  <c r="AO90" i="8" s="1"/>
  <c r="L90" i="8"/>
  <c r="M90" i="8" s="1"/>
  <c r="Z90" i="8"/>
  <c r="AA90" i="8" s="1"/>
  <c r="AN186" i="9"/>
  <c r="AO186" i="9" s="1"/>
  <c r="L186" i="9"/>
  <c r="M186" i="9" s="1"/>
  <c r="Z186" i="9"/>
  <c r="AA186" i="9" s="1"/>
  <c r="Z282" i="10"/>
  <c r="AA282" i="10" s="1"/>
  <c r="L282" i="10"/>
  <c r="M282" i="10" s="1"/>
  <c r="AN282" i="10"/>
  <c r="AO282" i="10" s="1"/>
  <c r="L342" i="8"/>
  <c r="M342" i="8" s="1"/>
  <c r="Z342" i="8"/>
  <c r="AA342" i="8" s="1"/>
  <c r="AN342" i="8"/>
  <c r="AO342" i="8" s="1"/>
  <c r="Z191" i="9"/>
  <c r="AA191" i="9" s="1"/>
  <c r="AN191" i="9"/>
  <c r="AO191" i="9" s="1"/>
  <c r="L191" i="9"/>
  <c r="M191" i="9" s="1"/>
  <c r="L161" i="8"/>
  <c r="M161" i="8" s="1"/>
  <c r="Z161" i="8"/>
  <c r="AA161" i="8" s="1"/>
  <c r="AN161" i="8"/>
  <c r="AO161" i="8" s="1"/>
  <c r="L353" i="9"/>
  <c r="M353" i="9" s="1"/>
  <c r="Z353" i="9"/>
  <c r="AA353" i="9" s="1"/>
  <c r="AN353" i="9"/>
  <c r="AO353" i="9" s="1"/>
  <c r="AN101" i="8"/>
  <c r="AO101" i="8" s="1"/>
  <c r="L101" i="8"/>
  <c r="M101" i="8" s="1"/>
  <c r="Z101" i="8"/>
  <c r="AA101" i="8" s="1"/>
  <c r="L293" i="9"/>
  <c r="M293" i="9" s="1"/>
  <c r="Z293" i="9"/>
  <c r="AA293" i="9" s="1"/>
  <c r="AN293" i="9"/>
  <c r="AO293" i="9" s="1"/>
  <c r="AN233" i="10"/>
  <c r="AO233" i="10" s="1"/>
  <c r="L233" i="10"/>
  <c r="M233" i="10" s="1"/>
  <c r="Z233" i="10"/>
  <c r="AA233" i="10" s="1"/>
  <c r="L377" i="8"/>
  <c r="M377" i="8" s="1"/>
  <c r="Z377" i="8"/>
  <c r="AA377" i="8" s="1"/>
  <c r="AN377" i="8"/>
  <c r="AO377" i="8" s="1"/>
  <c r="AN393" i="9"/>
  <c r="AO393" i="9" s="1"/>
  <c r="L393" i="9"/>
  <c r="M393" i="9" s="1"/>
  <c r="Z393" i="9"/>
  <c r="AA393" i="9" s="1"/>
  <c r="Z94" i="9"/>
  <c r="AA94" i="9" s="1"/>
  <c r="AN94" i="9"/>
  <c r="AO94" i="9" s="1"/>
  <c r="L94" i="9"/>
  <c r="M94" i="9" s="1"/>
  <c r="L344" i="10"/>
  <c r="M344" i="10" s="1"/>
  <c r="Z344" i="10"/>
  <c r="AA344" i="10" s="1"/>
  <c r="AN344" i="10"/>
  <c r="AO344" i="10" s="1"/>
  <c r="L375" i="8"/>
  <c r="M375" i="8" s="1"/>
  <c r="Z375" i="8"/>
  <c r="AA375" i="8" s="1"/>
  <c r="AN375" i="8"/>
  <c r="AO375" i="8" s="1"/>
  <c r="L346" i="9"/>
  <c r="M346" i="9" s="1"/>
  <c r="Z346" i="9"/>
  <c r="AA346" i="9" s="1"/>
  <c r="AN346" i="9"/>
  <c r="AO346" i="9" s="1"/>
  <c r="L400" i="10"/>
  <c r="M400" i="10" s="1"/>
  <c r="AN400" i="10"/>
  <c r="AO400" i="10" s="1"/>
  <c r="Z400" i="10"/>
  <c r="AA400" i="10" s="1"/>
  <c r="L126" i="8"/>
  <c r="M126" i="8" s="1"/>
  <c r="Z126" i="8"/>
  <c r="AA126" i="8" s="1"/>
  <c r="AN126" i="8"/>
  <c r="AO126" i="8" s="1"/>
  <c r="Z199" i="10"/>
  <c r="AA199" i="10" s="1"/>
  <c r="AN199" i="10"/>
  <c r="AO199" i="10" s="1"/>
  <c r="L199" i="10"/>
  <c r="M199" i="10" s="1"/>
  <c r="L327" i="8"/>
  <c r="M327" i="8" s="1"/>
  <c r="Z327" i="8"/>
  <c r="AA327" i="8" s="1"/>
  <c r="AN327" i="8"/>
  <c r="AO327" i="8" s="1"/>
  <c r="AN109" i="8"/>
  <c r="AO109" i="8" s="1"/>
  <c r="L109" i="8"/>
  <c r="M109" i="8" s="1"/>
  <c r="Z109" i="8"/>
  <c r="AA109" i="8" s="1"/>
  <c r="L301" i="9"/>
  <c r="M301" i="9" s="1"/>
  <c r="Z301" i="9"/>
  <c r="AA301" i="9" s="1"/>
  <c r="AN301" i="9"/>
  <c r="AO301" i="9" s="1"/>
  <c r="L373" i="10"/>
  <c r="M373" i="10" s="1"/>
  <c r="AN373" i="10"/>
  <c r="AO373" i="10" s="1"/>
  <c r="Z373" i="10"/>
  <c r="AA373" i="10" s="1"/>
  <c r="Z418" i="8"/>
  <c r="AA418" i="8" s="1"/>
  <c r="AN418" i="8"/>
  <c r="AO418" i="8" s="1"/>
  <c r="L418" i="8"/>
  <c r="M418" i="8" s="1"/>
  <c r="Z29" i="9"/>
  <c r="AA29" i="9" s="1"/>
  <c r="AN29" i="9"/>
  <c r="AO29" i="9" s="1"/>
  <c r="L29" i="9"/>
  <c r="M29" i="9" s="1"/>
  <c r="L262" i="8"/>
  <c r="M262" i="8" s="1"/>
  <c r="Z262" i="8"/>
  <c r="AA262" i="8" s="1"/>
  <c r="AN262" i="8"/>
  <c r="AO262" i="8" s="1"/>
  <c r="L381" i="9"/>
  <c r="M381" i="9" s="1"/>
  <c r="Z381" i="9"/>
  <c r="AA381" i="9" s="1"/>
  <c r="AN381" i="9"/>
  <c r="AO381" i="9" s="1"/>
  <c r="AN360" i="10"/>
  <c r="AO360" i="10" s="1"/>
  <c r="L360" i="10"/>
  <c r="M360" i="10" s="1"/>
  <c r="Z360" i="10"/>
  <c r="AA360" i="10" s="1"/>
  <c r="Z405" i="8"/>
  <c r="AA405" i="8" s="1"/>
  <c r="AN405" i="8"/>
  <c r="AO405" i="8" s="1"/>
  <c r="L405" i="8"/>
  <c r="M405" i="8" s="1"/>
  <c r="Z45" i="9"/>
  <c r="AA45" i="9" s="1"/>
  <c r="AN45" i="9"/>
  <c r="AO45" i="9" s="1"/>
  <c r="L45" i="9"/>
  <c r="M45" i="9" s="1"/>
  <c r="L203" i="10"/>
  <c r="M203" i="10" s="1"/>
  <c r="Z203" i="10"/>
  <c r="AA203" i="10" s="1"/>
  <c r="AN203" i="10"/>
  <c r="AO203" i="10" s="1"/>
  <c r="AN331" i="8"/>
  <c r="AO331" i="8" s="1"/>
  <c r="L331" i="8"/>
  <c r="M331" i="8" s="1"/>
  <c r="Z331" i="8"/>
  <c r="AA331" i="8" s="1"/>
  <c r="L208" i="9"/>
  <c r="M208" i="9" s="1"/>
  <c r="Z208" i="9"/>
  <c r="AA208" i="9" s="1"/>
  <c r="AN208" i="9"/>
  <c r="AO208" i="9" s="1"/>
  <c r="Z374" i="10"/>
  <c r="AA374" i="10" s="1"/>
  <c r="AN374" i="10"/>
  <c r="AO374" i="10" s="1"/>
  <c r="L374" i="10"/>
  <c r="M374" i="10" s="1"/>
  <c r="L367" i="8"/>
  <c r="M367" i="8" s="1"/>
  <c r="Z367" i="8"/>
  <c r="AA367" i="8" s="1"/>
  <c r="AN367" i="8"/>
  <c r="AO367" i="8" s="1"/>
  <c r="Z366" i="9"/>
  <c r="AA366" i="9" s="1"/>
  <c r="AN366" i="9"/>
  <c r="AO366" i="9" s="1"/>
  <c r="L366" i="9"/>
  <c r="M366" i="9" s="1"/>
  <c r="Z280" i="9"/>
  <c r="AA280" i="9" s="1"/>
  <c r="AN280" i="9"/>
  <c r="AO280" i="9" s="1"/>
  <c r="L280" i="9"/>
  <c r="M280" i="9" s="1"/>
  <c r="Z258" i="8"/>
  <c r="AA258" i="8" s="1"/>
  <c r="AN258" i="8"/>
  <c r="AO258" i="8" s="1"/>
  <c r="L258" i="8"/>
  <c r="M258" i="8" s="1"/>
  <c r="L52" i="9"/>
  <c r="M52" i="9" s="1"/>
  <c r="Z52" i="9"/>
  <c r="AA52" i="9" s="1"/>
  <c r="AN52" i="9"/>
  <c r="AO52" i="9" s="1"/>
  <c r="AN305" i="10"/>
  <c r="AO305" i="10" s="1"/>
  <c r="L305" i="10"/>
  <c r="M305" i="10" s="1"/>
  <c r="Z305" i="10"/>
  <c r="AA305" i="10" s="1"/>
  <c r="L406" i="8"/>
  <c r="M406" i="8" s="1"/>
  <c r="Z406" i="8"/>
  <c r="AA406" i="8" s="1"/>
  <c r="AN406" i="8"/>
  <c r="AO406" i="8" s="1"/>
  <c r="Z317" i="9"/>
  <c r="AA317" i="9" s="1"/>
  <c r="AN317" i="9"/>
  <c r="AO317" i="9" s="1"/>
  <c r="L317" i="9"/>
  <c r="M317" i="9" s="1"/>
  <c r="Z133" i="10"/>
  <c r="AA133" i="10" s="1"/>
  <c r="AN133" i="10"/>
  <c r="AO133" i="10" s="1"/>
  <c r="L133" i="10"/>
  <c r="M133" i="10" s="1"/>
  <c r="L142" i="9"/>
  <c r="M142" i="9" s="1"/>
  <c r="Z142" i="9"/>
  <c r="AA142" i="9" s="1"/>
  <c r="AN142" i="9"/>
  <c r="AO142" i="9" s="1"/>
  <c r="Z167" i="9"/>
  <c r="AA167" i="9" s="1"/>
  <c r="AN167" i="9"/>
  <c r="AO167" i="9" s="1"/>
  <c r="L167" i="9"/>
  <c r="M167" i="9" s="1"/>
  <c r="Z205" i="8"/>
  <c r="AA205" i="8" s="1"/>
  <c r="AN205" i="8"/>
  <c r="AO205" i="8" s="1"/>
  <c r="L205" i="8"/>
  <c r="M205" i="8" s="1"/>
  <c r="L146" i="10"/>
  <c r="M146" i="10" s="1"/>
  <c r="Z146" i="10"/>
  <c r="AA146" i="10" s="1"/>
  <c r="AN146" i="10"/>
  <c r="AO146" i="10" s="1"/>
  <c r="AN209" i="9"/>
  <c r="AO209" i="9" s="1"/>
  <c r="L209" i="9"/>
  <c r="M209" i="9" s="1"/>
  <c r="Z209" i="9"/>
  <c r="AA209" i="9" s="1"/>
  <c r="AN424" i="8"/>
  <c r="AO424" i="8" s="1"/>
  <c r="L424" i="8"/>
  <c r="M424" i="8" s="1"/>
  <c r="Z424" i="8"/>
  <c r="AA424" i="8" s="1"/>
  <c r="AN147" i="8"/>
  <c r="AO147" i="8" s="1"/>
  <c r="L147" i="8"/>
  <c r="M147" i="8" s="1"/>
  <c r="Z147" i="8"/>
  <c r="AA147" i="8" s="1"/>
  <c r="L214" i="8"/>
  <c r="M214" i="8" s="1"/>
  <c r="Z214" i="8"/>
  <c r="AA214" i="8" s="1"/>
  <c r="AN214" i="8"/>
  <c r="AO214" i="8" s="1"/>
  <c r="L96" i="9"/>
  <c r="M96" i="9" s="1"/>
  <c r="Z96" i="9"/>
  <c r="AA96" i="9" s="1"/>
  <c r="AN96" i="9"/>
  <c r="AO96" i="9" s="1"/>
  <c r="Z90" i="10"/>
  <c r="AA90" i="10" s="1"/>
  <c r="L90" i="10"/>
  <c r="M90" i="10" s="1"/>
  <c r="AN90" i="10"/>
  <c r="AO90" i="10" s="1"/>
  <c r="Z367" i="10"/>
  <c r="AA367" i="10" s="1"/>
  <c r="AN367" i="10"/>
  <c r="AO367" i="10" s="1"/>
  <c r="L367" i="10"/>
  <c r="M367" i="10" s="1"/>
  <c r="AN211" i="8"/>
  <c r="AO211" i="8" s="1"/>
  <c r="L211" i="8"/>
  <c r="M211" i="8" s="1"/>
  <c r="Z211" i="8"/>
  <c r="AA211" i="8" s="1"/>
  <c r="L28" i="9"/>
  <c r="M28" i="9" s="1"/>
  <c r="Z28" i="9"/>
  <c r="AA28" i="9" s="1"/>
  <c r="AN28" i="9"/>
  <c r="AO28" i="9" s="1"/>
  <c r="L335" i="9"/>
  <c r="M335" i="9" s="1"/>
  <c r="Z335" i="9"/>
  <c r="AA335" i="9" s="1"/>
  <c r="AN335" i="9"/>
  <c r="AO335" i="9" s="1"/>
  <c r="L181" i="10"/>
  <c r="M181" i="10" s="1"/>
  <c r="Z181" i="10"/>
  <c r="AA181" i="10" s="1"/>
  <c r="AN181" i="10"/>
  <c r="AO181" i="10" s="1"/>
  <c r="L211" i="10"/>
  <c r="M211" i="10" s="1"/>
  <c r="Z211" i="10"/>
  <c r="AA211" i="10" s="1"/>
  <c r="AN211" i="10"/>
  <c r="AO211" i="10" s="1"/>
  <c r="L168" i="9"/>
  <c r="M168" i="9" s="1"/>
  <c r="Z168" i="9"/>
  <c r="AA168" i="9" s="1"/>
  <c r="AN168" i="9"/>
  <c r="AO168" i="9" s="1"/>
  <c r="Z194" i="8"/>
  <c r="AA194" i="8" s="1"/>
  <c r="AN194" i="8"/>
  <c r="AO194" i="8" s="1"/>
  <c r="L194" i="8"/>
  <c r="M194" i="8" s="1"/>
  <c r="AN228" i="9"/>
  <c r="AO228" i="9" s="1"/>
  <c r="L228" i="9"/>
  <c r="M228" i="9" s="1"/>
  <c r="Z228" i="9"/>
  <c r="AA228" i="9" s="1"/>
  <c r="L305" i="8"/>
  <c r="M305" i="8" s="1"/>
  <c r="Z305" i="8"/>
  <c r="AA305" i="8" s="1"/>
  <c r="AN305" i="8"/>
  <c r="AO305" i="8" s="1"/>
  <c r="Z414" i="9"/>
  <c r="AA414" i="9" s="1"/>
  <c r="AN414" i="9"/>
  <c r="AO414" i="9" s="1"/>
  <c r="L414" i="9"/>
  <c r="M414" i="9" s="1"/>
  <c r="L123" i="8"/>
  <c r="M123" i="8" s="1"/>
  <c r="Z123" i="8"/>
  <c r="AA123" i="8" s="1"/>
  <c r="AN123" i="8"/>
  <c r="AO123" i="8" s="1"/>
  <c r="AN339" i="9"/>
  <c r="AO339" i="9" s="1"/>
  <c r="L339" i="9"/>
  <c r="M339" i="9" s="1"/>
  <c r="Z339" i="9"/>
  <c r="AA339" i="9" s="1"/>
  <c r="L168" i="10"/>
  <c r="M168" i="10" s="1"/>
  <c r="Z168" i="10"/>
  <c r="AA168" i="10" s="1"/>
  <c r="AN168" i="10"/>
  <c r="AO168" i="10" s="1"/>
  <c r="AN280" i="8"/>
  <c r="AO280" i="8" s="1"/>
  <c r="L280" i="8"/>
  <c r="M280" i="8" s="1"/>
  <c r="Z280" i="8"/>
  <c r="AA280" i="8" s="1"/>
  <c r="AN98" i="8"/>
  <c r="AO98" i="8" s="1"/>
  <c r="L98" i="8"/>
  <c r="M98" i="8" s="1"/>
  <c r="Z98" i="8"/>
  <c r="AA98" i="8" s="1"/>
  <c r="L194" i="9"/>
  <c r="M194" i="9" s="1"/>
  <c r="Z194" i="9"/>
  <c r="AA194" i="9" s="1"/>
  <c r="AN194" i="9"/>
  <c r="AO194" i="9" s="1"/>
  <c r="Z290" i="10"/>
  <c r="AA290" i="10" s="1"/>
  <c r="L290" i="10"/>
  <c r="M290" i="10" s="1"/>
  <c r="AN290" i="10"/>
  <c r="AO290" i="10" s="1"/>
  <c r="Z349" i="8"/>
  <c r="AA349" i="8" s="1"/>
  <c r="AN349" i="8"/>
  <c r="AO349" i="8" s="1"/>
  <c r="L349" i="8"/>
  <c r="M349" i="8" s="1"/>
  <c r="Z79" i="8"/>
  <c r="AA79" i="8" s="1"/>
  <c r="AN79" i="8"/>
  <c r="AO79" i="8" s="1"/>
  <c r="L79" i="8"/>
  <c r="M79" i="8" s="1"/>
  <c r="L271" i="9"/>
  <c r="M271" i="9" s="1"/>
  <c r="Z271" i="9"/>
  <c r="AA271" i="9" s="1"/>
  <c r="AN271" i="9"/>
  <c r="AO271" i="9" s="1"/>
  <c r="L228" i="10"/>
  <c r="M228" i="10" s="1"/>
  <c r="Z228" i="10"/>
  <c r="AA228" i="10" s="1"/>
  <c r="AN228" i="10"/>
  <c r="AO228" i="10" s="1"/>
  <c r="Z52" i="8"/>
  <c r="AA52" i="8" s="1"/>
  <c r="AN52" i="8"/>
  <c r="AO52" i="8" s="1"/>
  <c r="L52" i="8"/>
  <c r="M52" i="8" s="1"/>
  <c r="L113" i="8"/>
  <c r="M113" i="8" s="1"/>
  <c r="Z113" i="8"/>
  <c r="AA113" i="8" s="1"/>
  <c r="AN113" i="8"/>
  <c r="AO113" i="8" s="1"/>
  <c r="AN305" i="9"/>
  <c r="AO305" i="9" s="1"/>
  <c r="L305" i="9"/>
  <c r="M305" i="9" s="1"/>
  <c r="Z305" i="9"/>
  <c r="AA305" i="9" s="1"/>
  <c r="Z117" i="10"/>
  <c r="AA117" i="10" s="1"/>
  <c r="AN117" i="10"/>
  <c r="AO117" i="10" s="1"/>
  <c r="L117" i="10"/>
  <c r="M117" i="10" s="1"/>
  <c r="Z245" i="8"/>
  <c r="AA245" i="8" s="1"/>
  <c r="AN245" i="8"/>
  <c r="AO245" i="8" s="1"/>
  <c r="L245" i="8"/>
  <c r="M245" i="8" s="1"/>
  <c r="I388" i="10"/>
  <c r="I388" i="9"/>
  <c r="I388" i="8"/>
  <c r="AE368" i="6"/>
  <c r="Z368" i="6"/>
  <c r="L414" i="10"/>
  <c r="M414" i="10" s="1"/>
  <c r="Z414" i="10"/>
  <c r="AA414" i="10" s="1"/>
  <c r="AN414" i="10"/>
  <c r="AO414" i="10" s="1"/>
  <c r="AN416" i="8"/>
  <c r="AO416" i="8" s="1"/>
  <c r="L416" i="8"/>
  <c r="M416" i="8" s="1"/>
  <c r="Z416" i="8"/>
  <c r="AA416" i="8" s="1"/>
  <c r="L67" i="8"/>
  <c r="M67" i="8" s="1"/>
  <c r="Z67" i="8"/>
  <c r="AA67" i="8" s="1"/>
  <c r="AN67" i="8"/>
  <c r="AO67" i="8" s="1"/>
  <c r="Z283" i="9"/>
  <c r="AA283" i="9" s="1"/>
  <c r="AN283" i="9"/>
  <c r="AO283" i="9" s="1"/>
  <c r="L283" i="9"/>
  <c r="M283" i="9" s="1"/>
  <c r="Z120" i="10"/>
  <c r="AA120" i="10" s="1"/>
  <c r="AN120" i="10"/>
  <c r="AO120" i="10" s="1"/>
  <c r="L120" i="10"/>
  <c r="M120" i="10" s="1"/>
  <c r="AN224" i="8"/>
  <c r="AO224" i="8" s="1"/>
  <c r="L224" i="8"/>
  <c r="M224" i="8" s="1"/>
  <c r="Z224" i="8"/>
  <c r="AA224" i="8" s="1"/>
  <c r="L102" i="8"/>
  <c r="M102" i="8" s="1"/>
  <c r="Z102" i="8"/>
  <c r="AA102" i="8" s="1"/>
  <c r="AN102" i="8"/>
  <c r="AO102" i="8" s="1"/>
  <c r="Z198" i="9"/>
  <c r="AA198" i="9" s="1"/>
  <c r="AN198" i="9"/>
  <c r="AO198" i="9" s="1"/>
  <c r="L198" i="9"/>
  <c r="M198" i="9" s="1"/>
  <c r="L151" i="10"/>
  <c r="M151" i="10" s="1"/>
  <c r="Z151" i="10"/>
  <c r="AA151" i="10" s="1"/>
  <c r="AN151" i="10"/>
  <c r="AO151" i="10" s="1"/>
  <c r="L279" i="8"/>
  <c r="M279" i="8" s="1"/>
  <c r="Z279" i="8"/>
  <c r="AA279" i="8" s="1"/>
  <c r="AN279" i="8"/>
  <c r="AO279" i="8" s="1"/>
  <c r="L356" i="9"/>
  <c r="M356" i="9" s="1"/>
  <c r="Z356" i="9"/>
  <c r="AA356" i="9" s="1"/>
  <c r="AN356" i="9"/>
  <c r="AO356" i="9" s="1"/>
  <c r="AN249" i="10"/>
  <c r="AO249" i="10" s="1"/>
  <c r="L249" i="10"/>
  <c r="M249" i="10" s="1"/>
  <c r="Z249" i="10"/>
  <c r="AA249" i="10" s="1"/>
  <c r="I189" i="10"/>
  <c r="I189" i="9"/>
  <c r="I189" i="8"/>
  <c r="Z169" i="6"/>
  <c r="AE169" i="6"/>
  <c r="Z317" i="8"/>
  <c r="AA317" i="8" s="1"/>
  <c r="AN317" i="8"/>
  <c r="AO317" i="8" s="1"/>
  <c r="L317" i="8"/>
  <c r="M317" i="8" s="1"/>
  <c r="Z412" i="10"/>
  <c r="AA412" i="10" s="1"/>
  <c r="L412" i="10"/>
  <c r="M412" i="10" s="1"/>
  <c r="AN412" i="10"/>
  <c r="AO412" i="10" s="1"/>
  <c r="AN139" i="8"/>
  <c r="AO139" i="8" s="1"/>
  <c r="L139" i="8"/>
  <c r="M139" i="8" s="1"/>
  <c r="Z139" i="8"/>
  <c r="AA139" i="8" s="1"/>
  <c r="L128" i="9"/>
  <c r="M128" i="9" s="1"/>
  <c r="Z128" i="9"/>
  <c r="AA128" i="9" s="1"/>
  <c r="AN128" i="9"/>
  <c r="AO128" i="9" s="1"/>
  <c r="AN296" i="10"/>
  <c r="AO296" i="10" s="1"/>
  <c r="L296" i="10"/>
  <c r="M296" i="10" s="1"/>
  <c r="Z296" i="10"/>
  <c r="AA296" i="10" s="1"/>
  <c r="L170" i="10"/>
  <c r="M170" i="10" s="1"/>
  <c r="Z170" i="10"/>
  <c r="AA170" i="10" s="1"/>
  <c r="AN170" i="10"/>
  <c r="AO170" i="10" s="1"/>
  <c r="Z234" i="8"/>
  <c r="AA234" i="8" s="1"/>
  <c r="AN234" i="8"/>
  <c r="AO234" i="8" s="1"/>
  <c r="L234" i="8"/>
  <c r="M234" i="8" s="1"/>
  <c r="L330" i="9"/>
  <c r="M330" i="9" s="1"/>
  <c r="Z330" i="9"/>
  <c r="AA330" i="9" s="1"/>
  <c r="AN330" i="9"/>
  <c r="AO330" i="9" s="1"/>
  <c r="L223" i="10"/>
  <c r="M223" i="10" s="1"/>
  <c r="Z223" i="10"/>
  <c r="AA223" i="10" s="1"/>
  <c r="AN223" i="10"/>
  <c r="AO223" i="10" s="1"/>
  <c r="L193" i="8"/>
  <c r="M193" i="8" s="1"/>
  <c r="Z193" i="8"/>
  <c r="AA193" i="8" s="1"/>
  <c r="AN193" i="8"/>
  <c r="AO193" i="8" s="1"/>
  <c r="AN133" i="9"/>
  <c r="AO133" i="9" s="1"/>
  <c r="L133" i="9"/>
  <c r="M133" i="9" s="1"/>
  <c r="Z133" i="9"/>
  <c r="AA133" i="9" s="1"/>
  <c r="L325" i="10"/>
  <c r="M325" i="10" s="1"/>
  <c r="Z325" i="10"/>
  <c r="AA325" i="10" s="1"/>
  <c r="AN325" i="10"/>
  <c r="AO325" i="10" s="1"/>
  <c r="L396" i="8"/>
  <c r="M396" i="8" s="1"/>
  <c r="Z396" i="8"/>
  <c r="AA396" i="8" s="1"/>
  <c r="AN396" i="8"/>
  <c r="AO396" i="8" s="1"/>
  <c r="L25" i="10"/>
  <c r="M25" i="10" s="1"/>
  <c r="Z25" i="10"/>
  <c r="AA25" i="10" s="1"/>
  <c r="AN25" i="10"/>
  <c r="AO25" i="10" s="1"/>
  <c r="AN155" i="8"/>
  <c r="AO155" i="8" s="1"/>
  <c r="L155" i="8"/>
  <c r="M155" i="8" s="1"/>
  <c r="Z155" i="8"/>
  <c r="AA155" i="8" s="1"/>
  <c r="L136" i="9"/>
  <c r="M136" i="9" s="1"/>
  <c r="AN136" i="9"/>
  <c r="AO136" i="9" s="1"/>
  <c r="Z136" i="9"/>
  <c r="AA136" i="9" s="1"/>
  <c r="Z304" i="10"/>
  <c r="AA304" i="10" s="1"/>
  <c r="AN304" i="10"/>
  <c r="AO304" i="10" s="1"/>
  <c r="L304" i="10"/>
  <c r="M304" i="10" s="1"/>
  <c r="Z78" i="10"/>
  <c r="AA78" i="10" s="1"/>
  <c r="AN78" i="10"/>
  <c r="AO78" i="10" s="1"/>
  <c r="L78" i="10"/>
  <c r="M78" i="10" s="1"/>
  <c r="L142" i="8"/>
  <c r="M142" i="8" s="1"/>
  <c r="Z142" i="8"/>
  <c r="AA142" i="8" s="1"/>
  <c r="AN142" i="8"/>
  <c r="AO142" i="8" s="1"/>
  <c r="Z238" i="9"/>
  <c r="AA238" i="9" s="1"/>
  <c r="AN238" i="9"/>
  <c r="AO238" i="9" s="1"/>
  <c r="L238" i="9"/>
  <c r="M238" i="9" s="1"/>
  <c r="L167" i="8"/>
  <c r="M167" i="8" s="1"/>
  <c r="Z167" i="8"/>
  <c r="AA167" i="8" s="1"/>
  <c r="AN167" i="8"/>
  <c r="AO167" i="8" s="1"/>
  <c r="L137" i="8"/>
  <c r="M137" i="8" s="1"/>
  <c r="Z137" i="8"/>
  <c r="AA137" i="8" s="1"/>
  <c r="AN137" i="8"/>
  <c r="AO137" i="8" s="1"/>
  <c r="L329" i="9"/>
  <c r="M329" i="9" s="1"/>
  <c r="Z329" i="9"/>
  <c r="AA329" i="9" s="1"/>
  <c r="AN329" i="9"/>
  <c r="AO329" i="9" s="1"/>
  <c r="L51" i="10"/>
  <c r="M51" i="10" s="1"/>
  <c r="Z51" i="10"/>
  <c r="AA51" i="10" s="1"/>
  <c r="AN51" i="10"/>
  <c r="AO51" i="10" s="1"/>
  <c r="AM260" i="9"/>
  <c r="AQ260" i="9" s="1"/>
  <c r="Z69" i="9"/>
  <c r="AA69" i="9" s="1"/>
  <c r="AN69" i="9"/>
  <c r="AO69" i="9" s="1"/>
  <c r="L69" i="9"/>
  <c r="M69" i="9" s="1"/>
  <c r="L269" i="10"/>
  <c r="M269" i="10" s="1"/>
  <c r="Z269" i="10"/>
  <c r="AA269" i="10" s="1"/>
  <c r="AN269" i="10"/>
  <c r="AO269" i="10" s="1"/>
  <c r="Z370" i="8"/>
  <c r="AA370" i="8" s="1"/>
  <c r="AN370" i="8"/>
  <c r="AO370" i="8" s="1"/>
  <c r="L370" i="8"/>
  <c r="M370" i="8" s="1"/>
  <c r="AN363" i="9"/>
  <c r="AO363" i="9" s="1"/>
  <c r="L363" i="9"/>
  <c r="M363" i="9" s="1"/>
  <c r="Z363" i="9"/>
  <c r="AA363" i="9" s="1"/>
  <c r="Z39" i="10"/>
  <c r="AA39" i="10" s="1"/>
  <c r="AN39" i="10"/>
  <c r="AO39" i="10" s="1"/>
  <c r="L39" i="10"/>
  <c r="M39" i="10" s="1"/>
  <c r="AN163" i="8"/>
  <c r="AO163" i="8" s="1"/>
  <c r="L163" i="8"/>
  <c r="M163" i="8" s="1"/>
  <c r="Z163" i="8"/>
  <c r="AA163" i="8" s="1"/>
  <c r="L144" i="9"/>
  <c r="M144" i="9" s="1"/>
  <c r="Z144" i="9"/>
  <c r="AA144" i="9" s="1"/>
  <c r="AN144" i="9"/>
  <c r="AO144" i="9" s="1"/>
  <c r="Z312" i="10"/>
  <c r="AA312" i="10" s="1"/>
  <c r="AN312" i="10"/>
  <c r="AO312" i="10" s="1"/>
  <c r="L312" i="10"/>
  <c r="M312" i="10" s="1"/>
  <c r="AN146" i="9"/>
  <c r="AO146" i="9" s="1"/>
  <c r="L146" i="9"/>
  <c r="M146" i="9" s="1"/>
  <c r="Z146" i="9"/>
  <c r="AA146" i="9" s="1"/>
  <c r="L242" i="10"/>
  <c r="M242" i="10" s="1"/>
  <c r="Z242" i="10"/>
  <c r="AA242" i="10" s="1"/>
  <c r="AN242" i="10"/>
  <c r="AO242" i="10" s="1"/>
  <c r="Z306" i="8"/>
  <c r="AA306" i="8" s="1"/>
  <c r="AN306" i="8"/>
  <c r="AO306" i="8" s="1"/>
  <c r="L306" i="8"/>
  <c r="M306" i="8" s="1"/>
  <c r="Y35" i="9"/>
  <c r="AC35" i="9" s="1"/>
  <c r="L239" i="9"/>
  <c r="M239" i="9" s="1"/>
  <c r="Z239" i="9"/>
  <c r="AA239" i="9" s="1"/>
  <c r="AN239" i="9"/>
  <c r="AO239" i="9" s="1"/>
  <c r="L209" i="8"/>
  <c r="M209" i="8" s="1"/>
  <c r="Z209" i="8"/>
  <c r="AA209" i="8" s="1"/>
  <c r="AN209" i="8"/>
  <c r="AO209" i="8" s="1"/>
  <c r="K60" i="10"/>
  <c r="O60" i="10" s="1"/>
  <c r="L213" i="9"/>
  <c r="M213" i="9" s="1"/>
  <c r="Z213" i="9"/>
  <c r="AA213" i="9" s="1"/>
  <c r="AN213" i="9"/>
  <c r="AO213" i="9" s="1"/>
  <c r="I408" i="10"/>
  <c r="I408" i="9"/>
  <c r="I408" i="8"/>
  <c r="Z388" i="6"/>
  <c r="AE388" i="6"/>
  <c r="Z108" i="8"/>
  <c r="AA108" i="8" s="1"/>
  <c r="AN108" i="8"/>
  <c r="AO108" i="8" s="1"/>
  <c r="L108" i="8"/>
  <c r="M108" i="8" s="1"/>
  <c r="I387" i="10"/>
  <c r="I387" i="9"/>
  <c r="I387" i="8"/>
  <c r="AE367" i="6"/>
  <c r="Z367" i="6"/>
  <c r="L99" i="10"/>
  <c r="M99" i="10" s="1"/>
  <c r="Z99" i="10"/>
  <c r="AA99" i="10" s="1"/>
  <c r="AN99" i="10"/>
  <c r="AO99" i="10" s="1"/>
  <c r="AN251" i="8"/>
  <c r="AO251" i="8" s="1"/>
  <c r="L251" i="8"/>
  <c r="M251" i="8" s="1"/>
  <c r="Z251" i="8"/>
  <c r="AA251" i="8" s="1"/>
  <c r="L195" i="10"/>
  <c r="M195" i="10" s="1"/>
  <c r="Z195" i="10"/>
  <c r="AA195" i="10" s="1"/>
  <c r="AN195" i="10"/>
  <c r="AO195" i="10" s="1"/>
  <c r="AN320" i="8"/>
  <c r="AO320" i="8" s="1"/>
  <c r="L320" i="8"/>
  <c r="M320" i="8" s="1"/>
  <c r="Z320" i="8"/>
  <c r="AA320" i="8" s="1"/>
  <c r="L150" i="9"/>
  <c r="M150" i="9" s="1"/>
  <c r="Z150" i="9"/>
  <c r="AA150" i="9" s="1"/>
  <c r="AN150" i="9"/>
  <c r="AO150" i="9" s="1"/>
  <c r="AN246" i="10"/>
  <c r="AO246" i="10" s="1"/>
  <c r="L246" i="10"/>
  <c r="M246" i="10" s="1"/>
  <c r="Z246" i="10"/>
  <c r="AA246" i="10" s="1"/>
  <c r="Z341" i="8"/>
  <c r="AA341" i="8" s="1"/>
  <c r="AN341" i="8"/>
  <c r="AO341" i="8" s="1"/>
  <c r="L341" i="8"/>
  <c r="M341" i="8" s="1"/>
  <c r="Z55" i="8"/>
  <c r="AA55" i="8" s="1"/>
  <c r="AN55" i="8"/>
  <c r="AO55" i="8" s="1"/>
  <c r="L55" i="8"/>
  <c r="M55" i="8" s="1"/>
  <c r="L247" i="9"/>
  <c r="M247" i="9" s="1"/>
  <c r="Z247" i="9"/>
  <c r="AA247" i="9" s="1"/>
  <c r="AN247" i="9"/>
  <c r="AO247" i="9" s="1"/>
  <c r="L153" i="10"/>
  <c r="M153" i="10" s="1"/>
  <c r="Z153" i="10"/>
  <c r="AA153" i="10" s="1"/>
  <c r="AN153" i="10"/>
  <c r="AO153" i="10" s="1"/>
  <c r="L281" i="8"/>
  <c r="M281" i="8" s="1"/>
  <c r="Z281" i="8"/>
  <c r="AA281" i="8" s="1"/>
  <c r="AN281" i="8"/>
  <c r="AO281" i="8" s="1"/>
  <c r="Z157" i="8"/>
  <c r="AA157" i="8" s="1"/>
  <c r="AN157" i="8"/>
  <c r="AO157" i="8" s="1"/>
  <c r="L157" i="8"/>
  <c r="M157" i="8" s="1"/>
  <c r="AN53" i="8"/>
  <c r="AO53" i="8" s="1"/>
  <c r="L53" i="8"/>
  <c r="M53" i="8" s="1"/>
  <c r="Z53" i="8"/>
  <c r="AA53" i="8" s="1"/>
  <c r="AN355" i="9"/>
  <c r="AO355" i="9" s="1"/>
  <c r="L355" i="9"/>
  <c r="M355" i="9" s="1"/>
  <c r="Z355" i="9"/>
  <c r="AA355" i="9" s="1"/>
  <c r="L46" i="9"/>
  <c r="M46" i="9" s="1"/>
  <c r="Z46" i="9"/>
  <c r="AA46" i="9" s="1"/>
  <c r="AN46" i="9"/>
  <c r="AO46" i="9" s="1"/>
  <c r="Z259" i="10"/>
  <c r="AA259" i="10" s="1"/>
  <c r="AN259" i="10"/>
  <c r="AO259" i="10" s="1"/>
  <c r="L259" i="10"/>
  <c r="M259" i="10" s="1"/>
  <c r="L96" i="8"/>
  <c r="M96" i="8" s="1"/>
  <c r="Z96" i="8"/>
  <c r="AA96" i="8" s="1"/>
  <c r="AN96" i="8"/>
  <c r="AO96" i="8" s="1"/>
  <c r="Z264" i="9"/>
  <c r="AA264" i="9" s="1"/>
  <c r="AN264" i="9"/>
  <c r="AO264" i="9" s="1"/>
  <c r="L264" i="9"/>
  <c r="M264" i="9" s="1"/>
  <c r="L90" i="9"/>
  <c r="M90" i="9" s="1"/>
  <c r="Z90" i="9"/>
  <c r="AA90" i="9" s="1"/>
  <c r="AN90" i="9"/>
  <c r="AO90" i="9" s="1"/>
  <c r="AN186" i="10"/>
  <c r="AO186" i="10" s="1"/>
  <c r="Z186" i="10"/>
  <c r="AA186" i="10" s="1"/>
  <c r="L186" i="10"/>
  <c r="M186" i="10" s="1"/>
  <c r="Z250" i="8"/>
  <c r="AA250" i="8" s="1"/>
  <c r="AN250" i="8"/>
  <c r="AO250" i="8" s="1"/>
  <c r="L250" i="8"/>
  <c r="M250" i="8" s="1"/>
  <c r="AN342" i="9"/>
  <c r="AO342" i="9" s="1"/>
  <c r="L342" i="9"/>
  <c r="M342" i="9" s="1"/>
  <c r="Z342" i="9"/>
  <c r="AA342" i="9" s="1"/>
  <c r="Z191" i="10"/>
  <c r="AA191" i="10" s="1"/>
  <c r="AN191" i="10"/>
  <c r="AO191" i="10" s="1"/>
  <c r="L191" i="10"/>
  <c r="M191" i="10" s="1"/>
  <c r="L319" i="8"/>
  <c r="M319" i="8" s="1"/>
  <c r="Z319" i="8"/>
  <c r="AA319" i="8" s="1"/>
  <c r="AN319" i="8"/>
  <c r="AO319" i="8" s="1"/>
  <c r="L161" i="9"/>
  <c r="M161" i="9" s="1"/>
  <c r="Z161" i="9"/>
  <c r="AA161" i="9" s="1"/>
  <c r="AN161" i="9"/>
  <c r="AO161" i="9" s="1"/>
  <c r="AN353" i="10"/>
  <c r="AO353" i="10" s="1"/>
  <c r="L353" i="10"/>
  <c r="M353" i="10" s="1"/>
  <c r="Z353" i="10"/>
  <c r="AA353" i="10" s="1"/>
  <c r="L101" i="9"/>
  <c r="M101" i="9" s="1"/>
  <c r="Z101" i="9"/>
  <c r="AA101" i="9" s="1"/>
  <c r="AN101" i="9"/>
  <c r="AO101" i="9" s="1"/>
  <c r="AN293" i="10"/>
  <c r="AO293" i="10" s="1"/>
  <c r="L293" i="10"/>
  <c r="M293" i="10" s="1"/>
  <c r="Z293" i="10"/>
  <c r="AA293" i="10" s="1"/>
  <c r="L169" i="8"/>
  <c r="M169" i="8" s="1"/>
  <c r="Z169" i="8"/>
  <c r="AA169" i="8" s="1"/>
  <c r="AN169" i="8"/>
  <c r="AO169" i="8" s="1"/>
  <c r="AN377" i="9"/>
  <c r="AO377" i="9" s="1"/>
  <c r="L377" i="9"/>
  <c r="M377" i="9" s="1"/>
  <c r="Z377" i="9"/>
  <c r="AA377" i="9" s="1"/>
  <c r="AN393" i="10"/>
  <c r="AO393" i="10" s="1"/>
  <c r="L393" i="10"/>
  <c r="M393" i="10" s="1"/>
  <c r="Z393" i="10"/>
  <c r="AA393" i="10" s="1"/>
  <c r="Z94" i="10"/>
  <c r="AA94" i="10" s="1"/>
  <c r="L94" i="10"/>
  <c r="M94" i="10" s="1"/>
  <c r="AN94" i="10"/>
  <c r="AO94" i="10" s="1"/>
  <c r="Z413" i="8"/>
  <c r="AA413" i="8" s="1"/>
  <c r="AN413" i="8"/>
  <c r="AO413" i="8" s="1"/>
  <c r="L413" i="8"/>
  <c r="M413" i="8" s="1"/>
  <c r="L375" i="9"/>
  <c r="M375" i="9" s="1"/>
  <c r="Z375" i="9"/>
  <c r="AA375" i="9" s="1"/>
  <c r="AN375" i="9"/>
  <c r="AO375" i="9" s="1"/>
  <c r="L346" i="10"/>
  <c r="M346" i="10" s="1"/>
  <c r="Z346" i="10"/>
  <c r="AA346" i="10" s="1"/>
  <c r="AN346" i="10"/>
  <c r="AO346" i="10" s="1"/>
  <c r="L350" i="8"/>
  <c r="M350" i="8" s="1"/>
  <c r="Z350" i="8"/>
  <c r="AA350" i="8" s="1"/>
  <c r="AN350" i="8"/>
  <c r="AO350" i="8" s="1"/>
  <c r="Z126" i="9"/>
  <c r="AA126" i="9" s="1"/>
  <c r="AN126" i="9"/>
  <c r="AO126" i="9" s="1"/>
  <c r="L126" i="9"/>
  <c r="M126" i="9" s="1"/>
  <c r="L135" i="8"/>
  <c r="M135" i="8" s="1"/>
  <c r="Z135" i="8"/>
  <c r="AA135" i="8" s="1"/>
  <c r="AN135" i="8"/>
  <c r="AO135" i="8" s="1"/>
  <c r="L327" i="9"/>
  <c r="M327" i="9" s="1"/>
  <c r="Z327" i="9"/>
  <c r="AA327" i="9" s="1"/>
  <c r="AN327" i="9"/>
  <c r="AO327" i="9" s="1"/>
  <c r="L109" i="9"/>
  <c r="M109" i="9" s="1"/>
  <c r="Z109" i="9"/>
  <c r="AA109" i="9" s="1"/>
  <c r="AN109" i="9"/>
  <c r="AO109" i="9" s="1"/>
  <c r="AN301" i="10"/>
  <c r="AO301" i="10" s="1"/>
  <c r="L301" i="10"/>
  <c r="M301" i="10" s="1"/>
  <c r="Z301" i="10"/>
  <c r="AA301" i="10" s="1"/>
  <c r="L383" i="8"/>
  <c r="M383" i="8" s="1"/>
  <c r="Z383" i="8"/>
  <c r="AA383" i="8" s="1"/>
  <c r="AN383" i="8"/>
  <c r="AO383" i="8" s="1"/>
  <c r="L418" i="9"/>
  <c r="M418" i="9" s="1"/>
  <c r="Z418" i="9"/>
  <c r="AA418" i="9" s="1"/>
  <c r="AN418" i="9"/>
  <c r="AO418" i="9" s="1"/>
  <c r="AN29" i="10"/>
  <c r="AO29" i="10" s="1"/>
  <c r="L29" i="10"/>
  <c r="M29" i="10" s="1"/>
  <c r="Z29" i="10"/>
  <c r="AA29" i="10" s="1"/>
  <c r="AN262" i="9"/>
  <c r="AO262" i="9" s="1"/>
  <c r="Z262" i="9"/>
  <c r="AA262" i="9" s="1"/>
  <c r="L262" i="9"/>
  <c r="M262" i="9" s="1"/>
  <c r="L381" i="10"/>
  <c r="M381" i="10" s="1"/>
  <c r="AN381" i="10"/>
  <c r="AO381" i="10" s="1"/>
  <c r="Z381" i="10"/>
  <c r="AA381" i="10" s="1"/>
  <c r="L286" i="8"/>
  <c r="M286" i="8" s="1"/>
  <c r="Z286" i="8"/>
  <c r="AA286" i="8" s="1"/>
  <c r="AN286" i="8"/>
  <c r="AO286" i="8" s="1"/>
  <c r="L405" i="9"/>
  <c r="M405" i="9" s="1"/>
  <c r="Z405" i="9"/>
  <c r="AA405" i="9" s="1"/>
  <c r="AN405" i="9"/>
  <c r="AO405" i="9" s="1"/>
  <c r="AN45" i="10"/>
  <c r="AO45" i="10" s="1"/>
  <c r="L45" i="10"/>
  <c r="M45" i="10" s="1"/>
  <c r="Z45" i="10"/>
  <c r="AA45" i="10" s="1"/>
  <c r="L115" i="8"/>
  <c r="M115" i="8" s="1"/>
  <c r="Z115" i="8"/>
  <c r="AA115" i="8" s="1"/>
  <c r="AN115" i="8"/>
  <c r="AO115" i="8" s="1"/>
  <c r="AN331" i="9"/>
  <c r="AO331" i="9" s="1"/>
  <c r="L331" i="9"/>
  <c r="M331" i="9" s="1"/>
  <c r="Z331" i="9"/>
  <c r="AA331" i="9" s="1"/>
  <c r="L208" i="10"/>
  <c r="M208" i="10" s="1"/>
  <c r="Z208" i="10"/>
  <c r="AA208" i="10" s="1"/>
  <c r="AN208" i="10"/>
  <c r="AO208" i="10" s="1"/>
  <c r="AN336" i="8"/>
  <c r="AO336" i="8" s="1"/>
  <c r="L336" i="8"/>
  <c r="M336" i="8" s="1"/>
  <c r="Z336" i="8"/>
  <c r="AA336" i="8" s="1"/>
  <c r="L367" i="9"/>
  <c r="M367" i="9" s="1"/>
  <c r="Z367" i="9"/>
  <c r="AA367" i="9" s="1"/>
  <c r="AN367" i="9"/>
  <c r="AO367" i="9" s="1"/>
  <c r="L366" i="10"/>
  <c r="M366" i="10" s="1"/>
  <c r="Z366" i="10"/>
  <c r="AA366" i="10" s="1"/>
  <c r="AN366" i="10"/>
  <c r="AO366" i="10" s="1"/>
  <c r="Z300" i="9" l="1"/>
  <c r="AA300" i="9" s="1"/>
  <c r="Y300" i="9" s="1"/>
  <c r="AC300" i="9" s="1"/>
  <c r="AN300" i="9"/>
  <c r="AO300" i="9" s="1"/>
  <c r="AM300" i="9" s="1"/>
  <c r="AQ300" i="9" s="1"/>
  <c r="L300" i="9"/>
  <c r="M300" i="9" s="1"/>
  <c r="K300" i="9" s="1"/>
  <c r="O300" i="9" s="1"/>
  <c r="L300" i="10"/>
  <c r="M300" i="10" s="1"/>
  <c r="K300" i="10" s="1"/>
  <c r="O300" i="10" s="1"/>
  <c r="Z300" i="10"/>
  <c r="AA300" i="10" s="1"/>
  <c r="Y300" i="10" s="1"/>
  <c r="AC300" i="10" s="1"/>
  <c r="AN300" i="10"/>
  <c r="AO300" i="10" s="1"/>
  <c r="AM300" i="10" s="1"/>
  <c r="AQ300" i="10" s="1"/>
  <c r="L300" i="8"/>
  <c r="M300" i="8" s="1"/>
  <c r="K300" i="8" s="1"/>
  <c r="Z300" i="8"/>
  <c r="AA300" i="8" s="1"/>
  <c r="Y300" i="8" s="1"/>
  <c r="AN300" i="8"/>
  <c r="AO300" i="8" s="1"/>
  <c r="AM300" i="8" s="1"/>
  <c r="L148" i="8"/>
  <c r="M148" i="8" s="1"/>
  <c r="Z148" i="8"/>
  <c r="AA148" i="8" s="1"/>
  <c r="AN148" i="8"/>
  <c r="AO148" i="8" s="1"/>
  <c r="L276" i="9"/>
  <c r="M276" i="9" s="1"/>
  <c r="Z276" i="9"/>
  <c r="AA276" i="9" s="1"/>
  <c r="AN276" i="9"/>
  <c r="AO276" i="9" s="1"/>
  <c r="Z148" i="9"/>
  <c r="AA148" i="9" s="1"/>
  <c r="AN148" i="9"/>
  <c r="AO148" i="9" s="1"/>
  <c r="L148" i="9"/>
  <c r="M148" i="9" s="1"/>
  <c r="L276" i="10"/>
  <c r="M276" i="10" s="1"/>
  <c r="AN276" i="10"/>
  <c r="AO276" i="10" s="1"/>
  <c r="Z276" i="10"/>
  <c r="AA276" i="10" s="1"/>
  <c r="L148" i="10"/>
  <c r="M148" i="10" s="1"/>
  <c r="Z148" i="10"/>
  <c r="AA148" i="10" s="1"/>
  <c r="AN148" i="10"/>
  <c r="AO148" i="10" s="1"/>
  <c r="L276" i="8"/>
  <c r="M276" i="8" s="1"/>
  <c r="Z276" i="8"/>
  <c r="AA276" i="8" s="1"/>
  <c r="AN276" i="8"/>
  <c r="AO276" i="8" s="1"/>
  <c r="L38" i="8"/>
  <c r="M38" i="8" s="1"/>
  <c r="Z38" i="8"/>
  <c r="AA38" i="8" s="1"/>
  <c r="AN38" i="8"/>
  <c r="AO38" i="8" s="1"/>
  <c r="L38" i="9"/>
  <c r="M38" i="9" s="1"/>
  <c r="Z38" i="9"/>
  <c r="AA38" i="9" s="1"/>
  <c r="AN38" i="9"/>
  <c r="AO38" i="9" s="1"/>
  <c r="Z38" i="10"/>
  <c r="AA38" i="10" s="1"/>
  <c r="AN38" i="10"/>
  <c r="AO38" i="10" s="1"/>
  <c r="L38" i="10"/>
  <c r="M38" i="10" s="1"/>
  <c r="Y405" i="9"/>
  <c r="AC405" i="9" s="1"/>
  <c r="AM155" i="8"/>
  <c r="AM330" i="9"/>
  <c r="AQ330" i="9" s="1"/>
  <c r="AM245" i="8"/>
  <c r="Y90" i="8"/>
  <c r="AM315" i="10"/>
  <c r="AQ315" i="10" s="1"/>
  <c r="Z392" i="10"/>
  <c r="AA392" i="10" s="1"/>
  <c r="L392" i="10"/>
  <c r="M392" i="10" s="1"/>
  <c r="AN392" i="10"/>
  <c r="AO392" i="10" s="1"/>
  <c r="Y310" i="10"/>
  <c r="AC310" i="10" s="1"/>
  <c r="K165" i="10"/>
  <c r="O165" i="10" s="1"/>
  <c r="AM235" i="9"/>
  <c r="AQ235" i="9" s="1"/>
  <c r="Y95" i="10"/>
  <c r="AC95" i="10" s="1"/>
  <c r="AM95" i="9"/>
  <c r="AQ95" i="9" s="1"/>
  <c r="K150" i="10"/>
  <c r="O150" i="10" s="1"/>
  <c r="K155" i="9"/>
  <c r="O155" i="9" s="1"/>
  <c r="K40" i="8"/>
  <c r="Y225" i="8"/>
  <c r="K115" i="8"/>
  <c r="K405" i="9"/>
  <c r="O405" i="9" s="1"/>
  <c r="AM90" i="9"/>
  <c r="AQ90" i="9" s="1"/>
  <c r="K150" i="9"/>
  <c r="O150" i="9" s="1"/>
  <c r="K195" i="10"/>
  <c r="O195" i="10" s="1"/>
  <c r="AM370" i="8"/>
  <c r="AM25" i="10"/>
  <c r="AQ25" i="10" s="1"/>
  <c r="K325" i="10"/>
  <c r="O325" i="10" s="1"/>
  <c r="Y330" i="9"/>
  <c r="AC330" i="9" s="1"/>
  <c r="Y170" i="10"/>
  <c r="AC170" i="10" s="1"/>
  <c r="Z189" i="8"/>
  <c r="AA189" i="8" s="1"/>
  <c r="AN189" i="8"/>
  <c r="AO189" i="8" s="1"/>
  <c r="L189" i="8"/>
  <c r="M189" i="8" s="1"/>
  <c r="K120" i="10"/>
  <c r="O120" i="10" s="1"/>
  <c r="Y245" i="8"/>
  <c r="AM305" i="8"/>
  <c r="AM335" i="9"/>
  <c r="AQ335" i="9" s="1"/>
  <c r="AM90" i="10"/>
  <c r="AQ90" i="10" s="1"/>
  <c r="AM280" i="9"/>
  <c r="AQ280" i="9" s="1"/>
  <c r="Y405" i="8"/>
  <c r="K90" i="8"/>
  <c r="K345" i="10"/>
  <c r="O345" i="10" s="1"/>
  <c r="AM150" i="8"/>
  <c r="Y315" i="10"/>
  <c r="AC315" i="10" s="1"/>
  <c r="AM325" i="9"/>
  <c r="AQ325" i="9" s="1"/>
  <c r="K170" i="9"/>
  <c r="O170" i="9" s="1"/>
  <c r="AM290" i="9"/>
  <c r="AQ290" i="9" s="1"/>
  <c r="K310" i="10"/>
  <c r="O310" i="10" s="1"/>
  <c r="K270" i="10"/>
  <c r="O270" i="10" s="1"/>
  <c r="K365" i="10"/>
  <c r="O365" i="10" s="1"/>
  <c r="AN372" i="9"/>
  <c r="AO372" i="9" s="1"/>
  <c r="L372" i="9"/>
  <c r="M372" i="9" s="1"/>
  <c r="Z372" i="9"/>
  <c r="AA372" i="9" s="1"/>
  <c r="K225" i="10"/>
  <c r="O225" i="10" s="1"/>
  <c r="AM85" i="9"/>
  <c r="AQ85" i="9" s="1"/>
  <c r="Y235" i="9"/>
  <c r="AC235" i="9" s="1"/>
  <c r="K325" i="8"/>
  <c r="K95" i="10"/>
  <c r="O95" i="10" s="1"/>
  <c r="AM120" i="8"/>
  <c r="Y335" i="10"/>
  <c r="AC335" i="10" s="1"/>
  <c r="K290" i="8"/>
  <c r="K130" i="9"/>
  <c r="O130" i="9" s="1"/>
  <c r="Y215" i="10"/>
  <c r="AC215" i="10" s="1"/>
  <c r="AM250" i="9"/>
  <c r="AQ250" i="9" s="1"/>
  <c r="Y245" i="9"/>
  <c r="AC245" i="9" s="1"/>
  <c r="AM105" i="10"/>
  <c r="AQ105" i="10" s="1"/>
  <c r="Y225" i="9"/>
  <c r="AC225" i="9" s="1"/>
  <c r="K315" i="8"/>
  <c r="Y235" i="8"/>
  <c r="K230" i="9"/>
  <c r="O230" i="9" s="1"/>
  <c r="K355" i="10"/>
  <c r="O355" i="10" s="1"/>
  <c r="AM150" i="10"/>
  <c r="AQ150" i="10" s="1"/>
  <c r="K365" i="8"/>
  <c r="K225" i="8"/>
  <c r="AM175" i="10"/>
  <c r="AQ175" i="10" s="1"/>
  <c r="Y80" i="10"/>
  <c r="AC80" i="10" s="1"/>
  <c r="Y30" i="10"/>
  <c r="AC30" i="10" s="1"/>
  <c r="AN384" i="8"/>
  <c r="AO384" i="8" s="1"/>
  <c r="L384" i="8"/>
  <c r="M384" i="8" s="1"/>
  <c r="Z384" i="8"/>
  <c r="AA384" i="8" s="1"/>
  <c r="L423" i="8"/>
  <c r="M423" i="8" s="1"/>
  <c r="Z423" i="8"/>
  <c r="AA423" i="8" s="1"/>
  <c r="AN423" i="8"/>
  <c r="AO423" i="8" s="1"/>
  <c r="K75" i="9"/>
  <c r="O75" i="9" s="1"/>
  <c r="Y230" i="8"/>
  <c r="Y190" i="10"/>
  <c r="AC190" i="10" s="1"/>
  <c r="Y395" i="8"/>
  <c r="K255" i="8"/>
  <c r="L386" i="10"/>
  <c r="M386" i="10" s="1"/>
  <c r="AN386" i="10"/>
  <c r="AO386" i="10" s="1"/>
  <c r="Z386" i="10"/>
  <c r="AA386" i="10" s="1"/>
  <c r="AM30" i="9"/>
  <c r="AQ30" i="9" s="1"/>
  <c r="Y240" i="10"/>
  <c r="AC240" i="10" s="1"/>
  <c r="E21" i="7"/>
  <c r="Y65" i="8"/>
  <c r="Y410" i="8"/>
  <c r="K185" i="10"/>
  <c r="O185" i="10" s="1"/>
  <c r="K215" i="8"/>
  <c r="K190" i="8"/>
  <c r="K390" i="8"/>
  <c r="K350" i="9"/>
  <c r="O350" i="9" s="1"/>
  <c r="K240" i="8"/>
  <c r="Y330" i="10"/>
  <c r="AC330" i="10" s="1"/>
  <c r="Y185" i="8"/>
  <c r="K385" i="9"/>
  <c r="O385" i="9" s="1"/>
  <c r="AM160" i="9"/>
  <c r="AQ160" i="9" s="1"/>
  <c r="Y115" i="10"/>
  <c r="AC115" i="10" s="1"/>
  <c r="K200" i="8"/>
  <c r="AM175" i="8"/>
  <c r="AM80" i="8"/>
  <c r="K205" i="9"/>
  <c r="O205" i="9" s="1"/>
  <c r="K245" i="10"/>
  <c r="O245" i="10" s="1"/>
  <c r="AN404" i="9"/>
  <c r="AO404" i="9" s="1"/>
  <c r="L404" i="9"/>
  <c r="M404" i="9" s="1"/>
  <c r="Z404" i="9"/>
  <c r="AA404" i="9" s="1"/>
  <c r="AM65" i="9"/>
  <c r="AQ65" i="9" s="1"/>
  <c r="AM410" i="9"/>
  <c r="AQ410" i="9" s="1"/>
  <c r="K230" i="8"/>
  <c r="Y385" i="10"/>
  <c r="AC385" i="10" s="1"/>
  <c r="K190" i="10"/>
  <c r="O190" i="10" s="1"/>
  <c r="K395" i="8"/>
  <c r="AM80" i="9"/>
  <c r="AQ80" i="9" s="1"/>
  <c r="Y265" i="9"/>
  <c r="AC265" i="9" s="1"/>
  <c r="Y30" i="9"/>
  <c r="AC30" i="9" s="1"/>
  <c r="AM110" i="8"/>
  <c r="E23" i="7"/>
  <c r="K65" i="8"/>
  <c r="AM340" i="9"/>
  <c r="AQ340" i="9" s="1"/>
  <c r="Y405" i="10"/>
  <c r="AC405" i="10" s="1"/>
  <c r="AM350" i="9"/>
  <c r="AQ350" i="9" s="1"/>
  <c r="AM240" i="8"/>
  <c r="K330" i="10"/>
  <c r="O330" i="10" s="1"/>
  <c r="K185" i="8"/>
  <c r="AM385" i="9"/>
  <c r="AQ385" i="9" s="1"/>
  <c r="Y160" i="9"/>
  <c r="AC160" i="9" s="1"/>
  <c r="K115" i="10"/>
  <c r="O115" i="10" s="1"/>
  <c r="AM250" i="10"/>
  <c r="AQ250" i="10" s="1"/>
  <c r="AM200" i="8"/>
  <c r="Y175" i="8"/>
  <c r="AM210" i="9"/>
  <c r="AQ210" i="9" s="1"/>
  <c r="Y80" i="8"/>
  <c r="AM370" i="10"/>
  <c r="AQ370" i="10" s="1"/>
  <c r="AM265" i="8"/>
  <c r="AM30" i="8"/>
  <c r="AM240" i="9"/>
  <c r="AQ240" i="9" s="1"/>
  <c r="L422" i="8"/>
  <c r="M422" i="8" s="1"/>
  <c r="Z422" i="8"/>
  <c r="AA422" i="8" s="1"/>
  <c r="AN422" i="8"/>
  <c r="AO422" i="8" s="1"/>
  <c r="AN404" i="10"/>
  <c r="AO404" i="10" s="1"/>
  <c r="L404" i="10"/>
  <c r="M404" i="10" s="1"/>
  <c r="Z404" i="10"/>
  <c r="AA404" i="10" s="1"/>
  <c r="Y90" i="9"/>
  <c r="AC90" i="9" s="1"/>
  <c r="AM120" i="10"/>
  <c r="AQ120" i="10" s="1"/>
  <c r="Y305" i="8"/>
  <c r="Y280" i="9"/>
  <c r="AC280" i="9" s="1"/>
  <c r="AM345" i="10"/>
  <c r="AQ345" i="10" s="1"/>
  <c r="K330" i="8"/>
  <c r="AM310" i="10"/>
  <c r="AQ310" i="10" s="1"/>
  <c r="Y85" i="9"/>
  <c r="AC85" i="9" s="1"/>
  <c r="AM95" i="10"/>
  <c r="AQ95" i="10" s="1"/>
  <c r="K335" i="10"/>
  <c r="O335" i="10" s="1"/>
  <c r="K235" i="8"/>
  <c r="AM355" i="10"/>
  <c r="AQ355" i="10" s="1"/>
  <c r="AM365" i="8"/>
  <c r="AM255" i="9"/>
  <c r="AQ255" i="9" s="1"/>
  <c r="Y175" i="10"/>
  <c r="AC175" i="10" s="1"/>
  <c r="AM80" i="10"/>
  <c r="AQ80" i="10" s="1"/>
  <c r="K30" i="10"/>
  <c r="O30" i="10" s="1"/>
  <c r="L384" i="9"/>
  <c r="M384" i="9" s="1"/>
  <c r="Z384" i="9"/>
  <c r="AA384" i="9" s="1"/>
  <c r="AN384" i="9"/>
  <c r="AO384" i="9" s="1"/>
  <c r="L423" i="9"/>
  <c r="M423" i="9" s="1"/>
  <c r="Z423" i="9"/>
  <c r="AA423" i="9" s="1"/>
  <c r="AN423" i="9"/>
  <c r="AO423" i="9" s="1"/>
  <c r="K45" i="10"/>
  <c r="O45" i="10" s="1"/>
  <c r="K250" i="8"/>
  <c r="K90" i="9"/>
  <c r="O90" i="9" s="1"/>
  <c r="K25" i="10"/>
  <c r="O25" i="10" s="1"/>
  <c r="AN189" i="10"/>
  <c r="AO189" i="10" s="1"/>
  <c r="L189" i="10"/>
  <c r="M189" i="10" s="1"/>
  <c r="Z189" i="10"/>
  <c r="AA189" i="10" s="1"/>
  <c r="Y120" i="10"/>
  <c r="AC120" i="10" s="1"/>
  <c r="K280" i="8"/>
  <c r="K305" i="8"/>
  <c r="K335" i="9"/>
  <c r="O335" i="9" s="1"/>
  <c r="Y90" i="10"/>
  <c r="AC90" i="10" s="1"/>
  <c r="K360" i="10"/>
  <c r="O360" i="10" s="1"/>
  <c r="Y345" i="10"/>
  <c r="AC345" i="10" s="1"/>
  <c r="K150" i="8"/>
  <c r="AM195" i="9"/>
  <c r="AQ195" i="9" s="1"/>
  <c r="AM235" i="10"/>
  <c r="AQ235" i="10" s="1"/>
  <c r="AM330" i="8"/>
  <c r="Y120" i="9"/>
  <c r="AC120" i="9" s="1"/>
  <c r="K290" i="9"/>
  <c r="O290" i="9" s="1"/>
  <c r="AM370" i="9"/>
  <c r="AQ370" i="9" s="1"/>
  <c r="Z379" i="9"/>
  <c r="AA379" i="9" s="1"/>
  <c r="AN379" i="9"/>
  <c r="AO379" i="9" s="1"/>
  <c r="L379" i="9"/>
  <c r="M379" i="9" s="1"/>
  <c r="AM40" i="10"/>
  <c r="AQ40" i="10" s="1"/>
  <c r="Y345" i="9"/>
  <c r="AC345" i="9" s="1"/>
  <c r="K85" i="9"/>
  <c r="O85" i="9" s="1"/>
  <c r="Y325" i="8"/>
  <c r="K170" i="8"/>
  <c r="K120" i="8"/>
  <c r="AM335" i="10"/>
  <c r="AQ335" i="10" s="1"/>
  <c r="Y290" i="8"/>
  <c r="K250" i="9"/>
  <c r="O250" i="9" s="1"/>
  <c r="Y270" i="9"/>
  <c r="AC270" i="9" s="1"/>
  <c r="Y400" i="8"/>
  <c r="K105" i="10"/>
  <c r="O105" i="10" s="1"/>
  <c r="AM225" i="9"/>
  <c r="AQ225" i="9" s="1"/>
  <c r="K255" i="10"/>
  <c r="O255" i="10" s="1"/>
  <c r="Y345" i="8"/>
  <c r="AM145" i="10"/>
  <c r="AQ145" i="10" s="1"/>
  <c r="AM235" i="8"/>
  <c r="K65" i="10"/>
  <c r="O65" i="10" s="1"/>
  <c r="Y125" i="8"/>
  <c r="Y230" i="9"/>
  <c r="AC230" i="9" s="1"/>
  <c r="Y355" i="10"/>
  <c r="AC355" i="10" s="1"/>
  <c r="Y365" i="8"/>
  <c r="K105" i="9"/>
  <c r="O105" i="9" s="1"/>
  <c r="Y255" i="9"/>
  <c r="AC255" i="9" s="1"/>
  <c r="Y200" i="10"/>
  <c r="AC200" i="10" s="1"/>
  <c r="K175" i="10"/>
  <c r="O175" i="10" s="1"/>
  <c r="K80" i="10"/>
  <c r="O80" i="10" s="1"/>
  <c r="Y265" i="10"/>
  <c r="AC265" i="10" s="1"/>
  <c r="K295" i="10"/>
  <c r="O295" i="10" s="1"/>
  <c r="Z384" i="10"/>
  <c r="AA384" i="10" s="1"/>
  <c r="L384" i="10"/>
  <c r="M384" i="10" s="1"/>
  <c r="AN384" i="10"/>
  <c r="AO384" i="10" s="1"/>
  <c r="L423" i="10"/>
  <c r="M423" i="10" s="1"/>
  <c r="Z423" i="10"/>
  <c r="AA423" i="10" s="1"/>
  <c r="AN423" i="10"/>
  <c r="AO423" i="10" s="1"/>
  <c r="Y65" i="9"/>
  <c r="AC65" i="9" s="1"/>
  <c r="K95" i="8"/>
  <c r="Y410" i="9"/>
  <c r="AC410" i="9" s="1"/>
  <c r="AM215" i="9"/>
  <c r="AQ215" i="9" s="1"/>
  <c r="K275" i="10"/>
  <c r="O275" i="10" s="1"/>
  <c r="AM385" i="8"/>
  <c r="K385" i="10"/>
  <c r="O385" i="10" s="1"/>
  <c r="AM395" i="8"/>
  <c r="AM105" i="8"/>
  <c r="AM145" i="8"/>
  <c r="Y80" i="9"/>
  <c r="AC80" i="9" s="1"/>
  <c r="K265" i="9"/>
  <c r="O265" i="9" s="1"/>
  <c r="K30" i="9"/>
  <c r="O30" i="9" s="1"/>
  <c r="Y110" i="8"/>
  <c r="Y340" i="9"/>
  <c r="AC340" i="9" s="1"/>
  <c r="K405" i="10"/>
  <c r="O405" i="10" s="1"/>
  <c r="K375" i="10"/>
  <c r="O375" i="10" s="1"/>
  <c r="AM330" i="10"/>
  <c r="AQ330" i="10" s="1"/>
  <c r="K160" i="9"/>
  <c r="O160" i="9" s="1"/>
  <c r="AM115" i="10"/>
  <c r="AQ115" i="10" s="1"/>
  <c r="AM135" i="10"/>
  <c r="AQ135" i="10" s="1"/>
  <c r="Y250" i="10"/>
  <c r="AC250" i="10" s="1"/>
  <c r="K285" i="8"/>
  <c r="K175" i="8"/>
  <c r="Y210" i="9"/>
  <c r="AC210" i="9" s="1"/>
  <c r="K80" i="8"/>
  <c r="K370" i="10"/>
  <c r="O370" i="10" s="1"/>
  <c r="Y265" i="8"/>
  <c r="Y30" i="8"/>
  <c r="Y240" i="9"/>
  <c r="AC240" i="9" s="1"/>
  <c r="Z422" i="9"/>
  <c r="AA422" i="9" s="1"/>
  <c r="AN422" i="9"/>
  <c r="AO422" i="9" s="1"/>
  <c r="L422" i="9"/>
  <c r="M422" i="9" s="1"/>
  <c r="Y275" i="8"/>
  <c r="AM90" i="8"/>
  <c r="K195" i="9"/>
  <c r="O195" i="9" s="1"/>
  <c r="Y325" i="9"/>
  <c r="AC325" i="9" s="1"/>
  <c r="AN379" i="8"/>
  <c r="AO379" i="8" s="1"/>
  <c r="L379" i="8"/>
  <c r="M379" i="8" s="1"/>
  <c r="Z379" i="8"/>
  <c r="AA379" i="8" s="1"/>
  <c r="AM325" i="8"/>
  <c r="Y250" i="9"/>
  <c r="AC250" i="9" s="1"/>
  <c r="K245" i="9"/>
  <c r="O245" i="9" s="1"/>
  <c r="Y105" i="10"/>
  <c r="AC105" i="10" s="1"/>
  <c r="AM345" i="8"/>
  <c r="AM45" i="10"/>
  <c r="AQ45" i="10" s="1"/>
  <c r="AM135" i="8"/>
  <c r="AM375" i="9"/>
  <c r="AQ375" i="9" s="1"/>
  <c r="K55" i="8"/>
  <c r="Y320" i="8"/>
  <c r="AN408" i="8"/>
  <c r="AO408" i="8" s="1"/>
  <c r="L408" i="8"/>
  <c r="M408" i="8" s="1"/>
  <c r="Z408" i="8"/>
  <c r="AA408" i="8" s="1"/>
  <c r="K205" i="8"/>
  <c r="Y400" i="10"/>
  <c r="AC400" i="10" s="1"/>
  <c r="Y195" i="9"/>
  <c r="AC195" i="9" s="1"/>
  <c r="Y235" i="10"/>
  <c r="AC235" i="10" s="1"/>
  <c r="Y330" i="8"/>
  <c r="K125" i="10"/>
  <c r="O125" i="10" s="1"/>
  <c r="K120" i="9"/>
  <c r="O120" i="9" s="1"/>
  <c r="Y370" i="9"/>
  <c r="AC370" i="9" s="1"/>
  <c r="Z379" i="10"/>
  <c r="AA379" i="10" s="1"/>
  <c r="L379" i="10"/>
  <c r="M379" i="10" s="1"/>
  <c r="AN379" i="10"/>
  <c r="AO379" i="10" s="1"/>
  <c r="AM400" i="9"/>
  <c r="AQ400" i="9" s="1"/>
  <c r="Y40" i="10"/>
  <c r="AC40" i="10" s="1"/>
  <c r="K345" i="9"/>
  <c r="O345" i="9" s="1"/>
  <c r="Y315" i="9"/>
  <c r="AC315" i="9" s="1"/>
  <c r="AM25" i="8"/>
  <c r="AM170" i="8"/>
  <c r="Y230" i="10"/>
  <c r="AC230" i="10" s="1"/>
  <c r="L391" i="8"/>
  <c r="M391" i="8" s="1"/>
  <c r="Z391" i="8"/>
  <c r="AA391" i="8" s="1"/>
  <c r="AN391" i="8"/>
  <c r="AO391" i="8" s="1"/>
  <c r="K270" i="9"/>
  <c r="O270" i="9" s="1"/>
  <c r="K365" i="9"/>
  <c r="O365" i="9" s="1"/>
  <c r="K400" i="8"/>
  <c r="K395" i="10"/>
  <c r="O395" i="10" s="1"/>
  <c r="Y40" i="9"/>
  <c r="AC40" i="9" s="1"/>
  <c r="Y165" i="9"/>
  <c r="AC165" i="9" s="1"/>
  <c r="AM255" i="10"/>
  <c r="AQ255" i="10" s="1"/>
  <c r="K345" i="8"/>
  <c r="Y85" i="8"/>
  <c r="Y145" i="10"/>
  <c r="AC145" i="10" s="1"/>
  <c r="Y110" i="10"/>
  <c r="AC110" i="10" s="1"/>
  <c r="AM65" i="10"/>
  <c r="AQ65" i="10" s="1"/>
  <c r="K125" i="8"/>
  <c r="AM270" i="8"/>
  <c r="AM105" i="9"/>
  <c r="AQ105" i="9" s="1"/>
  <c r="K165" i="8"/>
  <c r="K255" i="9"/>
  <c r="O255" i="9" s="1"/>
  <c r="K200" i="10"/>
  <c r="O200" i="10" s="1"/>
  <c r="K265" i="10"/>
  <c r="O265" i="10" s="1"/>
  <c r="AM295" i="10"/>
  <c r="AQ295" i="10" s="1"/>
  <c r="K65" i="9"/>
  <c r="O65" i="9" s="1"/>
  <c r="AM95" i="8"/>
  <c r="K410" i="9"/>
  <c r="O410" i="9" s="1"/>
  <c r="Y215" i="9"/>
  <c r="AC215" i="9" s="1"/>
  <c r="AM335" i="8"/>
  <c r="AM275" i="10"/>
  <c r="AQ275" i="10" s="1"/>
  <c r="Y385" i="8"/>
  <c r="K135" i="9"/>
  <c r="O135" i="9" s="1"/>
  <c r="AM385" i="10"/>
  <c r="AQ385" i="10" s="1"/>
  <c r="Y105" i="8"/>
  <c r="AM200" i="9"/>
  <c r="AQ200" i="9" s="1"/>
  <c r="AM285" i="9"/>
  <c r="AQ285" i="9" s="1"/>
  <c r="Y145" i="8"/>
  <c r="K175" i="9"/>
  <c r="O175" i="9" s="1"/>
  <c r="K210" i="10"/>
  <c r="O210" i="10" s="1"/>
  <c r="K80" i="9"/>
  <c r="O80" i="9" s="1"/>
  <c r="AM265" i="9"/>
  <c r="AQ265" i="9" s="1"/>
  <c r="AM295" i="9"/>
  <c r="AQ295" i="9" s="1"/>
  <c r="K110" i="8"/>
  <c r="E20" i="7"/>
  <c r="AM75" i="8"/>
  <c r="AN403" i="8"/>
  <c r="AO403" i="8" s="1"/>
  <c r="L403" i="8"/>
  <c r="M403" i="8" s="1"/>
  <c r="Z403" i="8"/>
  <c r="AA403" i="8" s="1"/>
  <c r="K340" i="9"/>
  <c r="O340" i="9" s="1"/>
  <c r="Z402" i="8"/>
  <c r="AA402" i="8" s="1"/>
  <c r="AN402" i="8"/>
  <c r="AO402" i="8" s="1"/>
  <c r="L402" i="8"/>
  <c r="M402" i="8" s="1"/>
  <c r="AM115" i="9"/>
  <c r="AQ115" i="9" s="1"/>
  <c r="AM405" i="10"/>
  <c r="AQ405" i="10" s="1"/>
  <c r="AM375" i="10"/>
  <c r="AQ375" i="10" s="1"/>
  <c r="AM190" i="9"/>
  <c r="AQ190" i="9" s="1"/>
  <c r="Y135" i="10"/>
  <c r="AC135" i="10" s="1"/>
  <c r="K250" i="10"/>
  <c r="O250" i="10" s="1"/>
  <c r="AM285" i="8"/>
  <c r="K210" i="9"/>
  <c r="O210" i="9" s="1"/>
  <c r="Y370" i="10"/>
  <c r="AC370" i="10" s="1"/>
  <c r="K265" i="8"/>
  <c r="K30" i="8"/>
  <c r="K240" i="9"/>
  <c r="O240" i="9" s="1"/>
  <c r="AN422" i="10"/>
  <c r="AO422" i="10" s="1"/>
  <c r="L422" i="10"/>
  <c r="M422" i="10" s="1"/>
  <c r="Z422" i="10"/>
  <c r="AA422" i="10" s="1"/>
  <c r="AM340" i="8"/>
  <c r="L420" i="8"/>
  <c r="M420" i="8" s="1"/>
  <c r="Z420" i="8"/>
  <c r="AA420" i="8" s="1"/>
  <c r="AN420" i="8"/>
  <c r="AO420" i="8" s="1"/>
  <c r="K275" i="8"/>
  <c r="Y45" i="10"/>
  <c r="AC45" i="10" s="1"/>
  <c r="Y25" i="10"/>
  <c r="AC25" i="10" s="1"/>
  <c r="Y335" i="9"/>
  <c r="AC335" i="9" s="1"/>
  <c r="K90" i="10"/>
  <c r="O90" i="10" s="1"/>
  <c r="Y360" i="10"/>
  <c r="AC360" i="10" s="1"/>
  <c r="Y150" i="8"/>
  <c r="K235" i="10"/>
  <c r="O235" i="10" s="1"/>
  <c r="AM170" i="9"/>
  <c r="AQ170" i="9" s="1"/>
  <c r="AM120" i="9"/>
  <c r="AQ120" i="9" s="1"/>
  <c r="Y290" i="9"/>
  <c r="AC290" i="9" s="1"/>
  <c r="AM270" i="10"/>
  <c r="AQ270" i="10" s="1"/>
  <c r="AM365" i="10"/>
  <c r="AQ365" i="10" s="1"/>
  <c r="AN372" i="10"/>
  <c r="AO372" i="10" s="1"/>
  <c r="L372" i="10"/>
  <c r="M372" i="10" s="1"/>
  <c r="Z372" i="10"/>
  <c r="AA372" i="10" s="1"/>
  <c r="AM345" i="9"/>
  <c r="AQ345" i="9" s="1"/>
  <c r="Y120" i="8"/>
  <c r="AM290" i="8"/>
  <c r="K225" i="9"/>
  <c r="O225" i="9" s="1"/>
  <c r="AM315" i="8"/>
  <c r="AM230" i="9"/>
  <c r="AQ230" i="9" s="1"/>
  <c r="AM350" i="8"/>
  <c r="AM250" i="8"/>
  <c r="AN387" i="8"/>
  <c r="AO387" i="8" s="1"/>
  <c r="L387" i="8"/>
  <c r="M387" i="8" s="1"/>
  <c r="Z387" i="8"/>
  <c r="AA387" i="8" s="1"/>
  <c r="L388" i="8"/>
  <c r="M388" i="8" s="1"/>
  <c r="Z388" i="8"/>
  <c r="AA388" i="8" s="1"/>
  <c r="AN388" i="8"/>
  <c r="AO388" i="8" s="1"/>
  <c r="AM280" i="8"/>
  <c r="K45" i="9"/>
  <c r="O45" i="9" s="1"/>
  <c r="AM360" i="10"/>
  <c r="AQ360" i="10" s="1"/>
  <c r="AM375" i="8"/>
  <c r="Y355" i="8"/>
  <c r="AM85" i="10"/>
  <c r="AQ85" i="10" s="1"/>
  <c r="Y135" i="8"/>
  <c r="Y350" i="8"/>
  <c r="Y375" i="9"/>
  <c r="AC375" i="9" s="1"/>
  <c r="Y250" i="8"/>
  <c r="Y355" i="9"/>
  <c r="AC355" i="9" s="1"/>
  <c r="AM55" i="8"/>
  <c r="K320" i="8"/>
  <c r="Z387" i="9"/>
  <c r="AA387" i="9" s="1"/>
  <c r="AN387" i="9"/>
  <c r="AO387" i="9" s="1"/>
  <c r="L387" i="9"/>
  <c r="M387" i="9" s="1"/>
  <c r="L408" i="9"/>
  <c r="M408" i="9" s="1"/>
  <c r="Z408" i="9"/>
  <c r="AA408" i="9" s="1"/>
  <c r="AN408" i="9"/>
  <c r="AO408" i="9" s="1"/>
  <c r="AN388" i="9"/>
  <c r="AO388" i="9" s="1"/>
  <c r="L388" i="9"/>
  <c r="M388" i="9" s="1"/>
  <c r="Z388" i="9"/>
  <c r="AA388" i="9" s="1"/>
  <c r="Y305" i="9"/>
  <c r="AC305" i="9" s="1"/>
  <c r="AM290" i="10"/>
  <c r="AQ290" i="10" s="1"/>
  <c r="AM205" i="8"/>
  <c r="Y305" i="10"/>
  <c r="AC305" i="10" s="1"/>
  <c r="AM45" i="9"/>
  <c r="AQ45" i="9" s="1"/>
  <c r="AM400" i="10"/>
  <c r="AQ400" i="10" s="1"/>
  <c r="Y375" i="8"/>
  <c r="K355" i="8"/>
  <c r="Y85" i="10"/>
  <c r="AC85" i="10" s="1"/>
  <c r="AM25" i="9"/>
  <c r="AQ25" i="9" s="1"/>
  <c r="AM125" i="10"/>
  <c r="AQ125" i="10" s="1"/>
  <c r="K210" i="8"/>
  <c r="K370" i="9"/>
  <c r="O370" i="9" s="1"/>
  <c r="Y45" i="8"/>
  <c r="K360" i="9"/>
  <c r="O360" i="9" s="1"/>
  <c r="Y400" i="9"/>
  <c r="AC400" i="9" s="1"/>
  <c r="K40" i="10"/>
  <c r="O40" i="10" s="1"/>
  <c r="K315" i="9"/>
  <c r="O315" i="9" s="1"/>
  <c r="Y25" i="8"/>
  <c r="Y170" i="8"/>
  <c r="K230" i="10"/>
  <c r="O230" i="10" s="1"/>
  <c r="Y410" i="10"/>
  <c r="AC410" i="10" s="1"/>
  <c r="L391" i="9"/>
  <c r="M391" i="9" s="1"/>
  <c r="Z391" i="9"/>
  <c r="AA391" i="9" s="1"/>
  <c r="AN391" i="9"/>
  <c r="AO391" i="9" s="1"/>
  <c r="Y310" i="9"/>
  <c r="AC310" i="9" s="1"/>
  <c r="AM270" i="9"/>
  <c r="AQ270" i="9" s="1"/>
  <c r="AM365" i="9"/>
  <c r="AQ365" i="9" s="1"/>
  <c r="AM400" i="8"/>
  <c r="AM395" i="10"/>
  <c r="AQ395" i="10" s="1"/>
  <c r="K40" i="9"/>
  <c r="O40" i="9" s="1"/>
  <c r="K165" i="9"/>
  <c r="O165" i="9" s="1"/>
  <c r="Y255" i="10"/>
  <c r="AC255" i="10" s="1"/>
  <c r="K85" i="8"/>
  <c r="K145" i="10"/>
  <c r="O145" i="10" s="1"/>
  <c r="K110" i="10"/>
  <c r="O110" i="10" s="1"/>
  <c r="Y65" i="10"/>
  <c r="AC65" i="10" s="1"/>
  <c r="AM75" i="10"/>
  <c r="AQ75" i="10" s="1"/>
  <c r="AM125" i="8"/>
  <c r="K130" i="8"/>
  <c r="Y270" i="8"/>
  <c r="K395" i="9"/>
  <c r="O395" i="9" s="1"/>
  <c r="Y105" i="9"/>
  <c r="AC105" i="9" s="1"/>
  <c r="AM165" i="8"/>
  <c r="AM200" i="10"/>
  <c r="AQ200" i="10" s="1"/>
  <c r="Y285" i="10"/>
  <c r="AC285" i="10" s="1"/>
  <c r="AM265" i="10"/>
  <c r="AQ265" i="10" s="1"/>
  <c r="Y295" i="10"/>
  <c r="AC295" i="10" s="1"/>
  <c r="Y95" i="8"/>
  <c r="K215" i="9"/>
  <c r="O215" i="9" s="1"/>
  <c r="Y335" i="8"/>
  <c r="Y275" i="10"/>
  <c r="AC275" i="10" s="1"/>
  <c r="K385" i="8"/>
  <c r="AM135" i="9"/>
  <c r="AQ135" i="9" s="1"/>
  <c r="AM160" i="10"/>
  <c r="AQ160" i="10" s="1"/>
  <c r="Y390" i="10"/>
  <c r="AC390" i="10" s="1"/>
  <c r="K105" i="8"/>
  <c r="Y200" i="9"/>
  <c r="AC200" i="9" s="1"/>
  <c r="Y285" i="9"/>
  <c r="AC285" i="9" s="1"/>
  <c r="K145" i="8"/>
  <c r="AM175" i="9"/>
  <c r="AQ175" i="9" s="1"/>
  <c r="Y210" i="10"/>
  <c r="AC210" i="10" s="1"/>
  <c r="Y205" i="10"/>
  <c r="AC205" i="10" s="1"/>
  <c r="Y295" i="9"/>
  <c r="AC295" i="9" s="1"/>
  <c r="E22" i="7"/>
  <c r="Y75" i="8"/>
  <c r="Z403" i="9"/>
  <c r="AA403" i="9" s="1"/>
  <c r="AN403" i="9"/>
  <c r="AO403" i="9" s="1"/>
  <c r="L403" i="9"/>
  <c r="M403" i="9" s="1"/>
  <c r="L402" i="9"/>
  <c r="M402" i="9" s="1"/>
  <c r="Z402" i="9"/>
  <c r="AA402" i="9" s="1"/>
  <c r="AN402" i="9"/>
  <c r="AO402" i="9" s="1"/>
  <c r="Y115" i="9"/>
  <c r="AC115" i="9" s="1"/>
  <c r="Y375" i="10"/>
  <c r="AC375" i="10" s="1"/>
  <c r="AM55" i="9"/>
  <c r="AQ55" i="9" s="1"/>
  <c r="Y190" i="9"/>
  <c r="AC190" i="9" s="1"/>
  <c r="K390" i="9"/>
  <c r="O390" i="9" s="1"/>
  <c r="K135" i="10"/>
  <c r="O135" i="10" s="1"/>
  <c r="K350" i="10"/>
  <c r="O350" i="10" s="1"/>
  <c r="Y285" i="8"/>
  <c r="AM295" i="8"/>
  <c r="Y155" i="10"/>
  <c r="AC155" i="10" s="1"/>
  <c r="L407" i="8"/>
  <c r="M407" i="8" s="1"/>
  <c r="Z407" i="8"/>
  <c r="AA407" i="8" s="1"/>
  <c r="AN407" i="8"/>
  <c r="AO407" i="8" s="1"/>
  <c r="AM185" i="9"/>
  <c r="AQ185" i="9" s="1"/>
  <c r="Y340" i="8"/>
  <c r="AN420" i="9"/>
  <c r="AO420" i="9" s="1"/>
  <c r="L420" i="9"/>
  <c r="M420" i="9" s="1"/>
  <c r="Z420" i="9"/>
  <c r="AA420" i="9" s="1"/>
  <c r="Y280" i="10"/>
  <c r="AC280" i="10" s="1"/>
  <c r="AM275" i="8"/>
  <c r="Y115" i="8"/>
  <c r="Y195" i="10"/>
  <c r="AC195" i="10" s="1"/>
  <c r="Y370" i="8"/>
  <c r="K330" i="9"/>
  <c r="O330" i="9" s="1"/>
  <c r="AN189" i="9"/>
  <c r="AO189" i="9" s="1"/>
  <c r="L189" i="9"/>
  <c r="M189" i="9" s="1"/>
  <c r="Z189" i="9"/>
  <c r="AA189" i="9" s="1"/>
  <c r="Y280" i="8"/>
  <c r="K350" i="8"/>
  <c r="Y55" i="8"/>
  <c r="AM320" i="8"/>
  <c r="Z387" i="10"/>
  <c r="AA387" i="10" s="1"/>
  <c r="L387" i="10"/>
  <c r="M387" i="10" s="1"/>
  <c r="AN387" i="10"/>
  <c r="AO387" i="10" s="1"/>
  <c r="Y155" i="8"/>
  <c r="Z388" i="10"/>
  <c r="AA388" i="10" s="1"/>
  <c r="L388" i="10"/>
  <c r="M388" i="10" s="1"/>
  <c r="AN388" i="10"/>
  <c r="AO388" i="10" s="1"/>
  <c r="K305" i="9"/>
  <c r="O305" i="9" s="1"/>
  <c r="K290" i="10"/>
  <c r="O290" i="10" s="1"/>
  <c r="Y205" i="8"/>
  <c r="K305" i="10"/>
  <c r="O305" i="10" s="1"/>
  <c r="Y45" i="9"/>
  <c r="AC45" i="9" s="1"/>
  <c r="K400" i="10"/>
  <c r="O400" i="10" s="1"/>
  <c r="K375" i="8"/>
  <c r="AM355" i="8"/>
  <c r="K85" i="10"/>
  <c r="O85" i="10" s="1"/>
  <c r="Y125" i="10"/>
  <c r="AC125" i="10" s="1"/>
  <c r="AM130" i="10"/>
  <c r="AQ130" i="10" s="1"/>
  <c r="K320" i="9"/>
  <c r="O320" i="9" s="1"/>
  <c r="AM210" i="8"/>
  <c r="K45" i="8"/>
  <c r="K400" i="9"/>
  <c r="O400" i="9" s="1"/>
  <c r="AM165" i="10"/>
  <c r="AQ165" i="10" s="1"/>
  <c r="AM230" i="10"/>
  <c r="AQ230" i="10" s="1"/>
  <c r="Z391" i="10"/>
  <c r="AA391" i="10" s="1"/>
  <c r="AN391" i="10"/>
  <c r="AO391" i="10" s="1"/>
  <c r="L391" i="10"/>
  <c r="M391" i="10" s="1"/>
  <c r="K310" i="9"/>
  <c r="O310" i="9" s="1"/>
  <c r="Y395" i="10"/>
  <c r="AC395" i="10" s="1"/>
  <c r="AM40" i="9"/>
  <c r="AQ40" i="9" s="1"/>
  <c r="L380" i="8"/>
  <c r="M380" i="8" s="1"/>
  <c r="Z380" i="8"/>
  <c r="AA380" i="8" s="1"/>
  <c r="AN380" i="8"/>
  <c r="AO380" i="8" s="1"/>
  <c r="AM85" i="8"/>
  <c r="AM110" i="10"/>
  <c r="AQ110" i="10" s="1"/>
  <c r="Y95" i="9"/>
  <c r="AC95" i="9" s="1"/>
  <c r="Y75" i="10"/>
  <c r="AC75" i="10" s="1"/>
  <c r="AM130" i="8"/>
  <c r="AM155" i="9"/>
  <c r="AQ155" i="9" s="1"/>
  <c r="AM310" i="8"/>
  <c r="K270" i="8"/>
  <c r="AM395" i="9"/>
  <c r="AQ395" i="9" s="1"/>
  <c r="AM40" i="8"/>
  <c r="Y165" i="8"/>
  <c r="K285" i="10"/>
  <c r="O285" i="10" s="1"/>
  <c r="AM145" i="9"/>
  <c r="AQ145" i="9" s="1"/>
  <c r="L415" i="8"/>
  <c r="M415" i="8" s="1"/>
  <c r="Z415" i="8"/>
  <c r="AA415" i="8" s="1"/>
  <c r="AN415" i="8"/>
  <c r="AO415" i="8" s="1"/>
  <c r="K110" i="9"/>
  <c r="O110" i="9" s="1"/>
  <c r="K340" i="10"/>
  <c r="O340" i="10" s="1"/>
  <c r="K335" i="8"/>
  <c r="Y135" i="9"/>
  <c r="AC135" i="9" s="1"/>
  <c r="Y160" i="10"/>
  <c r="AC160" i="10" s="1"/>
  <c r="K390" i="10"/>
  <c r="O390" i="10" s="1"/>
  <c r="K200" i="9"/>
  <c r="O200" i="9" s="1"/>
  <c r="K285" i="9"/>
  <c r="O285" i="9" s="1"/>
  <c r="Y175" i="9"/>
  <c r="AC175" i="9" s="1"/>
  <c r="AM210" i="10"/>
  <c r="AQ210" i="10" s="1"/>
  <c r="K205" i="10"/>
  <c r="O205" i="10" s="1"/>
  <c r="K295" i="9"/>
  <c r="O295" i="9" s="1"/>
  <c r="AH1" i="6"/>
  <c r="C27" i="2" s="1"/>
  <c r="K75" i="8"/>
  <c r="L403" i="10"/>
  <c r="M403" i="10" s="1"/>
  <c r="Z403" i="10"/>
  <c r="AA403" i="10" s="1"/>
  <c r="AN403" i="10"/>
  <c r="AO403" i="10" s="1"/>
  <c r="Z402" i="10"/>
  <c r="AA402" i="10" s="1"/>
  <c r="L402" i="10"/>
  <c r="M402" i="10" s="1"/>
  <c r="AN402" i="10"/>
  <c r="AO402" i="10" s="1"/>
  <c r="K275" i="9"/>
  <c r="O275" i="9" s="1"/>
  <c r="Y160" i="8"/>
  <c r="K115" i="9"/>
  <c r="O115" i="9" s="1"/>
  <c r="Y55" i="9"/>
  <c r="AC55" i="9" s="1"/>
  <c r="K190" i="9"/>
  <c r="O190" i="9" s="1"/>
  <c r="AM390" i="9"/>
  <c r="AQ390" i="9" s="1"/>
  <c r="AM350" i="10"/>
  <c r="AQ350" i="10" s="1"/>
  <c r="Y55" i="10"/>
  <c r="AC55" i="10" s="1"/>
  <c r="K320" i="10"/>
  <c r="O320" i="10" s="1"/>
  <c r="Y295" i="8"/>
  <c r="K155" i="10"/>
  <c r="O155" i="10" s="1"/>
  <c r="L407" i="9"/>
  <c r="M407" i="9" s="1"/>
  <c r="Z407" i="9"/>
  <c r="AA407" i="9" s="1"/>
  <c r="AN407" i="9"/>
  <c r="AO407" i="9" s="1"/>
  <c r="Y185" i="9"/>
  <c r="AC185" i="9" s="1"/>
  <c r="K340" i="8"/>
  <c r="Z420" i="10"/>
  <c r="AA420" i="10" s="1"/>
  <c r="AN420" i="10"/>
  <c r="AO420" i="10" s="1"/>
  <c r="L420" i="10"/>
  <c r="M420" i="10" s="1"/>
  <c r="K280" i="10"/>
  <c r="O280" i="10" s="1"/>
  <c r="Y150" i="9"/>
  <c r="AC150" i="9" s="1"/>
  <c r="K170" i="10"/>
  <c r="O170" i="10" s="1"/>
  <c r="K135" i="8"/>
  <c r="K375" i="9"/>
  <c r="O375" i="9" s="1"/>
  <c r="K355" i="9"/>
  <c r="O355" i="9" s="1"/>
  <c r="L408" i="10"/>
  <c r="M408" i="10" s="1"/>
  <c r="Z408" i="10"/>
  <c r="AA408" i="10" s="1"/>
  <c r="AN408" i="10"/>
  <c r="AO408" i="10" s="1"/>
  <c r="N153" i="9"/>
  <c r="Q153" i="9" s="1"/>
  <c r="S153" i="9" s="1"/>
  <c r="AN392" i="8"/>
  <c r="AO392" i="8" s="1"/>
  <c r="L392" i="8"/>
  <c r="M392" i="8" s="1"/>
  <c r="Z392" i="8"/>
  <c r="AA392" i="8" s="1"/>
  <c r="Y25" i="9"/>
  <c r="AC25" i="9" s="1"/>
  <c r="L399" i="8"/>
  <c r="M399" i="8" s="1"/>
  <c r="Z399" i="8"/>
  <c r="AA399" i="8" s="1"/>
  <c r="AN399" i="8"/>
  <c r="AO399" i="8" s="1"/>
  <c r="AM360" i="9"/>
  <c r="AQ360" i="9" s="1"/>
  <c r="Y195" i="8"/>
  <c r="AM315" i="9"/>
  <c r="AQ315" i="9" s="1"/>
  <c r="K25" i="8"/>
  <c r="AM125" i="9"/>
  <c r="AQ125" i="9" s="1"/>
  <c r="K410" i="10"/>
  <c r="O410" i="10" s="1"/>
  <c r="Y360" i="8"/>
  <c r="Y365" i="9"/>
  <c r="AC365" i="9" s="1"/>
  <c r="AM165" i="9"/>
  <c r="AQ165" i="9" s="1"/>
  <c r="AM115" i="8"/>
  <c r="AM405" i="9"/>
  <c r="AQ405" i="9" s="1"/>
  <c r="AM355" i="9"/>
  <c r="AQ355" i="9" s="1"/>
  <c r="AM150" i="9"/>
  <c r="AQ150" i="9" s="1"/>
  <c r="AM195" i="10"/>
  <c r="AQ195" i="10" s="1"/>
  <c r="K155" i="8"/>
  <c r="AM325" i="10"/>
  <c r="AQ325" i="10" s="1"/>
  <c r="AP414" i="10"/>
  <c r="AS414" i="10" s="1"/>
  <c r="AU414" i="10" s="1"/>
  <c r="K245" i="8"/>
  <c r="AM305" i="9"/>
  <c r="AQ305" i="9" s="1"/>
  <c r="Y290" i="10"/>
  <c r="AC290" i="10" s="1"/>
  <c r="AM305" i="10"/>
  <c r="AQ305" i="10" s="1"/>
  <c r="K405" i="8"/>
  <c r="AB353" i="9"/>
  <c r="AE353" i="9" s="1"/>
  <c r="AG353" i="9" s="1"/>
  <c r="K315" i="10"/>
  <c r="O315" i="10" s="1"/>
  <c r="L392" i="9"/>
  <c r="M392" i="9" s="1"/>
  <c r="Z392" i="9"/>
  <c r="AA392" i="9" s="1"/>
  <c r="AN392" i="9"/>
  <c r="AO392" i="9" s="1"/>
  <c r="K25" i="9"/>
  <c r="O25" i="9" s="1"/>
  <c r="Y130" i="10"/>
  <c r="AC130" i="10" s="1"/>
  <c r="AM320" i="9"/>
  <c r="AQ320" i="9" s="1"/>
  <c r="L399" i="9"/>
  <c r="M399" i="9" s="1"/>
  <c r="Z399" i="9"/>
  <c r="AA399" i="9" s="1"/>
  <c r="AN399" i="9"/>
  <c r="AO399" i="9" s="1"/>
  <c r="Y210" i="8"/>
  <c r="AM45" i="8"/>
  <c r="Y360" i="9"/>
  <c r="AC360" i="9" s="1"/>
  <c r="Y165" i="10"/>
  <c r="AC165" i="10" s="1"/>
  <c r="AM225" i="10"/>
  <c r="AQ225" i="10" s="1"/>
  <c r="K195" i="8"/>
  <c r="K235" i="9"/>
  <c r="O235" i="9" s="1"/>
  <c r="Y125" i="9"/>
  <c r="AC125" i="9" s="1"/>
  <c r="AM130" i="9"/>
  <c r="AQ130" i="9" s="1"/>
  <c r="AM410" i="10"/>
  <c r="AQ410" i="10" s="1"/>
  <c r="K215" i="10"/>
  <c r="O215" i="10" s="1"/>
  <c r="AM310" i="9"/>
  <c r="AQ310" i="9" s="1"/>
  <c r="K360" i="8"/>
  <c r="AN380" i="9"/>
  <c r="AO380" i="9" s="1"/>
  <c r="L380" i="9"/>
  <c r="M380" i="9" s="1"/>
  <c r="Z380" i="9"/>
  <c r="AA380" i="9" s="1"/>
  <c r="AB178" i="9"/>
  <c r="AE178" i="9" s="1"/>
  <c r="AG178" i="9" s="1"/>
  <c r="K95" i="9"/>
  <c r="O95" i="9" s="1"/>
  <c r="K75" i="10"/>
  <c r="O75" i="10" s="1"/>
  <c r="Y130" i="8"/>
  <c r="AB150" i="10"/>
  <c r="AE150" i="10" s="1"/>
  <c r="AG150" i="10" s="1"/>
  <c r="AH150" i="10" s="1"/>
  <c r="Y150" i="10"/>
  <c r="AC150" i="10" s="1"/>
  <c r="Y155" i="9"/>
  <c r="AC155" i="9" s="1"/>
  <c r="Y310" i="8"/>
  <c r="AP398" i="8"/>
  <c r="Y395" i="9"/>
  <c r="AC395" i="9" s="1"/>
  <c r="Y40" i="8"/>
  <c r="AM225" i="8"/>
  <c r="AM285" i="10"/>
  <c r="AQ285" i="10" s="1"/>
  <c r="AB145" i="9"/>
  <c r="AE145" i="9" s="1"/>
  <c r="AG145" i="9" s="1"/>
  <c r="AH145" i="9" s="1"/>
  <c r="Y145" i="9"/>
  <c r="AC145" i="9" s="1"/>
  <c r="L415" i="9"/>
  <c r="M415" i="9" s="1"/>
  <c r="Z415" i="9"/>
  <c r="AA415" i="9" s="1"/>
  <c r="AN415" i="9"/>
  <c r="AO415" i="9" s="1"/>
  <c r="AM110" i="9"/>
  <c r="AQ110" i="9" s="1"/>
  <c r="AM75" i="9"/>
  <c r="AQ75" i="9" s="1"/>
  <c r="AM340" i="10"/>
  <c r="AQ340" i="10" s="1"/>
  <c r="AB126" i="10"/>
  <c r="AE126" i="10" s="1"/>
  <c r="AG126" i="10" s="1"/>
  <c r="K160" i="10"/>
  <c r="O160" i="10" s="1"/>
  <c r="N389" i="9"/>
  <c r="Q389" i="9" s="1"/>
  <c r="S389" i="9" s="1"/>
  <c r="AM390" i="10"/>
  <c r="AQ390" i="10" s="1"/>
  <c r="AP255" i="8"/>
  <c r="AM255" i="8"/>
  <c r="AP114" i="9"/>
  <c r="AS114" i="9" s="1"/>
  <c r="AU114" i="9" s="1"/>
  <c r="Z386" i="8"/>
  <c r="AA386" i="8" s="1"/>
  <c r="AN386" i="8"/>
  <c r="AO386" i="8" s="1"/>
  <c r="L386" i="8"/>
  <c r="M386" i="8" s="1"/>
  <c r="AM205" i="10"/>
  <c r="AQ205" i="10" s="1"/>
  <c r="N103" i="8"/>
  <c r="K240" i="10"/>
  <c r="O240" i="10" s="1"/>
  <c r="F16" i="7"/>
  <c r="AB298" i="9"/>
  <c r="AE298" i="9" s="1"/>
  <c r="AG298" i="9" s="1"/>
  <c r="K410" i="8"/>
  <c r="Y185" i="10"/>
  <c r="AC185" i="10" s="1"/>
  <c r="AP215" i="8"/>
  <c r="AM215" i="8"/>
  <c r="N216" i="8"/>
  <c r="AM275" i="9"/>
  <c r="AQ275" i="9" s="1"/>
  <c r="K160" i="8"/>
  <c r="AM190" i="8"/>
  <c r="AM390" i="8"/>
  <c r="AP390" i="8"/>
  <c r="K55" i="9"/>
  <c r="O55" i="9" s="1"/>
  <c r="N267" i="8"/>
  <c r="Y390" i="9"/>
  <c r="AC390" i="9" s="1"/>
  <c r="Y350" i="10"/>
  <c r="AC350" i="10" s="1"/>
  <c r="N417" i="8"/>
  <c r="AB179" i="9"/>
  <c r="AE179" i="9" s="1"/>
  <c r="AG179" i="9" s="1"/>
  <c r="K55" i="10"/>
  <c r="O55" i="10" s="1"/>
  <c r="AP214" i="9"/>
  <c r="AS214" i="9" s="1"/>
  <c r="AU214" i="9" s="1"/>
  <c r="AM320" i="10"/>
  <c r="AQ320" i="10" s="1"/>
  <c r="N163" i="10"/>
  <c r="Q163" i="10" s="1"/>
  <c r="S163" i="10" s="1"/>
  <c r="AM205" i="9"/>
  <c r="AQ205" i="9" s="1"/>
  <c r="K295" i="8"/>
  <c r="AM155" i="10"/>
  <c r="AQ155" i="10" s="1"/>
  <c r="Z407" i="10"/>
  <c r="AA407" i="10" s="1"/>
  <c r="AN407" i="10"/>
  <c r="AO407" i="10" s="1"/>
  <c r="L407" i="10"/>
  <c r="M407" i="10" s="1"/>
  <c r="N232" i="9"/>
  <c r="Q232" i="9" s="1"/>
  <c r="S232" i="9" s="1"/>
  <c r="K185" i="9"/>
  <c r="O185" i="9" s="1"/>
  <c r="AP245" i="10"/>
  <c r="AS245" i="10" s="1"/>
  <c r="AU245" i="10" s="1"/>
  <c r="AV245" i="10" s="1"/>
  <c r="AY245" i="10" s="1"/>
  <c r="AM245" i="10"/>
  <c r="AQ245" i="10" s="1"/>
  <c r="AM280" i="10"/>
  <c r="AQ280" i="10" s="1"/>
  <c r="AP109" i="10"/>
  <c r="AS109" i="10" s="1"/>
  <c r="AU109" i="10" s="1"/>
  <c r="AB367" i="9"/>
  <c r="AE367" i="9" s="1"/>
  <c r="AG367" i="9" s="1"/>
  <c r="N109" i="9"/>
  <c r="Q109" i="9" s="1"/>
  <c r="S109" i="9" s="1"/>
  <c r="K370" i="8"/>
  <c r="N142" i="8"/>
  <c r="AB325" i="10"/>
  <c r="AE325" i="10" s="1"/>
  <c r="AG325" i="10" s="1"/>
  <c r="AH325" i="10" s="1"/>
  <c r="Y325" i="10"/>
  <c r="AC325" i="10" s="1"/>
  <c r="AM170" i="10"/>
  <c r="AQ170" i="10" s="1"/>
  <c r="AB339" i="9"/>
  <c r="AE339" i="9" s="1"/>
  <c r="AG339" i="9" s="1"/>
  <c r="AB424" i="8"/>
  <c r="K280" i="9"/>
  <c r="O280" i="9" s="1"/>
  <c r="AM405" i="8"/>
  <c r="N29" i="9"/>
  <c r="Q29" i="9" s="1"/>
  <c r="S29" i="9" s="1"/>
  <c r="N363" i="8"/>
  <c r="N329" i="8"/>
  <c r="K325" i="9"/>
  <c r="O325" i="9" s="1"/>
  <c r="Y170" i="9"/>
  <c r="AC170" i="9" s="1"/>
  <c r="N296" i="9"/>
  <c r="Q296" i="9" s="1"/>
  <c r="S296" i="9" s="1"/>
  <c r="N412" i="9"/>
  <c r="Q412" i="9" s="1"/>
  <c r="S412" i="9" s="1"/>
  <c r="K130" i="10"/>
  <c r="O130" i="10" s="1"/>
  <c r="N130" i="10"/>
  <c r="Q130" i="10" s="1"/>
  <c r="S130" i="10" s="1"/>
  <c r="T130" i="10" s="1"/>
  <c r="Y320" i="9"/>
  <c r="AC320" i="9" s="1"/>
  <c r="Z399" i="10"/>
  <c r="AA399" i="10" s="1"/>
  <c r="L399" i="10"/>
  <c r="M399" i="10" s="1"/>
  <c r="AN399" i="10"/>
  <c r="AO399" i="10" s="1"/>
  <c r="AB224" i="9"/>
  <c r="AE224" i="9" s="1"/>
  <c r="AG224" i="9" s="1"/>
  <c r="N203" i="9"/>
  <c r="Q203" i="9" s="1"/>
  <c r="S203" i="9" s="1"/>
  <c r="Y270" i="10"/>
  <c r="AC270" i="10" s="1"/>
  <c r="Y365" i="10"/>
  <c r="AC365" i="10" s="1"/>
  <c r="L372" i="8"/>
  <c r="M372" i="8" s="1"/>
  <c r="N372" i="8" s="1"/>
  <c r="Z372" i="8"/>
  <c r="AA372" i="8" s="1"/>
  <c r="AB372" i="8" s="1"/>
  <c r="AN372" i="8"/>
  <c r="AO372" i="8" s="1"/>
  <c r="Y225" i="10"/>
  <c r="AC225" i="10" s="1"/>
  <c r="AM195" i="8"/>
  <c r="AP195" i="8"/>
  <c r="K125" i="9"/>
  <c r="O125" i="9" s="1"/>
  <c r="AB121" i="10"/>
  <c r="AE121" i="10" s="1"/>
  <c r="AG121" i="10" s="1"/>
  <c r="Y130" i="9"/>
  <c r="AC130" i="9" s="1"/>
  <c r="AM215" i="10"/>
  <c r="AQ215" i="10" s="1"/>
  <c r="N347" i="9"/>
  <c r="Q347" i="9" s="1"/>
  <c r="S347" i="9" s="1"/>
  <c r="AB53" i="9"/>
  <c r="AE53" i="9" s="1"/>
  <c r="AG53" i="9" s="1"/>
  <c r="AM245" i="9"/>
  <c r="AQ245" i="9" s="1"/>
  <c r="AM360" i="8"/>
  <c r="N173" i="9"/>
  <c r="Q173" i="9" s="1"/>
  <c r="S173" i="9" s="1"/>
  <c r="AP368" i="10"/>
  <c r="AS368" i="10" s="1"/>
  <c r="AU368" i="10" s="1"/>
  <c r="Z380" i="10"/>
  <c r="AA380" i="10" s="1"/>
  <c r="AN380" i="10"/>
  <c r="AO380" i="10" s="1"/>
  <c r="L380" i="10"/>
  <c r="M380" i="10" s="1"/>
  <c r="AB315" i="8"/>
  <c r="Y315" i="8"/>
  <c r="AB266" i="8"/>
  <c r="AP319" i="9"/>
  <c r="AS319" i="9" s="1"/>
  <c r="AU319" i="9" s="1"/>
  <c r="K310" i="8"/>
  <c r="AB267" i="10"/>
  <c r="AE267" i="10" s="1"/>
  <c r="AG267" i="10" s="1"/>
  <c r="N263" i="10"/>
  <c r="Q263" i="10" s="1"/>
  <c r="S263" i="10" s="1"/>
  <c r="N43" i="8"/>
  <c r="N182" i="8"/>
  <c r="K145" i="9"/>
  <c r="O145" i="9" s="1"/>
  <c r="N303" i="8"/>
  <c r="N274" i="9"/>
  <c r="Q274" i="9" s="1"/>
  <c r="S274" i="9" s="1"/>
  <c r="L415" i="10"/>
  <c r="M415" i="10" s="1"/>
  <c r="Z415" i="10"/>
  <c r="AA415" i="10" s="1"/>
  <c r="AN415" i="10"/>
  <c r="AO415" i="10" s="1"/>
  <c r="AP30" i="10"/>
  <c r="AS30" i="10" s="1"/>
  <c r="AU30" i="10" s="1"/>
  <c r="AV30" i="10" s="1"/>
  <c r="AY30" i="10" s="1"/>
  <c r="AM30" i="10"/>
  <c r="AQ30" i="10" s="1"/>
  <c r="Y110" i="9"/>
  <c r="AC110" i="9" s="1"/>
  <c r="AC364" i="6"/>
  <c r="AA364" i="6"/>
  <c r="AB75" i="9"/>
  <c r="AE75" i="9" s="1"/>
  <c r="AG75" i="9" s="1"/>
  <c r="AH75" i="9" s="1"/>
  <c r="Y75" i="9"/>
  <c r="AC75" i="9" s="1"/>
  <c r="Y340" i="10"/>
  <c r="AC340" i="10" s="1"/>
  <c r="AM230" i="8"/>
  <c r="AB347" i="8"/>
  <c r="N382" i="9"/>
  <c r="Q382" i="9" s="1"/>
  <c r="S382" i="9" s="1"/>
  <c r="AP59" i="9"/>
  <c r="AS59" i="9" s="1"/>
  <c r="AU59" i="9" s="1"/>
  <c r="N318" i="8"/>
  <c r="AP190" i="10"/>
  <c r="AS190" i="10" s="1"/>
  <c r="AU190" i="10" s="1"/>
  <c r="AV190" i="10" s="1"/>
  <c r="AY190" i="10" s="1"/>
  <c r="AM190" i="10"/>
  <c r="AQ190" i="10" s="1"/>
  <c r="AP297" i="9"/>
  <c r="AS297" i="9" s="1"/>
  <c r="AU297" i="9" s="1"/>
  <c r="AP77" i="8"/>
  <c r="Y255" i="8"/>
  <c r="AP278" i="8"/>
  <c r="N118" i="9"/>
  <c r="Q118" i="9" s="1"/>
  <c r="S118" i="9" s="1"/>
  <c r="AP248" i="10"/>
  <c r="AS248" i="10"/>
  <c r="AU248" i="10" s="1"/>
  <c r="L386" i="9"/>
  <c r="M386" i="9" s="1"/>
  <c r="Z386" i="9"/>
  <c r="AA386" i="9" s="1"/>
  <c r="AN386" i="9"/>
  <c r="AO386" i="9" s="1"/>
  <c r="AM240" i="10"/>
  <c r="AQ240" i="10" s="1"/>
  <c r="E16" i="7"/>
  <c r="C26" i="7"/>
  <c r="AM65" i="8"/>
  <c r="N138" i="10"/>
  <c r="Q138" i="10" s="1"/>
  <c r="S138" i="10" s="1"/>
  <c r="AP291" i="9"/>
  <c r="AS291" i="9" s="1"/>
  <c r="AU291" i="9" s="1"/>
  <c r="AP410" i="8"/>
  <c r="AM410" i="8"/>
  <c r="AM185" i="10"/>
  <c r="AQ185" i="10" s="1"/>
  <c r="Y215" i="8"/>
  <c r="N219" i="9"/>
  <c r="Q219" i="9" s="1"/>
  <c r="S219" i="9" s="1"/>
  <c r="AB382" i="8"/>
  <c r="Y275" i="9"/>
  <c r="AC275" i="9" s="1"/>
  <c r="AB275" i="9"/>
  <c r="AE275" i="9" s="1"/>
  <c r="AG275" i="9" s="1"/>
  <c r="AH275" i="9" s="1"/>
  <c r="AM160" i="8"/>
  <c r="Y190" i="8"/>
  <c r="Y390" i="8"/>
  <c r="AB350" i="9"/>
  <c r="AE350" i="9" s="1"/>
  <c r="AG350" i="9" s="1"/>
  <c r="AH350" i="9" s="1"/>
  <c r="Y350" i="9"/>
  <c r="AC350" i="9" s="1"/>
  <c r="AB161" i="10"/>
  <c r="AE161" i="10" s="1"/>
  <c r="AG161" i="10" s="1"/>
  <c r="Y240" i="8"/>
  <c r="AP185" i="8"/>
  <c r="AM185" i="8"/>
  <c r="Y385" i="9"/>
  <c r="AC385" i="9" s="1"/>
  <c r="AB383" i="10"/>
  <c r="AE383" i="10" s="1"/>
  <c r="AG383" i="10" s="1"/>
  <c r="AP263" i="8"/>
  <c r="N413" i="10"/>
  <c r="Q413" i="10" s="1"/>
  <c r="S413" i="10" s="1"/>
  <c r="N289" i="9"/>
  <c r="Q289" i="9"/>
  <c r="S289" i="9" s="1"/>
  <c r="AB319" i="10"/>
  <c r="AE319" i="10" s="1"/>
  <c r="AG319" i="10" s="1"/>
  <c r="Y200" i="8"/>
  <c r="AB157" i="10"/>
  <c r="AE157" i="10" s="1"/>
  <c r="AG157" i="10" s="1"/>
  <c r="N89" i="9"/>
  <c r="Q89" i="9" s="1"/>
  <c r="S89" i="9" s="1"/>
  <c r="AM55" i="10"/>
  <c r="AQ55" i="10" s="1"/>
  <c r="Y320" i="10"/>
  <c r="AC320" i="10" s="1"/>
  <c r="AB149" i="8"/>
  <c r="AB306" i="10"/>
  <c r="AE306" i="10" s="1"/>
  <c r="AG306" i="10" s="1"/>
  <c r="N114" i="8"/>
  <c r="Y205" i="9"/>
  <c r="AC205" i="9" s="1"/>
  <c r="AP206" i="8"/>
  <c r="AB72" i="8"/>
  <c r="AB396" i="10"/>
  <c r="AE396" i="10" s="1"/>
  <c r="AG396" i="10" s="1"/>
  <c r="AA402" i="6"/>
  <c r="AC402" i="6"/>
  <c r="AP279" i="10"/>
  <c r="AS279" i="10" s="1"/>
  <c r="AU279" i="10" s="1"/>
  <c r="Y245" i="10"/>
  <c r="AC245" i="10" s="1"/>
  <c r="AP52" i="10"/>
  <c r="AS52" i="10" s="1"/>
  <c r="AU52" i="10" s="1"/>
  <c r="AB349" i="10"/>
  <c r="AE349" i="10" s="1"/>
  <c r="AG349" i="10" s="1"/>
  <c r="AP162" i="8"/>
  <c r="AB229" i="8"/>
  <c r="N127" i="8"/>
  <c r="AP329" i="10"/>
  <c r="AS329" i="10" s="1"/>
  <c r="AU329" i="10" s="1"/>
  <c r="L404" i="8"/>
  <c r="M404" i="8" s="1"/>
  <c r="Z404" i="8"/>
  <c r="AA404" i="8" s="1"/>
  <c r="AN404" i="8"/>
  <c r="AO404" i="8" s="1"/>
  <c r="AP181" i="9" l="1"/>
  <c r="AS181" i="9" s="1"/>
  <c r="AU181" i="9" s="1"/>
  <c r="N386" i="8"/>
  <c r="AP149" i="9"/>
  <c r="AS149" i="9" s="1"/>
  <c r="AU149" i="9" s="1"/>
  <c r="N297" i="9"/>
  <c r="Q297" i="9" s="1"/>
  <c r="S297" i="9" s="1"/>
  <c r="N207" i="10"/>
  <c r="Q207" i="10" s="1"/>
  <c r="S207" i="10" s="1"/>
  <c r="N129" i="9"/>
  <c r="Q129" i="9" s="1"/>
  <c r="S129" i="9" s="1"/>
  <c r="AP91" i="9"/>
  <c r="AS91" i="9" s="1"/>
  <c r="AU91" i="9" s="1"/>
  <c r="AB171" i="9"/>
  <c r="AE171" i="9" s="1"/>
  <c r="AG171" i="9" s="1"/>
  <c r="AP225" i="8"/>
  <c r="AP310" i="9"/>
  <c r="AS310" i="9" s="1"/>
  <c r="AU310" i="9" s="1"/>
  <c r="AV310" i="9" s="1"/>
  <c r="AY310" i="9" s="1"/>
  <c r="AP309" i="9"/>
  <c r="AS309" i="9" s="1"/>
  <c r="AU309" i="9" s="1"/>
  <c r="AB178" i="10"/>
  <c r="AE178" i="10" s="1"/>
  <c r="AG178" i="10" s="1"/>
  <c r="AP398" i="10"/>
  <c r="AS398" i="10" s="1"/>
  <c r="AU398" i="10" s="1"/>
  <c r="AP325" i="10"/>
  <c r="AS325" i="10" s="1"/>
  <c r="AU325" i="10" s="1"/>
  <c r="AV325" i="10" s="1"/>
  <c r="AY325" i="10" s="1"/>
  <c r="AB59" i="10"/>
  <c r="AE59" i="10" s="1"/>
  <c r="AG59" i="10" s="1"/>
  <c r="N383" i="10"/>
  <c r="Q383" i="10" s="1"/>
  <c r="S383" i="10" s="1"/>
  <c r="N123" i="10"/>
  <c r="Q123" i="10" s="1"/>
  <c r="S123" i="10" s="1"/>
  <c r="N416" i="10"/>
  <c r="Q416" i="10" s="1"/>
  <c r="S416" i="10" s="1"/>
  <c r="N234" i="10"/>
  <c r="Q234" i="10" s="1"/>
  <c r="S234" i="10" s="1"/>
  <c r="AP72" i="8"/>
  <c r="AB114" i="8"/>
  <c r="N55" i="10"/>
  <c r="Q55" i="10" s="1"/>
  <c r="S55" i="10" s="1"/>
  <c r="T55" i="10" s="1"/>
  <c r="AP154" i="9"/>
  <c r="AS154" i="9" s="1"/>
  <c r="AU154" i="9" s="1"/>
  <c r="AB350" i="10"/>
  <c r="AB336" i="10"/>
  <c r="AE336" i="10" s="1"/>
  <c r="AG336" i="10" s="1"/>
  <c r="AB162" i="9"/>
  <c r="AE162" i="9" s="1"/>
  <c r="AG162" i="9" s="1"/>
  <c r="AB287" i="8"/>
  <c r="AP205" i="10"/>
  <c r="AS205" i="10" s="1"/>
  <c r="AU205" i="10" s="1"/>
  <c r="AV205" i="10" s="1"/>
  <c r="AY205" i="10" s="1"/>
  <c r="AP32" i="8"/>
  <c r="N97" i="9"/>
  <c r="Q97" i="9" s="1"/>
  <c r="S97" i="9" s="1"/>
  <c r="N48" i="8"/>
  <c r="AB318" i="8"/>
  <c r="AE318" i="8" s="1"/>
  <c r="AG318" i="8" s="1"/>
  <c r="AP75" i="9"/>
  <c r="AS75" i="9" s="1"/>
  <c r="AU75" i="9" s="1"/>
  <c r="AV75" i="9" s="1"/>
  <c r="AY75" i="9" s="1"/>
  <c r="AP149" i="10"/>
  <c r="AS149" i="10" s="1"/>
  <c r="AU149" i="10" s="1"/>
  <c r="N49" i="9"/>
  <c r="Q49" i="9" s="1"/>
  <c r="S49" i="9" s="1"/>
  <c r="AB254" i="8"/>
  <c r="AP264" i="10"/>
  <c r="AS264" i="10" s="1"/>
  <c r="AU264" i="10" s="1"/>
  <c r="N217" i="10"/>
  <c r="Q217" i="10" s="1"/>
  <c r="S217" i="10" s="1"/>
  <c r="AB104" i="9"/>
  <c r="AE104" i="9" s="1"/>
  <c r="AG104" i="9" s="1"/>
  <c r="N304" i="8"/>
  <c r="Q304" i="8" s="1"/>
  <c r="S304" i="8" s="1"/>
  <c r="AB69" i="8"/>
  <c r="N109" i="8"/>
  <c r="AB234" i="8"/>
  <c r="AB186" i="10"/>
  <c r="AE186" i="10" s="1"/>
  <c r="AG186" i="10" s="1"/>
  <c r="AP342" i="9"/>
  <c r="AS342" i="9" s="1"/>
  <c r="AU342" i="9" s="1"/>
  <c r="N154" i="9"/>
  <c r="Q154" i="9" s="1"/>
  <c r="S154" i="9" s="1"/>
  <c r="N238" i="8"/>
  <c r="AP241" i="8"/>
  <c r="AP167" i="10"/>
  <c r="AS167" i="10" s="1"/>
  <c r="AU167" i="10" s="1"/>
  <c r="AP53" i="10"/>
  <c r="AS53" i="10" s="1"/>
  <c r="AU53" i="10" s="1"/>
  <c r="AP318" i="9"/>
  <c r="AS318" i="9" s="1"/>
  <c r="AU318" i="9" s="1"/>
  <c r="AB215" i="8"/>
  <c r="N298" i="9"/>
  <c r="Q298" i="9" s="1"/>
  <c r="S298" i="9" s="1"/>
  <c r="AB114" i="9"/>
  <c r="AE114" i="9" s="1"/>
  <c r="AG114" i="9" s="1"/>
  <c r="AP338" i="10"/>
  <c r="AS338" i="10" s="1"/>
  <c r="AU338" i="10" s="1"/>
  <c r="AP184" i="8"/>
  <c r="AS184" i="8" s="1"/>
  <c r="AU184" i="8" s="1"/>
  <c r="N145" i="9"/>
  <c r="Q145" i="9" s="1"/>
  <c r="S145" i="9" s="1"/>
  <c r="T145" i="9" s="1"/>
  <c r="AP129" i="10"/>
  <c r="AS129" i="10" s="1"/>
  <c r="AU129" i="10" s="1"/>
  <c r="AB170" i="9"/>
  <c r="AE170" i="9" s="1"/>
  <c r="AG170" i="9" s="1"/>
  <c r="AH170" i="9" s="1"/>
  <c r="AP405" i="8"/>
  <c r="N370" i="8"/>
  <c r="AP280" i="10"/>
  <c r="AS280" i="10" s="1"/>
  <c r="AU280" i="10" s="1"/>
  <c r="AV280" i="10" s="1"/>
  <c r="AY280" i="10" s="1"/>
  <c r="AB159" i="9"/>
  <c r="AE159" i="9" s="1"/>
  <c r="AG159" i="9" s="1"/>
  <c r="AB352" i="8"/>
  <c r="AE352" i="8" s="1"/>
  <c r="AG352" i="8" s="1"/>
  <c r="N77" i="8"/>
  <c r="AB130" i="8"/>
  <c r="AP143" i="9"/>
  <c r="AS143" i="9" s="1"/>
  <c r="AU143" i="9" s="1"/>
  <c r="AB344" i="9"/>
  <c r="AE344" i="9" s="1"/>
  <c r="AG344" i="9" s="1"/>
  <c r="N312" i="9"/>
  <c r="Q312" i="9" s="1"/>
  <c r="S312" i="9" s="1"/>
  <c r="AP346" i="10"/>
  <c r="AS346" i="10" s="1"/>
  <c r="AU346" i="10" s="1"/>
  <c r="AP138" i="9"/>
  <c r="AS138" i="9" s="1"/>
  <c r="AU138" i="9" s="1"/>
  <c r="AB320" i="10"/>
  <c r="AB229" i="9"/>
  <c r="AE229" i="9" s="1"/>
  <c r="AG229" i="9" s="1"/>
  <c r="AP389" i="8"/>
  <c r="AB390" i="8"/>
  <c r="AP185" i="10"/>
  <c r="AS185" i="10" s="1"/>
  <c r="AU185" i="10" s="1"/>
  <c r="AV185" i="10" s="1"/>
  <c r="AY185" i="10" s="1"/>
  <c r="AP206" i="9"/>
  <c r="AS206" i="9" s="1"/>
  <c r="AU206" i="9" s="1"/>
  <c r="AB154" i="10"/>
  <c r="AE154" i="10" s="1"/>
  <c r="AG154" i="10" s="1"/>
  <c r="AB378" i="9"/>
  <c r="AE378" i="9" s="1"/>
  <c r="AG378" i="9" s="1"/>
  <c r="AB110" i="9"/>
  <c r="AP215" i="10"/>
  <c r="AS215" i="10" s="1"/>
  <c r="AU215" i="10" s="1"/>
  <c r="AV215" i="10" s="1"/>
  <c r="AY215" i="10" s="1"/>
  <c r="AB153" i="8"/>
  <c r="AB41" i="10"/>
  <c r="AE41" i="10" s="1"/>
  <c r="AG41" i="10" s="1"/>
  <c r="AB374" i="10"/>
  <c r="AE374" i="10" s="1"/>
  <c r="AG374" i="10" s="1"/>
  <c r="AB414" i="10"/>
  <c r="AE414" i="10" s="1"/>
  <c r="AG414" i="10" s="1"/>
  <c r="AB112" i="8"/>
  <c r="AB294" i="9"/>
  <c r="AE294" i="9" s="1"/>
  <c r="AG294" i="9" s="1"/>
  <c r="AB193" i="10"/>
  <c r="AE193" i="10" s="1"/>
  <c r="AG193" i="10" s="1"/>
  <c r="N295" i="8"/>
  <c r="N209" i="10"/>
  <c r="Q209" i="10" s="1"/>
  <c r="S209" i="10" s="1"/>
  <c r="N281" i="10"/>
  <c r="Q281" i="10" s="1"/>
  <c r="S281" i="10" s="1"/>
  <c r="AP319" i="10"/>
  <c r="AS319" i="10" s="1"/>
  <c r="AU319" i="10" s="1"/>
  <c r="AP383" i="10"/>
  <c r="AS383" i="10" s="1"/>
  <c r="AU383" i="10" s="1"/>
  <c r="AB306" i="9"/>
  <c r="AE306" i="9" s="1"/>
  <c r="AG306" i="9" s="1"/>
  <c r="N181" i="8"/>
  <c r="N253" i="8"/>
  <c r="AB404" i="8"/>
  <c r="AB418" i="10"/>
  <c r="AE418" i="10" s="1"/>
  <c r="AG418" i="10" s="1"/>
  <c r="AB245" i="10"/>
  <c r="AE245" i="10" s="1"/>
  <c r="AG245" i="10" s="1"/>
  <c r="AH245" i="10" s="1"/>
  <c r="N193" i="10"/>
  <c r="Q193" i="10" s="1"/>
  <c r="S193" i="10" s="1"/>
  <c r="AB205" i="9"/>
  <c r="AE205" i="9" s="1"/>
  <c r="AG205" i="9" s="1"/>
  <c r="AH205" i="9" s="1"/>
  <c r="AB200" i="8"/>
  <c r="AB169" i="10"/>
  <c r="AE169" i="10" s="1"/>
  <c r="AG169" i="10" s="1"/>
  <c r="AP267" i="8"/>
  <c r="N306" i="9"/>
  <c r="Q306" i="9" s="1"/>
  <c r="S306" i="9" s="1"/>
  <c r="N352" i="8"/>
  <c r="AP103" i="8"/>
  <c r="N337" i="9"/>
  <c r="Q337" i="9" s="1"/>
  <c r="S337" i="9" s="1"/>
  <c r="AB314" i="9"/>
  <c r="AE314" i="9" s="1"/>
  <c r="AG314" i="9" s="1"/>
  <c r="AP409" i="9"/>
  <c r="AS409" i="9" s="1"/>
  <c r="AU409" i="9" s="1"/>
  <c r="AP397" i="8"/>
  <c r="N322" i="9"/>
  <c r="Q322" i="9" s="1"/>
  <c r="S322" i="9" s="1"/>
  <c r="AB340" i="10"/>
  <c r="AE340" i="10" s="1"/>
  <c r="AG340" i="10" s="1"/>
  <c r="AH340" i="10" s="1"/>
  <c r="AP287" i="9"/>
  <c r="AS287" i="9" s="1"/>
  <c r="AU287" i="9" s="1"/>
  <c r="AB149" i="10"/>
  <c r="AE149" i="10" s="1"/>
  <c r="AG149" i="10" s="1"/>
  <c r="AB328" i="8"/>
  <c r="N310" i="8"/>
  <c r="N178" i="9"/>
  <c r="Q178" i="9" s="1"/>
  <c r="S178" i="9" s="1"/>
  <c r="AB58" i="9"/>
  <c r="AE58" i="9" s="1"/>
  <c r="AG58" i="9" s="1"/>
  <c r="AP374" i="8"/>
  <c r="AS374" i="8" s="1"/>
  <c r="AU374" i="8" s="1"/>
  <c r="AP304" i="8"/>
  <c r="N58" i="10"/>
  <c r="Q58" i="10" s="1"/>
  <c r="S58" i="10" s="1"/>
  <c r="AB365" i="10"/>
  <c r="AE365" i="10" s="1"/>
  <c r="AG365" i="10" s="1"/>
  <c r="AH365" i="10" s="1"/>
  <c r="N288" i="10"/>
  <c r="Q288" i="10" s="1"/>
  <c r="S288" i="10" s="1"/>
  <c r="AP257" i="10"/>
  <c r="AS257" i="10" s="1"/>
  <c r="AU257" i="10" s="1"/>
  <c r="AP264" i="8"/>
  <c r="N280" i="9"/>
  <c r="Q280" i="9" s="1"/>
  <c r="S280" i="9" s="1"/>
  <c r="T280" i="9" s="1"/>
  <c r="AP224" i="8"/>
  <c r="AS224" i="8" s="1"/>
  <c r="AU224" i="8" s="1"/>
  <c r="AP144" i="9"/>
  <c r="AS144" i="9" s="1"/>
  <c r="AU144" i="9" s="1"/>
  <c r="AP356" i="10"/>
  <c r="AS356" i="10" s="1"/>
  <c r="AU356" i="10" s="1"/>
  <c r="N162" i="8"/>
  <c r="N279" i="10"/>
  <c r="Q279" i="10" s="1"/>
  <c r="S279" i="10" s="1"/>
  <c r="AP149" i="8"/>
  <c r="AB289" i="9"/>
  <c r="AE289" i="9" s="1"/>
  <c r="AG289" i="9" s="1"/>
  <c r="N318" i="9"/>
  <c r="Q318" i="9" s="1"/>
  <c r="S318" i="9" s="1"/>
  <c r="N55" i="9"/>
  <c r="AP382" i="8"/>
  <c r="N410" i="8"/>
  <c r="AB299" i="9"/>
  <c r="AE299" i="9" s="1"/>
  <c r="AG299" i="9" s="1"/>
  <c r="AP386" i="8"/>
  <c r="AP171" i="8"/>
  <c r="N61" i="8"/>
  <c r="AP378" i="9"/>
  <c r="AS378" i="9" s="1"/>
  <c r="AU378" i="9" s="1"/>
  <c r="AB181" i="9"/>
  <c r="AE181" i="9" s="1"/>
  <c r="AG181" i="9" s="1"/>
  <c r="N192" i="8"/>
  <c r="AP256" i="9"/>
  <c r="AS256" i="9" s="1"/>
  <c r="AU256" i="9" s="1"/>
  <c r="AB310" i="8"/>
  <c r="N136" i="10"/>
  <c r="Q136" i="10" s="1"/>
  <c r="S136" i="10" s="1"/>
  <c r="N394" i="10"/>
  <c r="Q394" i="10" s="1"/>
  <c r="S394" i="10" s="1"/>
  <c r="AB360" i="9"/>
  <c r="AE360" i="9" s="1"/>
  <c r="AG360" i="9" s="1"/>
  <c r="AH360" i="9" s="1"/>
  <c r="AP79" i="10"/>
  <c r="AS79" i="10" s="1"/>
  <c r="AU79" i="10" s="1"/>
  <c r="AP424" i="9"/>
  <c r="AS424" i="9" s="1"/>
  <c r="AU424" i="9" s="1"/>
  <c r="N404" i="8"/>
  <c r="AP123" i="10"/>
  <c r="AS123" i="10" s="1"/>
  <c r="AU123" i="10" s="1"/>
  <c r="AP416" i="10"/>
  <c r="AS416" i="10" s="1"/>
  <c r="AU416" i="10" s="1"/>
  <c r="AB214" i="9"/>
  <c r="AE214" i="9" s="1"/>
  <c r="AG214" i="9" s="1"/>
  <c r="AB338" i="9"/>
  <c r="AE338" i="9" s="1"/>
  <c r="AG338" i="9" s="1"/>
  <c r="N336" i="10"/>
  <c r="Q336" i="10" s="1"/>
  <c r="S336" i="10" s="1"/>
  <c r="AB190" i="8"/>
  <c r="AB241" i="9"/>
  <c r="AE241" i="9" s="1"/>
  <c r="AG241" i="9" s="1"/>
  <c r="AP253" i="8"/>
  <c r="AP65" i="8"/>
  <c r="AB37" i="8"/>
  <c r="AP263" i="9"/>
  <c r="AS263" i="9" s="1"/>
  <c r="AU263" i="9" s="1"/>
  <c r="AP69" i="10"/>
  <c r="AS69" i="10" s="1"/>
  <c r="AU69" i="10" s="1"/>
  <c r="AP207" i="10"/>
  <c r="AS207" i="10" s="1"/>
  <c r="AU207" i="10" s="1"/>
  <c r="AP129" i="9"/>
  <c r="AS129" i="9" s="1"/>
  <c r="AU129" i="9" s="1"/>
  <c r="N302" i="8"/>
  <c r="Q302" i="8" s="1"/>
  <c r="S302" i="8" s="1"/>
  <c r="AB91" i="9"/>
  <c r="AE91" i="9" s="1"/>
  <c r="AG91" i="9" s="1"/>
  <c r="N37" i="9"/>
  <c r="Q37" i="9" s="1"/>
  <c r="S37" i="9" s="1"/>
  <c r="AP314" i="10"/>
  <c r="AS314" i="10" s="1"/>
  <c r="AU314" i="10" s="1"/>
  <c r="N194" i="10"/>
  <c r="Q194" i="10" s="1"/>
  <c r="S194" i="10" s="1"/>
  <c r="AP32" i="10"/>
  <c r="AS32" i="10" s="1"/>
  <c r="AU32" i="10" s="1"/>
  <c r="AP63" i="9"/>
  <c r="AS63" i="9" s="1"/>
  <c r="AU63" i="9" s="1"/>
  <c r="AB130" i="9"/>
  <c r="AE130" i="9" s="1"/>
  <c r="AG130" i="9" s="1"/>
  <c r="AH130" i="9" s="1"/>
  <c r="N269" i="8"/>
  <c r="Q269" i="8" s="1"/>
  <c r="S269" i="8" s="1"/>
  <c r="AB320" i="9"/>
  <c r="AE320" i="9" s="1"/>
  <c r="AG320" i="9" s="1"/>
  <c r="AH320" i="9" s="1"/>
  <c r="AB198" i="8"/>
  <c r="N325" i="9"/>
  <c r="Q325" i="9" s="1"/>
  <c r="S325" i="9" s="1"/>
  <c r="T325" i="9" s="1"/>
  <c r="N353" i="9"/>
  <c r="Q353" i="9" s="1"/>
  <c r="S353" i="9" s="1"/>
  <c r="N306" i="8"/>
  <c r="N329" i="10"/>
  <c r="Q329" i="10" s="1"/>
  <c r="S329" i="10" s="1"/>
  <c r="AP349" i="10"/>
  <c r="AS349" i="10" s="1"/>
  <c r="AU349" i="10" s="1"/>
  <c r="N185" i="9"/>
  <c r="N137" i="10"/>
  <c r="Q137" i="10" s="1"/>
  <c r="S137" i="10" s="1"/>
  <c r="N251" i="10"/>
  <c r="Q251" i="10" s="1"/>
  <c r="S251" i="10" s="1"/>
  <c r="AP229" i="9"/>
  <c r="AS229" i="9" s="1"/>
  <c r="AU229" i="9" s="1"/>
  <c r="AB390" i="9"/>
  <c r="AE390" i="9" s="1"/>
  <c r="AG390" i="9" s="1"/>
  <c r="AH390" i="9" s="1"/>
  <c r="N160" i="8"/>
  <c r="N56" i="10"/>
  <c r="Q56" i="10" s="1"/>
  <c r="S56" i="10" s="1"/>
  <c r="N240" i="10"/>
  <c r="Q240" i="10" s="1"/>
  <c r="S240" i="10" s="1"/>
  <c r="T240" i="10" s="1"/>
  <c r="AB386" i="8"/>
  <c r="AP256" i="8"/>
  <c r="N409" i="9"/>
  <c r="Q409" i="9" s="1"/>
  <c r="S409" i="9" s="1"/>
  <c r="N342" i="10"/>
  <c r="Q342" i="10" s="1"/>
  <c r="S342" i="10" s="1"/>
  <c r="AP72" i="10"/>
  <c r="AS72" i="10" s="1"/>
  <c r="AU72" i="10" s="1"/>
  <c r="AB114" i="10"/>
  <c r="AE114" i="10" s="1"/>
  <c r="AG114" i="10" s="1"/>
  <c r="AP34" i="10"/>
  <c r="AS34" i="10" s="1"/>
  <c r="AU34" i="10" s="1"/>
  <c r="AB40" i="8"/>
  <c r="AB222" i="8"/>
  <c r="AE222" i="8" s="1"/>
  <c r="AG222" i="8" s="1"/>
  <c r="AP218" i="10"/>
  <c r="AS218" i="10" s="1"/>
  <c r="AU218" i="10" s="1"/>
  <c r="N215" i="10"/>
  <c r="Q215" i="10" s="1"/>
  <c r="S215" i="10" s="1"/>
  <c r="T215" i="10" s="1"/>
  <c r="AB125" i="9"/>
  <c r="AE125" i="9" s="1"/>
  <c r="AG125" i="9" s="1"/>
  <c r="AH125" i="9" s="1"/>
  <c r="AB163" i="8"/>
  <c r="N191" i="8"/>
  <c r="AB65" i="10"/>
  <c r="AE65" i="10" s="1"/>
  <c r="AG65" i="10" s="1"/>
  <c r="AH65" i="10" s="1"/>
  <c r="N112" i="8"/>
  <c r="N413" i="9"/>
  <c r="Q413" i="9" s="1"/>
  <c r="S413" i="9" s="1"/>
  <c r="AB139" i="10"/>
  <c r="AE139" i="10" s="1"/>
  <c r="AG139" i="10" s="1"/>
  <c r="AB251" i="10"/>
  <c r="AE251" i="10" s="1"/>
  <c r="AG251" i="10" s="1"/>
  <c r="AB240" i="8"/>
  <c r="AP216" i="8"/>
  <c r="AP240" i="10"/>
  <c r="AS240" i="10" s="1"/>
  <c r="AU240" i="10" s="1"/>
  <c r="AV240" i="10" s="1"/>
  <c r="AY240" i="10" s="1"/>
  <c r="N93" i="8"/>
  <c r="N267" i="9"/>
  <c r="Q267" i="9" s="1"/>
  <c r="S267" i="9" s="1"/>
  <c r="N28" i="8"/>
  <c r="Q28" i="8" s="1"/>
  <c r="S28" i="8" s="1"/>
  <c r="AP230" i="8"/>
  <c r="N72" i="10"/>
  <c r="Q72" i="10" s="1"/>
  <c r="S72" i="10" s="1"/>
  <c r="AB217" i="9"/>
  <c r="AE217" i="9" s="1"/>
  <c r="AG217" i="9" s="1"/>
  <c r="AP360" i="8"/>
  <c r="N125" i="9"/>
  <c r="Q125" i="9" s="1"/>
  <c r="S125" i="9" s="1"/>
  <c r="T125" i="9" s="1"/>
  <c r="N246" i="8"/>
  <c r="N369" i="10"/>
  <c r="Q369" i="10" s="1"/>
  <c r="S369" i="10" s="1"/>
  <c r="AB309" i="10"/>
  <c r="AE309" i="10" s="1"/>
  <c r="AG309" i="10" s="1"/>
  <c r="AP146" i="8"/>
  <c r="AP194" i="9"/>
  <c r="AS194" i="9" s="1"/>
  <c r="AU194" i="9" s="1"/>
  <c r="AP102" i="10"/>
  <c r="AS102" i="10" s="1"/>
  <c r="AU102" i="10" s="1"/>
  <c r="AP334" i="9"/>
  <c r="AS334" i="9" s="1"/>
  <c r="AU334" i="9" s="1"/>
  <c r="AP306" i="10"/>
  <c r="AS306" i="10" s="1"/>
  <c r="AU306" i="10" s="1"/>
  <c r="N314" i="8"/>
  <c r="N271" i="10"/>
  <c r="Q271" i="10" s="1"/>
  <c r="S271" i="10" s="1"/>
  <c r="AP190" i="8"/>
  <c r="AS190" i="8" s="1"/>
  <c r="AU190" i="8" s="1"/>
  <c r="AV190" i="8" s="1"/>
  <c r="AY190" i="8" s="1"/>
  <c r="AB185" i="10"/>
  <c r="AE185" i="10" s="1"/>
  <c r="AG185" i="10" s="1"/>
  <c r="AH185" i="10" s="1"/>
  <c r="AP129" i="8"/>
  <c r="AB337" i="9"/>
  <c r="AE337" i="9" s="1"/>
  <c r="AG337" i="9" s="1"/>
  <c r="N160" i="10"/>
  <c r="Q160" i="10" s="1"/>
  <c r="S160" i="10" s="1"/>
  <c r="T160" i="10" s="1"/>
  <c r="AB322" i="9"/>
  <c r="AE322" i="9" s="1"/>
  <c r="AG322" i="9" s="1"/>
  <c r="AP354" i="8"/>
  <c r="AB394" i="8"/>
  <c r="AP401" i="8"/>
  <c r="AS401" i="8" s="1"/>
  <c r="AU401" i="8" s="1"/>
  <c r="N312" i="8"/>
  <c r="AB123" i="10"/>
  <c r="AE123" i="10" s="1"/>
  <c r="AG123" i="10" s="1"/>
  <c r="AP404" i="8"/>
  <c r="AB109" i="10"/>
  <c r="AE109" i="10" s="1"/>
  <c r="AG109" i="10" s="1"/>
  <c r="N179" i="9"/>
  <c r="Q179" i="9" s="1"/>
  <c r="S179" i="9" s="1"/>
  <c r="N162" i="9"/>
  <c r="Q162" i="9" s="1"/>
  <c r="S162" i="9" s="1"/>
  <c r="N287" i="8"/>
  <c r="AB32" i="8"/>
  <c r="AE32" i="8" s="1"/>
  <c r="AG32" i="8" s="1"/>
  <c r="AP61" i="8"/>
  <c r="N162" i="10"/>
  <c r="Q162" i="10" s="1"/>
  <c r="S162" i="10" s="1"/>
  <c r="AB354" i="8"/>
  <c r="AP371" i="10"/>
  <c r="AS371" i="10" s="1"/>
  <c r="AU371" i="10" s="1"/>
  <c r="AP302" i="9"/>
  <c r="AS302" i="9" s="1"/>
  <c r="AU302" i="9" s="1"/>
  <c r="N106" i="10"/>
  <c r="Q106" i="10" s="1"/>
  <c r="S106" i="10" s="1"/>
  <c r="N398" i="10"/>
  <c r="Q398" i="10" s="1"/>
  <c r="S398" i="10" s="1"/>
  <c r="N283" i="8"/>
  <c r="N168" i="9"/>
  <c r="Q168" i="9" s="1"/>
  <c r="S168" i="9" s="1"/>
  <c r="AP198" i="10"/>
  <c r="AS198" i="10" s="1"/>
  <c r="AU198" i="10" s="1"/>
  <c r="AP112" i="9"/>
  <c r="AS112" i="9" s="1"/>
  <c r="AU112" i="9" s="1"/>
  <c r="N294" i="9"/>
  <c r="Q294" i="9" s="1"/>
  <c r="S294" i="9" s="1"/>
  <c r="AP261" i="9"/>
  <c r="AS261" i="9" s="1"/>
  <c r="AU261" i="9" s="1"/>
  <c r="AP163" i="10"/>
  <c r="AS163" i="10" s="1"/>
  <c r="AU163" i="10" s="1"/>
  <c r="AP55" i="10"/>
  <c r="AS55" i="10" s="1"/>
  <c r="AU55" i="10" s="1"/>
  <c r="AV55" i="10" s="1"/>
  <c r="AY55" i="10" s="1"/>
  <c r="AP314" i="8"/>
  <c r="AS314" i="8" s="1"/>
  <c r="AU314" i="8" s="1"/>
  <c r="AB385" i="9"/>
  <c r="AE385" i="9" s="1"/>
  <c r="AG385" i="9" s="1"/>
  <c r="AH385" i="9" s="1"/>
  <c r="N157" i="9"/>
  <c r="Q157" i="9" s="1"/>
  <c r="S157" i="9" s="1"/>
  <c r="AP160" i="8"/>
  <c r="AP181" i="8"/>
  <c r="AP321" i="9"/>
  <c r="AS321" i="9" s="1"/>
  <c r="AU321" i="9" s="1"/>
  <c r="AB42" i="10"/>
  <c r="AE42" i="10" s="1"/>
  <c r="AG42" i="10" s="1"/>
  <c r="AB255" i="8"/>
  <c r="AB357" i="8"/>
  <c r="AE357" i="8" s="1"/>
  <c r="AG357" i="8" s="1"/>
  <c r="AP121" i="8"/>
  <c r="AA403" i="6"/>
  <c r="AB103" i="9"/>
  <c r="AE103" i="9" s="1"/>
  <c r="AG103" i="9" s="1"/>
  <c r="AP192" i="8"/>
  <c r="N171" i="9"/>
  <c r="Q171" i="9" s="1"/>
  <c r="S171" i="9" s="1"/>
  <c r="AP297" i="10"/>
  <c r="AS297" i="10" s="1"/>
  <c r="AU297" i="10" s="1"/>
  <c r="AB139" i="9"/>
  <c r="AE139" i="9" s="1"/>
  <c r="AG139" i="9" s="1"/>
  <c r="AP37" i="10"/>
  <c r="AS37" i="10" s="1"/>
  <c r="AU37" i="10" s="1"/>
  <c r="N376" i="10"/>
  <c r="Q376" i="10" s="1"/>
  <c r="S376" i="10" s="1"/>
  <c r="AP245" i="9"/>
  <c r="AS245" i="9" s="1"/>
  <c r="AU245" i="9" s="1"/>
  <c r="AV245" i="9" s="1"/>
  <c r="AY245" i="9" s="1"/>
  <c r="N228" i="8"/>
  <c r="AP312" i="8"/>
  <c r="AB225" i="10"/>
  <c r="AE225" i="10" s="1"/>
  <c r="AG225" i="10" s="1"/>
  <c r="AH225" i="10" s="1"/>
  <c r="AB270" i="10"/>
  <c r="AE270" i="10" s="1"/>
  <c r="AG270" i="10" s="1"/>
  <c r="AH270" i="10" s="1"/>
  <c r="AB356" i="8"/>
  <c r="AB393" i="9"/>
  <c r="AE393" i="9" s="1"/>
  <c r="AG393" i="9" s="1"/>
  <c r="AB133" i="10"/>
  <c r="AE133" i="10" s="1"/>
  <c r="AG133" i="10" s="1"/>
  <c r="AP170" i="10"/>
  <c r="AS170" i="10" s="1"/>
  <c r="AU170" i="10" s="1"/>
  <c r="AV170" i="10" s="1"/>
  <c r="AY170" i="10" s="1"/>
  <c r="AP108" i="8"/>
  <c r="AP229" i="8"/>
  <c r="AB52" i="10"/>
  <c r="AE52" i="10" s="1"/>
  <c r="AG52" i="10" s="1"/>
  <c r="AP157" i="10"/>
  <c r="AS157" i="10" s="1"/>
  <c r="AU157" i="10" s="1"/>
  <c r="N297" i="8"/>
  <c r="AB157" i="9"/>
  <c r="AE157" i="9" s="1"/>
  <c r="AG157" i="9" s="1"/>
  <c r="N294" i="10"/>
  <c r="Q294" i="10" s="1"/>
  <c r="S294" i="10" s="1"/>
  <c r="N291" i="9"/>
  <c r="Q291" i="9" s="1"/>
  <c r="S291" i="9" s="1"/>
  <c r="AB307" i="9"/>
  <c r="AE307" i="9" s="1"/>
  <c r="AG307" i="9" s="1"/>
  <c r="AB93" i="8"/>
  <c r="AP357" i="8"/>
  <c r="AP340" i="10"/>
  <c r="AS340" i="10" s="1"/>
  <c r="AU340" i="10" s="1"/>
  <c r="AV340" i="10" s="1"/>
  <c r="AY340" i="10" s="1"/>
  <c r="AB303" i="8"/>
  <c r="AB395" i="9"/>
  <c r="N95" i="9"/>
  <c r="Q95" i="9" s="1"/>
  <c r="S95" i="9" s="1"/>
  <c r="T95" i="9" s="1"/>
  <c r="N368" i="10"/>
  <c r="Q368" i="10" s="1"/>
  <c r="S368" i="10" s="1"/>
  <c r="AP184" i="10"/>
  <c r="AS184" i="10" s="1"/>
  <c r="AU184" i="10" s="1"/>
  <c r="N195" i="8"/>
  <c r="AB288" i="10"/>
  <c r="AE288" i="10" s="1"/>
  <c r="AG288" i="10" s="1"/>
  <c r="N199" i="9"/>
  <c r="Q199" i="9" s="1"/>
  <c r="S199" i="9" s="1"/>
  <c r="N202" i="9"/>
  <c r="Q202" i="9" s="1"/>
  <c r="S202" i="9" s="1"/>
  <c r="N234" i="8"/>
  <c r="Q234" i="8" s="1"/>
  <c r="S234" i="8" s="1"/>
  <c r="AB147" i="10"/>
  <c r="AE147" i="10" s="1"/>
  <c r="AG147" i="10" s="1"/>
  <c r="AP97" i="9"/>
  <c r="AS97" i="9" s="1"/>
  <c r="AU97" i="9" s="1"/>
  <c r="AB358" i="9"/>
  <c r="AE358" i="9" s="1"/>
  <c r="AG358" i="9" s="1"/>
  <c r="N126" i="10"/>
  <c r="Q126" i="10" s="1"/>
  <c r="S126" i="10" s="1"/>
  <c r="N181" i="9"/>
  <c r="Q181" i="9" s="1"/>
  <c r="S181" i="9" s="1"/>
  <c r="AB253" i="9"/>
  <c r="AE253" i="9" s="1"/>
  <c r="AG253" i="9" s="1"/>
  <c r="AC403" i="6"/>
  <c r="N114" i="10"/>
  <c r="Q114" i="10" s="1"/>
  <c r="S114" i="10" s="1"/>
  <c r="AB256" i="9"/>
  <c r="AE256" i="9" s="1"/>
  <c r="AG256" i="9" s="1"/>
  <c r="AB368" i="9"/>
  <c r="AE368" i="9" s="1"/>
  <c r="AG368" i="9" s="1"/>
  <c r="AB264" i="10"/>
  <c r="AE264" i="10" s="1"/>
  <c r="AG264" i="10" s="1"/>
  <c r="N233" i="8"/>
  <c r="AP136" i="10"/>
  <c r="AS136" i="10" s="1"/>
  <c r="AU136" i="10" s="1"/>
  <c r="AP131" i="9"/>
  <c r="AS131" i="9" s="1"/>
  <c r="AU131" i="9" s="1"/>
  <c r="N303" i="10"/>
  <c r="Q303" i="10" s="1"/>
  <c r="S303" i="10" s="1"/>
  <c r="AP372" i="8"/>
  <c r="AS372" i="8" s="1"/>
  <c r="AU372" i="8" s="1"/>
  <c r="N59" i="10"/>
  <c r="Q59" i="10" s="1"/>
  <c r="S59" i="10" s="1"/>
  <c r="AB249" i="9"/>
  <c r="AE249" i="9" s="1"/>
  <c r="AG249" i="9" s="1"/>
  <c r="AP174" i="10"/>
  <c r="AS174" i="10" s="1"/>
  <c r="AU174" i="10" s="1"/>
  <c r="AP109" i="8"/>
  <c r="AP281" i="8"/>
  <c r="AB413" i="9"/>
  <c r="AE413" i="9" s="1"/>
  <c r="AG413" i="9" s="1"/>
  <c r="AP291" i="8"/>
  <c r="AP155" i="10"/>
  <c r="AS155" i="10" s="1"/>
  <c r="AU155" i="10" s="1"/>
  <c r="AP205" i="9"/>
  <c r="AS205" i="9" s="1"/>
  <c r="AU205" i="9" s="1"/>
  <c r="AV205" i="9" s="1"/>
  <c r="AY205" i="9" s="1"/>
  <c r="AP320" i="10"/>
  <c r="AS320" i="10" s="1"/>
  <c r="AU320" i="10" s="1"/>
  <c r="AV320" i="10" s="1"/>
  <c r="AY320" i="10" s="1"/>
  <c r="AP371" i="8"/>
  <c r="AP338" i="9"/>
  <c r="AS338" i="9" s="1"/>
  <c r="AU338" i="9" s="1"/>
  <c r="N389" i="8"/>
  <c r="N327" i="10"/>
  <c r="Q327" i="10" s="1"/>
  <c r="S327" i="10" s="1"/>
  <c r="AP275" i="9"/>
  <c r="AS275" i="9" s="1"/>
  <c r="AU275" i="9" s="1"/>
  <c r="AV275" i="9" s="1"/>
  <c r="AY275" i="9" s="1"/>
  <c r="AB138" i="10"/>
  <c r="AE138" i="10" s="1"/>
  <c r="AG138" i="10" s="1"/>
  <c r="N206" i="9"/>
  <c r="Q206" i="9" s="1"/>
  <c r="S206" i="9" s="1"/>
  <c r="N248" i="10"/>
  <c r="Q248" i="10" s="1"/>
  <c r="S248" i="10" s="1"/>
  <c r="AP377" i="10"/>
  <c r="AS377" i="10" s="1"/>
  <c r="AU377" i="10" s="1"/>
  <c r="AP253" i="9"/>
  <c r="AS253" i="9" s="1"/>
  <c r="AU253" i="9" s="1"/>
  <c r="AP110" i="9"/>
  <c r="AS110" i="9" s="1"/>
  <c r="AU110" i="9" s="1"/>
  <c r="AV110" i="9" s="1"/>
  <c r="AY110" i="9" s="1"/>
  <c r="AP285" i="10"/>
  <c r="AS285" i="10" s="1"/>
  <c r="AU285" i="10" s="1"/>
  <c r="AV285" i="10" s="1"/>
  <c r="AY285" i="10" s="1"/>
  <c r="N36" i="10"/>
  <c r="Q36" i="10" s="1"/>
  <c r="S36" i="10" s="1"/>
  <c r="AB173" i="9"/>
  <c r="AE173" i="9" s="1"/>
  <c r="AG173" i="9" s="1"/>
  <c r="AP410" i="10"/>
  <c r="AS410" i="10" s="1"/>
  <c r="AU410" i="10" s="1"/>
  <c r="AV410" i="10" s="1"/>
  <c r="AY410" i="10" s="1"/>
  <c r="N235" i="9"/>
  <c r="Q235" i="9" s="1"/>
  <c r="S235" i="9" s="1"/>
  <c r="T235" i="9" s="1"/>
  <c r="N221" i="9"/>
  <c r="Q221" i="9" s="1"/>
  <c r="S221" i="9" s="1"/>
  <c r="AP224" i="9"/>
  <c r="AS224" i="9" s="1"/>
  <c r="AU224" i="9" s="1"/>
  <c r="N257" i="10"/>
  <c r="Q257" i="10" s="1"/>
  <c r="S257" i="10" s="1"/>
  <c r="N264" i="8"/>
  <c r="AB327" i="10"/>
  <c r="AE327" i="10" s="1"/>
  <c r="AG327" i="10" s="1"/>
  <c r="AB285" i="9"/>
  <c r="N119" i="8"/>
  <c r="AP107" i="10"/>
  <c r="AS107" i="10" s="1"/>
  <c r="AU107" i="10" s="1"/>
  <c r="N222" i="10"/>
  <c r="Q222" i="10" s="1"/>
  <c r="S222" i="10" s="1"/>
  <c r="AP309" i="10"/>
  <c r="AS309" i="10" s="1"/>
  <c r="AU309" i="10" s="1"/>
  <c r="N168" i="10"/>
  <c r="Q168" i="10" s="1"/>
  <c r="S168" i="10" s="1"/>
  <c r="N126" i="9"/>
  <c r="Q126" i="9" s="1"/>
  <c r="S126" i="9" s="1"/>
  <c r="AB288" i="9"/>
  <c r="AE288" i="9" s="1"/>
  <c r="AG288" i="9" s="1"/>
  <c r="N355" i="9"/>
  <c r="N75" i="8"/>
  <c r="AB297" i="9"/>
  <c r="AE297" i="9" s="1"/>
  <c r="AG297" i="9" s="1"/>
  <c r="AP110" i="10"/>
  <c r="AS110" i="10" s="1"/>
  <c r="AU110" i="10" s="1"/>
  <c r="AV110" i="10" s="1"/>
  <c r="AY110" i="10" s="1"/>
  <c r="AP181" i="10"/>
  <c r="AS181" i="10" s="1"/>
  <c r="AU181" i="10" s="1"/>
  <c r="AB29" i="10"/>
  <c r="AE29" i="10" s="1"/>
  <c r="AG29" i="10" s="1"/>
  <c r="N205" i="8"/>
  <c r="N146" i="9"/>
  <c r="Q146" i="9" s="1"/>
  <c r="S146" i="9" s="1"/>
  <c r="N98" i="8"/>
  <c r="Q98" i="8" s="1"/>
  <c r="S98" i="8" s="1"/>
  <c r="AP107" i="8"/>
  <c r="AP37" i="8"/>
  <c r="AP115" i="8"/>
  <c r="AP178" i="10"/>
  <c r="AS178" i="10" s="1"/>
  <c r="AU178" i="10" s="1"/>
  <c r="AP416" i="8"/>
  <c r="AP383" i="8"/>
  <c r="N155" i="10"/>
  <c r="Q155" i="10" s="1"/>
  <c r="S155" i="10" s="1"/>
  <c r="T155" i="10" s="1"/>
  <c r="N377" i="10"/>
  <c r="Q377" i="10" s="1"/>
  <c r="S377" i="10" s="1"/>
  <c r="N102" i="9"/>
  <c r="Q102" i="9" s="1"/>
  <c r="S102" i="9" s="1"/>
  <c r="AB217" i="10"/>
  <c r="AE217" i="10" s="1"/>
  <c r="AG217" i="10" s="1"/>
  <c r="AP258" i="8"/>
  <c r="N151" i="10"/>
  <c r="Q151" i="10" s="1"/>
  <c r="S151" i="10" s="1"/>
  <c r="AA383" i="6"/>
  <c r="N265" i="9"/>
  <c r="Q265" i="9" s="1"/>
  <c r="S265" i="9" s="1"/>
  <c r="T265" i="9" s="1"/>
  <c r="AP154" i="10"/>
  <c r="AS154" i="10" s="1"/>
  <c r="AU154" i="10" s="1"/>
  <c r="AP390" i="10"/>
  <c r="N397" i="8"/>
  <c r="N59" i="9"/>
  <c r="Q59" i="9" s="1"/>
  <c r="S59" i="9" s="1"/>
  <c r="N184" i="8"/>
  <c r="AB302" i="8"/>
  <c r="AB274" i="9"/>
  <c r="AE274" i="9" s="1"/>
  <c r="AG274" i="9" s="1"/>
  <c r="N323" i="9"/>
  <c r="Q323" i="9" s="1"/>
  <c r="S323" i="9" s="1"/>
  <c r="AP368" i="9"/>
  <c r="AS368" i="9" s="1"/>
  <c r="AU368" i="9" s="1"/>
  <c r="AP267" i="10"/>
  <c r="AS267" i="10" s="1"/>
  <c r="AU267" i="10" s="1"/>
  <c r="AP139" i="9"/>
  <c r="AS139" i="9" s="1"/>
  <c r="AU139" i="9" s="1"/>
  <c r="AB336" i="9"/>
  <c r="AE336" i="9" s="1"/>
  <c r="AG336" i="9" s="1"/>
  <c r="N26" i="10"/>
  <c r="Q26" i="10" s="1"/>
  <c r="S26" i="10" s="1"/>
  <c r="AB49" i="10"/>
  <c r="AE49" i="10" s="1"/>
  <c r="AG49" i="10" s="1"/>
  <c r="AP71" i="10"/>
  <c r="AS71" i="10" s="1"/>
  <c r="AU71" i="10" s="1"/>
  <c r="AB228" i="8"/>
  <c r="AB227" i="9"/>
  <c r="AE227" i="9" s="1"/>
  <c r="AG227" i="9" s="1"/>
  <c r="AP225" i="10"/>
  <c r="N346" i="8"/>
  <c r="AB79" i="9"/>
  <c r="AE79" i="9" s="1"/>
  <c r="AG79" i="9" s="1"/>
  <c r="AB283" i="8"/>
  <c r="AB223" i="9"/>
  <c r="AE223" i="9" s="1"/>
  <c r="AG223" i="9" s="1"/>
  <c r="AB363" i="8"/>
  <c r="AP364" i="10"/>
  <c r="AS364" i="10" s="1"/>
  <c r="AU364" i="10" s="1"/>
  <c r="N342" i="8"/>
  <c r="N123" i="8"/>
  <c r="Q123" i="8" s="1"/>
  <c r="S123" i="8" s="1"/>
  <c r="AB312" i="10"/>
  <c r="AE312" i="10" s="1"/>
  <c r="AG312" i="10" s="1"/>
  <c r="N264" i="9"/>
  <c r="Q264" i="9" s="1"/>
  <c r="S264" i="9" s="1"/>
  <c r="AP165" i="9"/>
  <c r="AS165" i="9" s="1"/>
  <c r="AU165" i="9" s="1"/>
  <c r="AV165" i="9" s="1"/>
  <c r="AY165" i="9" s="1"/>
  <c r="AP104" i="9"/>
  <c r="AS104" i="9" s="1"/>
  <c r="AU104" i="9" s="1"/>
  <c r="N414" i="8"/>
  <c r="N201" i="9"/>
  <c r="Q201" i="9" s="1"/>
  <c r="S201" i="9" s="1"/>
  <c r="AA352" i="6"/>
  <c r="N143" i="10"/>
  <c r="Q143" i="10" s="1"/>
  <c r="S143" i="10" s="1"/>
  <c r="AP52" i="8"/>
  <c r="AP336" i="8"/>
  <c r="AB150" i="9"/>
  <c r="AE150" i="9" s="1"/>
  <c r="AG150" i="9" s="1"/>
  <c r="AH150" i="9" s="1"/>
  <c r="AP251" i="10"/>
  <c r="AS251" i="10" s="1"/>
  <c r="AU251" i="10" s="1"/>
  <c r="N101" i="10"/>
  <c r="Q101" i="10" s="1"/>
  <c r="S101" i="10" s="1"/>
  <c r="N129" i="8"/>
  <c r="N149" i="9"/>
  <c r="Q149" i="9" s="1"/>
  <c r="S149" i="9" s="1"/>
  <c r="N354" i="8"/>
  <c r="Q354" i="8" s="1"/>
  <c r="S354" i="8" s="1"/>
  <c r="AP145" i="9"/>
  <c r="AS145" i="9" s="1"/>
  <c r="AU145" i="9" s="1"/>
  <c r="AV145" i="9" s="1"/>
  <c r="AY145" i="9" s="1"/>
  <c r="AP106" i="10"/>
  <c r="AS106" i="10" s="1"/>
  <c r="AU106" i="10" s="1"/>
  <c r="N254" i="10"/>
  <c r="Q254" i="10" s="1"/>
  <c r="S254" i="10" s="1"/>
  <c r="AB55" i="8"/>
  <c r="AB331" i="9"/>
  <c r="AE331" i="9" s="1"/>
  <c r="AG331" i="9" s="1"/>
  <c r="AP234" i="10"/>
  <c r="AS234" i="10" s="1"/>
  <c r="AU234" i="10" s="1"/>
  <c r="AP295" i="8"/>
  <c r="AP141" i="8"/>
  <c r="AB122" i="10"/>
  <c r="AE122" i="10" s="1"/>
  <c r="AG122" i="10" s="1"/>
  <c r="N370" i="9"/>
  <c r="Q370" i="9" s="1"/>
  <c r="S370" i="9" s="1"/>
  <c r="T370" i="9" s="1"/>
  <c r="AP259" i="9"/>
  <c r="AS259" i="9" s="1"/>
  <c r="AU259" i="9" s="1"/>
  <c r="AP168" i="10"/>
  <c r="AS168" i="10" s="1"/>
  <c r="AU168" i="10" s="1"/>
  <c r="AB329" i="9"/>
  <c r="AE329" i="9" s="1"/>
  <c r="AG329" i="9" s="1"/>
  <c r="AB321" i="8"/>
  <c r="AP277" i="8"/>
  <c r="N187" i="10"/>
  <c r="Q187" i="10" s="1"/>
  <c r="S187" i="10" s="1"/>
  <c r="AB382" i="10"/>
  <c r="AE382" i="10" s="1"/>
  <c r="AG382" i="10" s="1"/>
  <c r="AB314" i="8"/>
  <c r="AP136" i="9"/>
  <c r="AS136" i="9" s="1"/>
  <c r="AU136" i="9" s="1"/>
  <c r="AP126" i="10"/>
  <c r="AS126" i="10" s="1"/>
  <c r="AU126" i="10" s="1"/>
  <c r="AB410" i="8"/>
  <c r="AP175" i="8"/>
  <c r="AP112" i="10"/>
  <c r="AS112" i="10" s="1"/>
  <c r="AU112" i="10" s="1"/>
  <c r="AP166" i="8"/>
  <c r="AS166" i="8" s="1"/>
  <c r="AU166" i="8" s="1"/>
  <c r="N358" i="10"/>
  <c r="Q358" i="10" s="1"/>
  <c r="S358" i="10" s="1"/>
  <c r="N418" i="9"/>
  <c r="Q418" i="9" s="1"/>
  <c r="S418" i="9" s="1"/>
  <c r="N360" i="10"/>
  <c r="Q360" i="10" s="1"/>
  <c r="S360" i="10" s="1"/>
  <c r="T360" i="10" s="1"/>
  <c r="N41" i="9"/>
  <c r="Q41" i="9" s="1"/>
  <c r="S41" i="9" s="1"/>
  <c r="N105" i="10"/>
  <c r="Q105" i="10" s="1"/>
  <c r="S105" i="10" s="1"/>
  <c r="T105" i="10" s="1"/>
  <c r="AP88" i="8"/>
  <c r="AB110" i="8"/>
  <c r="AB144" i="10"/>
  <c r="AE144" i="10" s="1"/>
  <c r="AG144" i="10" s="1"/>
  <c r="N118" i="8"/>
  <c r="AB177" i="9"/>
  <c r="AE177" i="9" s="1"/>
  <c r="AG177" i="9" s="1"/>
  <c r="AB419" i="10"/>
  <c r="AE419" i="10" s="1"/>
  <c r="AG419" i="10" s="1"/>
  <c r="N141" i="8"/>
  <c r="N80" i="9"/>
  <c r="Q80" i="9" s="1"/>
  <c r="S80" i="9" s="1"/>
  <c r="T80" i="9" s="1"/>
  <c r="AB294" i="8"/>
  <c r="AP78" i="9"/>
  <c r="AS78" i="9" s="1"/>
  <c r="AU78" i="9" s="1"/>
  <c r="N277" i="10"/>
  <c r="Q277" i="10" s="1"/>
  <c r="S277" i="10" s="1"/>
  <c r="N318" i="10"/>
  <c r="Q318" i="10" s="1"/>
  <c r="S318" i="10" s="1"/>
  <c r="AB171" i="8"/>
  <c r="AB190" i="10"/>
  <c r="AE190" i="10" s="1"/>
  <c r="AG190" i="10" s="1"/>
  <c r="AH190" i="10" s="1"/>
  <c r="AP419" i="9"/>
  <c r="AS419" i="9" s="1"/>
  <c r="AU419" i="9" s="1"/>
  <c r="AP358" i="8"/>
  <c r="AP265" i="8"/>
  <c r="AB127" i="8"/>
  <c r="AB377" i="9"/>
  <c r="AE377" i="9" s="1"/>
  <c r="AG377" i="9" s="1"/>
  <c r="AB120" i="9"/>
  <c r="AE120" i="9" s="1"/>
  <c r="AG120" i="9" s="1"/>
  <c r="AH120" i="9" s="1"/>
  <c r="AP235" i="8"/>
  <c r="AB365" i="8"/>
  <c r="AP215" i="9"/>
  <c r="AS215" i="9" s="1"/>
  <c r="AU215" i="9" s="1"/>
  <c r="AV215" i="9" s="1"/>
  <c r="AY215" i="9" s="1"/>
  <c r="AB127" i="10"/>
  <c r="AE127" i="10" s="1"/>
  <c r="AG127" i="10" s="1"/>
  <c r="N89" i="8"/>
  <c r="AB230" i="10"/>
  <c r="AE230" i="10" s="1"/>
  <c r="AG230" i="10" s="1"/>
  <c r="AH230" i="10" s="1"/>
  <c r="AP285" i="9"/>
  <c r="AB307" i="8"/>
  <c r="AB179" i="8"/>
  <c r="AP322" i="10"/>
  <c r="AS322" i="10" s="1"/>
  <c r="AU322" i="10" s="1"/>
  <c r="AB82" i="9"/>
  <c r="AE82" i="9" s="1"/>
  <c r="AG82" i="9" s="1"/>
  <c r="AP85" i="10"/>
  <c r="AS85" i="10" s="1"/>
  <c r="AU85" i="10" s="1"/>
  <c r="AV85" i="10" s="1"/>
  <c r="AY85" i="10" s="1"/>
  <c r="N153" i="10"/>
  <c r="Q153" i="10" s="1"/>
  <c r="S153" i="10" s="1"/>
  <c r="AB141" i="10"/>
  <c r="AE141" i="10" s="1"/>
  <c r="AG141" i="10" s="1"/>
  <c r="AB154" i="8"/>
  <c r="AE154" i="8" s="1"/>
  <c r="AG154" i="8" s="1"/>
  <c r="AB58" i="8"/>
  <c r="AP219" i="10"/>
  <c r="AS219" i="10" s="1"/>
  <c r="AU219" i="10" s="1"/>
  <c r="AB149" i="9"/>
  <c r="AE149" i="9" s="1"/>
  <c r="AG149" i="9" s="1"/>
  <c r="AB75" i="8"/>
  <c r="AP396" i="9"/>
  <c r="AS396" i="9" s="1"/>
  <c r="AU396" i="9" s="1"/>
  <c r="AB154" i="9"/>
  <c r="AE154" i="9" s="1"/>
  <c r="AG154" i="9" s="1"/>
  <c r="AB102" i="10"/>
  <c r="AE102" i="10" s="1"/>
  <c r="AG102" i="10" s="1"/>
  <c r="AP259" i="10"/>
  <c r="AS259" i="10" s="1"/>
  <c r="AU259" i="10" s="1"/>
  <c r="AP381" i="10"/>
  <c r="AS381" i="10" s="1"/>
  <c r="AU381" i="10" s="1"/>
  <c r="N249" i="10"/>
  <c r="Q249" i="10" s="1"/>
  <c r="S249" i="10" s="1"/>
  <c r="N290" i="10"/>
  <c r="Q290" i="10" s="1"/>
  <c r="S290" i="10" s="1"/>
  <c r="T290" i="10" s="1"/>
  <c r="N374" i="10"/>
  <c r="Q374" i="10" s="1"/>
  <c r="S374" i="10" s="1"/>
  <c r="N85" i="10"/>
  <c r="Q85" i="10" s="1"/>
  <c r="S85" i="10" s="1"/>
  <c r="T85" i="10" s="1"/>
  <c r="AP234" i="9"/>
  <c r="AS234" i="9" s="1"/>
  <c r="AU234" i="9" s="1"/>
  <c r="N282" i="9"/>
  <c r="Q282" i="9" s="1"/>
  <c r="S282" i="9" s="1"/>
  <c r="AP376" i="10"/>
  <c r="AS376" i="10" s="1"/>
  <c r="AU376" i="10" s="1"/>
  <c r="AB257" i="8"/>
  <c r="AP336" i="9"/>
  <c r="AS336" i="9" s="1"/>
  <c r="AU336" i="9" s="1"/>
  <c r="N267" i="10"/>
  <c r="Q267" i="10" s="1"/>
  <c r="S267" i="10" s="1"/>
  <c r="AB165" i="8"/>
  <c r="N256" i="9"/>
  <c r="Q256" i="9" s="1"/>
  <c r="S256" i="9" s="1"/>
  <c r="AP241" i="10"/>
  <c r="AS241" i="10" s="1"/>
  <c r="AU241" i="10" s="1"/>
  <c r="AB409" i="9"/>
  <c r="AE409" i="9" s="1"/>
  <c r="AG409" i="9" s="1"/>
  <c r="N200" i="9"/>
  <c r="Q200" i="9" s="1"/>
  <c r="S200" i="9" s="1"/>
  <c r="AB36" i="8"/>
  <c r="AP298" i="9"/>
  <c r="AS298" i="9" s="1"/>
  <c r="AU298" i="9" s="1"/>
  <c r="AP56" i="10"/>
  <c r="AS56" i="10" s="1"/>
  <c r="AU56" i="10" s="1"/>
  <c r="AB417" i="8"/>
  <c r="AP193" i="10"/>
  <c r="AS193" i="10" s="1"/>
  <c r="AU193" i="10" s="1"/>
  <c r="AP87" i="9"/>
  <c r="AS87" i="9" s="1"/>
  <c r="AU87" i="9" s="1"/>
  <c r="AC384" i="6"/>
  <c r="AB304" i="10"/>
  <c r="AE304" i="10" s="1"/>
  <c r="AG304" i="10" s="1"/>
  <c r="N246" i="9"/>
  <c r="Q246" i="9" s="1"/>
  <c r="S246" i="9" s="1"/>
  <c r="AB257" i="10"/>
  <c r="AE257" i="10" s="1"/>
  <c r="AG257" i="10" s="1"/>
  <c r="AB87" i="8"/>
  <c r="AP125" i="9"/>
  <c r="AS125" i="9" s="1"/>
  <c r="AU125" i="9" s="1"/>
  <c r="AV125" i="9" s="1"/>
  <c r="AY125" i="9" s="1"/>
  <c r="N176" i="10"/>
  <c r="Q176" i="10" s="1"/>
  <c r="S176" i="10" s="1"/>
  <c r="AP49" i="10"/>
  <c r="AS49" i="10" s="1"/>
  <c r="AU49" i="10" s="1"/>
  <c r="AB383" i="8"/>
  <c r="AB94" i="10"/>
  <c r="AE94" i="10" s="1"/>
  <c r="AG94" i="10" s="1"/>
  <c r="AP150" i="9"/>
  <c r="AS150" i="9" s="1"/>
  <c r="AU150" i="9" s="1"/>
  <c r="AV150" i="9" s="1"/>
  <c r="AY150" i="9" s="1"/>
  <c r="AP213" i="9"/>
  <c r="AS213" i="9" s="1"/>
  <c r="AU213" i="9" s="1"/>
  <c r="AB167" i="8"/>
  <c r="AB128" i="9"/>
  <c r="AE128" i="9" s="1"/>
  <c r="AG128" i="9" s="1"/>
  <c r="N245" i="8"/>
  <c r="AB290" i="10"/>
  <c r="AE290" i="10" s="1"/>
  <c r="AG290" i="10" s="1"/>
  <c r="AH290" i="10" s="1"/>
  <c r="AB28" i="9"/>
  <c r="AE28" i="9" s="1"/>
  <c r="AG28" i="9" s="1"/>
  <c r="AB258" i="8"/>
  <c r="AP381" i="9"/>
  <c r="AS381" i="9" s="1"/>
  <c r="AU381" i="9" s="1"/>
  <c r="AP293" i="9"/>
  <c r="AS293" i="9" s="1"/>
  <c r="AU293" i="9" s="1"/>
  <c r="AP246" i="9"/>
  <c r="AS246" i="9" s="1"/>
  <c r="AU246" i="9" s="1"/>
  <c r="AP231" i="10"/>
  <c r="AS231" i="10" s="1"/>
  <c r="AU231" i="10" s="1"/>
  <c r="N417" i="9"/>
  <c r="Q417" i="9" s="1"/>
  <c r="S417" i="9" s="1"/>
  <c r="N198" i="10"/>
  <c r="Q198" i="10" s="1"/>
  <c r="S198" i="10" s="1"/>
  <c r="N61" i="10"/>
  <c r="Q61" i="10" s="1"/>
  <c r="S61" i="10" s="1"/>
  <c r="AP369" i="8"/>
  <c r="AS369" i="8" s="1"/>
  <c r="AU369" i="8" s="1"/>
  <c r="N346" i="9"/>
  <c r="Q346" i="9" s="1"/>
  <c r="S346" i="9" s="1"/>
  <c r="AP192" i="10"/>
  <c r="AS192" i="10" s="1"/>
  <c r="AU192" i="10" s="1"/>
  <c r="N131" i="8"/>
  <c r="N105" i="9"/>
  <c r="Q105" i="9" s="1"/>
  <c r="S105" i="9" s="1"/>
  <c r="T105" i="9" s="1"/>
  <c r="AB352" i="9"/>
  <c r="AE352" i="9" s="1"/>
  <c r="AG352" i="9" s="1"/>
  <c r="AP145" i="8"/>
  <c r="AB232" i="10"/>
  <c r="AE232" i="10" s="1"/>
  <c r="AG232" i="10" s="1"/>
  <c r="AP247" i="8"/>
  <c r="AS247" i="8" s="1"/>
  <c r="AU247" i="8" s="1"/>
  <c r="AP341" i="9"/>
  <c r="AS341" i="9" s="1"/>
  <c r="AU341" i="9" s="1"/>
  <c r="N226" i="10"/>
  <c r="Q226" i="10" s="1"/>
  <c r="S226" i="10" s="1"/>
  <c r="AP91" i="10"/>
  <c r="AS91" i="10" s="1"/>
  <c r="AU91" i="10" s="1"/>
  <c r="AB286" i="10"/>
  <c r="AE286" i="10" s="1"/>
  <c r="AG286" i="10" s="1"/>
  <c r="N191" i="9"/>
  <c r="Q191" i="9" s="1"/>
  <c r="S191" i="9" s="1"/>
  <c r="AP57" i="10"/>
  <c r="AS57" i="10" s="1"/>
  <c r="AU57" i="10" s="1"/>
  <c r="AB363" i="9"/>
  <c r="AE363" i="9" s="1"/>
  <c r="AG363" i="9" s="1"/>
  <c r="AP266" i="10"/>
  <c r="AS266" i="10" s="1"/>
  <c r="AU266" i="10" s="1"/>
  <c r="AP231" i="9"/>
  <c r="AS231" i="9" s="1"/>
  <c r="AU231" i="9" s="1"/>
  <c r="AP395" i="10"/>
  <c r="AS395" i="10" s="1"/>
  <c r="AU395" i="10" s="1"/>
  <c r="AV395" i="10" s="1"/>
  <c r="AY395" i="10" s="1"/>
  <c r="AB83" i="10"/>
  <c r="AE83" i="10" s="1"/>
  <c r="AG83" i="10" s="1"/>
  <c r="N123" i="9"/>
  <c r="Q123" i="9" s="1"/>
  <c r="S123" i="9" s="1"/>
  <c r="AB295" i="10"/>
  <c r="AE295" i="10" s="1"/>
  <c r="AG295" i="10" s="1"/>
  <c r="AH295" i="10" s="1"/>
  <c r="AB289" i="10"/>
  <c r="AE289" i="10" s="1"/>
  <c r="AG289" i="10" s="1"/>
  <c r="AB207" i="9"/>
  <c r="AE207" i="9" s="1"/>
  <c r="AG207" i="9" s="1"/>
  <c r="N96" i="10"/>
  <c r="Q96" i="10" s="1"/>
  <c r="S96" i="10" s="1"/>
  <c r="N56" i="9"/>
  <c r="Q56" i="9" s="1"/>
  <c r="S56" i="9" s="1"/>
  <c r="AP109" i="9"/>
  <c r="AS109" i="9" s="1"/>
  <c r="AU109" i="9" s="1"/>
  <c r="AP320" i="8"/>
  <c r="AB224" i="8"/>
  <c r="AB222" i="10"/>
  <c r="AE222" i="10" s="1"/>
  <c r="AG222" i="10" s="1"/>
  <c r="AB107" i="10"/>
  <c r="AE107" i="10" s="1"/>
  <c r="AG107" i="10" s="1"/>
  <c r="N310" i="9"/>
  <c r="Q310" i="9" s="1"/>
  <c r="S310" i="9" s="1"/>
  <c r="T310" i="9" s="1"/>
  <c r="AB152" i="8"/>
  <c r="AE152" i="8" s="1"/>
  <c r="AG152" i="8" s="1"/>
  <c r="AP85" i="8"/>
  <c r="AB95" i="9"/>
  <c r="AE95" i="9" s="1"/>
  <c r="AG95" i="9" s="1"/>
  <c r="AH95" i="9" s="1"/>
  <c r="N270" i="8"/>
  <c r="AB49" i="9"/>
  <c r="AE49" i="9" s="1"/>
  <c r="AG49" i="9" s="1"/>
  <c r="AP171" i="9"/>
  <c r="AS171" i="9" s="1"/>
  <c r="AU171" i="9" s="1"/>
  <c r="AB283" i="10"/>
  <c r="AE283" i="10" s="1"/>
  <c r="AG283" i="10" s="1"/>
  <c r="AP326" i="10"/>
  <c r="AS326" i="10" s="1"/>
  <c r="AU326" i="10" s="1"/>
  <c r="N205" i="10"/>
  <c r="AP138" i="10"/>
  <c r="AS138" i="10" s="1"/>
  <c r="AU138" i="10" s="1"/>
  <c r="AP336" i="10"/>
  <c r="AS336" i="10" s="1"/>
  <c r="AU336" i="10" s="1"/>
  <c r="AB297" i="8"/>
  <c r="N334" i="9"/>
  <c r="Q334" i="9" s="1"/>
  <c r="S334" i="9" s="1"/>
  <c r="AB232" i="9"/>
  <c r="AE232" i="9" s="1"/>
  <c r="AG232" i="9" s="1"/>
  <c r="N102" i="10"/>
  <c r="Q102" i="10" s="1"/>
  <c r="S102" i="10" s="1"/>
  <c r="N280" i="10"/>
  <c r="Q280" i="10" s="1"/>
  <c r="S280" i="10" s="1"/>
  <c r="T280" i="10" s="1"/>
  <c r="AA384" i="6"/>
  <c r="AB247" i="9"/>
  <c r="AE247" i="9" s="1"/>
  <c r="AG247" i="9" s="1"/>
  <c r="N135" i="8"/>
  <c r="AP234" i="8"/>
  <c r="N209" i="9"/>
  <c r="Q209" i="9" s="1"/>
  <c r="S209" i="9" s="1"/>
  <c r="AB266" i="10"/>
  <c r="AE266" i="10" s="1"/>
  <c r="AG266" i="10" s="1"/>
  <c r="AB366" i="8"/>
  <c r="AE366" i="8" s="1"/>
  <c r="AG366" i="8" s="1"/>
  <c r="N122" i="10"/>
  <c r="Q122" i="10" s="1"/>
  <c r="S122" i="10" s="1"/>
  <c r="N243" i="9"/>
  <c r="Q243" i="9" s="1"/>
  <c r="S243" i="9" s="1"/>
  <c r="AB365" i="9"/>
  <c r="AE365" i="9" s="1"/>
  <c r="AG365" i="9" s="1"/>
  <c r="AH365" i="9" s="1"/>
  <c r="N218" i="10"/>
  <c r="Q218" i="10" s="1"/>
  <c r="S218" i="10" s="1"/>
  <c r="AP208" i="10"/>
  <c r="AS208" i="10" s="1"/>
  <c r="AU208" i="10" s="1"/>
  <c r="AB109" i="9"/>
  <c r="AE109" i="9" s="1"/>
  <c r="AG109" i="9" s="1"/>
  <c r="AP293" i="10"/>
  <c r="AS293" i="10" s="1"/>
  <c r="AU293" i="10" s="1"/>
  <c r="N259" i="10"/>
  <c r="Q259" i="10" s="1"/>
  <c r="S259" i="10" s="1"/>
  <c r="N209" i="8"/>
  <c r="AB142" i="8"/>
  <c r="AE142" i="8" s="1"/>
  <c r="AG142" i="8" s="1"/>
  <c r="AP139" i="8"/>
  <c r="AP98" i="8"/>
  <c r="AP147" i="8"/>
  <c r="AP366" i="9"/>
  <c r="AS366" i="9" s="1"/>
  <c r="AU366" i="9" s="1"/>
  <c r="AB418" i="8"/>
  <c r="N174" i="10"/>
  <c r="Q174" i="10" s="1"/>
  <c r="S174" i="10" s="1"/>
  <c r="AP162" i="9"/>
  <c r="AS162" i="9" s="1"/>
  <c r="AU162" i="9" s="1"/>
  <c r="AB163" i="10"/>
  <c r="AE163" i="10" s="1"/>
  <c r="AG163" i="10" s="1"/>
  <c r="AB129" i="9"/>
  <c r="AE129" i="9" s="1"/>
  <c r="AG129" i="9" s="1"/>
  <c r="AB217" i="8"/>
  <c r="AB53" i="10"/>
  <c r="AE53" i="10" s="1"/>
  <c r="AG53" i="10" s="1"/>
  <c r="N137" i="8"/>
  <c r="N290" i="9"/>
  <c r="Q290" i="9" s="1"/>
  <c r="S290" i="9" s="1"/>
  <c r="T290" i="9" s="1"/>
  <c r="AP279" i="9"/>
  <c r="AS279" i="9" s="1"/>
  <c r="AU279" i="9" s="1"/>
  <c r="N188" i="8"/>
  <c r="AB255" i="9"/>
  <c r="N176" i="8"/>
  <c r="AP39" i="9"/>
  <c r="AS39" i="9" s="1"/>
  <c r="AU39" i="9" s="1"/>
  <c r="N175" i="9"/>
  <c r="Q175" i="9" s="1"/>
  <c r="S175" i="9" s="1"/>
  <c r="T175" i="9" s="1"/>
  <c r="N314" i="9"/>
  <c r="Q314" i="9" s="1"/>
  <c r="S314" i="9" s="1"/>
  <c r="AB278" i="8"/>
  <c r="AB241" i="8"/>
  <c r="AB382" i="9"/>
  <c r="AE382" i="9" s="1"/>
  <c r="AG382" i="9" s="1"/>
  <c r="AP88" i="10"/>
  <c r="AS88" i="10" s="1"/>
  <c r="AU88" i="10" s="1"/>
  <c r="AP355" i="10"/>
  <c r="AS355" i="10" s="1"/>
  <c r="AU355" i="10" s="1"/>
  <c r="AV355" i="10" s="1"/>
  <c r="AY355" i="10" s="1"/>
  <c r="AB193" i="8"/>
  <c r="AB345" i="9"/>
  <c r="AE345" i="9" s="1"/>
  <c r="AG345" i="9" s="1"/>
  <c r="AH345" i="9" s="1"/>
  <c r="N57" i="10"/>
  <c r="Q57" i="10" s="1"/>
  <c r="S57" i="10" s="1"/>
  <c r="AB270" i="9"/>
  <c r="AE270" i="9" s="1"/>
  <c r="AG270" i="9" s="1"/>
  <c r="AH270" i="9" s="1"/>
  <c r="AP256" i="10"/>
  <c r="AS256" i="10" s="1"/>
  <c r="AU256" i="10" s="1"/>
  <c r="AB410" i="9"/>
  <c r="AE410" i="9" s="1"/>
  <c r="AG410" i="9" s="1"/>
  <c r="AH410" i="9" s="1"/>
  <c r="AB96" i="10"/>
  <c r="AE96" i="10" s="1"/>
  <c r="AG96" i="10" s="1"/>
  <c r="AB364" i="9"/>
  <c r="AE364" i="9" s="1"/>
  <c r="AG364" i="9" s="1"/>
  <c r="AB117" i="10"/>
  <c r="AE117" i="10" s="1"/>
  <c r="AG117" i="10" s="1"/>
  <c r="N121" i="9"/>
  <c r="Q121" i="9" s="1"/>
  <c r="S121" i="9" s="1"/>
  <c r="AB107" i="8"/>
  <c r="AB326" i="10"/>
  <c r="AE326" i="10" s="1"/>
  <c r="AG326" i="10" s="1"/>
  <c r="AA368" i="6"/>
  <c r="AP249" i="9"/>
  <c r="AS249" i="9" s="1"/>
  <c r="AU249" i="9" s="1"/>
  <c r="AB158" i="9"/>
  <c r="AE158" i="9" s="1"/>
  <c r="AG158" i="9" s="1"/>
  <c r="N353" i="10"/>
  <c r="Q353" i="10" s="1"/>
  <c r="S353" i="10" s="1"/>
  <c r="N43" i="10"/>
  <c r="Q43" i="10" s="1"/>
  <c r="S43" i="10" s="1"/>
  <c r="AC395" i="6"/>
  <c r="AB95" i="8"/>
  <c r="AB56" i="10"/>
  <c r="AE56" i="10" s="1"/>
  <c r="AG56" i="10" s="1"/>
  <c r="N350" i="10"/>
  <c r="Q350" i="10" s="1"/>
  <c r="S350" i="10" s="1"/>
  <c r="T350" i="10" s="1"/>
  <c r="W350" i="10" s="1"/>
  <c r="AP185" i="9"/>
  <c r="AS185" i="9" s="1"/>
  <c r="AU185" i="9" s="1"/>
  <c r="AV185" i="9" s="1"/>
  <c r="AY185" i="9" s="1"/>
  <c r="AP406" i="9"/>
  <c r="AS406" i="9" s="1"/>
  <c r="AU406" i="9" s="1"/>
  <c r="N163" i="9"/>
  <c r="Q163" i="9" s="1"/>
  <c r="S163" i="9" s="1"/>
  <c r="AB251" i="8"/>
  <c r="N117" i="10"/>
  <c r="Q117" i="10" s="1"/>
  <c r="S117" i="10" s="1"/>
  <c r="AB342" i="9"/>
  <c r="AE342" i="9" s="1"/>
  <c r="AG342" i="9" s="1"/>
  <c r="AP142" i="8"/>
  <c r="N305" i="9"/>
  <c r="Q305" i="9" s="1"/>
  <c r="S305" i="9" s="1"/>
  <c r="T305" i="9" s="1"/>
  <c r="AB205" i="8"/>
  <c r="N375" i="8"/>
  <c r="Q375" i="8" s="1"/>
  <c r="S375" i="8" s="1"/>
  <c r="T375" i="8" s="1"/>
  <c r="AP165" i="10"/>
  <c r="AS165" i="10" s="1"/>
  <c r="AU165" i="10" s="1"/>
  <c r="AV165" i="10" s="1"/>
  <c r="AY165" i="10" s="1"/>
  <c r="N334" i="8"/>
  <c r="N93" i="10"/>
  <c r="Q93" i="10" s="1"/>
  <c r="S93" i="10" s="1"/>
  <c r="AP222" i="8"/>
  <c r="AB307" i="10"/>
  <c r="AE307" i="10" s="1"/>
  <c r="AG307" i="10" s="1"/>
  <c r="N289" i="10"/>
  <c r="Q289" i="10" s="1"/>
  <c r="S289" i="10" s="1"/>
  <c r="AB216" i="8"/>
  <c r="N371" i="8"/>
  <c r="Q371" i="8" s="1"/>
  <c r="S371" i="8" s="1"/>
  <c r="AB209" i="10"/>
  <c r="AE209" i="10" s="1"/>
  <c r="AG209" i="10" s="1"/>
  <c r="AP179" i="8"/>
  <c r="N329" i="9"/>
  <c r="Q329" i="9" s="1"/>
  <c r="S329" i="9" s="1"/>
  <c r="AB123" i="8"/>
  <c r="AP353" i="9"/>
  <c r="AS353" i="9" s="1"/>
  <c r="AU353" i="9" s="1"/>
  <c r="AP329" i="8"/>
  <c r="AP344" i="9"/>
  <c r="AS344" i="9" s="1"/>
  <c r="AU344" i="9" s="1"/>
  <c r="N285" i="9"/>
  <c r="Q285" i="9" s="1"/>
  <c r="S285" i="9" s="1"/>
  <c r="N357" i="8"/>
  <c r="AB59" i="9"/>
  <c r="AE59" i="9" s="1"/>
  <c r="AG59" i="9" s="1"/>
  <c r="N83" i="9"/>
  <c r="Q83" i="9" s="1"/>
  <c r="S83" i="9" s="1"/>
  <c r="AP182" i="8"/>
  <c r="AB223" i="8"/>
  <c r="N79" i="10"/>
  <c r="Q79" i="10" s="1"/>
  <c r="S79" i="10" s="1"/>
  <c r="N159" i="9"/>
  <c r="Q159" i="9" s="1"/>
  <c r="S159" i="9" s="1"/>
  <c r="N183" i="8"/>
  <c r="Q183" i="8" s="1"/>
  <c r="S183" i="8" s="1"/>
  <c r="AB210" i="10"/>
  <c r="AE210" i="10" s="1"/>
  <c r="AG210" i="10" s="1"/>
  <c r="AH210" i="10" s="1"/>
  <c r="AK210" i="10" s="1"/>
  <c r="AP218" i="8"/>
  <c r="AB337" i="10"/>
  <c r="AE337" i="10" s="1"/>
  <c r="AG337" i="10" s="1"/>
  <c r="AB158" i="8"/>
  <c r="N108" i="9"/>
  <c r="Q108" i="9" s="1"/>
  <c r="S108" i="9" s="1"/>
  <c r="AB339" i="10"/>
  <c r="AE339" i="10" s="1"/>
  <c r="AG339" i="10" s="1"/>
  <c r="N67" i="8"/>
  <c r="N418" i="10"/>
  <c r="Q418" i="10" s="1"/>
  <c r="S418" i="10" s="1"/>
  <c r="AP314" i="9"/>
  <c r="AS314" i="9" s="1"/>
  <c r="AU314" i="9" s="1"/>
  <c r="N338" i="10"/>
  <c r="Q338" i="10" s="1"/>
  <c r="S338" i="10" s="1"/>
  <c r="N283" i="10"/>
  <c r="Q283" i="10" s="1"/>
  <c r="S283" i="10" s="1"/>
  <c r="AB162" i="10"/>
  <c r="AE162" i="10" s="1"/>
  <c r="AG162" i="10" s="1"/>
  <c r="AB26" i="9"/>
  <c r="AE26" i="9" s="1"/>
  <c r="AG26" i="9" s="1"/>
  <c r="AB182" i="8"/>
  <c r="AP58" i="8"/>
  <c r="AP343" i="10"/>
  <c r="AS343" i="10" s="1"/>
  <c r="AU343" i="10" s="1"/>
  <c r="AP263" i="10"/>
  <c r="AS263" i="10" s="1"/>
  <c r="AU263" i="10" s="1"/>
  <c r="AP272" i="9"/>
  <c r="AS272" i="9" s="1"/>
  <c r="AU272" i="9" s="1"/>
  <c r="AB155" i="9"/>
  <c r="AE155" i="9" s="1"/>
  <c r="AG155" i="9" s="1"/>
  <c r="AH155" i="9" s="1"/>
  <c r="N257" i="8"/>
  <c r="AP111" i="8"/>
  <c r="AB376" i="10"/>
  <c r="AE376" i="10" s="1"/>
  <c r="AG376" i="10" s="1"/>
  <c r="AB239" i="10"/>
  <c r="AE239" i="10" s="1"/>
  <c r="AG239" i="10" s="1"/>
  <c r="N131" i="9"/>
  <c r="Q131" i="9" s="1"/>
  <c r="S131" i="9" s="1"/>
  <c r="N231" i="9"/>
  <c r="Q231" i="9" s="1"/>
  <c r="S231" i="9" s="1"/>
  <c r="AB362" i="9"/>
  <c r="AE362" i="9" s="1"/>
  <c r="AG362" i="9" s="1"/>
  <c r="N152" i="9"/>
  <c r="Q152" i="9" s="1"/>
  <c r="S152" i="9" s="1"/>
  <c r="AB165" i="10"/>
  <c r="AE165" i="10" s="1"/>
  <c r="AG165" i="10" s="1"/>
  <c r="AH165" i="10" s="1"/>
  <c r="N173" i="10"/>
  <c r="Q173" i="10" s="1"/>
  <c r="S173" i="10" s="1"/>
  <c r="AP45" i="8"/>
  <c r="AB234" i="9"/>
  <c r="AE234" i="9" s="1"/>
  <c r="AG234" i="9" s="1"/>
  <c r="AP320" i="9"/>
  <c r="AS320" i="9" s="1"/>
  <c r="AU320" i="9" s="1"/>
  <c r="AP198" i="8"/>
  <c r="N146" i="8"/>
  <c r="N315" i="10"/>
  <c r="Q315" i="10" s="1"/>
  <c r="S315" i="10" s="1"/>
  <c r="T315" i="10" s="1"/>
  <c r="N377" i="8"/>
  <c r="N405" i="8"/>
  <c r="AP133" i="10"/>
  <c r="AS133" i="10" s="1"/>
  <c r="AU133" i="10" s="1"/>
  <c r="N224" i="8"/>
  <c r="AP367" i="9"/>
  <c r="AS367" i="9" s="1"/>
  <c r="AU367" i="9" s="1"/>
  <c r="N128" i="10"/>
  <c r="Q128" i="10" s="1"/>
  <c r="S128" i="10" s="1"/>
  <c r="AP277" i="10"/>
  <c r="AS277" i="10" s="1"/>
  <c r="AU277" i="10" s="1"/>
  <c r="N186" i="10"/>
  <c r="Q186" i="10" s="1"/>
  <c r="S186" i="10" s="1"/>
  <c r="N170" i="10"/>
  <c r="Q170" i="10" s="1"/>
  <c r="S170" i="10" s="1"/>
  <c r="T170" i="10" s="1"/>
  <c r="AP126" i="9"/>
  <c r="AS126" i="9" s="1"/>
  <c r="AU126" i="9" s="1"/>
  <c r="AB185" i="9"/>
  <c r="AE185" i="9" s="1"/>
  <c r="AG185" i="9" s="1"/>
  <c r="AH185" i="9" s="1"/>
  <c r="N115" i="9"/>
  <c r="Q115" i="9" s="1"/>
  <c r="S115" i="9" s="1"/>
  <c r="T115" i="9" s="1"/>
  <c r="AP162" i="10"/>
  <c r="AS162" i="10" s="1"/>
  <c r="AU162" i="10" s="1"/>
  <c r="N34" i="10"/>
  <c r="Q34" i="10" s="1"/>
  <c r="S34" i="10" s="1"/>
  <c r="AP395" i="9"/>
  <c r="AS395" i="9" s="1"/>
  <c r="AU395" i="9" s="1"/>
  <c r="AV395" i="9" s="1"/>
  <c r="AY395" i="9" s="1"/>
  <c r="AB231" i="8"/>
  <c r="AP362" i="9"/>
  <c r="AS362" i="9" s="1"/>
  <c r="AU362" i="9" s="1"/>
  <c r="AB264" i="8"/>
  <c r="N147" i="8"/>
  <c r="AP128" i="9"/>
  <c r="AS128" i="9" s="1"/>
  <c r="AU128" i="9" s="1"/>
  <c r="AP353" i="10"/>
  <c r="AS353" i="10" s="1"/>
  <c r="AU353" i="10" s="1"/>
  <c r="N113" i="10"/>
  <c r="Q113" i="10" s="1"/>
  <c r="S113" i="10" s="1"/>
  <c r="AB101" i="10"/>
  <c r="AE101" i="10" s="1"/>
  <c r="AG101" i="10" s="1"/>
  <c r="N215" i="9"/>
  <c r="Q215" i="9" s="1"/>
  <c r="S215" i="9" s="1"/>
  <c r="T215" i="9" s="1"/>
  <c r="AB277" i="8"/>
  <c r="N401" i="9"/>
  <c r="Q401" i="9" s="1"/>
  <c r="S401" i="9" s="1"/>
  <c r="AP226" i="10"/>
  <c r="AS226" i="10" s="1"/>
  <c r="AU226" i="10" s="1"/>
  <c r="N40" i="10"/>
  <c r="Q40" i="10" s="1"/>
  <c r="S40" i="10" s="1"/>
  <c r="T40" i="10" s="1"/>
  <c r="N142" i="10"/>
  <c r="Q142" i="10" s="1"/>
  <c r="S142" i="10" s="1"/>
  <c r="N409" i="8"/>
  <c r="AP400" i="9"/>
  <c r="AS400" i="9" s="1"/>
  <c r="AU400" i="9" s="1"/>
  <c r="AV400" i="9" s="1"/>
  <c r="AY400" i="9" s="1"/>
  <c r="N245" i="9"/>
  <c r="Q245" i="9" s="1"/>
  <c r="S245" i="9" s="1"/>
  <c r="T245" i="9" s="1"/>
  <c r="AP59" i="8"/>
  <c r="AP192" i="9"/>
  <c r="AS192" i="9" s="1"/>
  <c r="AU192" i="9" s="1"/>
  <c r="AB43" i="8"/>
  <c r="AB63" i="8"/>
  <c r="N357" i="9"/>
  <c r="Q357" i="9" s="1"/>
  <c r="S357" i="9" s="1"/>
  <c r="N75" i="10"/>
  <c r="Q75" i="10" s="1"/>
  <c r="S75" i="10" s="1"/>
  <c r="T75" i="10" s="1"/>
  <c r="W75" i="10" s="1"/>
  <c r="N302" i="9"/>
  <c r="Q302" i="9" s="1"/>
  <c r="S302" i="9" s="1"/>
  <c r="N37" i="10"/>
  <c r="Q37" i="10" s="1"/>
  <c r="S37" i="10" s="1"/>
  <c r="AP77" i="10"/>
  <c r="AS77" i="10" s="1"/>
  <c r="AU77" i="10" s="1"/>
  <c r="N373" i="8"/>
  <c r="N222" i="9"/>
  <c r="Q222" i="9" s="1"/>
  <c r="S222" i="9" s="1"/>
  <c r="AP53" i="9"/>
  <c r="AS53" i="9" s="1"/>
  <c r="AU53" i="9" s="1"/>
  <c r="AP151" i="8"/>
  <c r="AS151" i="8" s="1"/>
  <c r="AU151" i="8" s="1"/>
  <c r="AP201" i="9"/>
  <c r="AS201" i="9" s="1"/>
  <c r="AU201" i="9" s="1"/>
  <c r="AP86" i="9"/>
  <c r="AS86" i="9" s="1"/>
  <c r="AU86" i="9" s="1"/>
  <c r="N233" i="9"/>
  <c r="Q233" i="9" s="1"/>
  <c r="S233" i="9" s="1"/>
  <c r="AB210" i="8"/>
  <c r="AP59" i="10"/>
  <c r="AS59" i="10" s="1"/>
  <c r="AU59" i="10" s="1"/>
  <c r="AP356" i="8"/>
  <c r="AS356" i="8" s="1"/>
  <c r="AU356" i="8" s="1"/>
  <c r="N362" i="10"/>
  <c r="Q362" i="10" s="1"/>
  <c r="S362" i="10" s="1"/>
  <c r="AP41" i="10"/>
  <c r="AS41" i="10" s="1"/>
  <c r="AU41" i="10" s="1"/>
  <c r="AB94" i="9"/>
  <c r="AE94" i="9" s="1"/>
  <c r="AG94" i="9" s="1"/>
  <c r="N331" i="8"/>
  <c r="AP209" i="9"/>
  <c r="AS209" i="9" s="1"/>
  <c r="AU209" i="9" s="1"/>
  <c r="N198" i="9"/>
  <c r="Q198" i="9" s="1"/>
  <c r="S198" i="9" s="1"/>
  <c r="N155" i="8"/>
  <c r="N341" i="8"/>
  <c r="N342" i="9"/>
  <c r="Q342" i="9" s="1"/>
  <c r="S342" i="9" s="1"/>
  <c r="AP233" i="8"/>
  <c r="AS233" i="8" s="1"/>
  <c r="AU233" i="8" s="1"/>
  <c r="AP239" i="10"/>
  <c r="AS239" i="10" s="1"/>
  <c r="AU239" i="10" s="1"/>
  <c r="AP296" i="8"/>
  <c r="AP315" i="9"/>
  <c r="AS315" i="9" s="1"/>
  <c r="AU315" i="9" s="1"/>
  <c r="AV315" i="9" s="1"/>
  <c r="AY315" i="9" s="1"/>
  <c r="AP104" i="10"/>
  <c r="AS104" i="10" s="1"/>
  <c r="AU104" i="10" s="1"/>
  <c r="AB25" i="9"/>
  <c r="AE25" i="9" s="1"/>
  <c r="AG25" i="9" s="1"/>
  <c r="AB377" i="8"/>
  <c r="AP319" i="8"/>
  <c r="AB137" i="8"/>
  <c r="AE137" i="8" s="1"/>
  <c r="AG137" i="8" s="1"/>
  <c r="N291" i="8"/>
  <c r="AB55" i="10"/>
  <c r="AE55" i="10" s="1"/>
  <c r="AG55" i="10" s="1"/>
  <c r="AH55" i="10" s="1"/>
  <c r="AP390" i="9"/>
  <c r="AS390" i="9" s="1"/>
  <c r="AU390" i="9" s="1"/>
  <c r="AV390" i="9" s="1"/>
  <c r="AY390" i="9" s="1"/>
  <c r="N295" i="9"/>
  <c r="Q295" i="9" s="1"/>
  <c r="S295" i="9" s="1"/>
  <c r="T295" i="9" s="1"/>
  <c r="AB389" i="9"/>
  <c r="AE389" i="9" s="1"/>
  <c r="AG389" i="9" s="1"/>
  <c r="N335" i="8"/>
  <c r="N158" i="8"/>
  <c r="AB121" i="9"/>
  <c r="AE121" i="9" s="1"/>
  <c r="AG121" i="9" s="1"/>
  <c r="AP141" i="9"/>
  <c r="AS141" i="9" s="1"/>
  <c r="AU141" i="9" s="1"/>
  <c r="N86" i="9"/>
  <c r="Q86" i="9" s="1"/>
  <c r="S86" i="9" s="1"/>
  <c r="AB168" i="10"/>
  <c r="AE168" i="10" s="1"/>
  <c r="AG168" i="10" s="1"/>
  <c r="N94" i="10"/>
  <c r="Q94" i="10" s="1"/>
  <c r="S94" i="10" s="1"/>
  <c r="N56" i="8"/>
  <c r="AB97" i="8"/>
  <c r="N45" i="9"/>
  <c r="Q45" i="9" s="1"/>
  <c r="S45" i="9" s="1"/>
  <c r="T45" i="9" s="1"/>
  <c r="AP251" i="8"/>
  <c r="AP95" i="8"/>
  <c r="N255" i="9"/>
  <c r="Q255" i="9" s="1"/>
  <c r="S255" i="9" s="1"/>
  <c r="T255" i="9" s="1"/>
  <c r="N78" i="9"/>
  <c r="Q78" i="9" s="1"/>
  <c r="S78" i="9" s="1"/>
  <c r="AB240" i="9"/>
  <c r="AE240" i="9" s="1"/>
  <c r="AG240" i="9" s="1"/>
  <c r="AH240" i="9" s="1"/>
  <c r="N293" i="8"/>
  <c r="N341" i="9"/>
  <c r="Q341" i="9" s="1"/>
  <c r="S341" i="9" s="1"/>
  <c r="AB186" i="9"/>
  <c r="AE186" i="9" s="1"/>
  <c r="AG186" i="9" s="1"/>
  <c r="AB175" i="10"/>
  <c r="N231" i="8"/>
  <c r="N88" i="9"/>
  <c r="Q88" i="9" s="1"/>
  <c r="S88" i="9" s="1"/>
  <c r="AB347" i="9"/>
  <c r="AE347" i="9" s="1"/>
  <c r="AG347" i="9" s="1"/>
  <c r="AP211" i="9"/>
  <c r="AS211" i="9" s="1"/>
  <c r="AU211" i="9" s="1"/>
  <c r="AP121" i="10"/>
  <c r="AS121" i="10" s="1"/>
  <c r="AU121" i="10" s="1"/>
  <c r="AB106" i="10"/>
  <c r="AE106" i="10" s="1"/>
  <c r="AG106" i="10" s="1"/>
  <c r="AB303" i="10"/>
  <c r="AE303" i="10" s="1"/>
  <c r="AG303" i="10" s="1"/>
  <c r="AB246" i="8"/>
  <c r="AE246" i="8" s="1"/>
  <c r="AG246" i="8" s="1"/>
  <c r="AP58" i="10"/>
  <c r="AS58" i="10" s="1"/>
  <c r="AU58" i="10" s="1"/>
  <c r="N373" i="9"/>
  <c r="Q373" i="9" s="1"/>
  <c r="S373" i="9" s="1"/>
  <c r="AB104" i="10"/>
  <c r="AE104" i="10" s="1"/>
  <c r="AG104" i="10" s="1"/>
  <c r="AP143" i="8"/>
  <c r="AB412" i="9"/>
  <c r="AE412" i="9" s="1"/>
  <c r="AG412" i="9" s="1"/>
  <c r="N25" i="9"/>
  <c r="Q25" i="9" s="1"/>
  <c r="S25" i="9" s="1"/>
  <c r="T25" i="9" s="1"/>
  <c r="AP119" i="10"/>
  <c r="AS119" i="10" s="1"/>
  <c r="AU119" i="10" s="1"/>
  <c r="N181" i="10"/>
  <c r="Q181" i="10" s="1"/>
  <c r="S181" i="10" s="1"/>
  <c r="N79" i="8"/>
  <c r="N279" i="8"/>
  <c r="AB136" i="9"/>
  <c r="AE136" i="9" s="1"/>
  <c r="AG136" i="9" s="1"/>
  <c r="N108" i="8"/>
  <c r="AB157" i="8"/>
  <c r="AB319" i="8"/>
  <c r="N381" i="10"/>
  <c r="Q381" i="10" s="1"/>
  <c r="S381" i="10" s="1"/>
  <c r="AB88" i="9"/>
  <c r="AE88" i="9" s="1"/>
  <c r="AG88" i="9" s="1"/>
  <c r="AB344" i="8"/>
  <c r="AP266" i="9"/>
  <c r="AS266" i="9" s="1"/>
  <c r="AU266" i="9" s="1"/>
  <c r="N39" i="9"/>
  <c r="Q39" i="9" s="1"/>
  <c r="S39" i="9" s="1"/>
  <c r="N133" i="10"/>
  <c r="Q133" i="10" s="1"/>
  <c r="S133" i="10" s="1"/>
  <c r="AB146" i="9"/>
  <c r="AE146" i="9" s="1"/>
  <c r="AG146" i="9" s="1"/>
  <c r="N293" i="10"/>
  <c r="Q293" i="10" s="1"/>
  <c r="S293" i="10" s="1"/>
  <c r="AA367" i="6"/>
  <c r="N356" i="10"/>
  <c r="Q356" i="10" s="1"/>
  <c r="S356" i="10" s="1"/>
  <c r="AB295" i="8"/>
  <c r="N157" i="10"/>
  <c r="Q157" i="10" s="1"/>
  <c r="S157" i="10" s="1"/>
  <c r="AB48" i="8"/>
  <c r="N285" i="10"/>
  <c r="Q285" i="10" s="1"/>
  <c r="S285" i="10" s="1"/>
  <c r="T285" i="10" s="1"/>
  <c r="N91" i="10"/>
  <c r="Q91" i="10" s="1"/>
  <c r="S91" i="10" s="1"/>
  <c r="AB395" i="10"/>
  <c r="AE395" i="10" s="1"/>
  <c r="AG395" i="10" s="1"/>
  <c r="AH395" i="10" s="1"/>
  <c r="AK395" i="10" s="1"/>
  <c r="AP134" i="8"/>
  <c r="AP311" i="10"/>
  <c r="AS311" i="10" s="1"/>
  <c r="AU311" i="10" s="1"/>
  <c r="AP193" i="8"/>
  <c r="N289" i="8"/>
  <c r="AP327" i="10"/>
  <c r="AS327" i="10" s="1"/>
  <c r="AU327" i="10" s="1"/>
  <c r="N26" i="9"/>
  <c r="Q26" i="9" s="1"/>
  <c r="S26" i="9" s="1"/>
  <c r="AP125" i="8"/>
  <c r="AB310" i="9"/>
  <c r="AE310" i="9" s="1"/>
  <c r="AG310" i="9" s="1"/>
  <c r="AH310" i="9" s="1"/>
  <c r="AK310" i="9" s="1"/>
  <c r="N273" i="10"/>
  <c r="Q273" i="10" s="1"/>
  <c r="S273" i="10" s="1"/>
  <c r="AB69" i="9"/>
  <c r="AE69" i="9" s="1"/>
  <c r="AG69" i="9" s="1"/>
  <c r="AP340" i="8"/>
  <c r="AS340" i="8" s="1"/>
  <c r="AU340" i="8" s="1"/>
  <c r="AV340" i="8" s="1"/>
  <c r="AY340" i="8" s="1"/>
  <c r="AB256" i="10"/>
  <c r="AE256" i="10" s="1"/>
  <c r="AG256" i="10" s="1"/>
  <c r="AP39" i="8"/>
  <c r="AB333" i="9"/>
  <c r="AE333" i="9" s="1"/>
  <c r="AG333" i="9" s="1"/>
  <c r="AP104" i="8"/>
  <c r="N281" i="8"/>
  <c r="N32" i="8"/>
  <c r="AP266" i="8"/>
  <c r="AS266" i="8" s="1"/>
  <c r="AU266" i="8" s="1"/>
  <c r="N201" i="8"/>
  <c r="N152" i="8"/>
  <c r="AB233" i="8"/>
  <c r="N360" i="8"/>
  <c r="AP130" i="9"/>
  <c r="AS130" i="9" s="1"/>
  <c r="AU130" i="9" s="1"/>
  <c r="AV130" i="9" s="1"/>
  <c r="AY130" i="9" s="1"/>
  <c r="AB266" i="9"/>
  <c r="AE266" i="9" s="1"/>
  <c r="AG266" i="9" s="1"/>
  <c r="AP273" i="9"/>
  <c r="AS273" i="9" s="1"/>
  <c r="AU273" i="9" s="1"/>
  <c r="AB311" i="10"/>
  <c r="AE311" i="10" s="1"/>
  <c r="AG311" i="10" s="1"/>
  <c r="AB63" i="10"/>
  <c r="AE63" i="10" s="1"/>
  <c r="AG63" i="10" s="1"/>
  <c r="AP254" i="10"/>
  <c r="AS254" i="10" s="1"/>
  <c r="AU254" i="10" s="1"/>
  <c r="AB374" i="9"/>
  <c r="AE374" i="9" s="1"/>
  <c r="AG374" i="9" s="1"/>
  <c r="N128" i="8"/>
  <c r="N304" i="9"/>
  <c r="Q304" i="9" s="1"/>
  <c r="S304" i="9" s="1"/>
  <c r="AP344" i="10"/>
  <c r="AS344" i="10" s="1"/>
  <c r="AU344" i="10" s="1"/>
  <c r="AP374" i="10"/>
  <c r="AS374" i="10" s="1"/>
  <c r="AU374" i="10" s="1"/>
  <c r="AB52" i="8"/>
  <c r="AE52" i="8" s="1"/>
  <c r="AG52" i="8" s="1"/>
  <c r="AP249" i="10"/>
  <c r="AS249" i="10" s="1"/>
  <c r="AU249" i="10" s="1"/>
  <c r="AP363" i="9"/>
  <c r="AS363" i="9" s="1"/>
  <c r="AU363" i="9" s="1"/>
  <c r="N99" i="10"/>
  <c r="Q99" i="10" s="1"/>
  <c r="S99" i="10" s="1"/>
  <c r="AP355" i="9"/>
  <c r="AS355" i="9" s="1"/>
  <c r="AU355" i="9" s="1"/>
  <c r="AV355" i="9" s="1"/>
  <c r="AY355" i="9" s="1"/>
  <c r="AP161" i="9"/>
  <c r="AS161" i="9" s="1"/>
  <c r="AU161" i="9" s="1"/>
  <c r="N311" i="9"/>
  <c r="Q311" i="9" s="1"/>
  <c r="S311" i="9" s="1"/>
  <c r="AB392" i="8"/>
  <c r="N96" i="9"/>
  <c r="Q96" i="9" s="1"/>
  <c r="S96" i="9" s="1"/>
  <c r="AP393" i="10"/>
  <c r="AS393" i="10" s="1"/>
  <c r="AU393" i="10" s="1"/>
  <c r="AP413" i="9"/>
  <c r="AS413" i="9" s="1"/>
  <c r="AU413" i="9" s="1"/>
  <c r="AP56" i="9"/>
  <c r="AS56" i="9" s="1"/>
  <c r="AU56" i="9" s="1"/>
  <c r="AP307" i="8"/>
  <c r="AP179" i="9"/>
  <c r="AS179" i="9" s="1"/>
  <c r="AU179" i="9" s="1"/>
  <c r="AB271" i="10"/>
  <c r="AE271" i="10" s="1"/>
  <c r="AG271" i="10" s="1"/>
  <c r="AP210" i="10"/>
  <c r="AS210" i="10" s="1"/>
  <c r="AU210" i="10" s="1"/>
  <c r="AV210" i="10" s="1"/>
  <c r="AY210" i="10" s="1"/>
  <c r="AB218" i="8"/>
  <c r="AE218" i="8" s="1"/>
  <c r="AG218" i="8" s="1"/>
  <c r="AP310" i="8"/>
  <c r="N266" i="8"/>
  <c r="AB347" i="10"/>
  <c r="AE347" i="10" s="1"/>
  <c r="AG347" i="10" s="1"/>
  <c r="N353" i="8"/>
  <c r="AB125" i="10"/>
  <c r="AE125" i="10" s="1"/>
  <c r="AG125" i="10" s="1"/>
  <c r="AH125" i="10" s="1"/>
  <c r="AP418" i="8"/>
  <c r="AS418" i="8" s="1"/>
  <c r="AU418" i="8" s="1"/>
  <c r="AB280" i="8"/>
  <c r="N286" i="9"/>
  <c r="Q286" i="9" s="1"/>
  <c r="S286" i="9" s="1"/>
  <c r="AB155" i="10"/>
  <c r="AE155" i="10" s="1"/>
  <c r="AG155" i="10" s="1"/>
  <c r="AH155" i="10" s="1"/>
  <c r="AK155" i="10" s="1"/>
  <c r="N135" i="10"/>
  <c r="Q135" i="10" s="1"/>
  <c r="S135" i="10" s="1"/>
  <c r="T135" i="10" s="1"/>
  <c r="AB183" i="9"/>
  <c r="AE183" i="9" s="1"/>
  <c r="AG183" i="9" s="1"/>
  <c r="AB83" i="9"/>
  <c r="AE83" i="9" s="1"/>
  <c r="AG83" i="9" s="1"/>
  <c r="N328" i="10"/>
  <c r="Q328" i="10" s="1"/>
  <c r="S328" i="10" s="1"/>
  <c r="N169" i="8"/>
  <c r="N403" i="8"/>
  <c r="AP83" i="9"/>
  <c r="AS83" i="9" s="1"/>
  <c r="AU83" i="9" s="1"/>
  <c r="AP339" i="9"/>
  <c r="AS339" i="9" s="1"/>
  <c r="AU339" i="9" s="1"/>
  <c r="AB98" i="9"/>
  <c r="AE98" i="9" s="1"/>
  <c r="AG98" i="9" s="1"/>
  <c r="N29" i="8"/>
  <c r="N97" i="10"/>
  <c r="Q97" i="10" s="1"/>
  <c r="S97" i="10" s="1"/>
  <c r="AB176" i="8"/>
  <c r="AB265" i="9"/>
  <c r="AE265" i="9" s="1"/>
  <c r="AG265" i="9" s="1"/>
  <c r="AH265" i="9" s="1"/>
  <c r="AK265" i="9" s="1"/>
  <c r="AP417" i="10"/>
  <c r="AS417" i="10" s="1"/>
  <c r="AU417" i="10" s="1"/>
  <c r="AB389" i="10"/>
  <c r="AE389" i="10" s="1"/>
  <c r="AG389" i="10" s="1"/>
  <c r="AP102" i="9"/>
  <c r="AS102" i="9" s="1"/>
  <c r="AU102" i="9" s="1"/>
  <c r="AP333" i="10"/>
  <c r="AS333" i="10" s="1"/>
  <c r="AU333" i="10" s="1"/>
  <c r="AP41" i="8"/>
  <c r="AP58" i="9"/>
  <c r="AS58" i="9" s="1"/>
  <c r="AU58" i="9" s="1"/>
  <c r="N344" i="8"/>
  <c r="AB48" i="10"/>
  <c r="AE48" i="10" s="1"/>
  <c r="AG48" i="10" s="1"/>
  <c r="AP128" i="10"/>
  <c r="AS128" i="10" s="1"/>
  <c r="AU128" i="10" s="1"/>
  <c r="AB134" i="8"/>
  <c r="AE134" i="8" s="1"/>
  <c r="AG134" i="8" s="1"/>
  <c r="N223" i="8"/>
  <c r="AP243" i="9"/>
  <c r="AS243" i="9" s="1"/>
  <c r="AU243" i="9" s="1"/>
  <c r="AP153" i="8"/>
  <c r="AB369" i="10"/>
  <c r="AE369" i="10" s="1"/>
  <c r="AG369" i="10" s="1"/>
  <c r="N366" i="8"/>
  <c r="AB130" i="10"/>
  <c r="AE130" i="10" s="1"/>
  <c r="AG130" i="10" s="1"/>
  <c r="AH130" i="10" s="1"/>
  <c r="AK130" i="10" s="1"/>
  <c r="N266" i="10"/>
  <c r="Q266" i="10" s="1"/>
  <c r="S266" i="10" s="1"/>
  <c r="AB329" i="8"/>
  <c r="AE329" i="8" s="1"/>
  <c r="AG329" i="8" s="1"/>
  <c r="AP188" i="10"/>
  <c r="AS188" i="10" s="1"/>
  <c r="AU188" i="10" s="1"/>
  <c r="AP305" i="10"/>
  <c r="AS305" i="10" s="1"/>
  <c r="AU305" i="10" s="1"/>
  <c r="AV305" i="10" s="1"/>
  <c r="AY305" i="10" s="1"/>
  <c r="AP305" i="9"/>
  <c r="AS305" i="9" s="1"/>
  <c r="AU305" i="9" s="1"/>
  <c r="AV305" i="9" s="1"/>
  <c r="AY305" i="9" s="1"/>
  <c r="AP195" i="10"/>
  <c r="AS195" i="10" s="1"/>
  <c r="AU195" i="10" s="1"/>
  <c r="AV195" i="10" s="1"/>
  <c r="AY195" i="10" s="1"/>
  <c r="AP405" i="9"/>
  <c r="AS405" i="9" s="1"/>
  <c r="AU405" i="9" s="1"/>
  <c r="AV405" i="9" s="1"/>
  <c r="AY405" i="9" s="1"/>
  <c r="N107" i="9"/>
  <c r="Q107" i="9" s="1"/>
  <c r="S107" i="9" s="1"/>
  <c r="AB360" i="8"/>
  <c r="AB226" i="10"/>
  <c r="AE226" i="10" s="1"/>
  <c r="AG226" i="10" s="1"/>
  <c r="N25" i="8"/>
  <c r="AB168" i="9"/>
  <c r="AE168" i="9" s="1"/>
  <c r="AG168" i="9" s="1"/>
  <c r="AP262" i="9"/>
  <c r="AS262" i="9" s="1"/>
  <c r="AU262" i="9" s="1"/>
  <c r="N109" i="10"/>
  <c r="Q109" i="10" s="1"/>
  <c r="S109" i="10" s="1"/>
  <c r="N424" i="9"/>
  <c r="Q424" i="9" s="1"/>
  <c r="S424" i="9" s="1"/>
  <c r="AP306" i="9"/>
  <c r="AS306" i="9" s="1"/>
  <c r="AU306" i="9" s="1"/>
  <c r="N258" i="10"/>
  <c r="Q258" i="10" s="1"/>
  <c r="S258" i="10" s="1"/>
  <c r="AB77" i="8"/>
  <c r="AE77" i="8" s="1"/>
  <c r="AG77" i="8" s="1"/>
  <c r="AB342" i="10"/>
  <c r="AE342" i="10" s="1"/>
  <c r="AG342" i="10" s="1"/>
  <c r="N291" i="10"/>
  <c r="Q291" i="10" s="1"/>
  <c r="S291" i="10" s="1"/>
  <c r="AB192" i="8"/>
  <c r="AP63" i="8"/>
  <c r="AB37" i="10"/>
  <c r="AE37" i="10" s="1"/>
  <c r="AG37" i="10" s="1"/>
  <c r="AB368" i="10"/>
  <c r="AE368" i="10" s="1"/>
  <c r="AG368" i="10" s="1"/>
  <c r="AP230" i="10"/>
  <c r="AS230" i="10" s="1"/>
  <c r="AU230" i="10" s="1"/>
  <c r="AV230" i="10" s="1"/>
  <c r="AY230" i="10" s="1"/>
  <c r="AP101" i="9"/>
  <c r="AS101" i="9" s="1"/>
  <c r="AU101" i="9" s="1"/>
  <c r="AP275" i="8"/>
  <c r="AB115" i="9"/>
  <c r="AE115" i="9" s="1"/>
  <c r="AG115" i="9" s="1"/>
  <c r="AH115" i="9" s="1"/>
  <c r="AB105" i="9"/>
  <c r="AE105" i="9" s="1"/>
  <c r="AG105" i="9" s="1"/>
  <c r="AH105" i="9" s="1"/>
  <c r="AB25" i="8"/>
  <c r="N374" i="9"/>
  <c r="Q374" i="9" s="1"/>
  <c r="S374" i="9" s="1"/>
  <c r="AB247" i="8"/>
  <c r="AE247" i="8" s="1"/>
  <c r="AG247" i="8" s="1"/>
  <c r="AP205" i="8"/>
  <c r="AP283" i="9"/>
  <c r="AS283" i="9" s="1"/>
  <c r="AU283" i="9" s="1"/>
  <c r="N345" i="8"/>
  <c r="AB43" i="10"/>
  <c r="AE43" i="10" s="1"/>
  <c r="AG43" i="10" s="1"/>
  <c r="AB29" i="8"/>
  <c r="AB352" i="10"/>
  <c r="AE352" i="10" s="1"/>
  <c r="AG352" i="10" s="1"/>
  <c r="AP341" i="10"/>
  <c r="AS341" i="10" s="1"/>
  <c r="AU341" i="10" s="1"/>
  <c r="N399" i="8"/>
  <c r="Q399" i="8" s="1"/>
  <c r="S399" i="8" s="1"/>
  <c r="AP392" i="8"/>
  <c r="AB407" i="8"/>
  <c r="AE407" i="8" s="1"/>
  <c r="AG407" i="8" s="1"/>
  <c r="AB388" i="8"/>
  <c r="AK130" i="9"/>
  <c r="AK205" i="9"/>
  <c r="W325" i="9"/>
  <c r="W280" i="10"/>
  <c r="AK95" i="9"/>
  <c r="W310" i="9"/>
  <c r="AK295" i="10"/>
  <c r="W105" i="9"/>
  <c r="AK270" i="10"/>
  <c r="W95" i="9"/>
  <c r="W215" i="10"/>
  <c r="AK125" i="9"/>
  <c r="W235" i="9"/>
  <c r="W85" i="10"/>
  <c r="W290" i="10"/>
  <c r="AK230" i="10"/>
  <c r="AK120" i="9"/>
  <c r="AK190" i="10"/>
  <c r="W80" i="9"/>
  <c r="W360" i="10"/>
  <c r="AH25" i="9"/>
  <c r="W215" i="9"/>
  <c r="AK105" i="9"/>
  <c r="AK240" i="9"/>
  <c r="AK340" i="10"/>
  <c r="AK155" i="9"/>
  <c r="AK165" i="10"/>
  <c r="AK410" i="9"/>
  <c r="AK270" i="9"/>
  <c r="AK345" i="9"/>
  <c r="AK145" i="9"/>
  <c r="W170" i="10"/>
  <c r="AK150" i="9"/>
  <c r="AK125" i="10"/>
  <c r="W135" i="10"/>
  <c r="W370" i="9"/>
  <c r="W265" i="9"/>
  <c r="AK55" i="10"/>
  <c r="W145" i="9"/>
  <c r="AK325" i="10"/>
  <c r="W315" i="10"/>
  <c r="W155" i="10"/>
  <c r="AK65" i="10"/>
  <c r="W45" i="9"/>
  <c r="W175" i="9"/>
  <c r="W290" i="9"/>
  <c r="AK75" i="9"/>
  <c r="W105" i="10"/>
  <c r="AK245" i="10"/>
  <c r="AK115" i="9"/>
  <c r="W40" i="10"/>
  <c r="W255" i="9"/>
  <c r="W245" i="9"/>
  <c r="AK320" i="9"/>
  <c r="AL325" i="10"/>
  <c r="AD325" i="10"/>
  <c r="AJ325" i="10"/>
  <c r="AI325" i="10"/>
  <c r="AM326" i="10" s="1"/>
  <c r="AQ326" i="10" s="1"/>
  <c r="AR326" i="10" s="1"/>
  <c r="AT326" i="10" s="1"/>
  <c r="AD350" i="9"/>
  <c r="AI350" i="9"/>
  <c r="AM351" i="9" s="1"/>
  <c r="AQ351" i="9" s="1"/>
  <c r="AL350" i="9"/>
  <c r="AJ350" i="9"/>
  <c r="AD225" i="10"/>
  <c r="AL225" i="10"/>
  <c r="AJ225" i="10"/>
  <c r="AI225" i="10"/>
  <c r="AM226" i="10" s="1"/>
  <c r="AQ226" i="10" s="1"/>
  <c r="AB384" i="10"/>
  <c r="AE384" i="10" s="1"/>
  <c r="AG384" i="10" s="1"/>
  <c r="N189" i="10"/>
  <c r="Q189" i="10" s="1"/>
  <c r="S189" i="10" s="1"/>
  <c r="N404" i="9"/>
  <c r="Q404" i="9" s="1"/>
  <c r="S404" i="9" s="1"/>
  <c r="AB386" i="10"/>
  <c r="AE386" i="10" s="1"/>
  <c r="AG386" i="10" s="1"/>
  <c r="AP299" i="10"/>
  <c r="AS299" i="10" s="1"/>
  <c r="AU299" i="10" s="1"/>
  <c r="AB30" i="10"/>
  <c r="AE30" i="10" s="1"/>
  <c r="AG30" i="10" s="1"/>
  <c r="AH30" i="10" s="1"/>
  <c r="AP36" i="9"/>
  <c r="AS36" i="9" s="1"/>
  <c r="AU36" i="9" s="1"/>
  <c r="AP354" i="9"/>
  <c r="AS354" i="9" s="1"/>
  <c r="AU354" i="9" s="1"/>
  <c r="AP182" i="9"/>
  <c r="AS182" i="9" s="1"/>
  <c r="AU182" i="9" s="1"/>
  <c r="AP137" i="9"/>
  <c r="AS137" i="9" s="1"/>
  <c r="AU137" i="9" s="1"/>
  <c r="AP347" i="9"/>
  <c r="AS347" i="9" s="1"/>
  <c r="AU347" i="9" s="1"/>
  <c r="AP177" i="9"/>
  <c r="AS177" i="9" s="1"/>
  <c r="AU177" i="9" s="1"/>
  <c r="AP99" i="8"/>
  <c r="AB58" i="10"/>
  <c r="AE58" i="10" s="1"/>
  <c r="AG58" i="10" s="1"/>
  <c r="AB372" i="9"/>
  <c r="AE372" i="9" s="1"/>
  <c r="AG372" i="9" s="1"/>
  <c r="AP296" i="9"/>
  <c r="AS296" i="9" s="1"/>
  <c r="AU296" i="9" s="1"/>
  <c r="N231" i="10"/>
  <c r="Q231" i="10" s="1"/>
  <c r="S231" i="10" s="1"/>
  <c r="AB315" i="10"/>
  <c r="AB211" i="8"/>
  <c r="N339" i="9"/>
  <c r="Q339" i="9" s="1"/>
  <c r="S339" i="9" s="1"/>
  <c r="AP137" i="8"/>
  <c r="AB144" i="9"/>
  <c r="AE144" i="9" s="1"/>
  <c r="AG144" i="9" s="1"/>
  <c r="N195" i="10"/>
  <c r="Q195" i="10" s="1"/>
  <c r="S195" i="10" s="1"/>
  <c r="T195" i="10" s="1"/>
  <c r="AB259" i="10"/>
  <c r="AE259" i="10" s="1"/>
  <c r="AG259" i="10" s="1"/>
  <c r="AB225" i="8"/>
  <c r="N254" i="8"/>
  <c r="Q254" i="8" s="1"/>
  <c r="S254" i="8" s="1"/>
  <c r="AP152" i="8"/>
  <c r="N398" i="9"/>
  <c r="Q398" i="9" s="1"/>
  <c r="S398" i="9" s="1"/>
  <c r="AP222" i="9"/>
  <c r="AS222" i="9" s="1"/>
  <c r="AU222" i="9" s="1"/>
  <c r="AB184" i="10"/>
  <c r="AE184" i="10" s="1"/>
  <c r="AG184" i="10" s="1"/>
  <c r="AP235" i="9"/>
  <c r="AS235" i="9" s="1"/>
  <c r="AU235" i="9" s="1"/>
  <c r="AV235" i="9" s="1"/>
  <c r="AY235" i="9" s="1"/>
  <c r="AP233" i="9"/>
  <c r="AS233" i="9" s="1"/>
  <c r="AU233" i="9" s="1"/>
  <c r="N79" i="9"/>
  <c r="Q79" i="9" s="1"/>
  <c r="S79" i="9" s="1"/>
  <c r="AP362" i="10"/>
  <c r="AS362" i="10" s="1"/>
  <c r="AU362" i="10" s="1"/>
  <c r="AP315" i="10"/>
  <c r="AS315" i="10" s="1"/>
  <c r="AU315" i="10" s="1"/>
  <c r="AV315" i="10" s="1"/>
  <c r="AY315" i="10" s="1"/>
  <c r="AB373" i="10"/>
  <c r="AE373" i="10" s="1"/>
  <c r="AG373" i="10" s="1"/>
  <c r="N167" i="9"/>
  <c r="Q167" i="9" s="1"/>
  <c r="S167" i="9" s="1"/>
  <c r="AA169" i="6"/>
  <c r="AL130" i="9"/>
  <c r="AD130" i="9"/>
  <c r="AI130" i="9"/>
  <c r="AM131" i="9" s="1"/>
  <c r="AQ131" i="9" s="1"/>
  <c r="AR131" i="9" s="1"/>
  <c r="AT131" i="9" s="1"/>
  <c r="AJ130" i="9"/>
  <c r="W280" i="9"/>
  <c r="AZ320" i="10"/>
  <c r="AR320" i="10"/>
  <c r="AW320" i="10"/>
  <c r="AX320" i="10"/>
  <c r="P160" i="10"/>
  <c r="V160" i="10"/>
  <c r="U160" i="10"/>
  <c r="Y161" i="10" s="1"/>
  <c r="AC161" i="10" s="1"/>
  <c r="AD161" i="10" s="1"/>
  <c r="AF161" i="10" s="1"/>
  <c r="X160" i="10"/>
  <c r="AW315" i="9"/>
  <c r="AZ315" i="9"/>
  <c r="AR315" i="9"/>
  <c r="AX315" i="9"/>
  <c r="N408" i="10"/>
  <c r="Q408" i="10" s="1"/>
  <c r="S408" i="10" s="1"/>
  <c r="AP420" i="10"/>
  <c r="AS420" i="10" s="1"/>
  <c r="AU420" i="10" s="1"/>
  <c r="AV420" i="10" s="1"/>
  <c r="AY420" i="10" s="1"/>
  <c r="AM420" i="10"/>
  <c r="AQ420" i="10" s="1"/>
  <c r="AR390" i="9"/>
  <c r="AZ390" i="9"/>
  <c r="AX390" i="9"/>
  <c r="AW390" i="9"/>
  <c r="W115" i="9"/>
  <c r="W285" i="10"/>
  <c r="N388" i="10"/>
  <c r="Q388" i="10" s="1"/>
  <c r="S388" i="10" s="1"/>
  <c r="AP386" i="9"/>
  <c r="AS386" i="9" s="1"/>
  <c r="AU386" i="9" s="1"/>
  <c r="AR190" i="10"/>
  <c r="AX190" i="10"/>
  <c r="AW190" i="10"/>
  <c r="AZ190" i="10"/>
  <c r="AR30" i="10"/>
  <c r="AW30" i="10"/>
  <c r="AZ30" i="10"/>
  <c r="AX30" i="10"/>
  <c r="X145" i="9"/>
  <c r="P145" i="9"/>
  <c r="U145" i="9"/>
  <c r="Y146" i="9" s="1"/>
  <c r="AC146" i="9" s="1"/>
  <c r="AD146" i="9" s="1"/>
  <c r="AF146" i="9" s="1"/>
  <c r="V145" i="9"/>
  <c r="AR155" i="10"/>
  <c r="AZ205" i="9"/>
  <c r="AR205" i="9"/>
  <c r="AW205" i="9"/>
  <c r="AX205" i="9"/>
  <c r="N415" i="9"/>
  <c r="Q415" i="9" s="1"/>
  <c r="S415" i="9" s="1"/>
  <c r="T415" i="9" s="1"/>
  <c r="K415" i="9"/>
  <c r="O415" i="9" s="1"/>
  <c r="AM380" i="9"/>
  <c r="AQ380" i="9" s="1"/>
  <c r="AP380" i="9"/>
  <c r="AS380" i="9" s="1"/>
  <c r="AU380" i="9" s="1"/>
  <c r="AV380" i="9" s="1"/>
  <c r="AY380" i="9" s="1"/>
  <c r="AP399" i="9"/>
  <c r="AS399" i="9" s="1"/>
  <c r="AU399" i="9" s="1"/>
  <c r="Y420" i="10"/>
  <c r="AC420" i="10" s="1"/>
  <c r="AB420" i="10"/>
  <c r="AE420" i="10" s="1"/>
  <c r="AG420" i="10" s="1"/>
  <c r="AH420" i="10" s="1"/>
  <c r="AB407" i="9"/>
  <c r="AE407" i="9" s="1"/>
  <c r="AG407" i="9" s="1"/>
  <c r="X115" i="9"/>
  <c r="P115" i="9"/>
  <c r="V115" i="9"/>
  <c r="U115" i="9"/>
  <c r="Y116" i="9" s="1"/>
  <c r="AC116" i="9" s="1"/>
  <c r="AB403" i="10"/>
  <c r="AE403" i="10" s="1"/>
  <c r="AG403" i="10" s="1"/>
  <c r="K424" i="10"/>
  <c r="O424" i="10" s="1"/>
  <c r="K418" i="10"/>
  <c r="O418" i="10" s="1"/>
  <c r="K423" i="10"/>
  <c r="O423" i="10" s="1"/>
  <c r="K412" i="10"/>
  <c r="O412" i="10" s="1"/>
  <c r="K417" i="10"/>
  <c r="O417" i="10" s="1"/>
  <c r="K422" i="10"/>
  <c r="O422" i="10" s="1"/>
  <c r="K414" i="10"/>
  <c r="O414" i="10" s="1"/>
  <c r="K416" i="10"/>
  <c r="O416" i="10" s="1"/>
  <c r="P416" i="10" s="1"/>
  <c r="R416" i="10" s="1"/>
  <c r="K404" i="10"/>
  <c r="O404" i="10" s="1"/>
  <c r="K421" i="10"/>
  <c r="O421" i="10" s="1"/>
  <c r="K406" i="10"/>
  <c r="O406" i="10" s="1"/>
  <c r="K403" i="10"/>
  <c r="O403" i="10" s="1"/>
  <c r="K411" i="10"/>
  <c r="O411" i="10" s="1"/>
  <c r="K408" i="10"/>
  <c r="O408" i="10" s="1"/>
  <c r="K413" i="10"/>
  <c r="O413" i="10" s="1"/>
  <c r="P413" i="10" s="1"/>
  <c r="R413" i="10" s="1"/>
  <c r="K409" i="10"/>
  <c r="O409" i="10" s="1"/>
  <c r="K402" i="10"/>
  <c r="O402" i="10" s="1"/>
  <c r="K399" i="10"/>
  <c r="O399" i="10" s="1"/>
  <c r="K396" i="10"/>
  <c r="O396" i="10" s="1"/>
  <c r="K401" i="10"/>
  <c r="O401" i="10" s="1"/>
  <c r="K392" i="10"/>
  <c r="O392" i="10" s="1"/>
  <c r="K384" i="10"/>
  <c r="O384" i="10" s="1"/>
  <c r="K394" i="10"/>
  <c r="O394" i="10" s="1"/>
  <c r="P394" i="10" s="1"/>
  <c r="R394" i="10" s="1"/>
  <c r="K389" i="10"/>
  <c r="O389" i="10" s="1"/>
  <c r="K407" i="10"/>
  <c r="O407" i="10" s="1"/>
  <c r="K419" i="10"/>
  <c r="O419" i="10" s="1"/>
  <c r="K393" i="10"/>
  <c r="O393" i="10" s="1"/>
  <c r="K388" i="10"/>
  <c r="O388" i="10" s="1"/>
  <c r="K377" i="10"/>
  <c r="O377" i="10" s="1"/>
  <c r="K398" i="10"/>
  <c r="O398" i="10" s="1"/>
  <c r="P398" i="10" s="1"/>
  <c r="R398" i="10" s="1"/>
  <c r="K391" i="10"/>
  <c r="O391" i="10" s="1"/>
  <c r="K379" i="10"/>
  <c r="O379" i="10" s="1"/>
  <c r="K371" i="10"/>
  <c r="O371" i="10" s="1"/>
  <c r="K376" i="10"/>
  <c r="O376" i="10" s="1"/>
  <c r="P376" i="10" s="1"/>
  <c r="R376" i="10" s="1"/>
  <c r="K381" i="10"/>
  <c r="O381" i="10" s="1"/>
  <c r="P381" i="10" s="1"/>
  <c r="R381" i="10" s="1"/>
  <c r="K397" i="10"/>
  <c r="O397" i="10" s="1"/>
  <c r="K386" i="10"/>
  <c r="O386" i="10" s="1"/>
  <c r="K383" i="10"/>
  <c r="O383" i="10" s="1"/>
  <c r="K372" i="10"/>
  <c r="O372" i="10" s="1"/>
  <c r="K378" i="10"/>
  <c r="O378" i="10" s="1"/>
  <c r="K367" i="10"/>
  <c r="O367" i="10" s="1"/>
  <c r="K373" i="10"/>
  <c r="O373" i="10" s="1"/>
  <c r="K364" i="10"/>
  <c r="O364" i="10" s="1"/>
  <c r="K382" i="10"/>
  <c r="O382" i="10" s="1"/>
  <c r="K361" i="10"/>
  <c r="O361" i="10" s="1"/>
  <c r="K366" i="10"/>
  <c r="O366" i="10" s="1"/>
  <c r="K374" i="10"/>
  <c r="O374" i="10" s="1"/>
  <c r="P374" i="10" s="1"/>
  <c r="R374" i="10" s="1"/>
  <c r="K363" i="10"/>
  <c r="O363" i="10" s="1"/>
  <c r="K369" i="10"/>
  <c r="O369" i="10" s="1"/>
  <c r="P369" i="10" s="1"/>
  <c r="R369" i="10" s="1"/>
  <c r="K368" i="10"/>
  <c r="O368" i="10" s="1"/>
  <c r="P368" i="10" s="1"/>
  <c r="R368" i="10" s="1"/>
  <c r="K387" i="10"/>
  <c r="O387" i="10" s="1"/>
  <c r="K347" i="10"/>
  <c r="O347" i="10" s="1"/>
  <c r="K352" i="10"/>
  <c r="O352" i="10" s="1"/>
  <c r="K362" i="10"/>
  <c r="O362" i="10" s="1"/>
  <c r="P362" i="10" s="1"/>
  <c r="R362" i="10" s="1"/>
  <c r="K357" i="10"/>
  <c r="O357" i="10" s="1"/>
  <c r="K349" i="10"/>
  <c r="O349" i="10" s="1"/>
  <c r="K354" i="10"/>
  <c r="O354" i="10" s="1"/>
  <c r="K346" i="10"/>
  <c r="O346" i="10" s="1"/>
  <c r="K359" i="10"/>
  <c r="O359" i="10" s="1"/>
  <c r="K351" i="10"/>
  <c r="O351" i="10" s="1"/>
  <c r="K356" i="10"/>
  <c r="O356" i="10" s="1"/>
  <c r="K348" i="10"/>
  <c r="O348" i="10" s="1"/>
  <c r="K353" i="10"/>
  <c r="O353" i="10" s="1"/>
  <c r="K337" i="10"/>
  <c r="O337" i="10" s="1"/>
  <c r="K342" i="10"/>
  <c r="O342" i="10" s="1"/>
  <c r="P342" i="10" s="1"/>
  <c r="R342" i="10" s="1"/>
  <c r="K334" i="10"/>
  <c r="O334" i="10" s="1"/>
  <c r="K339" i="10"/>
  <c r="O339" i="10" s="1"/>
  <c r="K331" i="10"/>
  <c r="O331" i="10" s="1"/>
  <c r="K344" i="10"/>
  <c r="O344" i="10" s="1"/>
  <c r="K336" i="10"/>
  <c r="O336" i="10" s="1"/>
  <c r="P336" i="10" s="1"/>
  <c r="R336" i="10" s="1"/>
  <c r="K341" i="10"/>
  <c r="O341" i="10" s="1"/>
  <c r="K333" i="10"/>
  <c r="O333" i="10" s="1"/>
  <c r="K358" i="10"/>
  <c r="O358" i="10" s="1"/>
  <c r="P358" i="10" s="1"/>
  <c r="R358" i="10" s="1"/>
  <c r="K338" i="10"/>
  <c r="O338" i="10" s="1"/>
  <c r="P338" i="10" s="1"/>
  <c r="R338" i="10" s="1"/>
  <c r="K343" i="10"/>
  <c r="O343" i="10" s="1"/>
  <c r="K328" i="10"/>
  <c r="O328" i="10" s="1"/>
  <c r="P328" i="10" s="1"/>
  <c r="R328" i="10" s="1"/>
  <c r="K312" i="10"/>
  <c r="O312" i="10" s="1"/>
  <c r="K304" i="10"/>
  <c r="O304" i="10" s="1"/>
  <c r="K317" i="10"/>
  <c r="O317" i="10" s="1"/>
  <c r="K309" i="10"/>
  <c r="O309" i="10" s="1"/>
  <c r="K322" i="10"/>
  <c r="O322" i="10" s="1"/>
  <c r="K314" i="10"/>
  <c r="O314" i="10" s="1"/>
  <c r="K306" i="10"/>
  <c r="O306" i="10" s="1"/>
  <c r="K327" i="10"/>
  <c r="O327" i="10" s="1"/>
  <c r="P327" i="10" s="1"/>
  <c r="R327" i="10" s="1"/>
  <c r="K319" i="10"/>
  <c r="O319" i="10" s="1"/>
  <c r="K311" i="10"/>
  <c r="O311" i="10" s="1"/>
  <c r="K303" i="10"/>
  <c r="O303" i="10" s="1"/>
  <c r="P303" i="10" s="1"/>
  <c r="R303" i="10" s="1"/>
  <c r="K324" i="10"/>
  <c r="O324" i="10" s="1"/>
  <c r="K316" i="10"/>
  <c r="O316" i="10" s="1"/>
  <c r="K308" i="10"/>
  <c r="O308" i="10" s="1"/>
  <c r="K332" i="10"/>
  <c r="O332" i="10" s="1"/>
  <c r="K329" i="10"/>
  <c r="O329" i="10" s="1"/>
  <c r="P329" i="10" s="1"/>
  <c r="R329" i="10" s="1"/>
  <c r="K321" i="10"/>
  <c r="O321" i="10" s="1"/>
  <c r="K313" i="10"/>
  <c r="O313" i="10" s="1"/>
  <c r="K326" i="10"/>
  <c r="O326" i="10" s="1"/>
  <c r="K318" i="10"/>
  <c r="O318" i="10" s="1"/>
  <c r="P318" i="10" s="1"/>
  <c r="R318" i="10" s="1"/>
  <c r="K287" i="10"/>
  <c r="O287" i="10" s="1"/>
  <c r="K279" i="10"/>
  <c r="O279" i="10" s="1"/>
  <c r="P279" i="10" s="1"/>
  <c r="R279" i="10" s="1"/>
  <c r="K323" i="10"/>
  <c r="O323" i="10" s="1"/>
  <c r="K292" i="10"/>
  <c r="O292" i="10" s="1"/>
  <c r="K284" i="10"/>
  <c r="O284" i="10" s="1"/>
  <c r="K276" i="10"/>
  <c r="O276" i="10" s="1"/>
  <c r="K297" i="10"/>
  <c r="O297" i="10" s="1"/>
  <c r="K302" i="10"/>
  <c r="O302" i="10" s="1"/>
  <c r="K294" i="10"/>
  <c r="O294" i="10" s="1"/>
  <c r="P294" i="10" s="1"/>
  <c r="R294" i="10" s="1"/>
  <c r="K286" i="10"/>
  <c r="O286" i="10" s="1"/>
  <c r="K278" i="10"/>
  <c r="O278" i="10" s="1"/>
  <c r="K299" i="10"/>
  <c r="O299" i="10" s="1"/>
  <c r="K291" i="10"/>
  <c r="O291" i="10" s="1"/>
  <c r="P291" i="10" s="1"/>
  <c r="R291" i="10" s="1"/>
  <c r="K283" i="10"/>
  <c r="O283" i="10" s="1"/>
  <c r="P283" i="10" s="1"/>
  <c r="R283" i="10" s="1"/>
  <c r="K296" i="10"/>
  <c r="O296" i="10" s="1"/>
  <c r="K288" i="10"/>
  <c r="O288" i="10" s="1"/>
  <c r="P288" i="10" s="1"/>
  <c r="R288" i="10" s="1"/>
  <c r="K301" i="10"/>
  <c r="O301" i="10" s="1"/>
  <c r="K293" i="10"/>
  <c r="O293" i="10" s="1"/>
  <c r="K277" i="10"/>
  <c r="O277" i="10" s="1"/>
  <c r="K298" i="10"/>
  <c r="O298" i="10" s="1"/>
  <c r="K272" i="10"/>
  <c r="O272" i="10" s="1"/>
  <c r="K264" i="10"/>
  <c r="O264" i="10" s="1"/>
  <c r="K256" i="10"/>
  <c r="O256" i="10" s="1"/>
  <c r="K269" i="10"/>
  <c r="O269" i="10" s="1"/>
  <c r="K261" i="10"/>
  <c r="O261" i="10" s="1"/>
  <c r="K253" i="10"/>
  <c r="O253" i="10" s="1"/>
  <c r="K274" i="10"/>
  <c r="O274" i="10" s="1"/>
  <c r="K266" i="10"/>
  <c r="O266" i="10" s="1"/>
  <c r="P266" i="10" s="1"/>
  <c r="R266" i="10" s="1"/>
  <c r="K282" i="10"/>
  <c r="O282" i="10" s="1"/>
  <c r="K271" i="10"/>
  <c r="O271" i="10" s="1"/>
  <c r="P271" i="10" s="1"/>
  <c r="R271" i="10" s="1"/>
  <c r="K263" i="10"/>
  <c r="O263" i="10" s="1"/>
  <c r="P263" i="10" s="1"/>
  <c r="R263" i="10" s="1"/>
  <c r="K268" i="10"/>
  <c r="O268" i="10" s="1"/>
  <c r="K252" i="10"/>
  <c r="O252" i="10" s="1"/>
  <c r="K273" i="10"/>
  <c r="O273" i="10" s="1"/>
  <c r="P273" i="10" s="1"/>
  <c r="R273" i="10" s="1"/>
  <c r="K257" i="10"/>
  <c r="O257" i="10" s="1"/>
  <c r="P257" i="10" s="1"/>
  <c r="R257" i="10" s="1"/>
  <c r="K267" i="10"/>
  <c r="O267" i="10" s="1"/>
  <c r="P267" i="10" s="1"/>
  <c r="R267" i="10" s="1"/>
  <c r="K248" i="10"/>
  <c r="O248" i="10" s="1"/>
  <c r="P248" i="10" s="1"/>
  <c r="R248" i="10" s="1"/>
  <c r="K232" i="10"/>
  <c r="O232" i="10" s="1"/>
  <c r="K307" i="10"/>
  <c r="O307" i="10" s="1"/>
  <c r="K237" i="10"/>
  <c r="O237" i="10" s="1"/>
  <c r="K262" i="10"/>
  <c r="O262" i="10" s="1"/>
  <c r="K242" i="10"/>
  <c r="O242" i="10" s="1"/>
  <c r="K234" i="10"/>
  <c r="O234" i="10" s="1"/>
  <c r="P234" i="10" s="1"/>
  <c r="R234" i="10" s="1"/>
  <c r="K251" i="10"/>
  <c r="O251" i="10" s="1"/>
  <c r="P251" i="10" s="1"/>
  <c r="R251" i="10" s="1"/>
  <c r="K247" i="10"/>
  <c r="O247" i="10" s="1"/>
  <c r="K239" i="10"/>
  <c r="O239" i="10" s="1"/>
  <c r="K231" i="10"/>
  <c r="O231" i="10" s="1"/>
  <c r="P231" i="10" s="1"/>
  <c r="R231" i="10" s="1"/>
  <c r="K244" i="10"/>
  <c r="O244" i="10" s="1"/>
  <c r="K236" i="10"/>
  <c r="O236" i="10" s="1"/>
  <c r="K259" i="10"/>
  <c r="O259" i="10" s="1"/>
  <c r="K258" i="10"/>
  <c r="O258" i="10" s="1"/>
  <c r="P258" i="10" s="1"/>
  <c r="R258" i="10" s="1"/>
  <c r="K249" i="10"/>
  <c r="O249" i="10" s="1"/>
  <c r="P249" i="10" s="1"/>
  <c r="R249" i="10" s="1"/>
  <c r="K241" i="10"/>
  <c r="O241" i="10" s="1"/>
  <c r="K233" i="10"/>
  <c r="O233" i="10" s="1"/>
  <c r="K289" i="10"/>
  <c r="O289" i="10" s="1"/>
  <c r="K226" i="10"/>
  <c r="O226" i="10" s="1"/>
  <c r="P226" i="10" s="1"/>
  <c r="R226" i="10" s="1"/>
  <c r="K218" i="10"/>
  <c r="O218" i="10" s="1"/>
  <c r="P218" i="10" s="1"/>
  <c r="R218" i="10" s="1"/>
  <c r="K254" i="10"/>
  <c r="O254" i="10" s="1"/>
  <c r="P254" i="10" s="1"/>
  <c r="R254" i="10" s="1"/>
  <c r="K243" i="10"/>
  <c r="O243" i="10" s="1"/>
  <c r="K238" i="10"/>
  <c r="O238" i="10" s="1"/>
  <c r="K223" i="10"/>
  <c r="O223" i="10" s="1"/>
  <c r="K281" i="10"/>
  <c r="O281" i="10" s="1"/>
  <c r="P281" i="10" s="1"/>
  <c r="R281" i="10" s="1"/>
  <c r="K228" i="10"/>
  <c r="O228" i="10" s="1"/>
  <c r="K212" i="10"/>
  <c r="O212" i="10" s="1"/>
  <c r="K217" i="10"/>
  <c r="O217" i="10" s="1"/>
  <c r="P217" i="10" s="1"/>
  <c r="R217" i="10" s="1"/>
  <c r="K209" i="10"/>
  <c r="O209" i="10" s="1"/>
  <c r="P209" i="10" s="1"/>
  <c r="R209" i="10" s="1"/>
  <c r="K222" i="10"/>
  <c r="O222" i="10" s="1"/>
  <c r="P222" i="10" s="1"/>
  <c r="R222" i="10" s="1"/>
  <c r="K214" i="10"/>
  <c r="O214" i="10" s="1"/>
  <c r="K227" i="10"/>
  <c r="O227" i="10" s="1"/>
  <c r="K219" i="10"/>
  <c r="O219" i="10" s="1"/>
  <c r="K211" i="10"/>
  <c r="O211" i="10" s="1"/>
  <c r="K224" i="10"/>
  <c r="O224" i="10" s="1"/>
  <c r="K199" i="10"/>
  <c r="O199" i="10" s="1"/>
  <c r="K191" i="10"/>
  <c r="O191" i="10" s="1"/>
  <c r="K246" i="10"/>
  <c r="O246" i="10" s="1"/>
  <c r="K229" i="10"/>
  <c r="O229" i="10" s="1"/>
  <c r="K221" i="10"/>
  <c r="O221" i="10" s="1"/>
  <c r="K207" i="10"/>
  <c r="O207" i="10" s="1"/>
  <c r="P207" i="10" s="1"/>
  <c r="R207" i="10" s="1"/>
  <c r="K204" i="10"/>
  <c r="O204" i="10" s="1"/>
  <c r="K196" i="10"/>
  <c r="O196" i="10" s="1"/>
  <c r="K188" i="10"/>
  <c r="O188" i="10" s="1"/>
  <c r="K216" i="10"/>
  <c r="O216" i="10" s="1"/>
  <c r="K208" i="10"/>
  <c r="O208" i="10" s="1"/>
  <c r="K201" i="10"/>
  <c r="O201" i="10" s="1"/>
  <c r="K193" i="10"/>
  <c r="O193" i="10" s="1"/>
  <c r="P193" i="10" s="1"/>
  <c r="R193" i="10" s="1"/>
  <c r="K206" i="10"/>
  <c r="O206" i="10" s="1"/>
  <c r="K198" i="10"/>
  <c r="O198" i="10" s="1"/>
  <c r="K203" i="10"/>
  <c r="O203" i="10" s="1"/>
  <c r="K213" i="10"/>
  <c r="O213" i="10" s="1"/>
  <c r="K192" i="10"/>
  <c r="O192" i="10" s="1"/>
  <c r="K179" i="10"/>
  <c r="O179" i="10" s="1"/>
  <c r="K171" i="10"/>
  <c r="O171" i="10" s="1"/>
  <c r="K163" i="10"/>
  <c r="O163" i="10" s="1"/>
  <c r="P163" i="10" s="1"/>
  <c r="R163" i="10" s="1"/>
  <c r="K189" i="10"/>
  <c r="O189" i="10" s="1"/>
  <c r="K184" i="10"/>
  <c r="O184" i="10" s="1"/>
  <c r="K176" i="10"/>
  <c r="O176" i="10" s="1"/>
  <c r="P176" i="10" s="1"/>
  <c r="R176" i="10" s="1"/>
  <c r="K168" i="10"/>
  <c r="O168" i="10" s="1"/>
  <c r="P168" i="10" s="1"/>
  <c r="R168" i="10" s="1"/>
  <c r="K197" i="10"/>
  <c r="O197" i="10" s="1"/>
  <c r="K181" i="10"/>
  <c r="O181" i="10" s="1"/>
  <c r="K173" i="10"/>
  <c r="O173" i="10" s="1"/>
  <c r="P173" i="10" s="1"/>
  <c r="R173" i="10" s="1"/>
  <c r="K202" i="10"/>
  <c r="O202" i="10" s="1"/>
  <c r="K178" i="10"/>
  <c r="O178" i="10" s="1"/>
  <c r="K162" i="10"/>
  <c r="O162" i="10" s="1"/>
  <c r="P162" i="10" s="1"/>
  <c r="R162" i="10" s="1"/>
  <c r="K187" i="10"/>
  <c r="O187" i="10" s="1"/>
  <c r="K183" i="10"/>
  <c r="O183" i="10" s="1"/>
  <c r="K167" i="10"/>
  <c r="O167" i="10" s="1"/>
  <c r="K194" i="10"/>
  <c r="O194" i="10" s="1"/>
  <c r="P194" i="10" s="1"/>
  <c r="R194" i="10" s="1"/>
  <c r="K172" i="10"/>
  <c r="O172" i="10" s="1"/>
  <c r="K164" i="10"/>
  <c r="O164" i="10" s="1"/>
  <c r="K177" i="10"/>
  <c r="O177" i="10" s="1"/>
  <c r="K169" i="10"/>
  <c r="O169" i="10" s="1"/>
  <c r="K182" i="10"/>
  <c r="O182" i="10" s="1"/>
  <c r="K174" i="10"/>
  <c r="O174" i="10" s="1"/>
  <c r="P174" i="10" s="1"/>
  <c r="R174" i="10" s="1"/>
  <c r="K157" i="10"/>
  <c r="O157" i="10" s="1"/>
  <c r="P157" i="10" s="1"/>
  <c r="R157" i="10" s="1"/>
  <c r="K149" i="10"/>
  <c r="O149" i="10" s="1"/>
  <c r="K141" i="10"/>
  <c r="O141" i="10" s="1"/>
  <c r="K133" i="10"/>
  <c r="O133" i="10" s="1"/>
  <c r="P133" i="10" s="1"/>
  <c r="R133" i="10" s="1"/>
  <c r="K117" i="10"/>
  <c r="O117" i="10" s="1"/>
  <c r="P117" i="10" s="1"/>
  <c r="R117" i="10" s="1"/>
  <c r="K109" i="10"/>
  <c r="O109" i="10" s="1"/>
  <c r="P109" i="10" s="1"/>
  <c r="R109" i="10" s="1"/>
  <c r="K154" i="10"/>
  <c r="O154" i="10" s="1"/>
  <c r="K146" i="10"/>
  <c r="O146" i="10" s="1"/>
  <c r="K138" i="10"/>
  <c r="O138" i="10" s="1"/>
  <c r="P138" i="10" s="1"/>
  <c r="R138" i="10" s="1"/>
  <c r="K122" i="10"/>
  <c r="O122" i="10" s="1"/>
  <c r="P122" i="10" s="1"/>
  <c r="R122" i="10" s="1"/>
  <c r="K114" i="10"/>
  <c r="O114" i="10" s="1"/>
  <c r="K106" i="10"/>
  <c r="O106" i="10" s="1"/>
  <c r="P106" i="10" s="1"/>
  <c r="R106" i="10" s="1"/>
  <c r="K186" i="10"/>
  <c r="O186" i="10" s="1"/>
  <c r="P186" i="10" s="1"/>
  <c r="R186" i="10" s="1"/>
  <c r="K159" i="10"/>
  <c r="O159" i="10" s="1"/>
  <c r="K151" i="10"/>
  <c r="O151" i="10" s="1"/>
  <c r="P151" i="10" s="1"/>
  <c r="R151" i="10" s="1"/>
  <c r="K143" i="10"/>
  <c r="O143" i="10" s="1"/>
  <c r="P143" i="10" s="1"/>
  <c r="R143" i="10" s="1"/>
  <c r="K127" i="10"/>
  <c r="O127" i="10" s="1"/>
  <c r="K119" i="10"/>
  <c r="O119" i="10" s="1"/>
  <c r="K111" i="10"/>
  <c r="O111" i="10" s="1"/>
  <c r="K103" i="10"/>
  <c r="O103" i="10" s="1"/>
  <c r="K156" i="10"/>
  <c r="O156" i="10" s="1"/>
  <c r="K148" i="10"/>
  <c r="O148" i="10" s="1"/>
  <c r="K132" i="10"/>
  <c r="O132" i="10" s="1"/>
  <c r="K124" i="10"/>
  <c r="O124" i="10" s="1"/>
  <c r="K116" i="10"/>
  <c r="O116" i="10" s="1"/>
  <c r="K108" i="10"/>
  <c r="O108" i="10" s="1"/>
  <c r="K153" i="10"/>
  <c r="O153" i="10" s="1"/>
  <c r="P153" i="10" s="1"/>
  <c r="R153" i="10" s="1"/>
  <c r="K137" i="10"/>
  <c r="O137" i="10" s="1"/>
  <c r="P137" i="10" s="1"/>
  <c r="R137" i="10" s="1"/>
  <c r="K129" i="10"/>
  <c r="O129" i="10" s="1"/>
  <c r="K121" i="10"/>
  <c r="O121" i="10" s="1"/>
  <c r="K113" i="10"/>
  <c r="O113" i="10" s="1"/>
  <c r="K158" i="10"/>
  <c r="O158" i="10" s="1"/>
  <c r="K142" i="10"/>
  <c r="O142" i="10" s="1"/>
  <c r="K134" i="10"/>
  <c r="O134" i="10" s="1"/>
  <c r="K126" i="10"/>
  <c r="O126" i="10" s="1"/>
  <c r="P126" i="10" s="1"/>
  <c r="R126" i="10" s="1"/>
  <c r="K118" i="10"/>
  <c r="O118" i="10" s="1"/>
  <c r="K166" i="10"/>
  <c r="O166" i="10" s="1"/>
  <c r="K161" i="10"/>
  <c r="O161" i="10" s="1"/>
  <c r="K147" i="10"/>
  <c r="O147" i="10" s="1"/>
  <c r="K139" i="10"/>
  <c r="O139" i="10" s="1"/>
  <c r="K131" i="10"/>
  <c r="O131" i="10" s="1"/>
  <c r="K123" i="10"/>
  <c r="O123" i="10" s="1"/>
  <c r="P123" i="10" s="1"/>
  <c r="R123" i="10" s="1"/>
  <c r="K102" i="10"/>
  <c r="O102" i="10" s="1"/>
  <c r="P102" i="10" s="1"/>
  <c r="R102" i="10" s="1"/>
  <c r="K94" i="10"/>
  <c r="O94" i="10" s="1"/>
  <c r="P94" i="10" s="1"/>
  <c r="R94" i="10" s="1"/>
  <c r="K86" i="10"/>
  <c r="O86" i="10" s="1"/>
  <c r="K78" i="10"/>
  <c r="O78" i="10" s="1"/>
  <c r="K62" i="10"/>
  <c r="O62" i="10" s="1"/>
  <c r="K54" i="10"/>
  <c r="O54" i="10" s="1"/>
  <c r="K136" i="10"/>
  <c r="O136" i="10" s="1"/>
  <c r="P136" i="10" s="1"/>
  <c r="R136" i="10" s="1"/>
  <c r="K128" i="10"/>
  <c r="O128" i="10" s="1"/>
  <c r="K112" i="10"/>
  <c r="O112" i="10" s="1"/>
  <c r="K104" i="10"/>
  <c r="O104" i="10" s="1"/>
  <c r="K99" i="10"/>
  <c r="O99" i="10" s="1"/>
  <c r="P99" i="10" s="1"/>
  <c r="R99" i="10" s="1"/>
  <c r="K91" i="10"/>
  <c r="O91" i="10" s="1"/>
  <c r="P91" i="10" s="1"/>
  <c r="R91" i="10" s="1"/>
  <c r="K83" i="10"/>
  <c r="O83" i="10" s="1"/>
  <c r="K67" i="10"/>
  <c r="O67" i="10" s="1"/>
  <c r="K59" i="10"/>
  <c r="O59" i="10" s="1"/>
  <c r="P59" i="10" s="1"/>
  <c r="R59" i="10" s="1"/>
  <c r="K96" i="10"/>
  <c r="O96" i="10" s="1"/>
  <c r="K88" i="10"/>
  <c r="O88" i="10" s="1"/>
  <c r="K72" i="10"/>
  <c r="O72" i="10" s="1"/>
  <c r="P72" i="10" s="1"/>
  <c r="R72" i="10" s="1"/>
  <c r="K64" i="10"/>
  <c r="O64" i="10" s="1"/>
  <c r="K152" i="10"/>
  <c r="O152" i="10" s="1"/>
  <c r="K144" i="10"/>
  <c r="O144" i="10" s="1"/>
  <c r="K98" i="10"/>
  <c r="O98" i="10" s="1"/>
  <c r="K82" i="10"/>
  <c r="O82" i="10" s="1"/>
  <c r="K74" i="10"/>
  <c r="O74" i="10" s="1"/>
  <c r="K66" i="10"/>
  <c r="O66" i="10" s="1"/>
  <c r="K58" i="10"/>
  <c r="O58" i="10" s="1"/>
  <c r="P58" i="10" s="1"/>
  <c r="R58" i="10" s="1"/>
  <c r="K87" i="10"/>
  <c r="O87" i="10" s="1"/>
  <c r="K79" i="10"/>
  <c r="O79" i="10" s="1"/>
  <c r="K71" i="10"/>
  <c r="O71" i="10" s="1"/>
  <c r="K63" i="10"/>
  <c r="O63" i="10" s="1"/>
  <c r="K93" i="10"/>
  <c r="O93" i="10" s="1"/>
  <c r="P93" i="10" s="1"/>
  <c r="R93" i="10" s="1"/>
  <c r="K92" i="10"/>
  <c r="O92" i="10" s="1"/>
  <c r="K56" i="10"/>
  <c r="O56" i="10" s="1"/>
  <c r="P56" i="10" s="1"/>
  <c r="R56" i="10" s="1"/>
  <c r="K52" i="10"/>
  <c r="O52" i="10" s="1"/>
  <c r="K44" i="10"/>
  <c r="O44" i="10" s="1"/>
  <c r="K36" i="10"/>
  <c r="O36" i="10" s="1"/>
  <c r="P36" i="10" s="1"/>
  <c r="R36" i="10" s="1"/>
  <c r="K28" i="10"/>
  <c r="O28" i="10" s="1"/>
  <c r="K49" i="10"/>
  <c r="O49" i="10" s="1"/>
  <c r="K41" i="10"/>
  <c r="O41" i="10" s="1"/>
  <c r="K33" i="10"/>
  <c r="O33" i="10" s="1"/>
  <c r="K73" i="10"/>
  <c r="O73" i="10" s="1"/>
  <c r="K53" i="10"/>
  <c r="O53" i="10" s="1"/>
  <c r="K46" i="10"/>
  <c r="O46" i="10" s="1"/>
  <c r="K38" i="10"/>
  <c r="O38" i="10" s="1"/>
  <c r="K89" i="10"/>
  <c r="O89" i="10" s="1"/>
  <c r="K57" i="10"/>
  <c r="O57" i="10" s="1"/>
  <c r="P57" i="10" s="1"/>
  <c r="R57" i="10" s="1"/>
  <c r="K51" i="10"/>
  <c r="O51" i="10" s="1"/>
  <c r="K43" i="10"/>
  <c r="O43" i="10" s="1"/>
  <c r="P43" i="10" s="1"/>
  <c r="R43" i="10" s="1"/>
  <c r="K27" i="10"/>
  <c r="O27" i="10" s="1"/>
  <c r="K107" i="10"/>
  <c r="O107" i="10" s="1"/>
  <c r="K101" i="10"/>
  <c r="O101" i="10" s="1"/>
  <c r="P101" i="10" s="1"/>
  <c r="R101" i="10" s="1"/>
  <c r="K69" i="10"/>
  <c r="O69" i="10" s="1"/>
  <c r="K68" i="10"/>
  <c r="O68" i="10" s="1"/>
  <c r="K61" i="10"/>
  <c r="O61" i="10" s="1"/>
  <c r="P61" i="10" s="1"/>
  <c r="R61" i="10" s="1"/>
  <c r="K48" i="10"/>
  <c r="O48" i="10" s="1"/>
  <c r="K32" i="10"/>
  <c r="O32" i="10" s="1"/>
  <c r="K84" i="10"/>
  <c r="O84" i="10" s="1"/>
  <c r="K37" i="10"/>
  <c r="O37" i="10" s="1"/>
  <c r="P37" i="10" s="1"/>
  <c r="R37" i="10" s="1"/>
  <c r="K29" i="10"/>
  <c r="O29" i="10" s="1"/>
  <c r="K97" i="10"/>
  <c r="O97" i="10" s="1"/>
  <c r="P97" i="10" s="1"/>
  <c r="R97" i="10" s="1"/>
  <c r="K81" i="10"/>
  <c r="O81" i="10" s="1"/>
  <c r="K42" i="10"/>
  <c r="O42" i="10" s="1"/>
  <c r="K34" i="10"/>
  <c r="O34" i="10" s="1"/>
  <c r="K26" i="10"/>
  <c r="O26" i="10" s="1"/>
  <c r="P26" i="10" s="1"/>
  <c r="R26" i="10" s="1"/>
  <c r="K77" i="10"/>
  <c r="O77" i="10" s="1"/>
  <c r="K76" i="10"/>
  <c r="O76" i="10" s="1"/>
  <c r="K47" i="10"/>
  <c r="O47" i="10" s="1"/>
  <c r="K419" i="9"/>
  <c r="O419" i="9" s="1"/>
  <c r="K411" i="9"/>
  <c r="O411" i="9" s="1"/>
  <c r="K403" i="9"/>
  <c r="O403" i="9" s="1"/>
  <c r="K387" i="9"/>
  <c r="O387" i="9" s="1"/>
  <c r="K379" i="9"/>
  <c r="O379" i="9" s="1"/>
  <c r="K371" i="9"/>
  <c r="O371" i="9" s="1"/>
  <c r="K424" i="9"/>
  <c r="O424" i="9" s="1"/>
  <c r="P424" i="9" s="1"/>
  <c r="R424" i="9" s="1"/>
  <c r="K416" i="9"/>
  <c r="O416" i="9" s="1"/>
  <c r="K408" i="9"/>
  <c r="O408" i="9" s="1"/>
  <c r="K392" i="9"/>
  <c r="O392" i="9" s="1"/>
  <c r="K384" i="9"/>
  <c r="O384" i="9" s="1"/>
  <c r="K376" i="9"/>
  <c r="O376" i="9" s="1"/>
  <c r="K368" i="9"/>
  <c r="O368" i="9" s="1"/>
  <c r="K421" i="9"/>
  <c r="O421" i="9" s="1"/>
  <c r="K413" i="9"/>
  <c r="O413" i="9" s="1"/>
  <c r="K397" i="9"/>
  <c r="O397" i="9" s="1"/>
  <c r="K389" i="9"/>
  <c r="O389" i="9" s="1"/>
  <c r="P389" i="9" s="1"/>
  <c r="R389" i="9" s="1"/>
  <c r="K381" i="9"/>
  <c r="O381" i="9" s="1"/>
  <c r="K373" i="9"/>
  <c r="O373" i="9" s="1"/>
  <c r="P373" i="9" s="1"/>
  <c r="R373" i="9" s="1"/>
  <c r="K31" i="10"/>
  <c r="O31" i="10" s="1"/>
  <c r="K418" i="9"/>
  <c r="O418" i="9" s="1"/>
  <c r="P418" i="9" s="1"/>
  <c r="R418" i="9" s="1"/>
  <c r="K402" i="9"/>
  <c r="O402" i="9" s="1"/>
  <c r="K394" i="9"/>
  <c r="O394" i="9" s="1"/>
  <c r="K386" i="9"/>
  <c r="O386" i="9" s="1"/>
  <c r="K378" i="9"/>
  <c r="O378" i="9" s="1"/>
  <c r="K423" i="9"/>
  <c r="O423" i="9" s="1"/>
  <c r="K407" i="9"/>
  <c r="O407" i="9" s="1"/>
  <c r="K399" i="9"/>
  <c r="O399" i="9" s="1"/>
  <c r="K391" i="9"/>
  <c r="O391" i="9" s="1"/>
  <c r="K383" i="9"/>
  <c r="O383" i="9" s="1"/>
  <c r="K367" i="9"/>
  <c r="O367" i="9" s="1"/>
  <c r="K39" i="10"/>
  <c r="O39" i="10" s="1"/>
  <c r="K412" i="9"/>
  <c r="O412" i="9" s="1"/>
  <c r="P412" i="9" s="1"/>
  <c r="R412" i="9" s="1"/>
  <c r="K404" i="9"/>
  <c r="O404" i="9" s="1"/>
  <c r="P404" i="9" s="1"/>
  <c r="R404" i="9" s="1"/>
  <c r="K396" i="9"/>
  <c r="O396" i="9" s="1"/>
  <c r="K388" i="9"/>
  <c r="O388" i="9" s="1"/>
  <c r="K372" i="9"/>
  <c r="O372" i="9" s="1"/>
  <c r="K417" i="9"/>
  <c r="O417" i="9" s="1"/>
  <c r="P417" i="9" s="1"/>
  <c r="R417" i="9" s="1"/>
  <c r="K409" i="9"/>
  <c r="O409" i="9" s="1"/>
  <c r="P409" i="9" s="1"/>
  <c r="R409" i="9" s="1"/>
  <c r="K401" i="9"/>
  <c r="O401" i="9" s="1"/>
  <c r="P401" i="9" s="1"/>
  <c r="R401" i="9" s="1"/>
  <c r="K393" i="9"/>
  <c r="O393" i="9" s="1"/>
  <c r="K377" i="9"/>
  <c r="O377" i="9" s="1"/>
  <c r="K369" i="9"/>
  <c r="O369" i="9" s="1"/>
  <c r="K357" i="9"/>
  <c r="O357" i="9" s="1"/>
  <c r="K349" i="9"/>
  <c r="O349" i="9" s="1"/>
  <c r="K341" i="9"/>
  <c r="O341" i="9" s="1"/>
  <c r="P341" i="9" s="1"/>
  <c r="R341" i="9" s="1"/>
  <c r="K333" i="9"/>
  <c r="O333" i="9" s="1"/>
  <c r="K317" i="9"/>
  <c r="O317" i="9" s="1"/>
  <c r="K362" i="9"/>
  <c r="O362" i="9" s="1"/>
  <c r="K354" i="9"/>
  <c r="O354" i="9" s="1"/>
  <c r="K346" i="9"/>
  <c r="O346" i="9" s="1"/>
  <c r="P346" i="9" s="1"/>
  <c r="R346" i="9" s="1"/>
  <c r="K338" i="9"/>
  <c r="O338" i="9" s="1"/>
  <c r="K322" i="9"/>
  <c r="O322" i="9" s="1"/>
  <c r="K314" i="9"/>
  <c r="O314" i="9" s="1"/>
  <c r="P314" i="9" s="1"/>
  <c r="R314" i="9" s="1"/>
  <c r="K359" i="9"/>
  <c r="O359" i="9" s="1"/>
  <c r="K351" i="9"/>
  <c r="O351" i="9" s="1"/>
  <c r="K343" i="9"/>
  <c r="O343" i="9" s="1"/>
  <c r="K327" i="9"/>
  <c r="O327" i="9" s="1"/>
  <c r="K319" i="9"/>
  <c r="O319" i="9" s="1"/>
  <c r="K311" i="9"/>
  <c r="O311" i="9" s="1"/>
  <c r="K382" i="9"/>
  <c r="O382" i="9" s="1"/>
  <c r="P382" i="9" s="1"/>
  <c r="R382" i="9" s="1"/>
  <c r="K374" i="9"/>
  <c r="O374" i="9" s="1"/>
  <c r="P374" i="9" s="1"/>
  <c r="R374" i="9" s="1"/>
  <c r="K364" i="9"/>
  <c r="O364" i="9" s="1"/>
  <c r="K356" i="9"/>
  <c r="O356" i="9" s="1"/>
  <c r="K348" i="9"/>
  <c r="O348" i="9" s="1"/>
  <c r="K332" i="9"/>
  <c r="O332" i="9" s="1"/>
  <c r="K324" i="9"/>
  <c r="O324" i="9" s="1"/>
  <c r="K316" i="9"/>
  <c r="O316" i="9" s="1"/>
  <c r="K366" i="9"/>
  <c r="O366" i="9" s="1"/>
  <c r="K361" i="9"/>
  <c r="O361" i="9" s="1"/>
  <c r="K353" i="9"/>
  <c r="O353" i="9" s="1"/>
  <c r="P353" i="9" s="1"/>
  <c r="R353" i="9" s="1"/>
  <c r="K337" i="9"/>
  <c r="O337" i="9" s="1"/>
  <c r="P337" i="9" s="1"/>
  <c r="R337" i="9" s="1"/>
  <c r="K329" i="9"/>
  <c r="O329" i="9" s="1"/>
  <c r="P329" i="9" s="1"/>
  <c r="R329" i="9" s="1"/>
  <c r="K321" i="9"/>
  <c r="O321" i="9" s="1"/>
  <c r="K313" i="9"/>
  <c r="O313" i="9" s="1"/>
  <c r="K406" i="9"/>
  <c r="O406" i="9" s="1"/>
  <c r="K398" i="9"/>
  <c r="O398" i="9" s="1"/>
  <c r="K358" i="9"/>
  <c r="O358" i="9" s="1"/>
  <c r="K342" i="9"/>
  <c r="O342" i="9" s="1"/>
  <c r="P342" i="9" s="1"/>
  <c r="R342" i="9" s="1"/>
  <c r="K334" i="9"/>
  <c r="O334" i="9" s="1"/>
  <c r="P334" i="9" s="1"/>
  <c r="R334" i="9" s="1"/>
  <c r="K326" i="9"/>
  <c r="O326" i="9" s="1"/>
  <c r="K318" i="9"/>
  <c r="O318" i="9" s="1"/>
  <c r="P318" i="9" s="1"/>
  <c r="R318" i="9" s="1"/>
  <c r="K363" i="9"/>
  <c r="O363" i="9" s="1"/>
  <c r="K347" i="9"/>
  <c r="O347" i="9" s="1"/>
  <c r="P347" i="9" s="1"/>
  <c r="R347" i="9" s="1"/>
  <c r="K339" i="9"/>
  <c r="O339" i="9" s="1"/>
  <c r="K331" i="9"/>
  <c r="O331" i="9" s="1"/>
  <c r="K323" i="9"/>
  <c r="O323" i="9" s="1"/>
  <c r="P323" i="9" s="1"/>
  <c r="R323" i="9" s="1"/>
  <c r="K422" i="9"/>
  <c r="O422" i="9" s="1"/>
  <c r="K414" i="9"/>
  <c r="O414" i="9" s="1"/>
  <c r="K352" i="9"/>
  <c r="O352" i="9" s="1"/>
  <c r="K336" i="9"/>
  <c r="O336" i="9" s="1"/>
  <c r="K328" i="9"/>
  <c r="O328" i="9" s="1"/>
  <c r="K304" i="9"/>
  <c r="O304" i="9" s="1"/>
  <c r="P304" i="9" s="1"/>
  <c r="R304" i="9" s="1"/>
  <c r="K296" i="9"/>
  <c r="O296" i="9" s="1"/>
  <c r="P296" i="9" s="1"/>
  <c r="R296" i="9" s="1"/>
  <c r="K288" i="9"/>
  <c r="O288" i="9" s="1"/>
  <c r="K272" i="9"/>
  <c r="O272" i="9" s="1"/>
  <c r="K264" i="9"/>
  <c r="O264" i="9" s="1"/>
  <c r="P264" i="9" s="1"/>
  <c r="R264" i="9" s="1"/>
  <c r="K256" i="9"/>
  <c r="O256" i="9" s="1"/>
  <c r="P256" i="9" s="1"/>
  <c r="R256" i="9" s="1"/>
  <c r="K309" i="9"/>
  <c r="O309" i="9" s="1"/>
  <c r="K301" i="9"/>
  <c r="O301" i="9" s="1"/>
  <c r="K293" i="9"/>
  <c r="O293" i="9" s="1"/>
  <c r="K277" i="9"/>
  <c r="O277" i="9" s="1"/>
  <c r="K269" i="9"/>
  <c r="O269" i="9" s="1"/>
  <c r="K261" i="9"/>
  <c r="O261" i="9" s="1"/>
  <c r="K344" i="9"/>
  <c r="O344" i="9" s="1"/>
  <c r="K306" i="9"/>
  <c r="O306" i="9" s="1"/>
  <c r="P306" i="9" s="1"/>
  <c r="R306" i="9" s="1"/>
  <c r="K298" i="9"/>
  <c r="O298" i="9" s="1"/>
  <c r="P298" i="9" s="1"/>
  <c r="R298" i="9" s="1"/>
  <c r="K282" i="9"/>
  <c r="O282" i="9" s="1"/>
  <c r="P282" i="9" s="1"/>
  <c r="R282" i="9" s="1"/>
  <c r="K274" i="9"/>
  <c r="O274" i="9" s="1"/>
  <c r="P274" i="9" s="1"/>
  <c r="R274" i="9" s="1"/>
  <c r="K266" i="9"/>
  <c r="O266" i="9" s="1"/>
  <c r="K258" i="9"/>
  <c r="O258" i="9" s="1"/>
  <c r="K303" i="9"/>
  <c r="O303" i="9" s="1"/>
  <c r="K287" i="9"/>
  <c r="O287" i="9" s="1"/>
  <c r="K279" i="9"/>
  <c r="O279" i="9" s="1"/>
  <c r="K271" i="9"/>
  <c r="O271" i="9" s="1"/>
  <c r="K263" i="9"/>
  <c r="O263" i="9" s="1"/>
  <c r="K308" i="9"/>
  <c r="O308" i="9" s="1"/>
  <c r="K292" i="9"/>
  <c r="O292" i="9" s="1"/>
  <c r="K284" i="9"/>
  <c r="O284" i="9" s="1"/>
  <c r="K276" i="9"/>
  <c r="O276" i="9" s="1"/>
  <c r="K268" i="9"/>
  <c r="O268" i="9" s="1"/>
  <c r="K297" i="9"/>
  <c r="O297" i="9" s="1"/>
  <c r="P297" i="9" s="1"/>
  <c r="R297" i="9" s="1"/>
  <c r="K289" i="9"/>
  <c r="O289" i="9" s="1"/>
  <c r="P289" i="9" s="1"/>
  <c r="R289" i="9" s="1"/>
  <c r="K281" i="9"/>
  <c r="O281" i="9" s="1"/>
  <c r="K273" i="9"/>
  <c r="O273" i="9" s="1"/>
  <c r="K312" i="9"/>
  <c r="O312" i="9" s="1"/>
  <c r="P312" i="9" s="1"/>
  <c r="R312" i="9" s="1"/>
  <c r="K302" i="9"/>
  <c r="O302" i="9" s="1"/>
  <c r="P302" i="9" s="1"/>
  <c r="R302" i="9" s="1"/>
  <c r="K294" i="9"/>
  <c r="O294" i="9" s="1"/>
  <c r="P294" i="9" s="1"/>
  <c r="R294" i="9" s="1"/>
  <c r="K286" i="9"/>
  <c r="O286" i="9" s="1"/>
  <c r="K278" i="9"/>
  <c r="O278" i="9" s="1"/>
  <c r="K262" i="9"/>
  <c r="O262" i="9" s="1"/>
  <c r="K254" i="9"/>
  <c r="O254" i="9" s="1"/>
  <c r="K307" i="9"/>
  <c r="O307" i="9" s="1"/>
  <c r="K299" i="9"/>
  <c r="O299" i="9" s="1"/>
  <c r="K291" i="9"/>
  <c r="O291" i="9" s="1"/>
  <c r="P291" i="9" s="1"/>
  <c r="R291" i="9" s="1"/>
  <c r="K283" i="9"/>
  <c r="O283" i="9" s="1"/>
  <c r="K267" i="9"/>
  <c r="O267" i="9" s="1"/>
  <c r="P267" i="9" s="1"/>
  <c r="R267" i="9" s="1"/>
  <c r="K259" i="9"/>
  <c r="O259" i="9" s="1"/>
  <c r="K251" i="9"/>
  <c r="O251" i="9" s="1"/>
  <c r="K243" i="9"/>
  <c r="O243" i="9" s="1"/>
  <c r="K227" i="9"/>
  <c r="O227" i="9" s="1"/>
  <c r="K219" i="9"/>
  <c r="O219" i="9" s="1"/>
  <c r="P219" i="9" s="1"/>
  <c r="R219" i="9" s="1"/>
  <c r="K211" i="9"/>
  <c r="O211" i="9" s="1"/>
  <c r="K203" i="9"/>
  <c r="O203" i="9" s="1"/>
  <c r="P203" i="9" s="1"/>
  <c r="R203" i="9" s="1"/>
  <c r="K248" i="9"/>
  <c r="O248" i="9" s="1"/>
  <c r="K232" i="9"/>
  <c r="O232" i="9" s="1"/>
  <c r="P232" i="9" s="1"/>
  <c r="R232" i="9" s="1"/>
  <c r="K224" i="9"/>
  <c r="O224" i="9" s="1"/>
  <c r="K216" i="9"/>
  <c r="O216" i="9" s="1"/>
  <c r="K208" i="9"/>
  <c r="O208" i="9" s="1"/>
  <c r="K257" i="9"/>
  <c r="O257" i="9" s="1"/>
  <c r="K253" i="9"/>
  <c r="O253" i="9" s="1"/>
  <c r="K237" i="9"/>
  <c r="O237" i="9" s="1"/>
  <c r="K229" i="9"/>
  <c r="O229" i="9" s="1"/>
  <c r="K221" i="9"/>
  <c r="O221" i="9" s="1"/>
  <c r="P221" i="9" s="1"/>
  <c r="R221" i="9" s="1"/>
  <c r="K213" i="9"/>
  <c r="O213" i="9" s="1"/>
  <c r="K197" i="9"/>
  <c r="O197" i="9" s="1"/>
  <c r="K242" i="9"/>
  <c r="O242" i="9" s="1"/>
  <c r="K234" i="9"/>
  <c r="O234" i="9" s="1"/>
  <c r="K226" i="9"/>
  <c r="O226" i="9" s="1"/>
  <c r="K218" i="9"/>
  <c r="O218" i="9" s="1"/>
  <c r="K202" i="9"/>
  <c r="O202" i="9" s="1"/>
  <c r="P202" i="9" s="1"/>
  <c r="R202" i="9" s="1"/>
  <c r="K194" i="9"/>
  <c r="O194" i="9" s="1"/>
  <c r="K247" i="9"/>
  <c r="O247" i="9" s="1"/>
  <c r="K239" i="9"/>
  <c r="O239" i="9" s="1"/>
  <c r="K231" i="9"/>
  <c r="O231" i="9" s="1"/>
  <c r="K223" i="9"/>
  <c r="O223" i="9" s="1"/>
  <c r="K207" i="9"/>
  <c r="O207" i="9" s="1"/>
  <c r="K199" i="9"/>
  <c r="O199" i="9" s="1"/>
  <c r="P199" i="9" s="1"/>
  <c r="R199" i="9" s="1"/>
  <c r="K252" i="9"/>
  <c r="O252" i="9" s="1"/>
  <c r="K244" i="9"/>
  <c r="O244" i="9" s="1"/>
  <c r="K236" i="9"/>
  <c r="O236" i="9" s="1"/>
  <c r="K228" i="9"/>
  <c r="O228" i="9" s="1"/>
  <c r="K212" i="9"/>
  <c r="O212" i="9" s="1"/>
  <c r="K204" i="9"/>
  <c r="O204" i="9" s="1"/>
  <c r="K196" i="9"/>
  <c r="O196" i="9" s="1"/>
  <c r="K249" i="9"/>
  <c r="O249" i="9" s="1"/>
  <c r="K241" i="9"/>
  <c r="O241" i="9" s="1"/>
  <c r="K233" i="9"/>
  <c r="O233" i="9" s="1"/>
  <c r="P233" i="9" s="1"/>
  <c r="R233" i="9" s="1"/>
  <c r="K217" i="9"/>
  <c r="O217" i="9" s="1"/>
  <c r="K209" i="9"/>
  <c r="O209" i="9" s="1"/>
  <c r="P209" i="9" s="1"/>
  <c r="R209" i="9" s="1"/>
  <c r="K201" i="9"/>
  <c r="O201" i="9" s="1"/>
  <c r="P201" i="9" s="1"/>
  <c r="R201" i="9" s="1"/>
  <c r="K246" i="9"/>
  <c r="O246" i="9" s="1"/>
  <c r="P246" i="9" s="1"/>
  <c r="R246" i="9" s="1"/>
  <c r="K238" i="9"/>
  <c r="O238" i="9" s="1"/>
  <c r="K222" i="9"/>
  <c r="O222" i="9" s="1"/>
  <c r="K214" i="9"/>
  <c r="O214" i="9" s="1"/>
  <c r="K206" i="9"/>
  <c r="O206" i="9" s="1"/>
  <c r="P206" i="9" s="1"/>
  <c r="R206" i="9" s="1"/>
  <c r="K198" i="9"/>
  <c r="O198" i="9" s="1"/>
  <c r="P198" i="9" s="1"/>
  <c r="R198" i="9" s="1"/>
  <c r="K188" i="9"/>
  <c r="O188" i="9" s="1"/>
  <c r="K172" i="9"/>
  <c r="O172" i="9" s="1"/>
  <c r="K164" i="9"/>
  <c r="O164" i="9" s="1"/>
  <c r="K156" i="9"/>
  <c r="O156" i="9" s="1"/>
  <c r="K148" i="9"/>
  <c r="O148" i="9" s="1"/>
  <c r="K132" i="9"/>
  <c r="O132" i="9" s="1"/>
  <c r="K193" i="9"/>
  <c r="O193" i="9" s="1"/>
  <c r="K177" i="9"/>
  <c r="O177" i="9" s="1"/>
  <c r="K169" i="9"/>
  <c r="O169" i="9" s="1"/>
  <c r="K161" i="9"/>
  <c r="O161" i="9" s="1"/>
  <c r="K153" i="9"/>
  <c r="O153" i="9" s="1"/>
  <c r="P153" i="9" s="1"/>
  <c r="R153" i="9" s="1"/>
  <c r="K182" i="9"/>
  <c r="O182" i="9" s="1"/>
  <c r="K174" i="9"/>
  <c r="O174" i="9" s="1"/>
  <c r="K166" i="9"/>
  <c r="O166" i="9" s="1"/>
  <c r="K158" i="9"/>
  <c r="O158" i="9" s="1"/>
  <c r="K142" i="9"/>
  <c r="O142" i="9" s="1"/>
  <c r="K134" i="9"/>
  <c r="O134" i="9" s="1"/>
  <c r="K187" i="9"/>
  <c r="O187" i="9" s="1"/>
  <c r="K179" i="9"/>
  <c r="O179" i="9" s="1"/>
  <c r="P179" i="9" s="1"/>
  <c r="R179" i="9" s="1"/>
  <c r="K171" i="9"/>
  <c r="O171" i="9" s="1"/>
  <c r="P171" i="9" s="1"/>
  <c r="R171" i="9" s="1"/>
  <c r="K163" i="9"/>
  <c r="O163" i="9" s="1"/>
  <c r="P163" i="9" s="1"/>
  <c r="R163" i="9" s="1"/>
  <c r="K147" i="9"/>
  <c r="O147" i="9" s="1"/>
  <c r="K139" i="9"/>
  <c r="O139" i="9" s="1"/>
  <c r="K192" i="9"/>
  <c r="O192" i="9" s="1"/>
  <c r="K184" i="9"/>
  <c r="O184" i="9" s="1"/>
  <c r="K176" i="9"/>
  <c r="O176" i="9" s="1"/>
  <c r="K168" i="9"/>
  <c r="O168" i="9" s="1"/>
  <c r="P168" i="9" s="1"/>
  <c r="R168" i="9" s="1"/>
  <c r="K152" i="9"/>
  <c r="O152" i="9" s="1"/>
  <c r="P152" i="9" s="1"/>
  <c r="R152" i="9" s="1"/>
  <c r="K144" i="9"/>
  <c r="O144" i="9" s="1"/>
  <c r="K136" i="9"/>
  <c r="O136" i="9" s="1"/>
  <c r="K189" i="9"/>
  <c r="O189" i="9" s="1"/>
  <c r="K181" i="9"/>
  <c r="O181" i="9" s="1"/>
  <c r="P181" i="9" s="1"/>
  <c r="R181" i="9" s="1"/>
  <c r="K173" i="9"/>
  <c r="O173" i="9" s="1"/>
  <c r="P173" i="9" s="1"/>
  <c r="R173" i="9" s="1"/>
  <c r="K157" i="9"/>
  <c r="O157" i="9" s="1"/>
  <c r="P157" i="9" s="1"/>
  <c r="R157" i="9" s="1"/>
  <c r="K149" i="9"/>
  <c r="O149" i="9" s="1"/>
  <c r="P149" i="9" s="1"/>
  <c r="R149" i="9" s="1"/>
  <c r="K141" i="9"/>
  <c r="O141" i="9" s="1"/>
  <c r="K186" i="9"/>
  <c r="O186" i="9" s="1"/>
  <c r="K178" i="9"/>
  <c r="O178" i="9" s="1"/>
  <c r="P178" i="9" s="1"/>
  <c r="R178" i="9" s="1"/>
  <c r="K162" i="9"/>
  <c r="O162" i="9" s="1"/>
  <c r="P162" i="9" s="1"/>
  <c r="R162" i="9" s="1"/>
  <c r="K154" i="9"/>
  <c r="O154" i="9" s="1"/>
  <c r="P154" i="9" s="1"/>
  <c r="R154" i="9" s="1"/>
  <c r="K146" i="9"/>
  <c r="O146" i="9" s="1"/>
  <c r="P146" i="9" s="1"/>
  <c r="R146" i="9" s="1"/>
  <c r="K138" i="9"/>
  <c r="O138" i="9" s="1"/>
  <c r="K191" i="9"/>
  <c r="O191" i="9" s="1"/>
  <c r="P191" i="9" s="1"/>
  <c r="R191" i="9" s="1"/>
  <c r="K183" i="9"/>
  <c r="O183" i="9" s="1"/>
  <c r="K167" i="9"/>
  <c r="O167" i="9" s="1"/>
  <c r="P167" i="9" s="1"/>
  <c r="R167" i="9" s="1"/>
  <c r="K159" i="9"/>
  <c r="O159" i="9" s="1"/>
  <c r="P159" i="9" s="1"/>
  <c r="R159" i="9" s="1"/>
  <c r="K151" i="9"/>
  <c r="O151" i="9" s="1"/>
  <c r="K143" i="9"/>
  <c r="O143" i="9" s="1"/>
  <c r="K137" i="9"/>
  <c r="O137" i="9" s="1"/>
  <c r="K126" i="9"/>
  <c r="O126" i="9" s="1"/>
  <c r="P126" i="9" s="1"/>
  <c r="R126" i="9" s="1"/>
  <c r="K118" i="9"/>
  <c r="O118" i="9" s="1"/>
  <c r="P118" i="9" s="1"/>
  <c r="R118" i="9" s="1"/>
  <c r="K102" i="9"/>
  <c r="O102" i="9" s="1"/>
  <c r="P102" i="9" s="1"/>
  <c r="R102" i="9" s="1"/>
  <c r="K94" i="9"/>
  <c r="O94" i="9" s="1"/>
  <c r="K86" i="9"/>
  <c r="O86" i="9" s="1"/>
  <c r="P86" i="9" s="1"/>
  <c r="R86" i="9" s="1"/>
  <c r="K78" i="9"/>
  <c r="O78" i="9" s="1"/>
  <c r="P78" i="9" s="1"/>
  <c r="R78" i="9" s="1"/>
  <c r="K131" i="9"/>
  <c r="O131" i="9" s="1"/>
  <c r="P131" i="9" s="1"/>
  <c r="R131" i="9" s="1"/>
  <c r="K123" i="9"/>
  <c r="O123" i="9" s="1"/>
  <c r="P123" i="9" s="1"/>
  <c r="R123" i="9" s="1"/>
  <c r="K107" i="9"/>
  <c r="O107" i="9" s="1"/>
  <c r="K99" i="9"/>
  <c r="O99" i="9" s="1"/>
  <c r="K91" i="9"/>
  <c r="O91" i="9" s="1"/>
  <c r="K83" i="9"/>
  <c r="O83" i="9" s="1"/>
  <c r="P83" i="9" s="1"/>
  <c r="R83" i="9" s="1"/>
  <c r="K128" i="9"/>
  <c r="O128" i="9" s="1"/>
  <c r="K112" i="9"/>
  <c r="O112" i="9" s="1"/>
  <c r="K104" i="9"/>
  <c r="O104" i="9" s="1"/>
  <c r="K96" i="9"/>
  <c r="O96" i="9" s="1"/>
  <c r="K88" i="9"/>
  <c r="O88" i="9" s="1"/>
  <c r="P88" i="9" s="1"/>
  <c r="R88" i="9" s="1"/>
  <c r="K72" i="9"/>
  <c r="O72" i="9" s="1"/>
  <c r="K117" i="9"/>
  <c r="O117" i="9" s="1"/>
  <c r="K109" i="9"/>
  <c r="O109" i="9" s="1"/>
  <c r="P109" i="9" s="1"/>
  <c r="R109" i="9" s="1"/>
  <c r="K101" i="9"/>
  <c r="O101" i="9" s="1"/>
  <c r="K93" i="9"/>
  <c r="O93" i="9" s="1"/>
  <c r="K77" i="9"/>
  <c r="O77" i="9" s="1"/>
  <c r="K122" i="9"/>
  <c r="O122" i="9" s="1"/>
  <c r="K114" i="9"/>
  <c r="O114" i="9" s="1"/>
  <c r="K106" i="9"/>
  <c r="O106" i="9" s="1"/>
  <c r="K98" i="9"/>
  <c r="O98" i="9" s="1"/>
  <c r="K82" i="9"/>
  <c r="O82" i="9" s="1"/>
  <c r="K74" i="9"/>
  <c r="O74" i="9" s="1"/>
  <c r="K127" i="9"/>
  <c r="O127" i="9" s="1"/>
  <c r="K119" i="9"/>
  <c r="O119" i="9" s="1"/>
  <c r="K111" i="9"/>
  <c r="O111" i="9" s="1"/>
  <c r="K103" i="9"/>
  <c r="O103" i="9" s="1"/>
  <c r="K87" i="9"/>
  <c r="O87" i="9" s="1"/>
  <c r="K79" i="9"/>
  <c r="O79" i="9" s="1"/>
  <c r="P79" i="9" s="1"/>
  <c r="R79" i="9" s="1"/>
  <c r="K133" i="9"/>
  <c r="O133" i="9" s="1"/>
  <c r="K124" i="9"/>
  <c r="O124" i="9" s="1"/>
  <c r="K116" i="9"/>
  <c r="O116" i="9" s="1"/>
  <c r="K108" i="9"/>
  <c r="O108" i="9" s="1"/>
  <c r="P108" i="9" s="1"/>
  <c r="R108" i="9" s="1"/>
  <c r="K92" i="9"/>
  <c r="O92" i="9" s="1"/>
  <c r="K84" i="9"/>
  <c r="O84" i="9" s="1"/>
  <c r="K76" i="9"/>
  <c r="O76" i="9" s="1"/>
  <c r="K129" i="9"/>
  <c r="O129" i="9" s="1"/>
  <c r="P129" i="9" s="1"/>
  <c r="R129" i="9" s="1"/>
  <c r="K121" i="9"/>
  <c r="O121" i="9" s="1"/>
  <c r="P121" i="9" s="1"/>
  <c r="R121" i="9" s="1"/>
  <c r="K113" i="9"/>
  <c r="O113" i="9" s="1"/>
  <c r="K97" i="9"/>
  <c r="O97" i="9" s="1"/>
  <c r="P97" i="9" s="1"/>
  <c r="R97" i="9" s="1"/>
  <c r="K89" i="9"/>
  <c r="O89" i="9" s="1"/>
  <c r="P89" i="9" s="1"/>
  <c r="R89" i="9" s="1"/>
  <c r="K81" i="9"/>
  <c r="O81" i="9" s="1"/>
  <c r="K73" i="9"/>
  <c r="O73" i="9" s="1"/>
  <c r="K66" i="9"/>
  <c r="O66" i="9" s="1"/>
  <c r="K58" i="9"/>
  <c r="O58" i="9" s="1"/>
  <c r="K42" i="9"/>
  <c r="O42" i="9" s="1"/>
  <c r="K34" i="9"/>
  <c r="O34" i="9" s="1"/>
  <c r="K26" i="9"/>
  <c r="O26" i="9" s="1"/>
  <c r="P26" i="9" s="1"/>
  <c r="R26" i="9" s="1"/>
  <c r="O422" i="8"/>
  <c r="AC420" i="8"/>
  <c r="AQ418" i="8"/>
  <c r="K418" i="8"/>
  <c r="O414" i="8"/>
  <c r="AC412" i="8"/>
  <c r="AQ410" i="8"/>
  <c r="O406" i="8"/>
  <c r="AS404" i="8"/>
  <c r="AU404" i="8" s="1"/>
  <c r="AC404" i="8"/>
  <c r="AQ402" i="8"/>
  <c r="K402" i="8"/>
  <c r="O398" i="8"/>
  <c r="AC396" i="8"/>
  <c r="AQ394" i="8"/>
  <c r="K394" i="8"/>
  <c r="AE390" i="8"/>
  <c r="AG390" i="8" s="1"/>
  <c r="AH390" i="8" s="1"/>
  <c r="O390" i="8"/>
  <c r="AC388" i="8"/>
  <c r="AQ386" i="8"/>
  <c r="K386" i="8"/>
  <c r="AE382" i="8"/>
  <c r="AG382" i="8" s="1"/>
  <c r="O382" i="8"/>
  <c r="AC380" i="8"/>
  <c r="AQ378" i="8"/>
  <c r="K378" i="8"/>
  <c r="O374" i="8"/>
  <c r="AC372" i="8"/>
  <c r="AQ370" i="8"/>
  <c r="O366" i="8"/>
  <c r="AC364" i="8"/>
  <c r="AQ362" i="8"/>
  <c r="K362" i="8"/>
  <c r="Q360" i="8"/>
  <c r="S360" i="8" s="1"/>
  <c r="T360" i="8" s="1"/>
  <c r="O358" i="8"/>
  <c r="AC356" i="8"/>
  <c r="AQ354" i="8"/>
  <c r="K354" i="8"/>
  <c r="Q352" i="8"/>
  <c r="S352" i="8" s="1"/>
  <c r="O350" i="8"/>
  <c r="AC348" i="8"/>
  <c r="AQ346" i="8"/>
  <c r="K346" i="8"/>
  <c r="K63" i="9"/>
  <c r="O63" i="9" s="1"/>
  <c r="K47" i="9"/>
  <c r="O47" i="9" s="1"/>
  <c r="K39" i="9"/>
  <c r="O39" i="9" s="1"/>
  <c r="P39" i="9" s="1"/>
  <c r="R39" i="9" s="1"/>
  <c r="K31" i="9"/>
  <c r="O31" i="9" s="1"/>
  <c r="AQ423" i="8"/>
  <c r="K423" i="8"/>
  <c r="O419" i="8"/>
  <c r="AC417" i="8"/>
  <c r="AQ415" i="8"/>
  <c r="O411" i="8"/>
  <c r="AC409" i="8"/>
  <c r="AQ407" i="8"/>
  <c r="K407" i="8"/>
  <c r="Q405" i="8"/>
  <c r="S405" i="8" s="1"/>
  <c r="T405" i="8" s="1"/>
  <c r="O403" i="8"/>
  <c r="AC401" i="8"/>
  <c r="AQ399" i="8"/>
  <c r="K399" i="8"/>
  <c r="Q397" i="8"/>
  <c r="S397" i="8" s="1"/>
  <c r="O395" i="8"/>
  <c r="AC393" i="8"/>
  <c r="AQ391" i="8"/>
  <c r="K391" i="8"/>
  <c r="Q389" i="8"/>
  <c r="S389" i="8" s="1"/>
  <c r="O387" i="8"/>
  <c r="AC385" i="8"/>
  <c r="AQ383" i="8"/>
  <c r="K383" i="8"/>
  <c r="O379" i="8"/>
  <c r="AC377" i="8"/>
  <c r="AQ375" i="8"/>
  <c r="Q373" i="8"/>
  <c r="S373" i="8" s="1"/>
  <c r="O371" i="8"/>
  <c r="AC369" i="8"/>
  <c r="AQ367" i="8"/>
  <c r="K367" i="8"/>
  <c r="AE363" i="8"/>
  <c r="AG363" i="8" s="1"/>
  <c r="O363" i="8"/>
  <c r="AC361" i="8"/>
  <c r="AQ359" i="8"/>
  <c r="K359" i="8"/>
  <c r="Q357" i="8"/>
  <c r="S357" i="8" s="1"/>
  <c r="O355" i="8"/>
  <c r="AC353" i="8"/>
  <c r="AQ351" i="8"/>
  <c r="K351" i="8"/>
  <c r="AE347" i="8"/>
  <c r="AG347" i="8" s="1"/>
  <c r="O347" i="8"/>
  <c r="K71" i="9"/>
  <c r="O71" i="9" s="1"/>
  <c r="K68" i="9"/>
  <c r="O68" i="9" s="1"/>
  <c r="K52" i="9"/>
  <c r="O52" i="9" s="1"/>
  <c r="K44" i="9"/>
  <c r="O44" i="9" s="1"/>
  <c r="K36" i="9"/>
  <c r="O36" i="9" s="1"/>
  <c r="K28" i="9"/>
  <c r="O28" i="9" s="1"/>
  <c r="AE424" i="8"/>
  <c r="AG424" i="8" s="1"/>
  <c r="O424" i="8"/>
  <c r="AC422" i="8"/>
  <c r="AQ420" i="8"/>
  <c r="O416" i="8"/>
  <c r="AC414" i="8"/>
  <c r="AQ412" i="8"/>
  <c r="K412" i="8"/>
  <c r="Q410" i="8"/>
  <c r="S410" i="8" s="1"/>
  <c r="T410" i="8" s="1"/>
  <c r="O408" i="8"/>
  <c r="AC406" i="8"/>
  <c r="AQ404" i="8"/>
  <c r="K404" i="8"/>
  <c r="O400" i="8"/>
  <c r="AS398" i="8"/>
  <c r="AU398" i="8" s="1"/>
  <c r="AC398" i="8"/>
  <c r="AQ396" i="8"/>
  <c r="K396" i="8"/>
  <c r="AE392" i="8"/>
  <c r="AG392" i="8" s="1"/>
  <c r="O392" i="8"/>
  <c r="AS390" i="8"/>
  <c r="AU390" i="8" s="1"/>
  <c r="AV390" i="8" s="1"/>
  <c r="AY390" i="8" s="1"/>
  <c r="AC390" i="8"/>
  <c r="AQ388" i="8"/>
  <c r="K388" i="8"/>
  <c r="Q386" i="8"/>
  <c r="S386" i="8" s="1"/>
  <c r="O384" i="8"/>
  <c r="AS382" i="8"/>
  <c r="AU382" i="8" s="1"/>
  <c r="AC382" i="8"/>
  <c r="AQ380" i="8"/>
  <c r="O376" i="8"/>
  <c r="AC374" i="8"/>
  <c r="AQ372" i="8"/>
  <c r="K372" i="8"/>
  <c r="Q370" i="8"/>
  <c r="S370" i="8" s="1"/>
  <c r="T370" i="8" s="1"/>
  <c r="O368" i="8"/>
  <c r="AC366" i="8"/>
  <c r="AQ364" i="8"/>
  <c r="K364" i="8"/>
  <c r="AE360" i="8"/>
  <c r="AG360" i="8" s="1"/>
  <c r="AH360" i="8" s="1"/>
  <c r="O360" i="8"/>
  <c r="AS358" i="8"/>
  <c r="AU358" i="8" s="1"/>
  <c r="AC358" i="8"/>
  <c r="AQ356" i="8"/>
  <c r="K356" i="8"/>
  <c r="O352" i="8"/>
  <c r="AC350" i="8"/>
  <c r="AQ348" i="8"/>
  <c r="K348" i="8"/>
  <c r="K57" i="9"/>
  <c r="O57" i="9" s="1"/>
  <c r="K49" i="9"/>
  <c r="O49" i="9" s="1"/>
  <c r="P49" i="9" s="1"/>
  <c r="R49" i="9" s="1"/>
  <c r="K41" i="9"/>
  <c r="O41" i="9" s="1"/>
  <c r="P41" i="9" s="1"/>
  <c r="R41" i="9" s="1"/>
  <c r="K33" i="9"/>
  <c r="O33" i="9" s="1"/>
  <c r="O421" i="8"/>
  <c r="AC419" i="8"/>
  <c r="AQ417" i="8"/>
  <c r="K417" i="8"/>
  <c r="O413" i="8"/>
  <c r="AC411" i="8"/>
  <c r="AQ409" i="8"/>
  <c r="K409" i="8"/>
  <c r="O405" i="8"/>
  <c r="AC403" i="8"/>
  <c r="AQ401" i="8"/>
  <c r="K401" i="8"/>
  <c r="O397" i="8"/>
  <c r="AC395" i="8"/>
  <c r="AQ393" i="8"/>
  <c r="K393" i="8"/>
  <c r="O389" i="8"/>
  <c r="AC387" i="8"/>
  <c r="AQ385" i="8"/>
  <c r="O381" i="8"/>
  <c r="AC379" i="8"/>
  <c r="AQ377" i="8"/>
  <c r="K377" i="8"/>
  <c r="O373" i="8"/>
  <c r="AS371" i="8"/>
  <c r="AU371" i="8" s="1"/>
  <c r="AC371" i="8"/>
  <c r="AQ369" i="8"/>
  <c r="K369" i="8"/>
  <c r="AE365" i="8"/>
  <c r="AG365" i="8" s="1"/>
  <c r="AH365" i="8" s="1"/>
  <c r="O365" i="8"/>
  <c r="AC363" i="8"/>
  <c r="AQ361" i="8"/>
  <c r="K361" i="8"/>
  <c r="O357" i="8"/>
  <c r="AC355" i="8"/>
  <c r="AQ353" i="8"/>
  <c r="K353" i="8"/>
  <c r="O349" i="8"/>
  <c r="AC347" i="8"/>
  <c r="K62" i="9"/>
  <c r="O62" i="9" s="1"/>
  <c r="K54" i="9"/>
  <c r="O54" i="9" s="1"/>
  <c r="K46" i="9"/>
  <c r="O46" i="9" s="1"/>
  <c r="K38" i="9"/>
  <c r="O38" i="9" s="1"/>
  <c r="AC424" i="8"/>
  <c r="AQ422" i="8"/>
  <c r="K422" i="8"/>
  <c r="AE418" i="8"/>
  <c r="AG418" i="8" s="1"/>
  <c r="O418" i="8"/>
  <c r="AS416" i="8"/>
  <c r="AU416" i="8" s="1"/>
  <c r="AC416" i="8"/>
  <c r="AQ414" i="8"/>
  <c r="K414" i="8"/>
  <c r="AE410" i="8"/>
  <c r="AG410" i="8" s="1"/>
  <c r="AH410" i="8" s="1"/>
  <c r="O410" i="8"/>
  <c r="AC408" i="8"/>
  <c r="AQ406" i="8"/>
  <c r="K406" i="8"/>
  <c r="Q404" i="8"/>
  <c r="S404" i="8" s="1"/>
  <c r="O402" i="8"/>
  <c r="AC400" i="8"/>
  <c r="AQ398" i="8"/>
  <c r="K398" i="8"/>
  <c r="AE394" i="8"/>
  <c r="AG394" i="8" s="1"/>
  <c r="O394" i="8"/>
  <c r="AS392" i="8"/>
  <c r="AU392" i="8" s="1"/>
  <c r="AC392" i="8"/>
  <c r="AQ390" i="8"/>
  <c r="AE386" i="8"/>
  <c r="AG386" i="8" s="1"/>
  <c r="O386" i="8"/>
  <c r="P386" i="8" s="1"/>
  <c r="R386" i="8" s="1"/>
  <c r="AC384" i="8"/>
  <c r="AQ382" i="8"/>
  <c r="K382" i="8"/>
  <c r="O378" i="8"/>
  <c r="AC376" i="8"/>
  <c r="AQ374" i="8"/>
  <c r="K374" i="8"/>
  <c r="Q372" i="8"/>
  <c r="S372" i="8" s="1"/>
  <c r="O370" i="8"/>
  <c r="AC368" i="8"/>
  <c r="AQ366" i="8"/>
  <c r="K366" i="8"/>
  <c r="O362" i="8"/>
  <c r="AS360" i="8"/>
  <c r="AU360" i="8" s="1"/>
  <c r="AV360" i="8" s="1"/>
  <c r="AY360" i="8" s="1"/>
  <c r="AC360" i="8"/>
  <c r="AQ358" i="8"/>
  <c r="K358" i="8"/>
  <c r="AE354" i="8"/>
  <c r="AG354" i="8" s="1"/>
  <c r="O354" i="8"/>
  <c r="AC352" i="8"/>
  <c r="AQ350" i="8"/>
  <c r="K67" i="9"/>
  <c r="O67" i="9" s="1"/>
  <c r="K59" i="9"/>
  <c r="O59" i="9" s="1"/>
  <c r="P59" i="9" s="1"/>
  <c r="R59" i="9" s="1"/>
  <c r="K51" i="9"/>
  <c r="O51" i="9" s="1"/>
  <c r="K43" i="9"/>
  <c r="O43" i="9" s="1"/>
  <c r="K27" i="9"/>
  <c r="O27" i="9" s="1"/>
  <c r="O423" i="8"/>
  <c r="AC421" i="8"/>
  <c r="AQ419" i="8"/>
  <c r="K419" i="8"/>
  <c r="Q417" i="8"/>
  <c r="S417" i="8" s="1"/>
  <c r="O415" i="8"/>
  <c r="AC413" i="8"/>
  <c r="AQ411" i="8"/>
  <c r="K411" i="8"/>
  <c r="Q409" i="8"/>
  <c r="S409" i="8" s="1"/>
  <c r="O407" i="8"/>
  <c r="AS405" i="8"/>
  <c r="AU405" i="8" s="1"/>
  <c r="AV405" i="8" s="1"/>
  <c r="AY405" i="8" s="1"/>
  <c r="AC405" i="8"/>
  <c r="AQ403" i="8"/>
  <c r="K403" i="8"/>
  <c r="O399" i="8"/>
  <c r="AS397" i="8"/>
  <c r="AU397" i="8" s="1"/>
  <c r="AC397" i="8"/>
  <c r="AQ395" i="8"/>
  <c r="O391" i="8"/>
  <c r="AS389" i="8"/>
  <c r="AU389" i="8" s="1"/>
  <c r="AC389" i="8"/>
  <c r="AQ387" i="8"/>
  <c r="K387" i="8"/>
  <c r="AE383" i="8"/>
  <c r="AG383" i="8" s="1"/>
  <c r="O383" i="8"/>
  <c r="AC381" i="8"/>
  <c r="AQ379" i="8"/>
  <c r="K379" i="8"/>
  <c r="Q377" i="8"/>
  <c r="S377" i="8" s="1"/>
  <c r="O375" i="8"/>
  <c r="AC373" i="8"/>
  <c r="AQ371" i="8"/>
  <c r="K371" i="8"/>
  <c r="O367" i="8"/>
  <c r="AC365" i="8"/>
  <c r="AQ363" i="8"/>
  <c r="K363" i="8"/>
  <c r="O359" i="8"/>
  <c r="AS357" i="8"/>
  <c r="AU357" i="8" s="1"/>
  <c r="AC357" i="8"/>
  <c r="AQ355" i="8"/>
  <c r="Q353" i="8"/>
  <c r="S353" i="8" s="1"/>
  <c r="O351" i="8"/>
  <c r="AC349" i="8"/>
  <c r="AQ347" i="8"/>
  <c r="K347" i="8"/>
  <c r="K64" i="9"/>
  <c r="O64" i="9" s="1"/>
  <c r="K56" i="9"/>
  <c r="O56" i="9" s="1"/>
  <c r="P56" i="9" s="1"/>
  <c r="R56" i="9" s="1"/>
  <c r="K48" i="9"/>
  <c r="O48" i="9" s="1"/>
  <c r="K32" i="9"/>
  <c r="O32" i="9" s="1"/>
  <c r="AQ424" i="8"/>
  <c r="K424" i="8"/>
  <c r="O420" i="8"/>
  <c r="AC418" i="8"/>
  <c r="AQ416" i="8"/>
  <c r="K416" i="8"/>
  <c r="Q414" i="8"/>
  <c r="S414" i="8" s="1"/>
  <c r="O412" i="8"/>
  <c r="AS410" i="8"/>
  <c r="AU410" i="8" s="1"/>
  <c r="AV410" i="8" s="1"/>
  <c r="AY410" i="8" s="1"/>
  <c r="AC410" i="8"/>
  <c r="AQ408" i="8"/>
  <c r="K408" i="8"/>
  <c r="AE404" i="8"/>
  <c r="AG404" i="8" s="1"/>
  <c r="O404" i="8"/>
  <c r="AC402" i="8"/>
  <c r="AQ400" i="8"/>
  <c r="O396" i="8"/>
  <c r="AC394" i="8"/>
  <c r="AQ392" i="8"/>
  <c r="K392" i="8"/>
  <c r="AE388" i="8"/>
  <c r="AG388" i="8" s="1"/>
  <c r="O388" i="8"/>
  <c r="AS386" i="8"/>
  <c r="AU386" i="8" s="1"/>
  <c r="AC386" i="8"/>
  <c r="AQ384" i="8"/>
  <c r="K384" i="8"/>
  <c r="O380" i="8"/>
  <c r="AC378" i="8"/>
  <c r="AQ376" i="8"/>
  <c r="K376" i="8"/>
  <c r="K69" i="9"/>
  <c r="O69" i="9" s="1"/>
  <c r="K61" i="9"/>
  <c r="O61" i="9" s="1"/>
  <c r="K53" i="9"/>
  <c r="O53" i="9" s="1"/>
  <c r="O401" i="8"/>
  <c r="K397" i="8"/>
  <c r="O393" i="8"/>
  <c r="K389" i="8"/>
  <c r="O385" i="8"/>
  <c r="AQ352" i="8"/>
  <c r="K352" i="8"/>
  <c r="Q344" i="8"/>
  <c r="S344" i="8" s="1"/>
  <c r="O342" i="8"/>
  <c r="AC340" i="8"/>
  <c r="AQ338" i="8"/>
  <c r="K338" i="8"/>
  <c r="O334" i="8"/>
  <c r="AC332" i="8"/>
  <c r="AQ330" i="8"/>
  <c r="O326" i="8"/>
  <c r="AC324" i="8"/>
  <c r="AQ322" i="8"/>
  <c r="K322" i="8"/>
  <c r="O318" i="8"/>
  <c r="AC316" i="8"/>
  <c r="AQ314" i="8"/>
  <c r="K314" i="8"/>
  <c r="Q312" i="8"/>
  <c r="S312" i="8" s="1"/>
  <c r="AE310" i="8"/>
  <c r="AG310" i="8" s="1"/>
  <c r="AH310" i="8" s="1"/>
  <c r="O310" i="8"/>
  <c r="AC308" i="8"/>
  <c r="AQ306" i="8"/>
  <c r="K306" i="8"/>
  <c r="AE302" i="8"/>
  <c r="AG302" i="8" s="1"/>
  <c r="O302" i="8"/>
  <c r="AC300" i="8"/>
  <c r="AQ298" i="8"/>
  <c r="K298" i="8"/>
  <c r="AE294" i="8"/>
  <c r="AG294" i="8" s="1"/>
  <c r="O294" i="8"/>
  <c r="AC292" i="8"/>
  <c r="AQ290" i="8"/>
  <c r="O286" i="8"/>
  <c r="AC284" i="8"/>
  <c r="AQ282" i="8"/>
  <c r="K282" i="8"/>
  <c r="AE278" i="8"/>
  <c r="AG278" i="8" s="1"/>
  <c r="O278" i="8"/>
  <c r="AC276" i="8"/>
  <c r="AQ274" i="8"/>
  <c r="K274" i="8"/>
  <c r="O270" i="8"/>
  <c r="AC268" i="8"/>
  <c r="AQ266" i="8"/>
  <c r="K266" i="8"/>
  <c r="Q264" i="8"/>
  <c r="S264" i="8" s="1"/>
  <c r="O262" i="8"/>
  <c r="AC260" i="8"/>
  <c r="AQ258" i="8"/>
  <c r="K258" i="8"/>
  <c r="AE254" i="8"/>
  <c r="AG254" i="8" s="1"/>
  <c r="O254" i="8"/>
  <c r="AC252" i="8"/>
  <c r="AQ250" i="8"/>
  <c r="O246" i="8"/>
  <c r="AC244" i="8"/>
  <c r="AQ242" i="8"/>
  <c r="K242" i="8"/>
  <c r="O417" i="8"/>
  <c r="AC391" i="8"/>
  <c r="AC383" i="8"/>
  <c r="Q366" i="8"/>
  <c r="S366" i="8" s="1"/>
  <c r="AQ357" i="8"/>
  <c r="K357" i="8"/>
  <c r="AC345" i="8"/>
  <c r="AQ343" i="8"/>
  <c r="K343" i="8"/>
  <c r="Q341" i="8"/>
  <c r="S341" i="8" s="1"/>
  <c r="O339" i="8"/>
  <c r="AC337" i="8"/>
  <c r="AQ335" i="8"/>
  <c r="O331" i="8"/>
  <c r="AS329" i="8"/>
  <c r="AU329" i="8" s="1"/>
  <c r="AC329" i="8"/>
  <c r="AQ327" i="8"/>
  <c r="K327" i="8"/>
  <c r="O323" i="8"/>
  <c r="AC321" i="8"/>
  <c r="AQ319" i="8"/>
  <c r="K319" i="8"/>
  <c r="AE315" i="8"/>
  <c r="AG315" i="8" s="1"/>
  <c r="AH315" i="8" s="1"/>
  <c r="O315" i="8"/>
  <c r="AC313" i="8"/>
  <c r="AQ311" i="8"/>
  <c r="K311" i="8"/>
  <c r="AE307" i="8"/>
  <c r="AG307" i="8" s="1"/>
  <c r="O307" i="8"/>
  <c r="AC305" i="8"/>
  <c r="AQ303" i="8"/>
  <c r="K303" i="8"/>
  <c r="O299" i="8"/>
  <c r="AC297" i="8"/>
  <c r="AQ295" i="8"/>
  <c r="Q293" i="8"/>
  <c r="S293" i="8" s="1"/>
  <c r="O291" i="8"/>
  <c r="AC289" i="8"/>
  <c r="AQ287" i="8"/>
  <c r="K287" i="8"/>
  <c r="AE283" i="8"/>
  <c r="AG283" i="8" s="1"/>
  <c r="O283" i="8"/>
  <c r="AS281" i="8"/>
  <c r="AU281" i="8" s="1"/>
  <c r="AC281" i="8"/>
  <c r="AQ279" i="8"/>
  <c r="K279" i="8"/>
  <c r="O275" i="8"/>
  <c r="AC273" i="8"/>
  <c r="AQ271" i="8"/>
  <c r="K271" i="8"/>
  <c r="O267" i="8"/>
  <c r="AS265" i="8"/>
  <c r="AU265" i="8" s="1"/>
  <c r="AV265" i="8" s="1"/>
  <c r="AY265" i="8" s="1"/>
  <c r="AC265" i="8"/>
  <c r="AQ263" i="8"/>
  <c r="K263" i="8"/>
  <c r="O259" i="8"/>
  <c r="AC257" i="8"/>
  <c r="AQ255" i="8"/>
  <c r="Q253" i="8"/>
  <c r="S253" i="8" s="1"/>
  <c r="AE251" i="8"/>
  <c r="AG251" i="8" s="1"/>
  <c r="O251" i="8"/>
  <c r="AC249" i="8"/>
  <c r="AQ247" i="8"/>
  <c r="K247" i="8"/>
  <c r="Q245" i="8"/>
  <c r="S245" i="8" s="1"/>
  <c r="T245" i="8" s="1"/>
  <c r="O243" i="8"/>
  <c r="AS241" i="8"/>
  <c r="AU241" i="8" s="1"/>
  <c r="AC241" i="8"/>
  <c r="AQ239" i="8"/>
  <c r="K239" i="8"/>
  <c r="K421" i="8"/>
  <c r="K413" i="8"/>
  <c r="O409" i="8"/>
  <c r="P409" i="8" s="1"/>
  <c r="R409" i="8" s="1"/>
  <c r="AQ381" i="8"/>
  <c r="AC375" i="8"/>
  <c r="AE372" i="8"/>
  <c r="AG372" i="8" s="1"/>
  <c r="AC370" i="8"/>
  <c r="O369" i="8"/>
  <c r="O364" i="8"/>
  <c r="O356" i="8"/>
  <c r="AS354" i="8"/>
  <c r="AU354" i="8" s="1"/>
  <c r="AE344" i="8"/>
  <c r="AG344" i="8" s="1"/>
  <c r="O344" i="8"/>
  <c r="AC342" i="8"/>
  <c r="AQ340" i="8"/>
  <c r="O336" i="8"/>
  <c r="AC334" i="8"/>
  <c r="AQ332" i="8"/>
  <c r="K332" i="8"/>
  <c r="AE328" i="8"/>
  <c r="AG328" i="8" s="1"/>
  <c r="O328" i="8"/>
  <c r="AC326" i="8"/>
  <c r="AQ324" i="8"/>
  <c r="K324" i="8"/>
  <c r="O320" i="8"/>
  <c r="AC318" i="8"/>
  <c r="AQ316" i="8"/>
  <c r="K316" i="8"/>
  <c r="Q314" i="8"/>
  <c r="S314" i="8" s="1"/>
  <c r="O312" i="8"/>
  <c r="AS310" i="8"/>
  <c r="AU310" i="8" s="1"/>
  <c r="AV310" i="8" s="1"/>
  <c r="AY310" i="8" s="1"/>
  <c r="AC310" i="8"/>
  <c r="AQ308" i="8"/>
  <c r="K308" i="8"/>
  <c r="Q306" i="8"/>
  <c r="S306" i="8" s="1"/>
  <c r="O304" i="8"/>
  <c r="AC302" i="8"/>
  <c r="AQ300" i="8"/>
  <c r="O296" i="8"/>
  <c r="AC294" i="8"/>
  <c r="AQ292" i="8"/>
  <c r="K292" i="8"/>
  <c r="O288" i="8"/>
  <c r="AC286" i="8"/>
  <c r="AQ284" i="8"/>
  <c r="K284" i="8"/>
  <c r="AE280" i="8"/>
  <c r="AG280" i="8" s="1"/>
  <c r="AH280" i="8" s="1"/>
  <c r="O280" i="8"/>
  <c r="AS278" i="8"/>
  <c r="AU278" i="8" s="1"/>
  <c r="AC278" i="8"/>
  <c r="AQ276" i="8"/>
  <c r="K276" i="8"/>
  <c r="O272" i="8"/>
  <c r="AC270" i="8"/>
  <c r="AQ268" i="8"/>
  <c r="K268" i="8"/>
  <c r="Q266" i="8"/>
  <c r="S266" i="8" s="1"/>
  <c r="AE264" i="8"/>
  <c r="AG264" i="8" s="1"/>
  <c r="O264" i="8"/>
  <c r="AC262" i="8"/>
  <c r="AQ260" i="8"/>
  <c r="O256" i="8"/>
  <c r="AC254" i="8"/>
  <c r="AQ252" i="8"/>
  <c r="K252" i="8"/>
  <c r="O248" i="8"/>
  <c r="AC246" i="8"/>
  <c r="AQ244" i="8"/>
  <c r="K244" i="8"/>
  <c r="AE240" i="8"/>
  <c r="AG240" i="8" s="1"/>
  <c r="AH240" i="8" s="1"/>
  <c r="O240" i="8"/>
  <c r="AC238" i="8"/>
  <c r="AC407" i="8"/>
  <c r="AC399" i="8"/>
  <c r="AE377" i="8"/>
  <c r="AG377" i="8" s="1"/>
  <c r="O361" i="8"/>
  <c r="AQ349" i="8"/>
  <c r="K349" i="8"/>
  <c r="AQ345" i="8"/>
  <c r="O341" i="8"/>
  <c r="AC339" i="8"/>
  <c r="AQ337" i="8"/>
  <c r="K337" i="8"/>
  <c r="Q335" i="8"/>
  <c r="S335" i="8" s="1"/>
  <c r="T335" i="8" s="1"/>
  <c r="O333" i="8"/>
  <c r="AC331" i="8"/>
  <c r="AQ329" i="8"/>
  <c r="K329" i="8"/>
  <c r="O325" i="8"/>
  <c r="AC323" i="8"/>
  <c r="AQ321" i="8"/>
  <c r="K321" i="8"/>
  <c r="O317" i="8"/>
  <c r="AC315" i="8"/>
  <c r="AQ313" i="8"/>
  <c r="K313" i="8"/>
  <c r="O309" i="8"/>
  <c r="AS307" i="8"/>
  <c r="AU307" i="8" s="1"/>
  <c r="AC307" i="8"/>
  <c r="AQ305" i="8"/>
  <c r="Q303" i="8"/>
  <c r="S303" i="8" s="1"/>
  <c r="O301" i="8"/>
  <c r="AC299" i="8"/>
  <c r="AQ297" i="8"/>
  <c r="K297" i="8"/>
  <c r="Q295" i="8"/>
  <c r="S295" i="8" s="1"/>
  <c r="T295" i="8" s="1"/>
  <c r="O293" i="8"/>
  <c r="AS291" i="8"/>
  <c r="AU291" i="8" s="1"/>
  <c r="AC291" i="8"/>
  <c r="AQ289" i="8"/>
  <c r="K289" i="8"/>
  <c r="Q287" i="8"/>
  <c r="S287" i="8" s="1"/>
  <c r="O285" i="8"/>
  <c r="AC283" i="8"/>
  <c r="AQ281" i="8"/>
  <c r="K281" i="8"/>
  <c r="Q279" i="8"/>
  <c r="S279" i="8" s="1"/>
  <c r="AE277" i="8"/>
  <c r="AG277" i="8" s="1"/>
  <c r="O277" i="8"/>
  <c r="AS275" i="8"/>
  <c r="AU275" i="8" s="1"/>
  <c r="AV275" i="8" s="1"/>
  <c r="AY275" i="8" s="1"/>
  <c r="AC275" i="8"/>
  <c r="AQ273" i="8"/>
  <c r="K273" i="8"/>
  <c r="O269" i="8"/>
  <c r="AS267" i="8"/>
  <c r="AU267" i="8" s="1"/>
  <c r="AC267" i="8"/>
  <c r="AQ265" i="8"/>
  <c r="O261" i="8"/>
  <c r="AC259" i="8"/>
  <c r="AQ257" i="8"/>
  <c r="K257" i="8"/>
  <c r="O253" i="8"/>
  <c r="AS251" i="8"/>
  <c r="AU251" i="8" s="1"/>
  <c r="AC251" i="8"/>
  <c r="AQ249" i="8"/>
  <c r="K249" i="8"/>
  <c r="O245" i="8"/>
  <c r="AC243" i="8"/>
  <c r="AQ241" i="8"/>
  <c r="K241" i="8"/>
  <c r="AC415" i="8"/>
  <c r="AQ397" i="8"/>
  <c r="AQ389" i="8"/>
  <c r="AC367" i="8"/>
  <c r="AC362" i="8"/>
  <c r="O348" i="8"/>
  <c r="Q346" i="8"/>
  <c r="S346" i="8" s="1"/>
  <c r="AC344" i="8"/>
  <c r="AQ342" i="8"/>
  <c r="K342" i="8"/>
  <c r="O338" i="8"/>
  <c r="AS336" i="8"/>
  <c r="AU336" i="8" s="1"/>
  <c r="AC336" i="8"/>
  <c r="AQ334" i="8"/>
  <c r="K334" i="8"/>
  <c r="O330" i="8"/>
  <c r="AC328" i="8"/>
  <c r="AQ326" i="8"/>
  <c r="K326" i="8"/>
  <c r="O322" i="8"/>
  <c r="AS320" i="8"/>
  <c r="AU320" i="8" s="1"/>
  <c r="AV320" i="8" s="1"/>
  <c r="AY320" i="8" s="1"/>
  <c r="AC320" i="8"/>
  <c r="AQ318" i="8"/>
  <c r="K318" i="8"/>
  <c r="AE314" i="8"/>
  <c r="AG314" i="8" s="1"/>
  <c r="O314" i="8"/>
  <c r="AS312" i="8"/>
  <c r="AU312" i="8" s="1"/>
  <c r="AC312" i="8"/>
  <c r="AQ310" i="8"/>
  <c r="O306" i="8"/>
  <c r="AS304" i="8"/>
  <c r="AU304" i="8" s="1"/>
  <c r="AC304" i="8"/>
  <c r="AQ302" i="8"/>
  <c r="K302" i="8"/>
  <c r="O298" i="8"/>
  <c r="AS296" i="8"/>
  <c r="AU296" i="8" s="1"/>
  <c r="AC296" i="8"/>
  <c r="AQ294" i="8"/>
  <c r="K294" i="8"/>
  <c r="O290" i="8"/>
  <c r="AC288" i="8"/>
  <c r="AQ286" i="8"/>
  <c r="K286" i="8"/>
  <c r="O282" i="8"/>
  <c r="AC280" i="8"/>
  <c r="AQ278" i="8"/>
  <c r="K278" i="8"/>
  <c r="O274" i="8"/>
  <c r="AC272" i="8"/>
  <c r="AQ270" i="8"/>
  <c r="AE266" i="8"/>
  <c r="AG266" i="8" s="1"/>
  <c r="O266" i="8"/>
  <c r="AS264" i="8"/>
  <c r="AU264" i="8" s="1"/>
  <c r="AC264" i="8"/>
  <c r="AQ262" i="8"/>
  <c r="K262" i="8"/>
  <c r="AE258" i="8"/>
  <c r="AG258" i="8" s="1"/>
  <c r="O258" i="8"/>
  <c r="AS256" i="8"/>
  <c r="AU256" i="8" s="1"/>
  <c r="AC256" i="8"/>
  <c r="AQ254" i="8"/>
  <c r="K254" i="8"/>
  <c r="O250" i="8"/>
  <c r="AC248" i="8"/>
  <c r="AQ246" i="8"/>
  <c r="K246" i="8"/>
  <c r="O242" i="8"/>
  <c r="AC240" i="8"/>
  <c r="AQ238" i="8"/>
  <c r="K238" i="8"/>
  <c r="AC423" i="8"/>
  <c r="AQ405" i="8"/>
  <c r="Q403" i="8"/>
  <c r="S403" i="8" s="1"/>
  <c r="O377" i="8"/>
  <c r="P377" i="8" s="1"/>
  <c r="R377" i="8" s="1"/>
  <c r="AQ373" i="8"/>
  <c r="K373" i="8"/>
  <c r="AQ368" i="8"/>
  <c r="K368" i="8"/>
  <c r="Q363" i="8"/>
  <c r="S363" i="8" s="1"/>
  <c r="O353" i="8"/>
  <c r="P353" i="8" s="1"/>
  <c r="R353" i="8" s="1"/>
  <c r="O346" i="8"/>
  <c r="P346" i="8" s="1"/>
  <c r="R346" i="8" s="1"/>
  <c r="Q345" i="8"/>
  <c r="S345" i="8" s="1"/>
  <c r="T345" i="8" s="1"/>
  <c r="O343" i="8"/>
  <c r="AC341" i="8"/>
  <c r="AQ339" i="8"/>
  <c r="K339" i="8"/>
  <c r="O335" i="8"/>
  <c r="AC333" i="8"/>
  <c r="AQ331" i="8"/>
  <c r="K331" i="8"/>
  <c r="Q329" i="8"/>
  <c r="S329" i="8" s="1"/>
  <c r="O327" i="8"/>
  <c r="AC325" i="8"/>
  <c r="AQ323" i="8"/>
  <c r="K323" i="8"/>
  <c r="AE319" i="8"/>
  <c r="AG319" i="8" s="1"/>
  <c r="O319" i="8"/>
  <c r="AC317" i="8"/>
  <c r="AQ315" i="8"/>
  <c r="O311" i="8"/>
  <c r="AC309" i="8"/>
  <c r="AQ307" i="8"/>
  <c r="K307" i="8"/>
  <c r="AE303" i="8"/>
  <c r="AG303" i="8" s="1"/>
  <c r="O303" i="8"/>
  <c r="P303" i="8" s="1"/>
  <c r="R303" i="8" s="1"/>
  <c r="AC301" i="8"/>
  <c r="AQ299" i="8"/>
  <c r="K299" i="8"/>
  <c r="Q297" i="8"/>
  <c r="S297" i="8" s="1"/>
  <c r="AE295" i="8"/>
  <c r="AG295" i="8" s="1"/>
  <c r="AH295" i="8" s="1"/>
  <c r="O295" i="8"/>
  <c r="AC293" i="8"/>
  <c r="AQ291" i="8"/>
  <c r="K291" i="8"/>
  <c r="Q289" i="8"/>
  <c r="S289" i="8" s="1"/>
  <c r="AE287" i="8"/>
  <c r="AG287" i="8" s="1"/>
  <c r="O287" i="8"/>
  <c r="AC285" i="8"/>
  <c r="AQ283" i="8"/>
  <c r="K283" i="8"/>
  <c r="Q281" i="8"/>
  <c r="S281" i="8" s="1"/>
  <c r="O279" i="8"/>
  <c r="AS277" i="8"/>
  <c r="AU277" i="8" s="1"/>
  <c r="AC277" i="8"/>
  <c r="AQ275" i="8"/>
  <c r="O271" i="8"/>
  <c r="AC269" i="8"/>
  <c r="AQ267" i="8"/>
  <c r="K267" i="8"/>
  <c r="O263" i="8"/>
  <c r="AC261" i="8"/>
  <c r="AQ259" i="8"/>
  <c r="K259" i="8"/>
  <c r="Q257" i="8"/>
  <c r="S257" i="8" s="1"/>
  <c r="AE255" i="8"/>
  <c r="AG255" i="8" s="1"/>
  <c r="AH255" i="8" s="1"/>
  <c r="O255" i="8"/>
  <c r="AS253" i="8"/>
  <c r="AU253" i="8" s="1"/>
  <c r="AC253" i="8"/>
  <c r="AQ251" i="8"/>
  <c r="K251" i="8"/>
  <c r="O247" i="8"/>
  <c r="AC245" i="8"/>
  <c r="AQ243" i="8"/>
  <c r="K243" i="8"/>
  <c r="O239" i="8"/>
  <c r="AQ421" i="8"/>
  <c r="AQ413" i="8"/>
  <c r="K381" i="8"/>
  <c r="O372" i="8"/>
  <c r="AE356" i="8"/>
  <c r="AG356" i="8" s="1"/>
  <c r="AC354" i="8"/>
  <c r="AC346" i="8"/>
  <c r="AQ344" i="8"/>
  <c r="K344" i="8"/>
  <c r="Q342" i="8"/>
  <c r="S342" i="8" s="1"/>
  <c r="O340" i="8"/>
  <c r="AC338" i="8"/>
  <c r="AQ336" i="8"/>
  <c r="K336" i="8"/>
  <c r="Q334" i="8"/>
  <c r="S334" i="8" s="1"/>
  <c r="O332" i="8"/>
  <c r="AC330" i="8"/>
  <c r="AQ328" i="8"/>
  <c r="K328" i="8"/>
  <c r="O324" i="8"/>
  <c r="AC322" i="8"/>
  <c r="AQ320" i="8"/>
  <c r="Q318" i="8"/>
  <c r="S318" i="8" s="1"/>
  <c r="O316" i="8"/>
  <c r="AC314" i="8"/>
  <c r="AQ312" i="8"/>
  <c r="K312" i="8"/>
  <c r="Q310" i="8"/>
  <c r="S310" i="8" s="1"/>
  <c r="T310" i="8" s="1"/>
  <c r="O308" i="8"/>
  <c r="AC306" i="8"/>
  <c r="AQ304" i="8"/>
  <c r="K304" i="8"/>
  <c r="O300" i="8"/>
  <c r="AC298" i="8"/>
  <c r="AQ296" i="8"/>
  <c r="K296" i="8"/>
  <c r="O292" i="8"/>
  <c r="AC290" i="8"/>
  <c r="AQ288" i="8"/>
  <c r="K288" i="8"/>
  <c r="O284" i="8"/>
  <c r="AC282" i="8"/>
  <c r="AQ280" i="8"/>
  <c r="O276" i="8"/>
  <c r="AC274" i="8"/>
  <c r="AQ272" i="8"/>
  <c r="K272" i="8"/>
  <c r="Q270" i="8"/>
  <c r="S270" i="8" s="1"/>
  <c r="T270" i="8" s="1"/>
  <c r="O268" i="8"/>
  <c r="AC266" i="8"/>
  <c r="AQ264" i="8"/>
  <c r="K264" i="8"/>
  <c r="O260" i="8"/>
  <c r="AS258" i="8"/>
  <c r="AU258" i="8" s="1"/>
  <c r="AC258" i="8"/>
  <c r="AQ256" i="8"/>
  <c r="K256" i="8"/>
  <c r="O252" i="8"/>
  <c r="AC250" i="8"/>
  <c r="AQ248" i="8"/>
  <c r="K248" i="8"/>
  <c r="Q246" i="8"/>
  <c r="S246" i="8" s="1"/>
  <c r="O244" i="8"/>
  <c r="AC242" i="8"/>
  <c r="AQ240" i="8"/>
  <c r="AC359" i="8"/>
  <c r="AC327" i="8"/>
  <c r="AC319" i="8"/>
  <c r="AE297" i="8"/>
  <c r="AG297" i="8" s="1"/>
  <c r="AS263" i="8"/>
  <c r="AU263" i="8" s="1"/>
  <c r="AC247" i="8"/>
  <c r="AC239" i="8"/>
  <c r="AC236" i="8"/>
  <c r="AQ234" i="8"/>
  <c r="K234" i="8"/>
  <c r="O230" i="8"/>
  <c r="AC228" i="8"/>
  <c r="AQ226" i="8"/>
  <c r="K226" i="8"/>
  <c r="Q224" i="8"/>
  <c r="S224" i="8" s="1"/>
  <c r="O222" i="8"/>
  <c r="AC220" i="8"/>
  <c r="AQ218" i="8"/>
  <c r="K218" i="8"/>
  <c r="Q216" i="8"/>
  <c r="S216" i="8" s="1"/>
  <c r="O214" i="8"/>
  <c r="AC212" i="8"/>
  <c r="AQ210" i="8"/>
  <c r="O206" i="8"/>
  <c r="AC204" i="8"/>
  <c r="AQ202" i="8"/>
  <c r="K202" i="8"/>
  <c r="AE198" i="8"/>
  <c r="AG198" i="8" s="1"/>
  <c r="O198" i="8"/>
  <c r="AC196" i="8"/>
  <c r="AQ194" i="8"/>
  <c r="K194" i="8"/>
  <c r="Q192" i="8"/>
  <c r="S192" i="8" s="1"/>
  <c r="AE190" i="8"/>
  <c r="AG190" i="8" s="1"/>
  <c r="AH190" i="8" s="1"/>
  <c r="O190" i="8"/>
  <c r="AC188" i="8"/>
  <c r="AQ186" i="8"/>
  <c r="K186" i="8"/>
  <c r="Q184" i="8"/>
  <c r="S184" i="8" s="1"/>
  <c r="AE182" i="8"/>
  <c r="AG182" i="8" s="1"/>
  <c r="O182" i="8"/>
  <c r="AC180" i="8"/>
  <c r="AQ178" i="8"/>
  <c r="K178" i="8"/>
  <c r="Q176" i="8"/>
  <c r="S176" i="8" s="1"/>
  <c r="O174" i="8"/>
  <c r="AC172" i="8"/>
  <c r="AQ170" i="8"/>
  <c r="O166" i="8"/>
  <c r="AC164" i="8"/>
  <c r="AQ162" i="8"/>
  <c r="K162" i="8"/>
  <c r="Q160" i="8"/>
  <c r="S160" i="8" s="1"/>
  <c r="T160" i="8" s="1"/>
  <c r="AE158" i="8"/>
  <c r="AG158" i="8" s="1"/>
  <c r="O158" i="8"/>
  <c r="AC156" i="8"/>
  <c r="AQ154" i="8"/>
  <c r="K154" i="8"/>
  <c r="Q152" i="8"/>
  <c r="S152" i="8" s="1"/>
  <c r="O150" i="8"/>
  <c r="AC148" i="8"/>
  <c r="AQ146" i="8"/>
  <c r="K146" i="8"/>
  <c r="O142" i="8"/>
  <c r="AC140" i="8"/>
  <c r="AQ138" i="8"/>
  <c r="K138" i="8"/>
  <c r="O134" i="8"/>
  <c r="AC132" i="8"/>
  <c r="AQ130" i="8"/>
  <c r="O345" i="8"/>
  <c r="AC335" i="8"/>
  <c r="Q331" i="8"/>
  <c r="S331" i="8" s="1"/>
  <c r="AQ317" i="8"/>
  <c r="AQ309" i="8"/>
  <c r="O281" i="8"/>
  <c r="K277" i="8"/>
  <c r="O273" i="8"/>
  <c r="K269" i="8"/>
  <c r="O265" i="8"/>
  <c r="AC255" i="8"/>
  <c r="Q238" i="8"/>
  <c r="S238" i="8" s="1"/>
  <c r="O235" i="8"/>
  <c r="AC233" i="8"/>
  <c r="AQ231" i="8"/>
  <c r="K231" i="8"/>
  <c r="O227" i="8"/>
  <c r="AS225" i="8"/>
  <c r="AU225" i="8" s="1"/>
  <c r="AV225" i="8" s="1"/>
  <c r="AY225" i="8" s="1"/>
  <c r="AC225" i="8"/>
  <c r="AQ223" i="8"/>
  <c r="K223" i="8"/>
  <c r="O219" i="8"/>
  <c r="AC217" i="8"/>
  <c r="AQ215" i="8"/>
  <c r="AE211" i="8"/>
  <c r="AG211" i="8" s="1"/>
  <c r="O211" i="8"/>
  <c r="AC209" i="8"/>
  <c r="AQ207" i="8"/>
  <c r="K207" i="8"/>
  <c r="Q205" i="8"/>
  <c r="S205" i="8" s="1"/>
  <c r="T205" i="8" s="1"/>
  <c r="O203" i="8"/>
  <c r="AC201" i="8"/>
  <c r="AQ199" i="8"/>
  <c r="K199" i="8"/>
  <c r="O195" i="8"/>
  <c r="AS193" i="8"/>
  <c r="AU193" i="8" s="1"/>
  <c r="AC193" i="8"/>
  <c r="AQ191" i="8"/>
  <c r="K191" i="8"/>
  <c r="O187" i="8"/>
  <c r="AS185" i="8"/>
  <c r="AU185" i="8" s="1"/>
  <c r="AV185" i="8" s="1"/>
  <c r="AY185" i="8" s="1"/>
  <c r="AC185" i="8"/>
  <c r="AQ183" i="8"/>
  <c r="K183" i="8"/>
  <c r="Q181" i="8"/>
  <c r="S181" i="8" s="1"/>
  <c r="AE179" i="8"/>
  <c r="AG179" i="8" s="1"/>
  <c r="O179" i="8"/>
  <c r="AC177" i="8"/>
  <c r="AQ175" i="8"/>
  <c r="AE171" i="8"/>
  <c r="AG171" i="8" s="1"/>
  <c r="O171" i="8"/>
  <c r="AC169" i="8"/>
  <c r="AQ167" i="8"/>
  <c r="K167" i="8"/>
  <c r="AE163" i="8"/>
  <c r="AG163" i="8" s="1"/>
  <c r="O163" i="8"/>
  <c r="AC161" i="8"/>
  <c r="AQ159" i="8"/>
  <c r="K159" i="8"/>
  <c r="O155" i="8"/>
  <c r="AS153" i="8"/>
  <c r="AU153" i="8" s="1"/>
  <c r="AC153" i="8"/>
  <c r="AQ151" i="8"/>
  <c r="K151" i="8"/>
  <c r="O147" i="8"/>
  <c r="AS145" i="8"/>
  <c r="AU145" i="8" s="1"/>
  <c r="AV145" i="8" s="1"/>
  <c r="AY145" i="8" s="1"/>
  <c r="AC145" i="8"/>
  <c r="AQ143" i="8"/>
  <c r="K143" i="8"/>
  <c r="Q141" i="8"/>
  <c r="S141" i="8" s="1"/>
  <c r="O139" i="8"/>
  <c r="AS137" i="8"/>
  <c r="AU137" i="8" s="1"/>
  <c r="AC137" i="8"/>
  <c r="AQ135" i="8"/>
  <c r="O131" i="8"/>
  <c r="AS129" i="8"/>
  <c r="AU129" i="8" s="1"/>
  <c r="AC129" i="8"/>
  <c r="AC343" i="8"/>
  <c r="AQ325" i="8"/>
  <c r="O297" i="8"/>
  <c r="P297" i="8" s="1"/>
  <c r="R297" i="8" s="1"/>
  <c r="AS295" i="8"/>
  <c r="AU295" i="8" s="1"/>
  <c r="AV295" i="8" s="1"/>
  <c r="AY295" i="8" s="1"/>
  <c r="AC271" i="8"/>
  <c r="AC263" i="8"/>
  <c r="AQ245" i="8"/>
  <c r="AQ236" i="8"/>
  <c r="K236" i="8"/>
  <c r="O232" i="8"/>
  <c r="AS230" i="8"/>
  <c r="AU230" i="8" s="1"/>
  <c r="AV230" i="8" s="1"/>
  <c r="AY230" i="8" s="1"/>
  <c r="AC230" i="8"/>
  <c r="AQ228" i="8"/>
  <c r="K228" i="8"/>
  <c r="AE224" i="8"/>
  <c r="AG224" i="8" s="1"/>
  <c r="O224" i="8"/>
  <c r="AS222" i="8"/>
  <c r="AU222" i="8" s="1"/>
  <c r="AC222" i="8"/>
  <c r="AQ220" i="8"/>
  <c r="AE216" i="8"/>
  <c r="AG216" i="8" s="1"/>
  <c r="O216" i="8"/>
  <c r="AC214" i="8"/>
  <c r="AQ212" i="8"/>
  <c r="K212" i="8"/>
  <c r="O208" i="8"/>
  <c r="AS206" i="8"/>
  <c r="AU206" i="8" s="1"/>
  <c r="AC206" i="8"/>
  <c r="AQ204" i="8"/>
  <c r="K204" i="8"/>
  <c r="AE200" i="8"/>
  <c r="AG200" i="8" s="1"/>
  <c r="AH200" i="8" s="1"/>
  <c r="O200" i="8"/>
  <c r="AS198" i="8"/>
  <c r="AU198" i="8" s="1"/>
  <c r="AC198" i="8"/>
  <c r="AQ196" i="8"/>
  <c r="K196" i="8"/>
  <c r="AE192" i="8"/>
  <c r="AG192" i="8" s="1"/>
  <c r="O192" i="8"/>
  <c r="AC190" i="8"/>
  <c r="AQ188" i="8"/>
  <c r="K188" i="8"/>
  <c r="O184" i="8"/>
  <c r="AS182" i="8"/>
  <c r="AU182" i="8" s="1"/>
  <c r="AC182" i="8"/>
  <c r="AQ180" i="8"/>
  <c r="AE176" i="8"/>
  <c r="AG176" i="8" s="1"/>
  <c r="O176" i="8"/>
  <c r="AC174" i="8"/>
  <c r="AQ172" i="8"/>
  <c r="K172" i="8"/>
  <c r="O168" i="8"/>
  <c r="AC166" i="8"/>
  <c r="AQ164" i="8"/>
  <c r="K164" i="8"/>
  <c r="Q162" i="8"/>
  <c r="S162" i="8" s="1"/>
  <c r="O160" i="8"/>
  <c r="AC158" i="8"/>
  <c r="AQ156" i="8"/>
  <c r="K156" i="8"/>
  <c r="O152" i="8"/>
  <c r="AC150" i="8"/>
  <c r="AQ148" i="8"/>
  <c r="K148" i="8"/>
  <c r="Q146" i="8"/>
  <c r="S146" i="8" s="1"/>
  <c r="O144" i="8"/>
  <c r="AS142" i="8"/>
  <c r="AU142" i="8" s="1"/>
  <c r="AC142" i="8"/>
  <c r="AQ140" i="8"/>
  <c r="O136" i="8"/>
  <c r="AS134" i="8"/>
  <c r="AU134" i="8" s="1"/>
  <c r="AC134" i="8"/>
  <c r="AQ132" i="8"/>
  <c r="K132" i="8"/>
  <c r="K37" i="9"/>
  <c r="O37" i="9" s="1"/>
  <c r="P37" i="9" s="1"/>
  <c r="R37" i="9" s="1"/>
  <c r="AQ341" i="8"/>
  <c r="AQ333" i="8"/>
  <c r="AE321" i="8"/>
  <c r="AG321" i="8" s="1"/>
  <c r="K301" i="8"/>
  <c r="K293" i="8"/>
  <c r="O289" i="8"/>
  <c r="P289" i="8" s="1"/>
  <c r="R289" i="8" s="1"/>
  <c r="Q267" i="8"/>
  <c r="S267" i="8" s="1"/>
  <c r="AQ261" i="8"/>
  <c r="AQ253" i="8"/>
  <c r="AE241" i="8"/>
  <c r="AG241" i="8" s="1"/>
  <c r="O238" i="8"/>
  <c r="O237" i="8"/>
  <c r="AS235" i="8"/>
  <c r="AU235" i="8" s="1"/>
  <c r="AV235" i="8" s="1"/>
  <c r="AY235" i="8" s="1"/>
  <c r="AC235" i="8"/>
  <c r="AQ233" i="8"/>
  <c r="K233" i="8"/>
  <c r="Q231" i="8"/>
  <c r="S231" i="8" s="1"/>
  <c r="AE229" i="8"/>
  <c r="AG229" i="8" s="1"/>
  <c r="O229" i="8"/>
  <c r="AC227" i="8"/>
  <c r="AQ225" i="8"/>
  <c r="Q223" i="8"/>
  <c r="S223" i="8" s="1"/>
  <c r="O221" i="8"/>
  <c r="AC219" i="8"/>
  <c r="AQ217" i="8"/>
  <c r="K217" i="8"/>
  <c r="O213" i="8"/>
  <c r="AC211" i="8"/>
  <c r="AQ209" i="8"/>
  <c r="K209" i="8"/>
  <c r="AE205" i="8"/>
  <c r="AG205" i="8" s="1"/>
  <c r="AH205" i="8" s="1"/>
  <c r="O205" i="8"/>
  <c r="AC203" i="8"/>
  <c r="AQ201" i="8"/>
  <c r="K201" i="8"/>
  <c r="O197" i="8"/>
  <c r="AS195" i="8"/>
  <c r="AU195" i="8" s="1"/>
  <c r="AV195" i="8" s="1"/>
  <c r="AY195" i="8" s="1"/>
  <c r="AC195" i="8"/>
  <c r="AQ193" i="8"/>
  <c r="K193" i="8"/>
  <c r="Q191" i="8"/>
  <c r="S191" i="8" s="1"/>
  <c r="O189" i="8"/>
  <c r="AC187" i="8"/>
  <c r="AQ185" i="8"/>
  <c r="O181" i="8"/>
  <c r="AS179" i="8"/>
  <c r="AU179" i="8" s="1"/>
  <c r="AC179" i="8"/>
  <c r="AQ177" i="8"/>
  <c r="K177" i="8"/>
  <c r="O173" i="8"/>
  <c r="AS171" i="8"/>
  <c r="AU171" i="8" s="1"/>
  <c r="AC171" i="8"/>
  <c r="AQ169" i="8"/>
  <c r="K169" i="8"/>
  <c r="AE165" i="8"/>
  <c r="AG165" i="8" s="1"/>
  <c r="AH165" i="8" s="1"/>
  <c r="O165" i="8"/>
  <c r="AC163" i="8"/>
  <c r="AQ161" i="8"/>
  <c r="K161" i="8"/>
  <c r="AE157" i="8"/>
  <c r="AG157" i="8" s="1"/>
  <c r="O157" i="8"/>
  <c r="AC155" i="8"/>
  <c r="AQ153" i="8"/>
  <c r="K153" i="8"/>
  <c r="AE149" i="8"/>
  <c r="AG149" i="8" s="1"/>
  <c r="O149" i="8"/>
  <c r="AS147" i="8"/>
  <c r="AU147" i="8" s="1"/>
  <c r="AC147" i="8"/>
  <c r="AQ145" i="8"/>
  <c r="O141" i="8"/>
  <c r="AS139" i="8"/>
  <c r="AU139" i="8" s="1"/>
  <c r="AC139" i="8"/>
  <c r="AQ137" i="8"/>
  <c r="K137" i="8"/>
  <c r="Q135" i="8"/>
  <c r="S135" i="8" s="1"/>
  <c r="T135" i="8" s="1"/>
  <c r="O133" i="8"/>
  <c r="AC131" i="8"/>
  <c r="AQ129" i="8"/>
  <c r="AQ365" i="8"/>
  <c r="AC287" i="8"/>
  <c r="AC279" i="8"/>
  <c r="AE257" i="8"/>
  <c r="AG257" i="8" s="1"/>
  <c r="AE234" i="8"/>
  <c r="AG234" i="8" s="1"/>
  <c r="O234" i="8"/>
  <c r="AC232" i="8"/>
  <c r="AQ230" i="8"/>
  <c r="Q228" i="8"/>
  <c r="S228" i="8" s="1"/>
  <c r="O226" i="8"/>
  <c r="AC224" i="8"/>
  <c r="AQ222" i="8"/>
  <c r="K222" i="8"/>
  <c r="O218" i="8"/>
  <c r="AS216" i="8"/>
  <c r="AU216" i="8" s="1"/>
  <c r="AC216" i="8"/>
  <c r="AQ214" i="8"/>
  <c r="K214" i="8"/>
  <c r="AE210" i="8"/>
  <c r="AG210" i="8" s="1"/>
  <c r="AH210" i="8" s="1"/>
  <c r="O210" i="8"/>
  <c r="AC208" i="8"/>
  <c r="AQ206" i="8"/>
  <c r="K206" i="8"/>
  <c r="O202" i="8"/>
  <c r="AC200" i="8"/>
  <c r="AQ198" i="8"/>
  <c r="K198" i="8"/>
  <c r="O194" i="8"/>
  <c r="AS192" i="8"/>
  <c r="AU192" i="8" s="1"/>
  <c r="AC192" i="8"/>
  <c r="AQ190" i="8"/>
  <c r="Q188" i="8"/>
  <c r="S188" i="8" s="1"/>
  <c r="O186" i="8"/>
  <c r="AC184" i="8"/>
  <c r="AQ182" i="8"/>
  <c r="K182" i="8"/>
  <c r="O178" i="8"/>
  <c r="AC176" i="8"/>
  <c r="AQ174" i="8"/>
  <c r="K174" i="8"/>
  <c r="O170" i="8"/>
  <c r="AC168" i="8"/>
  <c r="AQ166" i="8"/>
  <c r="K166" i="8"/>
  <c r="O162" i="8"/>
  <c r="AS160" i="8"/>
  <c r="AU160" i="8" s="1"/>
  <c r="AV160" i="8" s="1"/>
  <c r="AY160" i="8" s="1"/>
  <c r="AC160" i="8"/>
  <c r="AQ158" i="8"/>
  <c r="K158" i="8"/>
  <c r="O154" i="8"/>
  <c r="AS152" i="8"/>
  <c r="AU152" i="8" s="1"/>
  <c r="AC152" i="8"/>
  <c r="AQ150" i="8"/>
  <c r="O146" i="8"/>
  <c r="AC144" i="8"/>
  <c r="AQ142" i="8"/>
  <c r="K142" i="8"/>
  <c r="O138" i="8"/>
  <c r="AC136" i="8"/>
  <c r="AQ134" i="8"/>
  <c r="K134" i="8"/>
  <c r="AE130" i="8"/>
  <c r="AG130" i="8" s="1"/>
  <c r="AH130" i="8" s="1"/>
  <c r="AQ360" i="8"/>
  <c r="O321" i="8"/>
  <c r="K317" i="8"/>
  <c r="O313" i="8"/>
  <c r="K309" i="8"/>
  <c r="O305" i="8"/>
  <c r="AC295" i="8"/>
  <c r="Q291" i="8"/>
  <c r="S291" i="8" s="1"/>
  <c r="AQ277" i="8"/>
  <c r="AQ269" i="8"/>
  <c r="O241" i="8"/>
  <c r="AC237" i="8"/>
  <c r="AQ235" i="8"/>
  <c r="Q233" i="8"/>
  <c r="S233" i="8" s="1"/>
  <c r="AE231" i="8"/>
  <c r="AG231" i="8" s="1"/>
  <c r="O231" i="8"/>
  <c r="AS229" i="8"/>
  <c r="AU229" i="8" s="1"/>
  <c r="AC229" i="8"/>
  <c r="AQ227" i="8"/>
  <c r="K227" i="8"/>
  <c r="AE223" i="8"/>
  <c r="AG223" i="8" s="1"/>
  <c r="O223" i="8"/>
  <c r="P223" i="8" s="1"/>
  <c r="R223" i="8" s="1"/>
  <c r="AC221" i="8"/>
  <c r="AQ219" i="8"/>
  <c r="K219" i="8"/>
  <c r="AE215" i="8"/>
  <c r="AG215" i="8" s="1"/>
  <c r="AH215" i="8" s="1"/>
  <c r="O215" i="8"/>
  <c r="AC213" i="8"/>
  <c r="AQ211" i="8"/>
  <c r="K211" i="8"/>
  <c r="Q209" i="8"/>
  <c r="S209" i="8" s="1"/>
  <c r="O207" i="8"/>
  <c r="AS205" i="8"/>
  <c r="AU205" i="8" s="1"/>
  <c r="AV205" i="8" s="1"/>
  <c r="AY205" i="8" s="1"/>
  <c r="AC205" i="8"/>
  <c r="AQ203" i="8"/>
  <c r="K203" i="8"/>
  <c r="Q201" i="8"/>
  <c r="S201" i="8" s="1"/>
  <c r="O199" i="8"/>
  <c r="AC197" i="8"/>
  <c r="AQ195" i="8"/>
  <c r="O191" i="8"/>
  <c r="P191" i="8" s="1"/>
  <c r="R191" i="8" s="1"/>
  <c r="AC189" i="8"/>
  <c r="AQ187" i="8"/>
  <c r="K187" i="8"/>
  <c r="O183" i="8"/>
  <c r="P183" i="8" s="1"/>
  <c r="R183" i="8" s="1"/>
  <c r="AS181" i="8"/>
  <c r="AU181" i="8" s="1"/>
  <c r="AC181" i="8"/>
  <c r="AQ179" i="8"/>
  <c r="K179" i="8"/>
  <c r="O175" i="8"/>
  <c r="AC173" i="8"/>
  <c r="AQ171" i="8"/>
  <c r="K171" i="8"/>
  <c r="Q169" i="8"/>
  <c r="S169" i="8" s="1"/>
  <c r="AE167" i="8"/>
  <c r="AG167" i="8" s="1"/>
  <c r="O167" i="8"/>
  <c r="AC165" i="8"/>
  <c r="AQ163" i="8"/>
  <c r="K163" i="8"/>
  <c r="O159" i="8"/>
  <c r="AC157" i="8"/>
  <c r="AQ155" i="8"/>
  <c r="O151" i="8"/>
  <c r="AS149" i="8"/>
  <c r="AU149" i="8" s="1"/>
  <c r="AC149" i="8"/>
  <c r="AQ147" i="8"/>
  <c r="K147" i="8"/>
  <c r="O143" i="8"/>
  <c r="AS141" i="8"/>
  <c r="AU141" i="8" s="1"/>
  <c r="AC141" i="8"/>
  <c r="AQ139" i="8"/>
  <c r="K139" i="8"/>
  <c r="Q137" i="8"/>
  <c r="S137" i="8" s="1"/>
  <c r="O135" i="8"/>
  <c r="AC133" i="8"/>
  <c r="AQ131" i="8"/>
  <c r="K131" i="8"/>
  <c r="AE417" i="8"/>
  <c r="AG417" i="8" s="1"/>
  <c r="AC351" i="8"/>
  <c r="O337" i="8"/>
  <c r="AS319" i="8"/>
  <c r="AU319" i="8" s="1"/>
  <c r="AC311" i="8"/>
  <c r="AC303" i="8"/>
  <c r="AQ285" i="8"/>
  <c r="Q283" i="8"/>
  <c r="S283" i="8" s="1"/>
  <c r="O257" i="8"/>
  <c r="AS255" i="8"/>
  <c r="AU255" i="8" s="1"/>
  <c r="AV255" i="8" s="1"/>
  <c r="AY255" i="8" s="1"/>
  <c r="O236" i="8"/>
  <c r="AS234" i="8"/>
  <c r="AU234" i="8" s="1"/>
  <c r="AC234" i="8"/>
  <c r="AQ232" i="8"/>
  <c r="K232" i="8"/>
  <c r="AE228" i="8"/>
  <c r="AG228" i="8" s="1"/>
  <c r="O228" i="8"/>
  <c r="AC226" i="8"/>
  <c r="AQ224" i="8"/>
  <c r="K224" i="8"/>
  <c r="O220" i="8"/>
  <c r="AS218" i="8"/>
  <c r="AU218" i="8" s="1"/>
  <c r="AC218" i="8"/>
  <c r="AQ216" i="8"/>
  <c r="K216" i="8"/>
  <c r="O212" i="8"/>
  <c r="AC210" i="8"/>
  <c r="AQ208" i="8"/>
  <c r="K208" i="8"/>
  <c r="O204" i="8"/>
  <c r="AC202" i="8"/>
  <c r="AQ200" i="8"/>
  <c r="O196" i="8"/>
  <c r="AC194" i="8"/>
  <c r="AQ192" i="8"/>
  <c r="K192" i="8"/>
  <c r="O188" i="8"/>
  <c r="AC186" i="8"/>
  <c r="AQ184" i="8"/>
  <c r="K184" i="8"/>
  <c r="Q182" i="8"/>
  <c r="S182" i="8" s="1"/>
  <c r="O180" i="8"/>
  <c r="AC178" i="8"/>
  <c r="AQ176" i="8"/>
  <c r="K176" i="8"/>
  <c r="O172" i="8"/>
  <c r="AC170" i="8"/>
  <c r="AQ168" i="8"/>
  <c r="K168" i="8"/>
  <c r="O164" i="8"/>
  <c r="AS162" i="8"/>
  <c r="AU162" i="8" s="1"/>
  <c r="AC162" i="8"/>
  <c r="AQ160" i="8"/>
  <c r="Q158" i="8"/>
  <c r="S158" i="8" s="1"/>
  <c r="O156" i="8"/>
  <c r="AC154" i="8"/>
  <c r="AQ152" i="8"/>
  <c r="K152" i="8"/>
  <c r="O148" i="8"/>
  <c r="AS146" i="8"/>
  <c r="AU146" i="8" s="1"/>
  <c r="AC146" i="8"/>
  <c r="AQ144" i="8"/>
  <c r="K144" i="8"/>
  <c r="Q142" i="8"/>
  <c r="S142" i="8" s="1"/>
  <c r="O140" i="8"/>
  <c r="AC138" i="8"/>
  <c r="AQ136" i="8"/>
  <c r="K136" i="8"/>
  <c r="O132" i="8"/>
  <c r="AC130" i="8"/>
  <c r="K29" i="9"/>
  <c r="O29" i="9" s="1"/>
  <c r="P29" i="9" s="1"/>
  <c r="R29" i="9" s="1"/>
  <c r="AS383" i="8"/>
  <c r="AU383" i="8" s="1"/>
  <c r="K341" i="8"/>
  <c r="K333" i="8"/>
  <c r="O329" i="8"/>
  <c r="AQ301" i="8"/>
  <c r="AQ293" i="8"/>
  <c r="K261" i="8"/>
  <c r="K253" i="8"/>
  <c r="O249" i="8"/>
  <c r="AQ237" i="8"/>
  <c r="K237" i="8"/>
  <c r="AE233" i="8"/>
  <c r="AG233" i="8" s="1"/>
  <c r="O233" i="8"/>
  <c r="AC231" i="8"/>
  <c r="AQ229" i="8"/>
  <c r="K229" i="8"/>
  <c r="AE225" i="8"/>
  <c r="AG225" i="8" s="1"/>
  <c r="AH225" i="8" s="1"/>
  <c r="O225" i="8"/>
  <c r="AC223" i="8"/>
  <c r="AQ221" i="8"/>
  <c r="K221" i="8"/>
  <c r="AE217" i="8"/>
  <c r="AG217" i="8" s="1"/>
  <c r="O217" i="8"/>
  <c r="AS215" i="8"/>
  <c r="AU215" i="8" s="1"/>
  <c r="AV215" i="8" s="1"/>
  <c r="AY215" i="8" s="1"/>
  <c r="AC215" i="8"/>
  <c r="AQ213" i="8"/>
  <c r="K213" i="8"/>
  <c r="O209" i="8"/>
  <c r="AC207" i="8"/>
  <c r="AQ205" i="8"/>
  <c r="O201" i="8"/>
  <c r="P201" i="8" s="1"/>
  <c r="R201" i="8" s="1"/>
  <c r="AC199" i="8"/>
  <c r="AQ197" i="8"/>
  <c r="K197" i="8"/>
  <c r="Q195" i="8"/>
  <c r="S195" i="8" s="1"/>
  <c r="T195" i="8" s="1"/>
  <c r="AE193" i="8"/>
  <c r="AG193" i="8" s="1"/>
  <c r="O193" i="8"/>
  <c r="AC191" i="8"/>
  <c r="AQ189" i="8"/>
  <c r="K189" i="8"/>
  <c r="O185" i="8"/>
  <c r="AC183" i="8"/>
  <c r="AQ181" i="8"/>
  <c r="K181" i="8"/>
  <c r="O177" i="8"/>
  <c r="AS175" i="8"/>
  <c r="AU175" i="8" s="1"/>
  <c r="AV175" i="8" s="1"/>
  <c r="AY175" i="8" s="1"/>
  <c r="AC175" i="8"/>
  <c r="AQ173" i="8"/>
  <c r="K173" i="8"/>
  <c r="O169" i="8"/>
  <c r="AC167" i="8"/>
  <c r="AQ165" i="8"/>
  <c r="O161" i="8"/>
  <c r="AC159" i="8"/>
  <c r="AQ157" i="8"/>
  <c r="K157" i="8"/>
  <c r="Q155" i="8"/>
  <c r="S155" i="8" s="1"/>
  <c r="T155" i="8" s="1"/>
  <c r="AE153" i="8"/>
  <c r="AG153" i="8" s="1"/>
  <c r="O153" i="8"/>
  <c r="AC151" i="8"/>
  <c r="AQ149" i="8"/>
  <c r="K149" i="8"/>
  <c r="AC143" i="8"/>
  <c r="O128" i="8"/>
  <c r="AC126" i="8"/>
  <c r="AQ124" i="8"/>
  <c r="K124" i="8"/>
  <c r="O120" i="8"/>
  <c r="AC118" i="8"/>
  <c r="AQ116" i="8"/>
  <c r="K116" i="8"/>
  <c r="Q114" i="8"/>
  <c r="S114" i="8" s="1"/>
  <c r="AE112" i="8"/>
  <c r="AG112" i="8" s="1"/>
  <c r="O112" i="8"/>
  <c r="AC110" i="8"/>
  <c r="AQ108" i="8"/>
  <c r="K108" i="8"/>
  <c r="O104" i="8"/>
  <c r="AC102" i="8"/>
  <c r="AQ100" i="8"/>
  <c r="O96" i="8"/>
  <c r="AC94" i="8"/>
  <c r="AQ92" i="8"/>
  <c r="K92" i="8"/>
  <c r="O88" i="8"/>
  <c r="AC86" i="8"/>
  <c r="AQ84" i="8"/>
  <c r="K84" i="8"/>
  <c r="O80" i="8"/>
  <c r="AC78" i="8"/>
  <c r="AQ76" i="8"/>
  <c r="K76" i="8"/>
  <c r="AE72" i="8"/>
  <c r="AG72" i="8" s="1"/>
  <c r="O72" i="8"/>
  <c r="AC70" i="8"/>
  <c r="AQ68" i="8"/>
  <c r="K68" i="8"/>
  <c r="O64" i="8"/>
  <c r="AC62" i="8"/>
  <c r="AQ60" i="8"/>
  <c r="O56" i="8"/>
  <c r="AC54" i="8"/>
  <c r="AQ52" i="8"/>
  <c r="K52" i="8"/>
  <c r="AE48" i="8"/>
  <c r="AG48" i="8" s="1"/>
  <c r="O48" i="8"/>
  <c r="AC46" i="8"/>
  <c r="AQ44" i="8"/>
  <c r="K44" i="8"/>
  <c r="AE40" i="8"/>
  <c r="AG40" i="8" s="1"/>
  <c r="AH40" i="8" s="1"/>
  <c r="O40" i="8"/>
  <c r="AC38" i="8"/>
  <c r="AQ36" i="8"/>
  <c r="K36" i="8"/>
  <c r="O32" i="8"/>
  <c r="AC30" i="8"/>
  <c r="AQ28" i="8"/>
  <c r="K28" i="8"/>
  <c r="AB403" i="6"/>
  <c r="AB395" i="6"/>
  <c r="AB387" i="6"/>
  <c r="AB379" i="6"/>
  <c r="AB371" i="6"/>
  <c r="AB363" i="6"/>
  <c r="Q147" i="8"/>
  <c r="S147" i="8" s="1"/>
  <c r="AQ141" i="8"/>
  <c r="AQ133" i="8"/>
  <c r="K129" i="8"/>
  <c r="Q127" i="8"/>
  <c r="S127" i="8" s="1"/>
  <c r="O125" i="8"/>
  <c r="AC123" i="8"/>
  <c r="AQ121" i="8"/>
  <c r="K121" i="8"/>
  <c r="Q119" i="8"/>
  <c r="S119" i="8" s="1"/>
  <c r="O117" i="8"/>
  <c r="AS115" i="8"/>
  <c r="AU115" i="8" s="1"/>
  <c r="AV115" i="8" s="1"/>
  <c r="AY115" i="8" s="1"/>
  <c r="AC115" i="8"/>
  <c r="AQ113" i="8"/>
  <c r="K113" i="8"/>
  <c r="O109" i="8"/>
  <c r="AS107" i="8"/>
  <c r="AU107" i="8" s="1"/>
  <c r="AC107" i="8"/>
  <c r="AQ105" i="8"/>
  <c r="Q103" i="8"/>
  <c r="S103" i="8" s="1"/>
  <c r="O101" i="8"/>
  <c r="AS99" i="8"/>
  <c r="AU99" i="8" s="1"/>
  <c r="AC99" i="8"/>
  <c r="AQ97" i="8"/>
  <c r="K97" i="8"/>
  <c r="AE93" i="8"/>
  <c r="AG93" i="8" s="1"/>
  <c r="O93" i="8"/>
  <c r="AC91" i="8"/>
  <c r="AQ89" i="8"/>
  <c r="K89" i="8"/>
  <c r="O85" i="8"/>
  <c r="AC83" i="8"/>
  <c r="AQ81" i="8"/>
  <c r="K81" i="8"/>
  <c r="Q79" i="8"/>
  <c r="S79" i="8" s="1"/>
  <c r="O77" i="8"/>
  <c r="AC75" i="8"/>
  <c r="AQ73" i="8"/>
  <c r="K73" i="8"/>
  <c r="AE69" i="8"/>
  <c r="AG69" i="8" s="1"/>
  <c r="O69" i="8"/>
  <c r="AC67" i="8"/>
  <c r="AQ65" i="8"/>
  <c r="O61" i="8"/>
  <c r="AS59" i="8"/>
  <c r="AU59" i="8" s="1"/>
  <c r="AC59" i="8"/>
  <c r="AQ57" i="8"/>
  <c r="K57" i="8"/>
  <c r="O53" i="8"/>
  <c r="AC51" i="8"/>
  <c r="AQ49" i="8"/>
  <c r="K49" i="8"/>
  <c r="O45" i="8"/>
  <c r="AC43" i="8"/>
  <c r="AQ41" i="8"/>
  <c r="K41" i="8"/>
  <c r="AE37" i="8"/>
  <c r="AG37" i="8" s="1"/>
  <c r="O37" i="8"/>
  <c r="AC35" i="8"/>
  <c r="AQ33" i="8"/>
  <c r="K33" i="8"/>
  <c r="AE29" i="8"/>
  <c r="AG29" i="8" s="1"/>
  <c r="O29" i="8"/>
  <c r="AC27" i="8"/>
  <c r="AQ25" i="8"/>
  <c r="AC128" i="8"/>
  <c r="AQ126" i="8"/>
  <c r="K126" i="8"/>
  <c r="O122" i="8"/>
  <c r="AC120" i="8"/>
  <c r="AQ118" i="8"/>
  <c r="K118" i="8"/>
  <c r="AE114" i="8"/>
  <c r="AG114" i="8" s="1"/>
  <c r="O114" i="8"/>
  <c r="AC112" i="8"/>
  <c r="AQ110" i="8"/>
  <c r="Q108" i="8"/>
  <c r="S108" i="8" s="1"/>
  <c r="O106" i="8"/>
  <c r="AS104" i="8"/>
  <c r="AU104" i="8" s="1"/>
  <c r="AC104" i="8"/>
  <c r="AQ102" i="8"/>
  <c r="K102" i="8"/>
  <c r="O98" i="8"/>
  <c r="AC96" i="8"/>
  <c r="AQ94" i="8"/>
  <c r="K94" i="8"/>
  <c r="O90" i="8"/>
  <c r="AS88" i="8"/>
  <c r="AU88" i="8" s="1"/>
  <c r="AC88" i="8"/>
  <c r="AQ86" i="8"/>
  <c r="K86" i="8"/>
  <c r="O82" i="8"/>
  <c r="AC80" i="8"/>
  <c r="AQ78" i="8"/>
  <c r="K78" i="8"/>
  <c r="O74" i="8"/>
  <c r="AS72" i="8"/>
  <c r="AU72" i="8" s="1"/>
  <c r="AC72" i="8"/>
  <c r="AQ70" i="8"/>
  <c r="O66" i="8"/>
  <c r="AC64" i="8"/>
  <c r="AQ62" i="8"/>
  <c r="K62" i="8"/>
  <c r="AE58" i="8"/>
  <c r="AG58" i="8" s="1"/>
  <c r="O58" i="8"/>
  <c r="AC56" i="8"/>
  <c r="AQ54" i="8"/>
  <c r="K54" i="8"/>
  <c r="O50" i="8"/>
  <c r="AC48" i="8"/>
  <c r="AQ46" i="8"/>
  <c r="K46" i="8"/>
  <c r="O42" i="8"/>
  <c r="AC40" i="8"/>
  <c r="AQ38" i="8"/>
  <c r="K38" i="8"/>
  <c r="O34" i="8"/>
  <c r="AS32" i="8"/>
  <c r="AU32" i="8" s="1"/>
  <c r="AC32" i="8"/>
  <c r="AQ30" i="8"/>
  <c r="O26" i="8"/>
  <c r="AB397" i="6"/>
  <c r="AB389" i="6"/>
  <c r="AB381" i="6"/>
  <c r="AB373" i="6"/>
  <c r="AB365" i="6"/>
  <c r="O130" i="8"/>
  <c r="Q129" i="8"/>
  <c r="S129" i="8" s="1"/>
  <c r="AE127" i="8"/>
  <c r="AG127" i="8" s="1"/>
  <c r="O127" i="8"/>
  <c r="AS125" i="8"/>
  <c r="AU125" i="8" s="1"/>
  <c r="AV125" i="8" s="1"/>
  <c r="AY125" i="8" s="1"/>
  <c r="AC125" i="8"/>
  <c r="AQ123" i="8"/>
  <c r="K123" i="8"/>
  <c r="O119" i="8"/>
  <c r="AC117" i="8"/>
  <c r="AQ115" i="8"/>
  <c r="O111" i="8"/>
  <c r="AS109" i="8"/>
  <c r="AU109" i="8" s="1"/>
  <c r="AC109" i="8"/>
  <c r="AQ107" i="8"/>
  <c r="K107" i="8"/>
  <c r="O103" i="8"/>
  <c r="AC101" i="8"/>
  <c r="AQ99" i="8"/>
  <c r="K99" i="8"/>
  <c r="AE95" i="8"/>
  <c r="AG95" i="8" s="1"/>
  <c r="AH95" i="8" s="1"/>
  <c r="O95" i="8"/>
  <c r="AC93" i="8"/>
  <c r="AQ91" i="8"/>
  <c r="K91" i="8"/>
  <c r="Q89" i="8"/>
  <c r="S89" i="8" s="1"/>
  <c r="AE87" i="8"/>
  <c r="AG87" i="8" s="1"/>
  <c r="O87" i="8"/>
  <c r="AS85" i="8"/>
  <c r="AU85" i="8" s="1"/>
  <c r="AV85" i="8" s="1"/>
  <c r="AY85" i="8" s="1"/>
  <c r="AC85" i="8"/>
  <c r="AQ83" i="8"/>
  <c r="K83" i="8"/>
  <c r="O79" i="8"/>
  <c r="AS77" i="8"/>
  <c r="AU77" i="8" s="1"/>
  <c r="AC77" i="8"/>
  <c r="AQ75" i="8"/>
  <c r="O71" i="8"/>
  <c r="AC69" i="8"/>
  <c r="AQ67" i="8"/>
  <c r="K67" i="8"/>
  <c r="AE63" i="8"/>
  <c r="AG63" i="8" s="1"/>
  <c r="O63" i="8"/>
  <c r="AS61" i="8"/>
  <c r="AU61" i="8" s="1"/>
  <c r="AC61" i="8"/>
  <c r="AQ59" i="8"/>
  <c r="K59" i="8"/>
  <c r="AE55" i="8"/>
  <c r="AG55" i="8" s="1"/>
  <c r="AH55" i="8" s="1"/>
  <c r="O55" i="8"/>
  <c r="AC53" i="8"/>
  <c r="AQ51" i="8"/>
  <c r="K51" i="8"/>
  <c r="O47" i="8"/>
  <c r="AS45" i="8"/>
  <c r="AU45" i="8" s="1"/>
  <c r="AV45" i="8" s="1"/>
  <c r="AY45" i="8" s="1"/>
  <c r="AC45" i="8"/>
  <c r="AQ43" i="8"/>
  <c r="K43" i="8"/>
  <c r="O39" i="8"/>
  <c r="AS37" i="8"/>
  <c r="AU37" i="8" s="1"/>
  <c r="AC37" i="8"/>
  <c r="AQ35" i="8"/>
  <c r="O31" i="8"/>
  <c r="AC29" i="8"/>
  <c r="AQ27" i="8"/>
  <c r="K27" i="8"/>
  <c r="Q25" i="8"/>
  <c r="S25" i="8" s="1"/>
  <c r="AB398" i="6"/>
  <c r="AB390" i="6"/>
  <c r="AB382" i="6"/>
  <c r="AB374" i="6"/>
  <c r="AB366" i="6"/>
  <c r="AB358" i="6"/>
  <c r="AB350" i="6"/>
  <c r="AB342" i="6"/>
  <c r="O137" i="8"/>
  <c r="P137" i="8" s="1"/>
  <c r="R137" i="8" s="1"/>
  <c r="AQ128" i="8"/>
  <c r="K128" i="8"/>
  <c r="O124" i="8"/>
  <c r="AC122" i="8"/>
  <c r="AQ120" i="8"/>
  <c r="Q118" i="8"/>
  <c r="S118" i="8" s="1"/>
  <c r="O116" i="8"/>
  <c r="AC114" i="8"/>
  <c r="AQ112" i="8"/>
  <c r="K112" i="8"/>
  <c r="O108" i="8"/>
  <c r="P108" i="8" s="1"/>
  <c r="R108" i="8" s="1"/>
  <c r="AC106" i="8"/>
  <c r="AQ104" i="8"/>
  <c r="K104" i="8"/>
  <c r="O100" i="8"/>
  <c r="AS98" i="8"/>
  <c r="AU98" i="8" s="1"/>
  <c r="AC98" i="8"/>
  <c r="AQ96" i="8"/>
  <c r="K96" i="8"/>
  <c r="O92" i="8"/>
  <c r="AC90" i="8"/>
  <c r="AQ88" i="8"/>
  <c r="K88" i="8"/>
  <c r="O84" i="8"/>
  <c r="AC82" i="8"/>
  <c r="AQ80" i="8"/>
  <c r="O76" i="8"/>
  <c r="AC74" i="8"/>
  <c r="AQ72" i="8"/>
  <c r="K72" i="8"/>
  <c r="O68" i="8"/>
  <c r="AC66" i="8"/>
  <c r="AQ64" i="8"/>
  <c r="K64" i="8"/>
  <c r="O60" i="8"/>
  <c r="AS58" i="8"/>
  <c r="AU58" i="8" s="1"/>
  <c r="AC58" i="8"/>
  <c r="AQ56" i="8"/>
  <c r="K56" i="8"/>
  <c r="O52" i="8"/>
  <c r="AC50" i="8"/>
  <c r="AQ48" i="8"/>
  <c r="K48" i="8"/>
  <c r="O44" i="8"/>
  <c r="AC42" i="8"/>
  <c r="AQ40" i="8"/>
  <c r="AE36" i="8"/>
  <c r="AG36" i="8" s="1"/>
  <c r="O36" i="8"/>
  <c r="AC34" i="8"/>
  <c r="AQ32" i="8"/>
  <c r="K32" i="8"/>
  <c r="O28" i="8"/>
  <c r="AC26" i="8"/>
  <c r="AB399" i="6"/>
  <c r="AB391" i="6"/>
  <c r="AB383" i="6"/>
  <c r="AB375" i="6"/>
  <c r="AB367" i="6"/>
  <c r="AB359" i="6"/>
  <c r="AB351" i="6"/>
  <c r="AB343" i="6"/>
  <c r="K141" i="8"/>
  <c r="K133" i="8"/>
  <c r="O129" i="8"/>
  <c r="P129" i="8" s="1"/>
  <c r="R129" i="8" s="1"/>
  <c r="AC127" i="8"/>
  <c r="AQ125" i="8"/>
  <c r="O121" i="8"/>
  <c r="AC119" i="8"/>
  <c r="AQ117" i="8"/>
  <c r="K117" i="8"/>
  <c r="O113" i="8"/>
  <c r="AS111" i="8"/>
  <c r="AU111" i="8" s="1"/>
  <c r="AC111" i="8"/>
  <c r="AQ109" i="8"/>
  <c r="K109" i="8"/>
  <c r="O105" i="8"/>
  <c r="AS103" i="8"/>
  <c r="AU103" i="8" s="1"/>
  <c r="AC103" i="8"/>
  <c r="AQ101" i="8"/>
  <c r="K101" i="8"/>
  <c r="AE97" i="8"/>
  <c r="AG97" i="8" s="1"/>
  <c r="O97" i="8"/>
  <c r="AS95" i="8"/>
  <c r="AU95" i="8" s="1"/>
  <c r="AV95" i="8" s="1"/>
  <c r="AY95" i="8" s="1"/>
  <c r="AC95" i="8"/>
  <c r="AQ93" i="8"/>
  <c r="K93" i="8"/>
  <c r="O89" i="8"/>
  <c r="AC87" i="8"/>
  <c r="AQ85" i="8"/>
  <c r="O81" i="8"/>
  <c r="AC79" i="8"/>
  <c r="AQ77" i="8"/>
  <c r="K77" i="8"/>
  <c r="Q75" i="8"/>
  <c r="S75" i="8" s="1"/>
  <c r="T75" i="8" s="1"/>
  <c r="O73" i="8"/>
  <c r="AC71" i="8"/>
  <c r="AQ69" i="8"/>
  <c r="K69" i="8"/>
  <c r="Q67" i="8"/>
  <c r="S67" i="8" s="1"/>
  <c r="O65" i="8"/>
  <c r="AS63" i="8"/>
  <c r="AU63" i="8" s="1"/>
  <c r="AC63" i="8"/>
  <c r="AQ61" i="8"/>
  <c r="K61" i="8"/>
  <c r="O57" i="8"/>
  <c r="AC55" i="8"/>
  <c r="AQ53" i="8"/>
  <c r="K53" i="8"/>
  <c r="O49" i="8"/>
  <c r="AC47" i="8"/>
  <c r="AQ45" i="8"/>
  <c r="Q43" i="8"/>
  <c r="S43" i="8" s="1"/>
  <c r="O41" i="8"/>
  <c r="AS39" i="8"/>
  <c r="AU39" i="8" s="1"/>
  <c r="AC39" i="8"/>
  <c r="AQ37" i="8"/>
  <c r="K37" i="8"/>
  <c r="O33" i="8"/>
  <c r="AC31" i="8"/>
  <c r="AQ29" i="8"/>
  <c r="K29" i="8"/>
  <c r="AE25" i="8"/>
  <c r="AG25" i="8" s="1"/>
  <c r="O25" i="8"/>
  <c r="AS143" i="8"/>
  <c r="AU143" i="8" s="1"/>
  <c r="Q128" i="8"/>
  <c r="S128" i="8" s="1"/>
  <c r="O126" i="8"/>
  <c r="AC124" i="8"/>
  <c r="AQ122" i="8"/>
  <c r="K122" i="8"/>
  <c r="O118" i="8"/>
  <c r="AC116" i="8"/>
  <c r="AQ114" i="8"/>
  <c r="K114" i="8"/>
  <c r="Q112" i="8"/>
  <c r="S112" i="8" s="1"/>
  <c r="AE110" i="8"/>
  <c r="AG110" i="8" s="1"/>
  <c r="AH110" i="8" s="1"/>
  <c r="O110" i="8"/>
  <c r="AS108" i="8"/>
  <c r="AU108" i="8" s="1"/>
  <c r="AC108" i="8"/>
  <c r="AQ106" i="8"/>
  <c r="K106" i="8"/>
  <c r="O102" i="8"/>
  <c r="AC100" i="8"/>
  <c r="AQ98" i="8"/>
  <c r="K98" i="8"/>
  <c r="O94" i="8"/>
  <c r="AC92" i="8"/>
  <c r="AQ90" i="8"/>
  <c r="O86" i="8"/>
  <c r="AC84" i="8"/>
  <c r="AQ82" i="8"/>
  <c r="K82" i="8"/>
  <c r="O78" i="8"/>
  <c r="AC76" i="8"/>
  <c r="AQ74" i="8"/>
  <c r="K74" i="8"/>
  <c r="O70" i="8"/>
  <c r="AC68" i="8"/>
  <c r="AQ66" i="8"/>
  <c r="K66" i="8"/>
  <c r="O62" i="8"/>
  <c r="AC60" i="8"/>
  <c r="AQ58" i="8"/>
  <c r="K58" i="8"/>
  <c r="Q56" i="8"/>
  <c r="S56" i="8" s="1"/>
  <c r="O54" i="8"/>
  <c r="AS52" i="8"/>
  <c r="AU52" i="8" s="1"/>
  <c r="AC52" i="8"/>
  <c r="AQ50" i="8"/>
  <c r="Q48" i="8"/>
  <c r="S48" i="8" s="1"/>
  <c r="O46" i="8"/>
  <c r="AC44" i="8"/>
  <c r="AQ42" i="8"/>
  <c r="K42" i="8"/>
  <c r="O38" i="8"/>
  <c r="AC36" i="8"/>
  <c r="AQ34" i="8"/>
  <c r="K34" i="8"/>
  <c r="Q32" i="8"/>
  <c r="S32" i="8" s="1"/>
  <c r="O30" i="8"/>
  <c r="AC28" i="8"/>
  <c r="AQ26" i="8"/>
  <c r="K26" i="8"/>
  <c r="AB401" i="6"/>
  <c r="AB393" i="6"/>
  <c r="AB385" i="6"/>
  <c r="AB377" i="6"/>
  <c r="AB369" i="6"/>
  <c r="AB361" i="6"/>
  <c r="O145" i="8"/>
  <c r="AC135" i="8"/>
  <c r="Q131" i="8"/>
  <c r="S131" i="8" s="1"/>
  <c r="AQ127" i="8"/>
  <c r="K127" i="8"/>
  <c r="AE123" i="8"/>
  <c r="AG123" i="8" s="1"/>
  <c r="O123" i="8"/>
  <c r="AS121" i="8"/>
  <c r="AU121" i="8" s="1"/>
  <c r="AC121" i="8"/>
  <c r="AQ119" i="8"/>
  <c r="K119" i="8"/>
  <c r="O115" i="8"/>
  <c r="AC113" i="8"/>
  <c r="AQ111" i="8"/>
  <c r="K111" i="8"/>
  <c r="Q109" i="8"/>
  <c r="S109" i="8" s="1"/>
  <c r="AE107" i="8"/>
  <c r="AG107" i="8" s="1"/>
  <c r="O107" i="8"/>
  <c r="AC105" i="8"/>
  <c r="AQ103" i="8"/>
  <c r="K103" i="8"/>
  <c r="O99" i="8"/>
  <c r="AC97" i="8"/>
  <c r="AQ95" i="8"/>
  <c r="Q93" i="8"/>
  <c r="S93" i="8" s="1"/>
  <c r="O91" i="8"/>
  <c r="AC89" i="8"/>
  <c r="AQ87" i="8"/>
  <c r="K87" i="8"/>
  <c r="O83" i="8"/>
  <c r="AC81" i="8"/>
  <c r="AQ79" i="8"/>
  <c r="K79" i="8"/>
  <c r="Q77" i="8"/>
  <c r="S77" i="8" s="1"/>
  <c r="AE75" i="8"/>
  <c r="AG75" i="8" s="1"/>
  <c r="AH75" i="8" s="1"/>
  <c r="O75" i="8"/>
  <c r="AC73" i="8"/>
  <c r="AQ71" i="8"/>
  <c r="K71" i="8"/>
  <c r="O67" i="8"/>
  <c r="P67" i="8" s="1"/>
  <c r="R67" i="8" s="1"/>
  <c r="AS65" i="8"/>
  <c r="AU65" i="8" s="1"/>
  <c r="AV65" i="8" s="1"/>
  <c r="AY65" i="8" s="1"/>
  <c r="AC65" i="8"/>
  <c r="AQ63" i="8"/>
  <c r="K63" i="8"/>
  <c r="Q61" i="8"/>
  <c r="S61" i="8" s="1"/>
  <c r="O59" i="8"/>
  <c r="AC57" i="8"/>
  <c r="AQ55" i="8"/>
  <c r="O51" i="8"/>
  <c r="AC49" i="8"/>
  <c r="AQ47" i="8"/>
  <c r="K47" i="8"/>
  <c r="AE43" i="8"/>
  <c r="AG43" i="8" s="1"/>
  <c r="O43" i="8"/>
  <c r="AS41" i="8"/>
  <c r="AU41" i="8" s="1"/>
  <c r="AC41" i="8"/>
  <c r="AQ39" i="8"/>
  <c r="K39" i="8"/>
  <c r="O35" i="8"/>
  <c r="AC33" i="8"/>
  <c r="AQ31" i="8"/>
  <c r="K31" i="8"/>
  <c r="Q29" i="8"/>
  <c r="S29" i="8" s="1"/>
  <c r="O27" i="8"/>
  <c r="AC25" i="8"/>
  <c r="AB402" i="6"/>
  <c r="AB394" i="6"/>
  <c r="AB386" i="6"/>
  <c r="AB378" i="6"/>
  <c r="AB370" i="6"/>
  <c r="AB352" i="6"/>
  <c r="AB347" i="6"/>
  <c r="AB338" i="6"/>
  <c r="AB330" i="6"/>
  <c r="AB322" i="6"/>
  <c r="AB314" i="6"/>
  <c r="AB306" i="6"/>
  <c r="AB298" i="6"/>
  <c r="AB290" i="6"/>
  <c r="AB282" i="6"/>
  <c r="AB274" i="6"/>
  <c r="AB266" i="6"/>
  <c r="AB258" i="6"/>
  <c r="AB250" i="6"/>
  <c r="AB242" i="6"/>
  <c r="AB234" i="6"/>
  <c r="AB226" i="6"/>
  <c r="AB218" i="6"/>
  <c r="AB210" i="6"/>
  <c r="AB202" i="6"/>
  <c r="AB194" i="6"/>
  <c r="AB186" i="6"/>
  <c r="AB178" i="6"/>
  <c r="AB170" i="6"/>
  <c r="AB162" i="6"/>
  <c r="AB154" i="6"/>
  <c r="AB146" i="6"/>
  <c r="AB138" i="6"/>
  <c r="AB130" i="6"/>
  <c r="AB122" i="6"/>
  <c r="AB114" i="6"/>
  <c r="AB106" i="6"/>
  <c r="AB98" i="6"/>
  <c r="AB90" i="6"/>
  <c r="AB82" i="6"/>
  <c r="AB74" i="6"/>
  <c r="AB66" i="6"/>
  <c r="AB58" i="6"/>
  <c r="AB50" i="6"/>
  <c r="AB42" i="6"/>
  <c r="AB34" i="6"/>
  <c r="AB26" i="6"/>
  <c r="AB18" i="6"/>
  <c r="AB10" i="6"/>
  <c r="AB400" i="6"/>
  <c r="AB384" i="6"/>
  <c r="AB368" i="6"/>
  <c r="AB354" i="6"/>
  <c r="AB345" i="6"/>
  <c r="AB339" i="6"/>
  <c r="AB331" i="6"/>
  <c r="AB323" i="6"/>
  <c r="AB315" i="6"/>
  <c r="AB307" i="6"/>
  <c r="AB299" i="6"/>
  <c r="AB291" i="6"/>
  <c r="AB283" i="6"/>
  <c r="AB275" i="6"/>
  <c r="AB267" i="6"/>
  <c r="AB259" i="6"/>
  <c r="AB251" i="6"/>
  <c r="AB243" i="6"/>
  <c r="AB235" i="6"/>
  <c r="AB227" i="6"/>
  <c r="AB219" i="6"/>
  <c r="AB211" i="6"/>
  <c r="AB203" i="6"/>
  <c r="AB195" i="6"/>
  <c r="AB187" i="6"/>
  <c r="AB179" i="6"/>
  <c r="AB171" i="6"/>
  <c r="AB163" i="6"/>
  <c r="AB155" i="6"/>
  <c r="AB147" i="6"/>
  <c r="AB139" i="6"/>
  <c r="AB131" i="6"/>
  <c r="AB123" i="6"/>
  <c r="AB115" i="6"/>
  <c r="AB107" i="6"/>
  <c r="AB99" i="6"/>
  <c r="AB91" i="6"/>
  <c r="AB83" i="6"/>
  <c r="AB75" i="6"/>
  <c r="AB67" i="6"/>
  <c r="AB59" i="6"/>
  <c r="AB51" i="6"/>
  <c r="AB43" i="6"/>
  <c r="AB35" i="6"/>
  <c r="AB27" i="6"/>
  <c r="AB19" i="6"/>
  <c r="AB11" i="6"/>
  <c r="H30" i="5"/>
  <c r="AB49" i="6"/>
  <c r="AB17" i="6"/>
  <c r="AB362" i="6"/>
  <c r="AB357" i="6"/>
  <c r="AB340" i="6"/>
  <c r="AB332" i="6"/>
  <c r="AB324" i="6"/>
  <c r="AB316" i="6"/>
  <c r="AB308" i="6"/>
  <c r="AB300" i="6"/>
  <c r="AB292" i="6"/>
  <c r="AB284" i="6"/>
  <c r="AB276" i="6"/>
  <c r="AB268" i="6"/>
  <c r="AB260" i="6"/>
  <c r="AB252" i="6"/>
  <c r="AB244" i="6"/>
  <c r="AB236" i="6"/>
  <c r="AB228" i="6"/>
  <c r="AB220" i="6"/>
  <c r="AB212" i="6"/>
  <c r="AB204" i="6"/>
  <c r="AB196" i="6"/>
  <c r="AB188" i="6"/>
  <c r="AB180" i="6"/>
  <c r="AB172" i="6"/>
  <c r="AB164" i="6"/>
  <c r="AB156" i="6"/>
  <c r="AB148" i="6"/>
  <c r="AB140" i="6"/>
  <c r="AB132" i="6"/>
  <c r="AB124" i="6"/>
  <c r="AB116" i="6"/>
  <c r="AB108" i="6"/>
  <c r="AB100" i="6"/>
  <c r="AB92" i="6"/>
  <c r="AB84" i="6"/>
  <c r="AB76" i="6"/>
  <c r="AB68" i="6"/>
  <c r="AB60" i="6"/>
  <c r="AB52" i="6"/>
  <c r="AB44" i="6"/>
  <c r="AB36" i="6"/>
  <c r="AB28" i="6"/>
  <c r="AB20" i="6"/>
  <c r="AB12" i="6"/>
  <c r="AB48" i="6"/>
  <c r="AB16" i="6"/>
  <c r="AB404" i="6"/>
  <c r="AB388" i="6"/>
  <c r="AB372" i="6"/>
  <c r="AB348" i="6"/>
  <c r="AB341" i="6"/>
  <c r="AB333" i="6"/>
  <c r="AB325" i="6"/>
  <c r="AB317" i="6"/>
  <c r="AB309" i="6"/>
  <c r="AB301" i="6"/>
  <c r="AB293" i="6"/>
  <c r="AB285" i="6"/>
  <c r="AB277" i="6"/>
  <c r="AB269" i="6"/>
  <c r="AB261" i="6"/>
  <c r="AB253" i="6"/>
  <c r="AB245" i="6"/>
  <c r="AB237" i="6"/>
  <c r="AB229" i="6"/>
  <c r="AB221" i="6"/>
  <c r="AB213" i="6"/>
  <c r="AB205" i="6"/>
  <c r="AB197" i="6"/>
  <c r="AB189" i="6"/>
  <c r="AB181" i="6"/>
  <c r="AB173" i="6"/>
  <c r="AB165" i="6"/>
  <c r="AB157" i="6"/>
  <c r="AB149" i="6"/>
  <c r="AB141" i="6"/>
  <c r="AB133" i="6"/>
  <c r="AB125" i="6"/>
  <c r="AB117" i="6"/>
  <c r="AB109" i="6"/>
  <c r="AB101" i="6"/>
  <c r="AB93" i="6"/>
  <c r="AB85" i="6"/>
  <c r="AB77" i="6"/>
  <c r="AB69" i="6"/>
  <c r="AB61" i="6"/>
  <c r="AB53" i="6"/>
  <c r="AB45" i="6"/>
  <c r="AB37" i="6"/>
  <c r="AB29" i="6"/>
  <c r="AB21" i="6"/>
  <c r="AB13" i="6"/>
  <c r="AB5" i="6"/>
  <c r="AB32" i="6"/>
  <c r="AB9" i="6"/>
  <c r="AB355" i="6"/>
  <c r="AB344" i="6"/>
  <c r="AB334" i="6"/>
  <c r="AB326" i="6"/>
  <c r="AB318" i="6"/>
  <c r="AB310" i="6"/>
  <c r="AB302" i="6"/>
  <c r="AB294" i="6"/>
  <c r="AB286" i="6"/>
  <c r="AB278" i="6"/>
  <c r="AB270" i="6"/>
  <c r="AB262" i="6"/>
  <c r="AB254" i="6"/>
  <c r="AB246" i="6"/>
  <c r="AB238" i="6"/>
  <c r="AB230" i="6"/>
  <c r="AB222" i="6"/>
  <c r="AB214" i="6"/>
  <c r="AB206" i="6"/>
  <c r="AB198" i="6"/>
  <c r="AB190" i="6"/>
  <c r="AB182" i="6"/>
  <c r="AB174" i="6"/>
  <c r="AB166" i="6"/>
  <c r="AB158" i="6"/>
  <c r="AB150" i="6"/>
  <c r="AB142" i="6"/>
  <c r="AB134" i="6"/>
  <c r="AB126" i="6"/>
  <c r="AB118" i="6"/>
  <c r="AB110" i="6"/>
  <c r="AB102" i="6"/>
  <c r="AB94" i="6"/>
  <c r="AB86" i="6"/>
  <c r="AB78" i="6"/>
  <c r="AB70" i="6"/>
  <c r="AB62" i="6"/>
  <c r="AB54" i="6"/>
  <c r="AB46" i="6"/>
  <c r="AB38" i="6"/>
  <c r="AB30" i="6"/>
  <c r="AB22" i="6"/>
  <c r="AB14" i="6"/>
  <c r="AB6" i="6"/>
  <c r="H32" i="5"/>
  <c r="AB64" i="6"/>
  <c r="AB40" i="6"/>
  <c r="AB8" i="6"/>
  <c r="AB392" i="6"/>
  <c r="AB376" i="6"/>
  <c r="AB353" i="6"/>
  <c r="AB346" i="6"/>
  <c r="AB335" i="6"/>
  <c r="AB327" i="6"/>
  <c r="AB319" i="6"/>
  <c r="AB311" i="6"/>
  <c r="AB303" i="6"/>
  <c r="AB295" i="6"/>
  <c r="AB287" i="6"/>
  <c r="AB279" i="6"/>
  <c r="AB271" i="6"/>
  <c r="AB263" i="6"/>
  <c r="AB255" i="6"/>
  <c r="AB247" i="6"/>
  <c r="AB239" i="6"/>
  <c r="AB231" i="6"/>
  <c r="AB223" i="6"/>
  <c r="AB215" i="6"/>
  <c r="AB207" i="6"/>
  <c r="AB199" i="6"/>
  <c r="AB191" i="6"/>
  <c r="AB183" i="6"/>
  <c r="AB175" i="6"/>
  <c r="AB167" i="6"/>
  <c r="AB159" i="6"/>
  <c r="AB151" i="6"/>
  <c r="AB143" i="6"/>
  <c r="AB135" i="6"/>
  <c r="AB127" i="6"/>
  <c r="AB119" i="6"/>
  <c r="AB111" i="6"/>
  <c r="AB103" i="6"/>
  <c r="AB95" i="6"/>
  <c r="AB87" i="6"/>
  <c r="AB79" i="6"/>
  <c r="AB71" i="6"/>
  <c r="AB63" i="6"/>
  <c r="AB55" i="6"/>
  <c r="AB47" i="6"/>
  <c r="AB39" i="6"/>
  <c r="AB31" i="6"/>
  <c r="AB23" i="6"/>
  <c r="AB15" i="6"/>
  <c r="AB7" i="6"/>
  <c r="AB24" i="6"/>
  <c r="AB360" i="6"/>
  <c r="AB349" i="6"/>
  <c r="AB336" i="6"/>
  <c r="AB328" i="6"/>
  <c r="AB320" i="6"/>
  <c r="AB312" i="6"/>
  <c r="AB304" i="6"/>
  <c r="AB296" i="6"/>
  <c r="AB288" i="6"/>
  <c r="AB280" i="6"/>
  <c r="AB272" i="6"/>
  <c r="AB264" i="6"/>
  <c r="AB256" i="6"/>
  <c r="AB248" i="6"/>
  <c r="AB240" i="6"/>
  <c r="AB232" i="6"/>
  <c r="AB224" i="6"/>
  <c r="AB216" i="6"/>
  <c r="AB208" i="6"/>
  <c r="AB200" i="6"/>
  <c r="AB192" i="6"/>
  <c r="AB184" i="6"/>
  <c r="AB176" i="6"/>
  <c r="AB168" i="6"/>
  <c r="AB160" i="6"/>
  <c r="AB152" i="6"/>
  <c r="AB144" i="6"/>
  <c r="AB136" i="6"/>
  <c r="AB128" i="6"/>
  <c r="AB120" i="6"/>
  <c r="AB112" i="6"/>
  <c r="AB104" i="6"/>
  <c r="AB96" i="6"/>
  <c r="AB88" i="6"/>
  <c r="AB80" i="6"/>
  <c r="AB72" i="6"/>
  <c r="AB56" i="6"/>
  <c r="AB41" i="6"/>
  <c r="AB33" i="6"/>
  <c r="AB25" i="6"/>
  <c r="AB396" i="6"/>
  <c r="AB380" i="6"/>
  <c r="AB364" i="6"/>
  <c r="AB356" i="6"/>
  <c r="AB337" i="6"/>
  <c r="AB329" i="6"/>
  <c r="AB321" i="6"/>
  <c r="AB313" i="6"/>
  <c r="AB305" i="6"/>
  <c r="AB297" i="6"/>
  <c r="AB289" i="6"/>
  <c r="AB281" i="6"/>
  <c r="AB273" i="6"/>
  <c r="AB265" i="6"/>
  <c r="AB257" i="6"/>
  <c r="AB249" i="6"/>
  <c r="AB241" i="6"/>
  <c r="AB233" i="6"/>
  <c r="AB225" i="6"/>
  <c r="AB217" i="6"/>
  <c r="AB209" i="6"/>
  <c r="AB201" i="6"/>
  <c r="AB193" i="6"/>
  <c r="AB185" i="6"/>
  <c r="AB177" i="6"/>
  <c r="AB169" i="6"/>
  <c r="AB161" i="6"/>
  <c r="AB153" i="6"/>
  <c r="AB145" i="6"/>
  <c r="AB137" i="6"/>
  <c r="AB129" i="6"/>
  <c r="AB121" i="6"/>
  <c r="AB113" i="6"/>
  <c r="AB105" i="6"/>
  <c r="AB97" i="6"/>
  <c r="AB89" i="6"/>
  <c r="AB81" i="6"/>
  <c r="AB73" i="6"/>
  <c r="AB65" i="6"/>
  <c r="AB57" i="6"/>
  <c r="AC112" i="6"/>
  <c r="AA15" i="6"/>
  <c r="AC53" i="6"/>
  <c r="AA280" i="6"/>
  <c r="AC64" i="6"/>
  <c r="AC304" i="6"/>
  <c r="AA30" i="6"/>
  <c r="AA192" i="6"/>
  <c r="AC61" i="6"/>
  <c r="AC331" i="6"/>
  <c r="AA288" i="6"/>
  <c r="AC72" i="6"/>
  <c r="AC24" i="6"/>
  <c r="AC248" i="6"/>
  <c r="AA54" i="6"/>
  <c r="AC200" i="6"/>
  <c r="AC232" i="6"/>
  <c r="AA34" i="6"/>
  <c r="AA232" i="6"/>
  <c r="AA104" i="6"/>
  <c r="AC54" i="6"/>
  <c r="AA112" i="6"/>
  <c r="AC15" i="6"/>
  <c r="AA53" i="6"/>
  <c r="AA64" i="6"/>
  <c r="AC328" i="6"/>
  <c r="AA304" i="6"/>
  <c r="AC96" i="6"/>
  <c r="AA61" i="6"/>
  <c r="AA331" i="6"/>
  <c r="AA72" i="6"/>
  <c r="AA24" i="6"/>
  <c r="AA248" i="6"/>
  <c r="AA200" i="6"/>
  <c r="AC339" i="6"/>
  <c r="AC34" i="6"/>
  <c r="AC256" i="6"/>
  <c r="AC216" i="6"/>
  <c r="AA328" i="6"/>
  <c r="AA96" i="6"/>
  <c r="AC120" i="6"/>
  <c r="AC11" i="6"/>
  <c r="AC224" i="6"/>
  <c r="AA339" i="6"/>
  <c r="AC128" i="6"/>
  <c r="AC152" i="6"/>
  <c r="AA160" i="6"/>
  <c r="AA46" i="6"/>
  <c r="AA256" i="6"/>
  <c r="AC40" i="6"/>
  <c r="AA216" i="6"/>
  <c r="AC240" i="6"/>
  <c r="AA120" i="6"/>
  <c r="AA11" i="6"/>
  <c r="AA224" i="6"/>
  <c r="AC176" i="6"/>
  <c r="AA18" i="6"/>
  <c r="AC280" i="6"/>
  <c r="AC30" i="6"/>
  <c r="AC192" i="6"/>
  <c r="AA40" i="6"/>
  <c r="AA240" i="6"/>
  <c r="AC264" i="6"/>
  <c r="AA176" i="6"/>
  <c r="AA42" i="6"/>
  <c r="AA128" i="6"/>
  <c r="AC18" i="6"/>
  <c r="AA152" i="6"/>
  <c r="AA56" i="6"/>
  <c r="AC184" i="6"/>
  <c r="AC136" i="6"/>
  <c r="AC27" i="6"/>
  <c r="AA264" i="6"/>
  <c r="AA48" i="6"/>
  <c r="AC7" i="6"/>
  <c r="AC144" i="6"/>
  <c r="AC341" i="6"/>
  <c r="AC312" i="6"/>
  <c r="AC42" i="6"/>
  <c r="AC272" i="6"/>
  <c r="AC296" i="6"/>
  <c r="AA401" i="6"/>
  <c r="AA13" i="6"/>
  <c r="AA80" i="6"/>
  <c r="AA184" i="6"/>
  <c r="AA136" i="6"/>
  <c r="AC160" i="6"/>
  <c r="AA27" i="6"/>
  <c r="AC48" i="6"/>
  <c r="AA50" i="6"/>
  <c r="AA7" i="6"/>
  <c r="AA144" i="6"/>
  <c r="AA341" i="6"/>
  <c r="AA312" i="6"/>
  <c r="AC104" i="6"/>
  <c r="AC13" i="6"/>
  <c r="AA272" i="6"/>
  <c r="AC56" i="6"/>
  <c r="AA296" i="6"/>
  <c r="AC80" i="6"/>
  <c r="AC401" i="6"/>
  <c r="AC46" i="6"/>
  <c r="AC50" i="6"/>
  <c r="AC288" i="6"/>
  <c r="AA55" i="6"/>
  <c r="AB324" i="8"/>
  <c r="AE324" i="8" s="1"/>
  <c r="AG324" i="8" s="1"/>
  <c r="AP300" i="8"/>
  <c r="AS300" i="8" s="1"/>
  <c r="AU300" i="8" s="1"/>
  <c r="AV300" i="8" s="1"/>
  <c r="AY300" i="8" s="1"/>
  <c r="AC391" i="6"/>
  <c r="AC327" i="6"/>
  <c r="N62" i="8"/>
  <c r="Q62" i="8" s="1"/>
  <c r="S62" i="8" s="1"/>
  <c r="AA101" i="6"/>
  <c r="AA164" i="6"/>
  <c r="AA334" i="6"/>
  <c r="N180" i="10"/>
  <c r="N47" i="9"/>
  <c r="Q47" i="9" s="1"/>
  <c r="S47" i="9" s="1"/>
  <c r="AC172" i="6"/>
  <c r="AP47" i="8"/>
  <c r="AS47" i="8" s="1"/>
  <c r="AU47" i="8" s="1"/>
  <c r="AP132" i="10"/>
  <c r="AS132" i="10" s="1"/>
  <c r="AU132" i="10" s="1"/>
  <c r="AC374" i="6"/>
  <c r="AA102" i="6"/>
  <c r="AA348" i="6"/>
  <c r="AC378" i="6"/>
  <c r="AC381" i="6"/>
  <c r="AA302" i="6"/>
  <c r="AC362" i="6"/>
  <c r="AA323" i="6"/>
  <c r="AA268" i="6"/>
  <c r="AC210" i="6"/>
  <c r="AB92" i="9"/>
  <c r="AE92" i="9" s="1"/>
  <c r="AG92" i="9" s="1"/>
  <c r="N244" i="8"/>
  <c r="Q244" i="8" s="1"/>
  <c r="S244" i="8" s="1"/>
  <c r="AA215" i="6"/>
  <c r="AC121" i="6"/>
  <c r="AA223" i="6"/>
  <c r="AC342" i="6"/>
  <c r="AA23" i="6"/>
  <c r="AC325" i="6"/>
  <c r="AP156" i="8"/>
  <c r="AS156" i="8" s="1"/>
  <c r="AU156" i="8" s="1"/>
  <c r="AC132" i="6"/>
  <c r="AB276" i="8"/>
  <c r="AE276" i="8" s="1"/>
  <c r="AG276" i="8" s="1"/>
  <c r="AA138" i="6"/>
  <c r="AA234" i="6"/>
  <c r="AB100" i="8"/>
  <c r="AE100" i="8" s="1"/>
  <c r="AG100" i="8" s="1"/>
  <c r="AH100" i="8" s="1"/>
  <c r="AA340" i="6"/>
  <c r="AB164" i="10"/>
  <c r="AE164" i="10" s="1"/>
  <c r="AG164" i="10" s="1"/>
  <c r="AA109" i="6"/>
  <c r="AC265" i="6"/>
  <c r="AP81" i="10"/>
  <c r="AS81" i="10" s="1"/>
  <c r="AU81" i="10" s="1"/>
  <c r="AP212" i="10"/>
  <c r="AS212" i="10" s="1"/>
  <c r="AU212" i="10" s="1"/>
  <c r="AC150" i="6"/>
  <c r="AP140" i="8"/>
  <c r="AS140" i="8" s="1"/>
  <c r="AU140" i="8" s="1"/>
  <c r="AV140" i="8" s="1"/>
  <c r="AY140" i="8" s="1"/>
  <c r="N324" i="9"/>
  <c r="Q324" i="9" s="1"/>
  <c r="S324" i="9" s="1"/>
  <c r="N132" i="10"/>
  <c r="Q132" i="10" s="1"/>
  <c r="S132" i="10" s="1"/>
  <c r="AC99" i="6"/>
  <c r="N204" i="9"/>
  <c r="Q204" i="9" s="1"/>
  <c r="S204" i="9" s="1"/>
  <c r="AB76" i="10"/>
  <c r="AE76" i="10" s="1"/>
  <c r="AG76" i="10" s="1"/>
  <c r="N316" i="9"/>
  <c r="Q316" i="9" s="1"/>
  <c r="S316" i="9" s="1"/>
  <c r="AC263" i="6"/>
  <c r="AB268" i="8"/>
  <c r="AE268" i="8" s="1"/>
  <c r="AG268" i="8" s="1"/>
  <c r="AA305" i="6"/>
  <c r="AA58" i="6"/>
  <c r="AB73" i="10"/>
  <c r="AE73" i="10" s="1"/>
  <c r="AG73" i="10" s="1"/>
  <c r="AA226" i="6"/>
  <c r="AB73" i="8"/>
  <c r="AE73" i="8" s="1"/>
  <c r="AG73" i="8" s="1"/>
  <c r="AP60" i="9"/>
  <c r="AA9" i="6"/>
  <c r="AC236" i="6"/>
  <c r="AP81" i="8"/>
  <c r="AS81" i="8" s="1"/>
  <c r="AU81" i="8" s="1"/>
  <c r="AP116" i="10"/>
  <c r="AS116" i="10" s="1"/>
  <c r="AU116" i="10" s="1"/>
  <c r="AC376" i="6"/>
  <c r="AP84" i="10"/>
  <c r="AS84" i="10" s="1"/>
  <c r="AU84" i="10" s="1"/>
  <c r="AA193" i="6"/>
  <c r="AC231" i="6"/>
  <c r="AC26" i="6"/>
  <c r="AA285" i="6"/>
  <c r="AA32" i="6"/>
  <c r="AP50" i="10"/>
  <c r="AB348" i="9"/>
  <c r="AE348" i="9" s="1"/>
  <c r="AG348" i="9" s="1"/>
  <c r="AC69" i="6"/>
  <c r="AA299" i="6"/>
  <c r="N361" i="10"/>
  <c r="Q361" i="10" s="1"/>
  <c r="S361" i="10" s="1"/>
  <c r="AA330" i="6"/>
  <c r="AC320" i="6"/>
  <c r="AB76" i="8"/>
  <c r="AE76" i="8" s="1"/>
  <c r="AG76" i="8" s="1"/>
  <c r="AC329" i="6"/>
  <c r="AA221" i="6"/>
  <c r="N27" i="8"/>
  <c r="Q27" i="8" s="1"/>
  <c r="S27" i="8" s="1"/>
  <c r="N351" i="9"/>
  <c r="Q351" i="9" s="1"/>
  <c r="S351" i="9" s="1"/>
  <c r="AC245" i="6"/>
  <c r="AB156" i="10"/>
  <c r="AE156" i="10" s="1"/>
  <c r="AG156" i="10" s="1"/>
  <c r="AC182" i="6"/>
  <c r="AC151" i="6"/>
  <c r="AC29" i="6"/>
  <c r="AA391" i="6"/>
  <c r="AB268" i="9"/>
  <c r="AE268" i="9" s="1"/>
  <c r="AG268" i="9" s="1"/>
  <c r="AA327" i="6"/>
  <c r="AB196" i="8"/>
  <c r="AE196" i="8" s="1"/>
  <c r="AG196" i="8" s="1"/>
  <c r="AA233" i="6"/>
  <c r="AA90" i="6"/>
  <c r="N116" i="9"/>
  <c r="Q116" i="9" s="1"/>
  <c r="S116" i="9" s="1"/>
  <c r="AA172" i="6"/>
  <c r="AP180" i="8"/>
  <c r="AS180" i="8" s="1"/>
  <c r="AU180" i="8" s="1"/>
  <c r="AV180" i="8" s="1"/>
  <c r="AY180" i="8" s="1"/>
  <c r="AA374" i="6"/>
  <c r="AP132" i="9"/>
  <c r="AS132" i="9" s="1"/>
  <c r="AU132" i="9" s="1"/>
  <c r="AC308" i="6"/>
  <c r="AC51" i="6"/>
  <c r="AA377" i="6"/>
  <c r="AC156" i="6"/>
  <c r="AB180" i="10"/>
  <c r="AC275" i="6"/>
  <c r="N204" i="8"/>
  <c r="Q204" i="8" s="1"/>
  <c r="S204" i="8" s="1"/>
  <c r="AC375" i="6"/>
  <c r="N196" i="10"/>
  <c r="Q196" i="10" s="1"/>
  <c r="S196" i="10" s="1"/>
  <c r="N44" i="10"/>
  <c r="Q44" i="10" s="1"/>
  <c r="S44" i="10" s="1"/>
  <c r="N220" i="8"/>
  <c r="Q220" i="8" s="1"/>
  <c r="S220" i="8" s="1"/>
  <c r="T220" i="8" s="1"/>
  <c r="N140" i="10"/>
  <c r="N92" i="8"/>
  <c r="Q92" i="8" s="1"/>
  <c r="S92" i="8" s="1"/>
  <c r="N284" i="9"/>
  <c r="Q284" i="9" s="1"/>
  <c r="S284" i="9" s="1"/>
  <c r="AC5" i="6"/>
  <c r="N73" i="10"/>
  <c r="Q73" i="10" s="1"/>
  <c r="S73" i="10" s="1"/>
  <c r="AP116" i="9"/>
  <c r="AS116" i="9" s="1"/>
  <c r="AU116" i="9" s="1"/>
  <c r="AA342" i="6"/>
  <c r="AC344" i="6"/>
  <c r="AA162" i="6"/>
  <c r="AP35" i="8"/>
  <c r="AS35" i="8" s="1"/>
  <c r="AU35" i="8" s="1"/>
  <c r="AV35" i="8" s="1"/>
  <c r="AY35" i="8" s="1"/>
  <c r="AC23" i="6"/>
  <c r="AA325" i="6"/>
  <c r="AB54" i="9"/>
  <c r="AE54" i="9" s="1"/>
  <c r="AG54" i="9" s="1"/>
  <c r="AA132" i="6"/>
  <c r="AB60" i="8"/>
  <c r="AE60" i="8" s="1"/>
  <c r="AG60" i="8" s="1"/>
  <c r="AH60" i="8" s="1"/>
  <c r="AB316" i="9"/>
  <c r="AE316" i="9" s="1"/>
  <c r="AG316" i="9" s="1"/>
  <c r="AC138" i="6"/>
  <c r="AB359" i="9"/>
  <c r="AE359" i="9" s="1"/>
  <c r="AG359" i="9" s="1"/>
  <c r="AC234" i="6"/>
  <c r="AC63" i="6"/>
  <c r="AC148" i="6"/>
  <c r="N124" i="9"/>
  <c r="Q124" i="9" s="1"/>
  <c r="S124" i="9" s="1"/>
  <c r="N27" i="9"/>
  <c r="Q27" i="9" s="1"/>
  <c r="S27" i="9" s="1"/>
  <c r="AC100" i="6"/>
  <c r="AA114" i="6"/>
  <c r="AC229" i="6"/>
  <c r="AA150" i="6"/>
  <c r="AC211" i="6"/>
  <c r="AP73" i="10"/>
  <c r="AS73" i="10" s="1"/>
  <c r="AU73" i="10" s="1"/>
  <c r="AA99" i="6"/>
  <c r="N54" i="9"/>
  <c r="Q54" i="9" s="1"/>
  <c r="S54" i="9" s="1"/>
  <c r="AC166" i="6"/>
  <c r="AP132" i="8"/>
  <c r="AS132" i="8" s="1"/>
  <c r="AU132" i="8" s="1"/>
  <c r="N268" i="10"/>
  <c r="Q268" i="10" s="1"/>
  <c r="S268" i="10" s="1"/>
  <c r="AC332" i="6"/>
  <c r="AA71" i="6"/>
  <c r="AB292" i="8"/>
  <c r="AE292" i="8" s="1"/>
  <c r="AG292" i="8" s="1"/>
  <c r="AA263" i="6"/>
  <c r="AB50" i="10"/>
  <c r="AP70" i="9"/>
  <c r="AC305" i="6"/>
  <c r="AC58" i="6"/>
  <c r="N84" i="10"/>
  <c r="Q84" i="10" s="1"/>
  <c r="S84" i="10" s="1"/>
  <c r="AB50" i="8"/>
  <c r="AE50" i="8" s="1"/>
  <c r="AG50" i="8" s="1"/>
  <c r="AH50" i="8" s="1"/>
  <c r="AP73" i="9"/>
  <c r="AS73" i="9" s="1"/>
  <c r="AU73" i="9" s="1"/>
  <c r="AP300" i="9"/>
  <c r="N54" i="10"/>
  <c r="Q54" i="10" s="1"/>
  <c r="S54" i="10" s="1"/>
  <c r="AC226" i="6"/>
  <c r="AB316" i="10"/>
  <c r="AE316" i="10" s="1"/>
  <c r="AG316" i="10" s="1"/>
  <c r="AA335" i="6"/>
  <c r="AC171" i="6"/>
  <c r="AC74" i="6"/>
  <c r="AC9" i="6"/>
  <c r="N332" i="10"/>
  <c r="Q332" i="10" s="1"/>
  <c r="S332" i="10" s="1"/>
  <c r="AA146" i="6"/>
  <c r="AP244" i="8"/>
  <c r="AS244" i="8" s="1"/>
  <c r="AU244" i="8" s="1"/>
  <c r="AA236" i="6"/>
  <c r="AA252" i="6"/>
  <c r="AB44" i="10"/>
  <c r="AE44" i="10" s="1"/>
  <c r="AG44" i="10" s="1"/>
  <c r="AC97" i="6"/>
  <c r="AC260" i="6"/>
  <c r="N292" i="8"/>
  <c r="Q292" i="8" s="1"/>
  <c r="S292" i="8" s="1"/>
  <c r="AA204" i="6"/>
  <c r="AC178" i="6"/>
  <c r="AC173" i="6"/>
  <c r="AP164" i="8"/>
  <c r="AS164" i="8" s="1"/>
  <c r="AU164" i="8" s="1"/>
  <c r="AC113" i="6"/>
  <c r="AA376" i="6"/>
  <c r="AA218" i="6"/>
  <c r="AA49" i="6"/>
  <c r="AC343" i="6"/>
  <c r="AC193" i="6"/>
  <c r="AA231" i="6"/>
  <c r="AA230" i="6"/>
  <c r="N132" i="8"/>
  <c r="Q132" i="8" s="1"/>
  <c r="S132" i="8" s="1"/>
  <c r="N124" i="10"/>
  <c r="Q124" i="10" s="1"/>
  <c r="S124" i="10" s="1"/>
  <c r="AA242" i="6"/>
  <c r="N156" i="10"/>
  <c r="Q156" i="10" s="1"/>
  <c r="S156" i="10" s="1"/>
  <c r="AB332" i="9"/>
  <c r="AE332" i="9" s="1"/>
  <c r="AG332" i="9" s="1"/>
  <c r="AA59" i="6"/>
  <c r="AC32" i="6"/>
  <c r="AP308" i="10"/>
  <c r="AS308" i="10" s="1"/>
  <c r="AU308" i="10" s="1"/>
  <c r="AB361" i="8"/>
  <c r="AE361" i="8" s="1"/>
  <c r="AG361" i="8" s="1"/>
  <c r="AP332" i="8"/>
  <c r="AS332" i="8" s="1"/>
  <c r="AU332" i="8" s="1"/>
  <c r="N70" i="9"/>
  <c r="AB50" i="9"/>
  <c r="AP50" i="8"/>
  <c r="AS50" i="8" s="1"/>
  <c r="AU50" i="8" s="1"/>
  <c r="AV50" i="8" s="1"/>
  <c r="AY50" i="8" s="1"/>
  <c r="AA69" i="6"/>
  <c r="AC137" i="6"/>
  <c r="AA159" i="6"/>
  <c r="AC134" i="6"/>
  <c r="AB421" i="9"/>
  <c r="AE421" i="9" s="1"/>
  <c r="AG421" i="9" s="1"/>
  <c r="AB252" i="9"/>
  <c r="AE252" i="9" s="1"/>
  <c r="AG252" i="9" s="1"/>
  <c r="AC330" i="6"/>
  <c r="AA115" i="6"/>
  <c r="AB332" i="10"/>
  <c r="AE332" i="10" s="1"/>
  <c r="AG332" i="10" s="1"/>
  <c r="AA320" i="6"/>
  <c r="N68" i="8"/>
  <c r="Q68" i="8" s="1"/>
  <c r="S68" i="8" s="1"/>
  <c r="AP84" i="8"/>
  <c r="AS84" i="8" s="1"/>
  <c r="AU84" i="8" s="1"/>
  <c r="AP359" i="8"/>
  <c r="AS359" i="8" s="1"/>
  <c r="AU359" i="8" s="1"/>
  <c r="N92" i="10"/>
  <c r="Q92" i="10" s="1"/>
  <c r="S92" i="10" s="1"/>
  <c r="AP196" i="9"/>
  <c r="AS196" i="9" s="1"/>
  <c r="AU196" i="9" s="1"/>
  <c r="AA199" i="6"/>
  <c r="AB164" i="9"/>
  <c r="AE164" i="9" s="1"/>
  <c r="AG164" i="9" s="1"/>
  <c r="AP44" i="8"/>
  <c r="AS44" i="8" s="1"/>
  <c r="AU44" i="8" s="1"/>
  <c r="AB324" i="10"/>
  <c r="AE324" i="10" s="1"/>
  <c r="AG324" i="10" s="1"/>
  <c r="AA245" i="6"/>
  <c r="AA185" i="6"/>
  <c r="AP116" i="8"/>
  <c r="AS116" i="8" s="1"/>
  <c r="AU116" i="8" s="1"/>
  <c r="N84" i="8"/>
  <c r="Q84" i="8" s="1"/>
  <c r="S84" i="8" s="1"/>
  <c r="AB204" i="8"/>
  <c r="AE204" i="8" s="1"/>
  <c r="AG204" i="8" s="1"/>
  <c r="AC277" i="6"/>
  <c r="AC397" i="6"/>
  <c r="AB74" i="9"/>
  <c r="AE74" i="9" s="1"/>
  <c r="AG74" i="9" s="1"/>
  <c r="AB196" i="10"/>
  <c r="AE196" i="10" s="1"/>
  <c r="AG196" i="10" s="1"/>
  <c r="AC108" i="6"/>
  <c r="AA281" i="6"/>
  <c r="AC146" i="6"/>
  <c r="AA260" i="6"/>
  <c r="N332" i="9"/>
  <c r="Q332" i="9" s="1"/>
  <c r="S332" i="9" s="1"/>
  <c r="AC336" i="6"/>
  <c r="N164" i="9"/>
  <c r="Q164" i="9" s="1"/>
  <c r="S164" i="9" s="1"/>
  <c r="AC261" i="6"/>
  <c r="N132" i="9"/>
  <c r="Q132" i="9" s="1"/>
  <c r="S132" i="9" s="1"/>
  <c r="AB27" i="8"/>
  <c r="AE27" i="8" s="1"/>
  <c r="AG27" i="8" s="1"/>
  <c r="N351" i="8"/>
  <c r="Q351" i="8" s="1"/>
  <c r="S351" i="8" s="1"/>
  <c r="N156" i="9"/>
  <c r="Q156" i="9" s="1"/>
  <c r="S156" i="9" s="1"/>
  <c r="AC127" i="6"/>
  <c r="AA134" i="6"/>
  <c r="N196" i="9"/>
  <c r="Q196" i="9" s="1"/>
  <c r="S196" i="9" s="1"/>
  <c r="AA274" i="6"/>
  <c r="AB47" i="10"/>
  <c r="AE47" i="10" s="1"/>
  <c r="AG47" i="10" s="1"/>
  <c r="AP156" i="9"/>
  <c r="AS156" i="9" s="1"/>
  <c r="AU156" i="9" s="1"/>
  <c r="AA194" i="6"/>
  <c r="AB348" i="8"/>
  <c r="AE348" i="8" s="1"/>
  <c r="AG348" i="8" s="1"/>
  <c r="AB33" i="10"/>
  <c r="AE33" i="10" s="1"/>
  <c r="AG33" i="10" s="1"/>
  <c r="AA170" i="6"/>
  <c r="AP68" i="10"/>
  <c r="AS68" i="10" s="1"/>
  <c r="AU68" i="10" s="1"/>
  <c r="AA52" i="6"/>
  <c r="AA180" i="6"/>
  <c r="N38" i="10"/>
  <c r="Q38" i="10" s="1"/>
  <c r="S38" i="10" s="1"/>
  <c r="AA182" i="6"/>
  <c r="AA151" i="6"/>
  <c r="AA29" i="6"/>
  <c r="AP38" i="9"/>
  <c r="AS38" i="9" s="1"/>
  <c r="AU38" i="9" s="1"/>
  <c r="AC206" i="6"/>
  <c r="AP361" i="9"/>
  <c r="AS361" i="9" s="1"/>
  <c r="AU361" i="9" s="1"/>
  <c r="N244" i="9"/>
  <c r="Q244" i="9" s="1"/>
  <c r="S244" i="9" s="1"/>
  <c r="AC233" i="6"/>
  <c r="AC167" i="6"/>
  <c r="AC90" i="6"/>
  <c r="AA313" i="6"/>
  <c r="AC158" i="6"/>
  <c r="N252" i="10"/>
  <c r="Q252" i="10" s="1"/>
  <c r="S252" i="10" s="1"/>
  <c r="AA308" i="6"/>
  <c r="AA356" i="6"/>
  <c r="AP220" i="10"/>
  <c r="AA57" i="6"/>
  <c r="AA51" i="6"/>
  <c r="AP359" i="9"/>
  <c r="AS359" i="9" s="1"/>
  <c r="AU359" i="9" s="1"/>
  <c r="AP268" i="10"/>
  <c r="AS268" i="10" s="1"/>
  <c r="AU268" i="10" s="1"/>
  <c r="AC377" i="6"/>
  <c r="AA156" i="6"/>
  <c r="N284" i="10"/>
  <c r="Q284" i="10" s="1"/>
  <c r="S284" i="10" s="1"/>
  <c r="AA275" i="6"/>
  <c r="AA375" i="6"/>
  <c r="N292" i="9"/>
  <c r="Q292" i="9" s="1"/>
  <c r="S292" i="9" s="1"/>
  <c r="AA369" i="6"/>
  <c r="AB361" i="9"/>
  <c r="AE361" i="9" s="1"/>
  <c r="AG361" i="9" s="1"/>
  <c r="N268" i="9"/>
  <c r="Q268" i="9" s="1"/>
  <c r="S268" i="9" s="1"/>
  <c r="AA282" i="6"/>
  <c r="AC181" i="6"/>
  <c r="AB47" i="8"/>
  <c r="AE47" i="8" s="1"/>
  <c r="AG47" i="8" s="1"/>
  <c r="AA344" i="6"/>
  <c r="AC162" i="6"/>
  <c r="AB204" i="9"/>
  <c r="AE204" i="9" s="1"/>
  <c r="AG204" i="9" s="1"/>
  <c r="AC43" i="6"/>
  <c r="AB148" i="9"/>
  <c r="AE148" i="9" s="1"/>
  <c r="AG148" i="9" s="1"/>
  <c r="AA290" i="6"/>
  <c r="AA202" i="6"/>
  <c r="AA63" i="6"/>
  <c r="AP60" i="10"/>
  <c r="AA148" i="6"/>
  <c r="AA289" i="6"/>
  <c r="AA100" i="6"/>
  <c r="AC114" i="6"/>
  <c r="AP44" i="9"/>
  <c r="AS44" i="9" s="1"/>
  <c r="AU44" i="9" s="1"/>
  <c r="AA229" i="6"/>
  <c r="AP268" i="8"/>
  <c r="AS268" i="8" s="1"/>
  <c r="AU268" i="8" s="1"/>
  <c r="AC392" i="6"/>
  <c r="AP260" i="10"/>
  <c r="AA211" i="6"/>
  <c r="AA166" i="6"/>
  <c r="AC333" i="6"/>
  <c r="AC380" i="6"/>
  <c r="AC361" i="6"/>
  <c r="AA332" i="6"/>
  <c r="AB44" i="8"/>
  <c r="AE44" i="8" s="1"/>
  <c r="AG44" i="8" s="1"/>
  <c r="N35" i="9"/>
  <c r="N348" i="8"/>
  <c r="Q348" i="8" s="1"/>
  <c r="S348" i="8" s="1"/>
  <c r="AB308" i="9"/>
  <c r="AE308" i="9" s="1"/>
  <c r="AG308" i="9" s="1"/>
  <c r="AB260" i="10"/>
  <c r="N50" i="9"/>
  <c r="AB140" i="8"/>
  <c r="AE140" i="8" s="1"/>
  <c r="AG140" i="8" s="1"/>
  <c r="AH140" i="8" s="1"/>
  <c r="AC124" i="6"/>
  <c r="N84" i="9"/>
  <c r="Q84" i="9" s="1"/>
  <c r="S84" i="9" s="1"/>
  <c r="AA171" i="6"/>
  <c r="AB124" i="10"/>
  <c r="AE124" i="10" s="1"/>
  <c r="AG124" i="10" s="1"/>
  <c r="AB27" i="10"/>
  <c r="AE27" i="10" s="1"/>
  <c r="AG27" i="10" s="1"/>
  <c r="AA173" i="6"/>
  <c r="AP50" i="9"/>
  <c r="AC218" i="6"/>
  <c r="N140" i="8"/>
  <c r="Q140" i="8" s="1"/>
  <c r="S140" i="8" s="1"/>
  <c r="T140" i="8" s="1"/>
  <c r="AC49" i="6"/>
  <c r="AA343" i="6"/>
  <c r="AC242" i="6"/>
  <c r="N308" i="10"/>
  <c r="Q308" i="10" s="1"/>
  <c r="S308" i="10" s="1"/>
  <c r="AC208" i="6"/>
  <c r="AC396" i="6"/>
  <c r="AC36" i="6"/>
  <c r="AA82" i="6"/>
  <c r="AP324" i="10"/>
  <c r="AS324" i="10" s="1"/>
  <c r="AU324" i="10" s="1"/>
  <c r="AB260" i="9"/>
  <c r="AC190" i="6"/>
  <c r="AC22" i="6"/>
  <c r="N60" i="9"/>
  <c r="N76" i="9"/>
  <c r="Q76" i="9" s="1"/>
  <c r="S76" i="9" s="1"/>
  <c r="AA266" i="6"/>
  <c r="AP196" i="8"/>
  <c r="AS196" i="8" s="1"/>
  <c r="AU196" i="8" s="1"/>
  <c r="AC139" i="6"/>
  <c r="AP68" i="9"/>
  <c r="AS68" i="9" s="1"/>
  <c r="AU68" i="9" s="1"/>
  <c r="AB212" i="8"/>
  <c r="AE212" i="8" s="1"/>
  <c r="AG212" i="8" s="1"/>
  <c r="AC185" i="6"/>
  <c r="AC287" i="6"/>
  <c r="AB35" i="9"/>
  <c r="N252" i="9"/>
  <c r="Q252" i="9" s="1"/>
  <c r="S252" i="9" s="1"/>
  <c r="AA277" i="6"/>
  <c r="AA298" i="6"/>
  <c r="AC247" i="6"/>
  <c r="AP324" i="8"/>
  <c r="AS324" i="8" s="1"/>
  <c r="AU324" i="8" s="1"/>
  <c r="AC294" i="6"/>
  <c r="AC306" i="6"/>
  <c r="AC209" i="6"/>
  <c r="AA397" i="6"/>
  <c r="N359" i="8"/>
  <c r="Q359" i="8" s="1"/>
  <c r="S359" i="8" s="1"/>
  <c r="AB68" i="9"/>
  <c r="AE68" i="9" s="1"/>
  <c r="AG68" i="9" s="1"/>
  <c r="AA98" i="6"/>
  <c r="AA206" i="6"/>
  <c r="N38" i="8"/>
  <c r="Q38" i="8" s="1"/>
  <c r="S38" i="8" s="1"/>
  <c r="AB244" i="8"/>
  <c r="AE244" i="8" s="1"/>
  <c r="AG244" i="8" s="1"/>
  <c r="AA167" i="6"/>
  <c r="AP236" i="10"/>
  <c r="AS236" i="10" s="1"/>
  <c r="AU236" i="10" s="1"/>
  <c r="AC313" i="6"/>
  <c r="AA158" i="6"/>
  <c r="AA17" i="6"/>
  <c r="AC68" i="6"/>
  <c r="AA258" i="6"/>
  <c r="AC38" i="6"/>
  <c r="AC356" i="6"/>
  <c r="AC57" i="6"/>
  <c r="N62" i="10"/>
  <c r="Q62" i="10" s="1"/>
  <c r="S62" i="10" s="1"/>
  <c r="AP316" i="8"/>
  <c r="AS316" i="8" s="1"/>
  <c r="AU316" i="8" s="1"/>
  <c r="AC84" i="6"/>
  <c r="AA39" i="6"/>
  <c r="AC390" i="6"/>
  <c r="AB116" i="8"/>
  <c r="AE116" i="8" s="1"/>
  <c r="AG116" i="8" s="1"/>
  <c r="N33" i="10"/>
  <c r="Q33" i="10" s="1"/>
  <c r="S33" i="10" s="1"/>
  <c r="AC369" i="6"/>
  <c r="AA8" i="6"/>
  <c r="AP33" i="8"/>
  <c r="AS33" i="8" s="1"/>
  <c r="AU33" i="8" s="1"/>
  <c r="N81" i="10"/>
  <c r="Q81" i="10" s="1"/>
  <c r="S81" i="10" s="1"/>
  <c r="N76" i="8"/>
  <c r="Q76" i="8" s="1"/>
  <c r="S76" i="8" s="1"/>
  <c r="AB27" i="9"/>
  <c r="AE27" i="9" s="1"/>
  <c r="AG27" i="9" s="1"/>
  <c r="N70" i="10"/>
  <c r="AP351" i="10"/>
  <c r="AS351" i="10" s="1"/>
  <c r="AU351" i="10" s="1"/>
  <c r="AC75" i="6"/>
  <c r="AA177" i="6"/>
  <c r="AA5" i="6"/>
  <c r="N70" i="8"/>
  <c r="Q70" i="8" s="1"/>
  <c r="S70" i="8" s="1"/>
  <c r="T70" i="8" s="1"/>
  <c r="AC282" i="6"/>
  <c r="AA181" i="6"/>
  <c r="AB236" i="10"/>
  <c r="AE236" i="10" s="1"/>
  <c r="AG236" i="10" s="1"/>
  <c r="AB132" i="10"/>
  <c r="AE132" i="10" s="1"/>
  <c r="AG132" i="10" s="1"/>
  <c r="AA43" i="6"/>
  <c r="AB359" i="10"/>
  <c r="AE359" i="10" s="1"/>
  <c r="AG359" i="10" s="1"/>
  <c r="AA145" i="6"/>
  <c r="AC324" i="6"/>
  <c r="AA153" i="6"/>
  <c r="AC353" i="6"/>
  <c r="AC290" i="6"/>
  <c r="AC202" i="6"/>
  <c r="AP44" i="10"/>
  <c r="AS44" i="10" s="1"/>
  <c r="AU44" i="10" s="1"/>
  <c r="AP244" i="10"/>
  <c r="AS244" i="10" s="1"/>
  <c r="AU244" i="10" s="1"/>
  <c r="AC289" i="6"/>
  <c r="AA392" i="6"/>
  <c r="AC276" i="6"/>
  <c r="AA154" i="6"/>
  <c r="AC292" i="6"/>
  <c r="AC91" i="6"/>
  <c r="N180" i="8"/>
  <c r="Q180" i="8" s="1"/>
  <c r="S180" i="8" s="1"/>
  <c r="T180" i="8" s="1"/>
  <c r="AA66" i="6"/>
  <c r="AP73" i="8"/>
  <c r="AS73" i="8" s="1"/>
  <c r="AU73" i="8" s="1"/>
  <c r="AP316" i="10"/>
  <c r="AS316" i="10" s="1"/>
  <c r="AU316" i="10" s="1"/>
  <c r="AA333" i="6"/>
  <c r="N172" i="9"/>
  <c r="Q172" i="9" s="1"/>
  <c r="S172" i="9" s="1"/>
  <c r="AA380" i="6"/>
  <c r="N359" i="9"/>
  <c r="Q359" i="9" s="1"/>
  <c r="S359" i="9" s="1"/>
  <c r="N316" i="8"/>
  <c r="Q316" i="8" s="1"/>
  <c r="S316" i="8" s="1"/>
  <c r="AA361" i="6"/>
  <c r="AC354" i="6"/>
  <c r="AC346" i="6"/>
  <c r="AP220" i="8"/>
  <c r="AS220" i="8" s="1"/>
  <c r="AU220" i="8" s="1"/>
  <c r="AV220" i="8" s="1"/>
  <c r="AY220" i="8" s="1"/>
  <c r="AA186" i="6"/>
  <c r="AP252" i="10"/>
  <c r="AS252" i="10" s="1"/>
  <c r="AU252" i="10" s="1"/>
  <c r="AA108" i="6"/>
  <c r="AC310" i="6"/>
  <c r="AC203" i="6"/>
  <c r="AC116" i="6"/>
  <c r="AB35" i="10"/>
  <c r="AA124" i="6"/>
  <c r="AP204" i="10"/>
  <c r="AS204" i="10" s="1"/>
  <c r="AU204" i="10" s="1"/>
  <c r="AC244" i="6"/>
  <c r="AC70" i="6"/>
  <c r="AC141" i="6"/>
  <c r="AC355" i="6"/>
  <c r="AC281" i="6"/>
  <c r="AB421" i="10"/>
  <c r="AE421" i="10" s="1"/>
  <c r="AG421" i="10" s="1"/>
  <c r="AC303" i="6"/>
  <c r="AB81" i="10"/>
  <c r="AE81" i="10" s="1"/>
  <c r="AG81" i="10" s="1"/>
  <c r="AP27" i="9"/>
  <c r="AS27" i="9" s="1"/>
  <c r="AU27" i="9" s="1"/>
  <c r="AB44" i="9"/>
  <c r="AE44" i="9" s="1"/>
  <c r="AG44" i="9" s="1"/>
  <c r="AC251" i="6"/>
  <c r="AC93" i="6"/>
  <c r="AB92" i="10"/>
  <c r="AE92" i="10" s="1"/>
  <c r="AG92" i="10" s="1"/>
  <c r="AA336" i="6"/>
  <c r="AB212" i="9"/>
  <c r="AE212" i="9" s="1"/>
  <c r="AG212" i="9" s="1"/>
  <c r="N50" i="8"/>
  <c r="Q50" i="8" s="1"/>
  <c r="S50" i="8" s="1"/>
  <c r="T50" i="8" s="1"/>
  <c r="N66" i="10"/>
  <c r="Q66" i="10" s="1"/>
  <c r="S66" i="10" s="1"/>
  <c r="AB300" i="9"/>
  <c r="AC300" i="6"/>
  <c r="AA130" i="6"/>
  <c r="AA261" i="6"/>
  <c r="AB172" i="10"/>
  <c r="AE172" i="10" s="1"/>
  <c r="AG172" i="10" s="1"/>
  <c r="AB172" i="9"/>
  <c r="AE172" i="9" s="1"/>
  <c r="AG172" i="9" s="1"/>
  <c r="AB361" i="10"/>
  <c r="AE361" i="10" s="1"/>
  <c r="AG361" i="10" s="1"/>
  <c r="N172" i="8"/>
  <c r="Q172" i="8" s="1"/>
  <c r="S172" i="8" s="1"/>
  <c r="N324" i="10"/>
  <c r="Q324" i="10" s="1"/>
  <c r="S324" i="10" s="1"/>
  <c r="N33" i="8"/>
  <c r="Q33" i="8" s="1"/>
  <c r="S33" i="8" s="1"/>
  <c r="AA208" i="6"/>
  <c r="AC238" i="6"/>
  <c r="AA396" i="6"/>
  <c r="AA36" i="6"/>
  <c r="AC82" i="6"/>
  <c r="N81" i="9"/>
  <c r="Q81" i="9" s="1"/>
  <c r="S81" i="9" s="1"/>
  <c r="N68" i="10"/>
  <c r="Q68" i="10" s="1"/>
  <c r="S68" i="10" s="1"/>
  <c r="AB351" i="9"/>
  <c r="AE351" i="9" s="1"/>
  <c r="AG351" i="9" s="1"/>
  <c r="AB31" i="8"/>
  <c r="AE31" i="8" s="1"/>
  <c r="AG31" i="8" s="1"/>
  <c r="AP66" i="10"/>
  <c r="AS66" i="10" s="1"/>
  <c r="AU66" i="10" s="1"/>
  <c r="AA190" i="6"/>
  <c r="AA22" i="6"/>
  <c r="AA127" i="6"/>
  <c r="AA321" i="6"/>
  <c r="N172" i="10"/>
  <c r="Q172" i="10" s="1"/>
  <c r="S172" i="10" s="1"/>
  <c r="AP33" i="10"/>
  <c r="AS33" i="10" s="1"/>
  <c r="AU33" i="10" s="1"/>
  <c r="AB38" i="10"/>
  <c r="AE38" i="10" s="1"/>
  <c r="AG38" i="10" s="1"/>
  <c r="N292" i="10"/>
  <c r="Q292" i="10" s="1"/>
  <c r="S292" i="10" s="1"/>
  <c r="AP33" i="9"/>
  <c r="AS33" i="9" s="1"/>
  <c r="AU33" i="9" s="1"/>
  <c r="AP196" i="10"/>
  <c r="AS196" i="10" s="1"/>
  <c r="AU196" i="10" s="1"/>
  <c r="AC266" i="6"/>
  <c r="AC140" i="6"/>
  <c r="AP54" i="8"/>
  <c r="AS54" i="8" s="1"/>
  <c r="AU54" i="8" s="1"/>
  <c r="AC174" i="6"/>
  <c r="AB308" i="10"/>
  <c r="AE308" i="10" s="1"/>
  <c r="AG308" i="10" s="1"/>
  <c r="AP62" i="8"/>
  <c r="AS62" i="8" s="1"/>
  <c r="AU62" i="8" s="1"/>
  <c r="AC274" i="6"/>
  <c r="AP284" i="10"/>
  <c r="AS284" i="10" s="1"/>
  <c r="AU284" i="10" s="1"/>
  <c r="AA139" i="6"/>
  <c r="N81" i="8"/>
  <c r="Q81" i="8" s="1"/>
  <c r="S81" i="8" s="1"/>
  <c r="N116" i="10"/>
  <c r="Q116" i="10" s="1"/>
  <c r="S116" i="10" s="1"/>
  <c r="AC279" i="6"/>
  <c r="AP47" i="9"/>
  <c r="AS47" i="9" s="1"/>
  <c r="AU47" i="9" s="1"/>
  <c r="AA287" i="6"/>
  <c r="AC194" i="6"/>
  <c r="AB132" i="9"/>
  <c r="AE132" i="9" s="1"/>
  <c r="AG132" i="9" s="1"/>
  <c r="AC107" i="6"/>
  <c r="AA217" i="6"/>
  <c r="AC399" i="6"/>
  <c r="AC298" i="6"/>
  <c r="AB252" i="8"/>
  <c r="AE252" i="8" s="1"/>
  <c r="AG252" i="8" s="1"/>
  <c r="AC170" i="6"/>
  <c r="AA247" i="6"/>
  <c r="AP348" i="10"/>
  <c r="AS348" i="10" s="1"/>
  <c r="AU348" i="10" s="1"/>
  <c r="N204" i="10"/>
  <c r="Q204" i="10" s="1"/>
  <c r="S204" i="10" s="1"/>
  <c r="AC318" i="6"/>
  <c r="AA129" i="6"/>
  <c r="AA386" i="6"/>
  <c r="AC255" i="6"/>
  <c r="AC142" i="6"/>
  <c r="N361" i="8"/>
  <c r="Q361" i="8" s="1"/>
  <c r="S361" i="8" s="1"/>
  <c r="AB332" i="8"/>
  <c r="AE332" i="8" s="1"/>
  <c r="AG332" i="8" s="1"/>
  <c r="AC271" i="6"/>
  <c r="AA279" i="6"/>
  <c r="AC317" i="6"/>
  <c r="AB276" i="10"/>
  <c r="AE276" i="10" s="1"/>
  <c r="AG276" i="10" s="1"/>
  <c r="AC217" i="6"/>
  <c r="AA399" i="6"/>
  <c r="AP359" i="10"/>
  <c r="AS359" i="10" s="1"/>
  <c r="AU359" i="10" s="1"/>
  <c r="AC103" i="6"/>
  <c r="AB196" i="9"/>
  <c r="AE196" i="9" s="1"/>
  <c r="AG196" i="9" s="1"/>
  <c r="AA47" i="6"/>
  <c r="AP421" i="9"/>
  <c r="AS421" i="9" s="1"/>
  <c r="AU421" i="9" s="1"/>
  <c r="AA81" i="6"/>
  <c r="AP220" i="9"/>
  <c r="AC225" i="6"/>
  <c r="AB164" i="8"/>
  <c r="AE164" i="8" s="1"/>
  <c r="AG164" i="8" s="1"/>
  <c r="AP148" i="10"/>
  <c r="AS148" i="10" s="1"/>
  <c r="AU148" i="10" s="1"/>
  <c r="AP92" i="10"/>
  <c r="AS92" i="10" s="1"/>
  <c r="AU92" i="10" s="1"/>
  <c r="AC44" i="6"/>
  <c r="AC94" i="6"/>
  <c r="N236" i="8"/>
  <c r="Q236" i="8" s="1"/>
  <c r="S236" i="8" s="1"/>
  <c r="AA77" i="6"/>
  <c r="AC389" i="6"/>
  <c r="AC98" i="6"/>
  <c r="N148" i="9"/>
  <c r="Q148" i="9" s="1"/>
  <c r="S148" i="9" s="1"/>
  <c r="N164" i="10"/>
  <c r="Q164" i="10" s="1"/>
  <c r="S164" i="10" s="1"/>
  <c r="AB31" i="9"/>
  <c r="AE31" i="9" s="1"/>
  <c r="AG31" i="9" s="1"/>
  <c r="AC86" i="6"/>
  <c r="AC267" i="6"/>
  <c r="AC83" i="6"/>
  <c r="AP284" i="8"/>
  <c r="AS284" i="8" s="1"/>
  <c r="AU284" i="8" s="1"/>
  <c r="AP35" i="9"/>
  <c r="AB236" i="9"/>
  <c r="AE236" i="9" s="1"/>
  <c r="AG236" i="9" s="1"/>
  <c r="AC17" i="6"/>
  <c r="AA68" i="6"/>
  <c r="AB66" i="9"/>
  <c r="AE66" i="9" s="1"/>
  <c r="AG66" i="9" s="1"/>
  <c r="AC258" i="6"/>
  <c r="AB300" i="8"/>
  <c r="AE300" i="8" s="1"/>
  <c r="AG300" i="8" s="1"/>
  <c r="AH300" i="8" s="1"/>
  <c r="AA38" i="6"/>
  <c r="AP60" i="8"/>
  <c r="AS60" i="8" s="1"/>
  <c r="AU60" i="8" s="1"/>
  <c r="AV60" i="8" s="1"/>
  <c r="AY60" i="8" s="1"/>
  <c r="AP276" i="8"/>
  <c r="AS276" i="8" s="1"/>
  <c r="AU276" i="8" s="1"/>
  <c r="AC20" i="6"/>
  <c r="AA41" i="6"/>
  <c r="AB38" i="9"/>
  <c r="AE38" i="9" s="1"/>
  <c r="AG38" i="9" s="1"/>
  <c r="AA84" i="6"/>
  <c r="AC39" i="6"/>
  <c r="AA390" i="6"/>
  <c r="AB116" i="9"/>
  <c r="AE116" i="9" s="1"/>
  <c r="AG116" i="9" s="1"/>
  <c r="AC198" i="6"/>
  <c r="N74" i="9"/>
  <c r="Q74" i="9" s="1"/>
  <c r="S74" i="9" s="1"/>
  <c r="AC8" i="6"/>
  <c r="AB74" i="8"/>
  <c r="AE74" i="8" s="1"/>
  <c r="AG74" i="8" s="1"/>
  <c r="AC157" i="6"/>
  <c r="AC111" i="6"/>
  <c r="N196" i="8"/>
  <c r="Q196" i="8" s="1"/>
  <c r="S196" i="8" s="1"/>
  <c r="AA75" i="6"/>
  <c r="AC237" i="6"/>
  <c r="AB140" i="9"/>
  <c r="AC177" i="6"/>
  <c r="AB284" i="8"/>
  <c r="AE284" i="8" s="1"/>
  <c r="AG284" i="8" s="1"/>
  <c r="AA257" i="6"/>
  <c r="AC295" i="6"/>
  <c r="AC21" i="6"/>
  <c r="AB252" i="10"/>
  <c r="AE252" i="10" s="1"/>
  <c r="AG252" i="10" s="1"/>
  <c r="AP100" i="9"/>
  <c r="AC145" i="6"/>
  <c r="AB62" i="10"/>
  <c r="AE62" i="10" s="1"/>
  <c r="AG62" i="10" s="1"/>
  <c r="AA324" i="6"/>
  <c r="AC153" i="6"/>
  <c r="AA353" i="6"/>
  <c r="AB268" i="10"/>
  <c r="AE268" i="10" s="1"/>
  <c r="AG268" i="10" s="1"/>
  <c r="AA250" i="6"/>
  <c r="AC183" i="6"/>
  <c r="AP292" i="8"/>
  <c r="AS292" i="8" s="1"/>
  <c r="AU292" i="8" s="1"/>
  <c r="AA394" i="6"/>
  <c r="AP308" i="9"/>
  <c r="AS308" i="9" s="1"/>
  <c r="AU308" i="9" s="1"/>
  <c r="AA276" i="6"/>
  <c r="AP308" i="8"/>
  <c r="AS308" i="8" s="1"/>
  <c r="AU308" i="8" s="1"/>
  <c r="AC154" i="6"/>
  <c r="AP35" i="10"/>
  <c r="N180" i="9"/>
  <c r="AA292" i="6"/>
  <c r="AA91" i="6"/>
  <c r="AP54" i="10"/>
  <c r="AS54" i="10" s="1"/>
  <c r="AU54" i="10" s="1"/>
  <c r="AC66" i="6"/>
  <c r="AC133" i="6"/>
  <c r="AC168" i="6"/>
  <c r="AP124" i="10"/>
  <c r="AS124" i="10" s="1"/>
  <c r="AU124" i="10" s="1"/>
  <c r="AA354" i="6"/>
  <c r="AA346" i="6"/>
  <c r="AB81" i="9"/>
  <c r="AE81" i="9" s="1"/>
  <c r="AG81" i="9" s="1"/>
  <c r="AC186" i="6"/>
  <c r="AC319" i="6"/>
  <c r="AB70" i="10"/>
  <c r="AA310" i="6"/>
  <c r="AA203" i="6"/>
  <c r="N31" i="8"/>
  <c r="Q31" i="8" s="1"/>
  <c r="S31" i="8" s="1"/>
  <c r="AB308" i="8"/>
  <c r="AE308" i="8" s="1"/>
  <c r="AG308" i="8" s="1"/>
  <c r="AA116" i="6"/>
  <c r="AP351" i="8"/>
  <c r="AS351" i="8" s="1"/>
  <c r="AU351" i="8" s="1"/>
  <c r="AC309" i="6"/>
  <c r="AP180" i="9"/>
  <c r="AP100" i="10"/>
  <c r="AA244" i="6"/>
  <c r="AA70" i="6"/>
  <c r="AA141" i="6"/>
  <c r="N76" i="10"/>
  <c r="Q76" i="10" s="1"/>
  <c r="S76" i="10" s="1"/>
  <c r="AP361" i="10"/>
  <c r="AS361" i="10" s="1"/>
  <c r="AU361" i="10" s="1"/>
  <c r="AA355" i="6"/>
  <c r="AB172" i="8"/>
  <c r="AE172" i="8" s="1"/>
  <c r="AG172" i="8" s="1"/>
  <c r="AB156" i="9"/>
  <c r="AE156" i="9" s="1"/>
  <c r="AG156" i="9" s="1"/>
  <c r="AC197" i="6"/>
  <c r="AA303" i="6"/>
  <c r="AP74" i="8"/>
  <c r="AS74" i="8" s="1"/>
  <c r="AU74" i="8" s="1"/>
  <c r="N27" i="10"/>
  <c r="Q27" i="10" s="1"/>
  <c r="S27" i="10" s="1"/>
  <c r="AP62" i="9"/>
  <c r="AS62" i="9" s="1"/>
  <c r="AU62" i="9" s="1"/>
  <c r="AA251" i="6"/>
  <c r="AA93" i="6"/>
  <c r="AP148" i="8"/>
  <c r="AS148" i="8" s="1"/>
  <c r="AU148" i="8" s="1"/>
  <c r="N212" i="10"/>
  <c r="Q212" i="10" s="1"/>
  <c r="S212" i="10" s="1"/>
  <c r="N260" i="10"/>
  <c r="AB351" i="8"/>
  <c r="AE351" i="8" s="1"/>
  <c r="AG351" i="8" s="1"/>
  <c r="AP348" i="9"/>
  <c r="AS348" i="9" s="1"/>
  <c r="AU348" i="9" s="1"/>
  <c r="AB54" i="10"/>
  <c r="AE54" i="10" s="1"/>
  <c r="AG54" i="10" s="1"/>
  <c r="AA300" i="6"/>
  <c r="AC130" i="6"/>
  <c r="AP236" i="8"/>
  <c r="AS236" i="8" s="1"/>
  <c r="AU236" i="8" s="1"/>
  <c r="AC398" i="6"/>
  <c r="AA385" i="6"/>
  <c r="AC95" i="6"/>
  <c r="AA347" i="6"/>
  <c r="AC12" i="6"/>
  <c r="AA238" i="6"/>
  <c r="AC165" i="6"/>
  <c r="AP124" i="8"/>
  <c r="AS124" i="8" s="1"/>
  <c r="AU124" i="8" s="1"/>
  <c r="AC212" i="6"/>
  <c r="AC118" i="6"/>
  <c r="AB116" i="10"/>
  <c r="AE116" i="10" s="1"/>
  <c r="AG116" i="10" s="1"/>
  <c r="AC321" i="6"/>
  <c r="AP421" i="8"/>
  <c r="AS421" i="8" s="1"/>
  <c r="AU421" i="8" s="1"/>
  <c r="AA140" i="6"/>
  <c r="H33" i="5"/>
  <c r="AC187" i="6"/>
  <c r="AA174" i="6"/>
  <c r="AP38" i="8"/>
  <c r="AS38" i="8" s="1"/>
  <c r="AU38" i="8" s="1"/>
  <c r="AC67" i="6"/>
  <c r="AC278" i="6"/>
  <c r="AC60" i="6"/>
  <c r="N66" i="8"/>
  <c r="Q66" i="8" s="1"/>
  <c r="S66" i="8" s="1"/>
  <c r="AA107" i="6"/>
  <c r="N421" i="9"/>
  <c r="Q421" i="9" s="1"/>
  <c r="S421" i="9" s="1"/>
  <c r="AB33" i="9"/>
  <c r="AE33" i="9" s="1"/>
  <c r="AG33" i="9" s="1"/>
  <c r="AB421" i="8"/>
  <c r="AE421" i="8" s="1"/>
  <c r="AG421" i="8" s="1"/>
  <c r="AC254" i="6"/>
  <c r="AC14" i="6"/>
  <c r="AA131" i="6"/>
  <c r="AP92" i="9"/>
  <c r="AS92" i="9" s="1"/>
  <c r="AU92" i="9" s="1"/>
  <c r="N308" i="9"/>
  <c r="Q308" i="9" s="1"/>
  <c r="S308" i="9" s="1"/>
  <c r="AB70" i="9"/>
  <c r="AC214" i="6"/>
  <c r="AP31" i="8"/>
  <c r="AS31" i="8" s="1"/>
  <c r="AU31" i="8" s="1"/>
  <c r="N35" i="10"/>
  <c r="AB300" i="10"/>
  <c r="AC143" i="6"/>
  <c r="AC286" i="6"/>
  <c r="AB73" i="9"/>
  <c r="AE73" i="9" s="1"/>
  <c r="AG73" i="9" s="1"/>
  <c r="N73" i="8"/>
  <c r="Q73" i="8" s="1"/>
  <c r="S73" i="8" s="1"/>
  <c r="AC149" i="6"/>
  <c r="AA259" i="6"/>
  <c r="AC33" i="6"/>
  <c r="AC269" i="6"/>
  <c r="AC393" i="6"/>
  <c r="AC358" i="6"/>
  <c r="AP421" i="10"/>
  <c r="AS421" i="10" s="1"/>
  <c r="AU421" i="10" s="1"/>
  <c r="AP268" i="9"/>
  <c r="AS268" i="9" s="1"/>
  <c r="AU268" i="9" s="1"/>
  <c r="AP140" i="10"/>
  <c r="AP66" i="8"/>
  <c r="AS66" i="8" s="1"/>
  <c r="AU66" i="8" s="1"/>
  <c r="N252" i="8"/>
  <c r="Q252" i="8" s="1"/>
  <c r="S252" i="8" s="1"/>
  <c r="AC28" i="6"/>
  <c r="AA161" i="6"/>
  <c r="AC195" i="6"/>
  <c r="AC37" i="6"/>
  <c r="AA86" i="6"/>
  <c r="AA267" i="6"/>
  <c r="AB284" i="9"/>
  <c r="AE284" i="9" s="1"/>
  <c r="AG284" i="9" s="1"/>
  <c r="AA83" i="6"/>
  <c r="AC16" i="6"/>
  <c r="N276" i="10"/>
  <c r="Q276" i="10" s="1"/>
  <c r="S276" i="10" s="1"/>
  <c r="AP54" i="9"/>
  <c r="AS54" i="9" s="1"/>
  <c r="AU54" i="9" s="1"/>
  <c r="AC235" i="6"/>
  <c r="AC205" i="6"/>
  <c r="AA20" i="6"/>
  <c r="AC41" i="6"/>
  <c r="AP100" i="8"/>
  <c r="AS100" i="8" s="1"/>
  <c r="AU100" i="8" s="1"/>
  <c r="AV100" i="8" s="1"/>
  <c r="AY100" i="8" s="1"/>
  <c r="AC196" i="6"/>
  <c r="AA198" i="6"/>
  <c r="AC85" i="6"/>
  <c r="AC110" i="6"/>
  <c r="AC315" i="6"/>
  <c r="AA157" i="6"/>
  <c r="AB124" i="9"/>
  <c r="AE124" i="9" s="1"/>
  <c r="AG124" i="9" s="1"/>
  <c r="AA111" i="6"/>
  <c r="AC207" i="6"/>
  <c r="AA237" i="6"/>
  <c r="C30" i="7"/>
  <c r="AB324" i="9"/>
  <c r="AE324" i="9" s="1"/>
  <c r="AG324" i="9" s="1"/>
  <c r="AC62" i="6"/>
  <c r="AC283" i="6"/>
  <c r="AB180" i="8"/>
  <c r="AE180" i="8" s="1"/>
  <c r="AG180" i="8" s="1"/>
  <c r="AH180" i="8" s="1"/>
  <c r="AC257" i="6"/>
  <c r="AA295" i="6"/>
  <c r="AA21" i="6"/>
  <c r="N74" i="10"/>
  <c r="Q74" i="10" s="1"/>
  <c r="S74" i="10" s="1"/>
  <c r="AC262" i="6"/>
  <c r="AB220" i="10"/>
  <c r="N38" i="9"/>
  <c r="Q38" i="9" s="1"/>
  <c r="S38" i="9" s="1"/>
  <c r="AB316" i="8"/>
  <c r="AE316" i="8" s="1"/>
  <c r="AG316" i="8" s="1"/>
  <c r="AC250" i="6"/>
  <c r="AA183" i="6"/>
  <c r="AC123" i="6"/>
  <c r="N361" i="9"/>
  <c r="Q361" i="9" s="1"/>
  <c r="S361" i="9" s="1"/>
  <c r="AC394" i="6"/>
  <c r="AA105" i="6"/>
  <c r="AP92" i="8"/>
  <c r="AS92" i="8" s="1"/>
  <c r="AU92" i="8" s="1"/>
  <c r="N236" i="10"/>
  <c r="Q236" i="10" s="1"/>
  <c r="S236" i="10" s="1"/>
  <c r="AC19" i="6"/>
  <c r="AP236" i="9"/>
  <c r="AS236" i="9" s="1"/>
  <c r="AU236" i="9" s="1"/>
  <c r="AA133" i="6"/>
  <c r="N100" i="10"/>
  <c r="AA168" i="6"/>
  <c r="AB74" i="10"/>
  <c r="AE74" i="10" s="1"/>
  <c r="AG74" i="10" s="1"/>
  <c r="AC326" i="6"/>
  <c r="AC179" i="6"/>
  <c r="AP172" i="8"/>
  <c r="AS172" i="8" s="1"/>
  <c r="AU172" i="8" s="1"/>
  <c r="AA10" i="6"/>
  <c r="AC125" i="6"/>
  <c r="AA319" i="6"/>
  <c r="AB92" i="8"/>
  <c r="AE92" i="8" s="1"/>
  <c r="AG92" i="8" s="1"/>
  <c r="AA309" i="6"/>
  <c r="AA249" i="6"/>
  <c r="AC126" i="6"/>
  <c r="AP260" i="8"/>
  <c r="AS260" i="8" s="1"/>
  <c r="AU260" i="8" s="1"/>
  <c r="AV260" i="8" s="1"/>
  <c r="AY260" i="8" s="1"/>
  <c r="N35" i="8"/>
  <c r="Q35" i="8" s="1"/>
  <c r="S35" i="8" s="1"/>
  <c r="T35" i="8" s="1"/>
  <c r="N156" i="8"/>
  <c r="Q156" i="8" s="1"/>
  <c r="S156" i="8" s="1"/>
  <c r="AB132" i="8"/>
  <c r="AE132" i="8" s="1"/>
  <c r="AG132" i="8" s="1"/>
  <c r="AA273" i="6"/>
  <c r="N220" i="9"/>
  <c r="AB38" i="8"/>
  <c r="AE38" i="8" s="1"/>
  <c r="AG38" i="8" s="1"/>
  <c r="AA197" i="6"/>
  <c r="N31" i="10"/>
  <c r="Q31" i="10" s="1"/>
  <c r="S31" i="10" s="1"/>
  <c r="AC131" i="6"/>
  <c r="AC78" i="6"/>
  <c r="AC47" i="6"/>
  <c r="AP361" i="8"/>
  <c r="AS361" i="8" s="1"/>
  <c r="AU361" i="8" s="1"/>
  <c r="N268" i="8"/>
  <c r="Q268" i="8" s="1"/>
  <c r="S268" i="8" s="1"/>
  <c r="N50" i="10"/>
  <c r="AP351" i="9"/>
  <c r="AS351" i="9" s="1"/>
  <c r="AU351" i="9" s="1"/>
  <c r="AC135" i="6"/>
  <c r="N348" i="10"/>
  <c r="Q348" i="10" s="1"/>
  <c r="S348" i="10" s="1"/>
  <c r="AB180" i="9"/>
  <c r="AP84" i="9"/>
  <c r="AS84" i="9" s="1"/>
  <c r="AU84" i="9" s="1"/>
  <c r="AA322" i="6"/>
  <c r="AP292" i="10"/>
  <c r="AS292" i="10" s="1"/>
  <c r="AU292" i="10" s="1"/>
  <c r="AA357" i="6"/>
  <c r="AA106" i="6"/>
  <c r="AC307" i="6"/>
  <c r="AA398" i="6"/>
  <c r="AC385" i="6"/>
  <c r="AA95" i="6"/>
  <c r="AC347" i="6"/>
  <c r="AC293" i="6"/>
  <c r="AP70" i="8"/>
  <c r="AS70" i="8" s="1"/>
  <c r="AU70" i="8" s="1"/>
  <c r="AV70" i="8" s="1"/>
  <c r="AY70" i="8" s="1"/>
  <c r="AA12" i="6"/>
  <c r="AA225" i="6"/>
  <c r="AC259" i="6"/>
  <c r="AA165" i="6"/>
  <c r="AP164" i="9"/>
  <c r="AS164" i="9" s="1"/>
  <c r="AU164" i="9" s="1"/>
  <c r="AA297" i="6"/>
  <c r="AA212" i="6"/>
  <c r="AA118" i="6"/>
  <c r="AP47" i="10"/>
  <c r="AS47" i="10" s="1"/>
  <c r="AU47" i="10" s="1"/>
  <c r="AC220" i="6"/>
  <c r="AA122" i="6"/>
  <c r="AC147" i="6"/>
  <c r="AA350" i="6"/>
  <c r="AC228" i="6"/>
  <c r="AC88" i="6"/>
  <c r="AC35" i="6"/>
  <c r="N421" i="10"/>
  <c r="Q421" i="10" s="1"/>
  <c r="S421" i="10" s="1"/>
  <c r="AB236" i="8"/>
  <c r="AE236" i="8" s="1"/>
  <c r="AG236" i="8" s="1"/>
  <c r="AA33" i="6"/>
  <c r="AB66" i="8"/>
  <c r="AE66" i="8" s="1"/>
  <c r="AG66" i="8" s="1"/>
  <c r="AA318" i="6"/>
  <c r="AA393" i="6"/>
  <c r="AP74" i="9"/>
  <c r="AS74" i="9" s="1"/>
  <c r="AU74" i="9" s="1"/>
  <c r="AP252" i="8"/>
  <c r="AS252" i="8" s="1"/>
  <c r="AU252" i="8" s="1"/>
  <c r="AA370" i="6"/>
  <c r="H31" i="5"/>
  <c r="AA187" i="6"/>
  <c r="AC129" i="6"/>
  <c r="AC386" i="6"/>
  <c r="AA255" i="6"/>
  <c r="AA142" i="6"/>
  <c r="AB359" i="8"/>
  <c r="AE359" i="8" s="1"/>
  <c r="AG359" i="8" s="1"/>
  <c r="AA67" i="6"/>
  <c r="AA271" i="6"/>
  <c r="AA278" i="6"/>
  <c r="N164" i="8"/>
  <c r="Q164" i="8" s="1"/>
  <c r="S164" i="8" s="1"/>
  <c r="AA241" i="6"/>
  <c r="AC52" i="6"/>
  <c r="AP260" i="9"/>
  <c r="AA60" i="6"/>
  <c r="AB66" i="10"/>
  <c r="AE66" i="10" s="1"/>
  <c r="AG66" i="10" s="1"/>
  <c r="AA317" i="6"/>
  <c r="AP172" i="10"/>
  <c r="AS172" i="10" s="1"/>
  <c r="AU172" i="10" s="1"/>
  <c r="AC180" i="6"/>
  <c r="AC77" i="6"/>
  <c r="AA306" i="6"/>
  <c r="AA389" i="6"/>
  <c r="AB292" i="9"/>
  <c r="AE292" i="9" s="1"/>
  <c r="AG292" i="9" s="1"/>
  <c r="AA358" i="6"/>
  <c r="AB54" i="8"/>
  <c r="AE54" i="8" s="1"/>
  <c r="AG54" i="8" s="1"/>
  <c r="AC284" i="6"/>
  <c r="AA19" i="6"/>
  <c r="AC222" i="6"/>
  <c r="AA65" i="6"/>
  <c r="AC79" i="6"/>
  <c r="AC175" i="6"/>
  <c r="AB35" i="8"/>
  <c r="AE35" i="8" s="1"/>
  <c r="AG35" i="8" s="1"/>
  <c r="AH35" i="8" s="1"/>
  <c r="AC239" i="6"/>
  <c r="N220" i="10"/>
  <c r="AA326" i="6"/>
  <c r="AA179" i="6"/>
  <c r="AC188" i="6"/>
  <c r="AB244" i="9"/>
  <c r="AE244" i="9" s="1"/>
  <c r="AG244" i="9" s="1"/>
  <c r="AC10" i="6"/>
  <c r="AA125" i="6"/>
  <c r="AP140" i="9"/>
  <c r="AB348" i="10"/>
  <c r="AE348" i="10" s="1"/>
  <c r="AG348" i="10" s="1"/>
  <c r="AA31" i="6"/>
  <c r="AC249" i="6"/>
  <c r="AA126" i="6"/>
  <c r="AP172" i="9"/>
  <c r="AS172" i="9" s="1"/>
  <c r="AU172" i="9" s="1"/>
  <c r="AC273" i="6"/>
  <c r="AA25" i="6"/>
  <c r="AC311" i="6"/>
  <c r="AP31" i="9"/>
  <c r="AS31" i="9" s="1"/>
  <c r="AU31" i="9" s="1"/>
  <c r="AA78" i="6"/>
  <c r="N44" i="9"/>
  <c r="Q44" i="9" s="1"/>
  <c r="S44" i="9" s="1"/>
  <c r="AP27" i="8"/>
  <c r="AS27" i="8" s="1"/>
  <c r="AU27" i="8" s="1"/>
  <c r="AA135" i="6"/>
  <c r="AC219" i="6"/>
  <c r="AB204" i="10"/>
  <c r="AE204" i="10" s="1"/>
  <c r="AG204" i="10" s="1"/>
  <c r="AC227" i="6"/>
  <c r="AP276" i="9"/>
  <c r="AS276" i="9" s="1"/>
  <c r="AU276" i="9" s="1"/>
  <c r="AC322" i="6"/>
  <c r="AP38" i="10"/>
  <c r="AS38" i="10" s="1"/>
  <c r="AU38" i="10" s="1"/>
  <c r="AC357" i="6"/>
  <c r="AC106" i="6"/>
  <c r="AA307" i="6"/>
  <c r="AA293" i="6"/>
  <c r="AB31" i="10"/>
  <c r="AE31" i="10" s="1"/>
  <c r="AG31" i="10" s="1"/>
  <c r="AC297" i="6"/>
  <c r="AA220" i="6"/>
  <c r="AC122" i="6"/>
  <c r="AA147" i="6"/>
  <c r="N300" i="10"/>
  <c r="AC350" i="6"/>
  <c r="AA228" i="6"/>
  <c r="AB60" i="10"/>
  <c r="N260" i="8"/>
  <c r="Q260" i="8" s="1"/>
  <c r="S260" i="8" s="1"/>
  <c r="T260" i="8" s="1"/>
  <c r="AA88" i="6"/>
  <c r="AA35" i="6"/>
  <c r="AC370" i="6"/>
  <c r="AA365" i="6"/>
  <c r="AC45" i="6"/>
  <c r="AC241" i="6"/>
  <c r="AA314" i="6"/>
  <c r="N66" i="9"/>
  <c r="Q66" i="9" s="1"/>
  <c r="S66" i="9" s="1"/>
  <c r="AA404" i="6"/>
  <c r="AA351" i="6"/>
  <c r="AP76" i="9"/>
  <c r="AS76" i="9" s="1"/>
  <c r="AU76" i="9" s="1"/>
  <c r="AC155" i="6"/>
  <c r="AP62" i="10"/>
  <c r="AS62" i="10" s="1"/>
  <c r="AU62" i="10" s="1"/>
  <c r="AC243" i="6"/>
  <c r="AA338" i="6"/>
  <c r="AA28" i="6"/>
  <c r="AB220" i="8"/>
  <c r="AE220" i="8" s="1"/>
  <c r="AG220" i="8" s="1"/>
  <c r="AH220" i="8" s="1"/>
  <c r="AC161" i="6"/>
  <c r="AA195" i="6"/>
  <c r="AA37" i="6"/>
  <c r="AB140" i="10"/>
  <c r="AC6" i="6"/>
  <c r="AP324" i="9"/>
  <c r="AS324" i="9" s="1"/>
  <c r="AU324" i="9" s="1"/>
  <c r="AA16" i="6"/>
  <c r="AA73" i="6"/>
  <c r="AC87" i="6"/>
  <c r="AP74" i="10"/>
  <c r="AS74" i="10" s="1"/>
  <c r="AU74" i="10" s="1"/>
  <c r="AA235" i="6"/>
  <c r="AA205" i="6"/>
  <c r="AP316" i="9"/>
  <c r="AS316" i="9" s="1"/>
  <c r="AU316" i="9" s="1"/>
  <c r="AA337" i="6"/>
  <c r="AC345" i="6"/>
  <c r="AA196" i="6"/>
  <c r="AA85" i="6"/>
  <c r="AC191" i="6"/>
  <c r="AA110" i="6"/>
  <c r="AA315" i="6"/>
  <c r="N31" i="9"/>
  <c r="Q31" i="9" s="1"/>
  <c r="S31" i="9" s="1"/>
  <c r="AP244" i="9"/>
  <c r="AS244" i="9" s="1"/>
  <c r="AU244" i="9" s="1"/>
  <c r="AA207" i="6"/>
  <c r="AC246" i="6"/>
  <c r="C29" i="7"/>
  <c r="AA62" i="6"/>
  <c r="AA283" i="6"/>
  <c r="AC253" i="6"/>
  <c r="AC291" i="6"/>
  <c r="N300" i="8"/>
  <c r="Q300" i="8" s="1"/>
  <c r="S300" i="8" s="1"/>
  <c r="T300" i="8" s="1"/>
  <c r="AA262" i="6"/>
  <c r="AC213" i="6"/>
  <c r="AA349" i="6"/>
  <c r="AB100" i="9"/>
  <c r="AB33" i="8"/>
  <c r="AE33" i="8" s="1"/>
  <c r="AG33" i="8" s="1"/>
  <c r="AC270" i="6"/>
  <c r="AA123" i="6"/>
  <c r="AP332" i="9"/>
  <c r="AS332" i="9" s="1"/>
  <c r="AU332" i="9" s="1"/>
  <c r="AP70" i="10"/>
  <c r="AC105" i="6"/>
  <c r="AC55" i="6"/>
  <c r="AA155" i="6"/>
  <c r="AP252" i="9"/>
  <c r="AS252" i="9" s="1"/>
  <c r="AU252" i="9" s="1"/>
  <c r="AA243" i="6"/>
  <c r="AC338" i="6"/>
  <c r="N54" i="8"/>
  <c r="Q54" i="8" s="1"/>
  <c r="S54" i="8" s="1"/>
  <c r="AC101" i="6"/>
  <c r="AC164" i="6"/>
  <c r="AC334" i="6"/>
  <c r="AA6" i="6"/>
  <c r="N68" i="9"/>
  <c r="Q68" i="9" s="1"/>
  <c r="S68" i="9" s="1"/>
  <c r="AB70" i="8"/>
  <c r="AE70" i="8" s="1"/>
  <c r="AG70" i="8" s="1"/>
  <c r="AH70" i="8" s="1"/>
  <c r="AP68" i="8"/>
  <c r="AS68" i="8" s="1"/>
  <c r="AU68" i="8" s="1"/>
  <c r="N324" i="8"/>
  <c r="Q324" i="8" s="1"/>
  <c r="S324" i="8" s="1"/>
  <c r="AB84" i="8"/>
  <c r="AE84" i="8" s="1"/>
  <c r="AG84" i="8" s="1"/>
  <c r="AC73" i="6"/>
  <c r="AA87" i="6"/>
  <c r="AC102" i="6"/>
  <c r="N100" i="9"/>
  <c r="AC348" i="6"/>
  <c r="AA378" i="6"/>
  <c r="AC337" i="6"/>
  <c r="AA345" i="6"/>
  <c r="AP148" i="9"/>
  <c r="AS148" i="9" s="1"/>
  <c r="AU148" i="9" s="1"/>
  <c r="AA381" i="6"/>
  <c r="AC302" i="6"/>
  <c r="AA362" i="6"/>
  <c r="AP66" i="9"/>
  <c r="AS66" i="9" s="1"/>
  <c r="AU66" i="9" s="1"/>
  <c r="AC323" i="6"/>
  <c r="N100" i="8"/>
  <c r="Q100" i="8" s="1"/>
  <c r="S100" i="8" s="1"/>
  <c r="T100" i="8" s="1"/>
  <c r="AA191" i="6"/>
  <c r="AP164" i="10"/>
  <c r="AS164" i="10" s="1"/>
  <c r="AU164" i="10" s="1"/>
  <c r="AC268" i="6"/>
  <c r="AA210" i="6"/>
  <c r="AA246" i="6"/>
  <c r="AP180" i="10"/>
  <c r="AC215" i="6"/>
  <c r="AB68" i="8"/>
  <c r="AE68" i="8" s="1"/>
  <c r="AG68" i="8" s="1"/>
  <c r="AA121" i="6"/>
  <c r="AC223" i="6"/>
  <c r="AA253" i="6"/>
  <c r="N236" i="9"/>
  <c r="Q236" i="9" s="1"/>
  <c r="S236" i="9" s="1"/>
  <c r="AA291" i="6"/>
  <c r="AB100" i="10"/>
  <c r="AA213" i="6"/>
  <c r="AC349" i="6"/>
  <c r="AC340" i="6"/>
  <c r="AC109" i="6"/>
  <c r="AA265" i="6"/>
  <c r="N33" i="9"/>
  <c r="Q33" i="9" s="1"/>
  <c r="S33" i="9" s="1"/>
  <c r="AP27" i="10"/>
  <c r="AS27" i="10" s="1"/>
  <c r="AU27" i="10" s="1"/>
  <c r="N74" i="8"/>
  <c r="Q74" i="8" s="1"/>
  <c r="S74" i="8" s="1"/>
  <c r="AA270" i="6"/>
  <c r="AP76" i="8"/>
  <c r="AS76" i="8" s="1"/>
  <c r="AU76" i="8" s="1"/>
  <c r="AB351" i="10"/>
  <c r="AE351" i="10" s="1"/>
  <c r="AG351" i="10" s="1"/>
  <c r="N92" i="9"/>
  <c r="Q92" i="9" s="1"/>
  <c r="S92" i="9" s="1"/>
  <c r="AA284" i="6"/>
  <c r="AB84" i="10"/>
  <c r="AE84" i="10" s="1"/>
  <c r="AG84" i="10" s="1"/>
  <c r="N284" i="8"/>
  <c r="Q284" i="8" s="1"/>
  <c r="S284" i="8" s="1"/>
  <c r="AA222" i="6"/>
  <c r="N73" i="9"/>
  <c r="Q73" i="9" s="1"/>
  <c r="S73" i="9" s="1"/>
  <c r="AB84" i="9"/>
  <c r="AE84" i="9" s="1"/>
  <c r="AG84" i="9" s="1"/>
  <c r="AC65" i="6"/>
  <c r="AA79" i="6"/>
  <c r="AA175" i="6"/>
  <c r="AB156" i="8"/>
  <c r="AE156" i="8" s="1"/>
  <c r="AG156" i="8" s="1"/>
  <c r="AA201" i="6"/>
  <c r="AA239" i="6"/>
  <c r="N359" i="10"/>
  <c r="Q359" i="10" s="1"/>
  <c r="S359" i="10" s="1"/>
  <c r="N276" i="8"/>
  <c r="Q276" i="8" s="1"/>
  <c r="S276" i="8" s="1"/>
  <c r="AA373" i="6"/>
  <c r="AB220" i="9"/>
  <c r="AA188" i="6"/>
  <c r="AP284" i="9"/>
  <c r="AS284" i="9" s="1"/>
  <c r="AU284" i="9" s="1"/>
  <c r="N212" i="8"/>
  <c r="Q212" i="8" s="1"/>
  <c r="S212" i="8" s="1"/>
  <c r="AC31" i="6"/>
  <c r="AP300" i="10"/>
  <c r="AP204" i="9"/>
  <c r="AS204" i="9" s="1"/>
  <c r="AU204" i="9" s="1"/>
  <c r="AC25" i="6"/>
  <c r="AA311" i="6"/>
  <c r="AA254" i="6"/>
  <c r="AA14" i="6"/>
  <c r="AB244" i="10"/>
  <c r="AE244" i="10" s="1"/>
  <c r="AG244" i="10" s="1"/>
  <c r="AB212" i="10"/>
  <c r="AE212" i="10" s="1"/>
  <c r="AG212" i="10" s="1"/>
  <c r="AA103" i="6"/>
  <c r="N244" i="10"/>
  <c r="Q244" i="10" s="1"/>
  <c r="S244" i="10" s="1"/>
  <c r="AB68" i="10"/>
  <c r="AE68" i="10" s="1"/>
  <c r="AG68" i="10" s="1"/>
  <c r="AC119" i="6"/>
  <c r="AA214" i="6"/>
  <c r="N47" i="10"/>
  <c r="Q47" i="10" s="1"/>
  <c r="S47" i="10" s="1"/>
  <c r="N308" i="8"/>
  <c r="Q308" i="8" s="1"/>
  <c r="S308" i="8" s="1"/>
  <c r="AC117" i="6"/>
  <c r="AA143" i="6"/>
  <c r="AA286" i="6"/>
  <c r="AA219" i="6"/>
  <c r="AC189" i="6"/>
  <c r="AA227" i="6"/>
  <c r="AB60" i="9"/>
  <c r="N316" i="10"/>
  <c r="Q316" i="10" s="1"/>
  <c r="S316" i="10" s="1"/>
  <c r="AA26" i="6"/>
  <c r="AC76" i="6"/>
  <c r="AC81" i="6"/>
  <c r="AA149" i="6"/>
  <c r="AA89" i="6"/>
  <c r="AA363" i="6"/>
  <c r="AP332" i="10"/>
  <c r="AS332" i="10" s="1"/>
  <c r="AU332" i="10" s="1"/>
  <c r="AC316" i="6"/>
  <c r="N332" i="8"/>
  <c r="Q332" i="8" s="1"/>
  <c r="S332" i="8" s="1"/>
  <c r="AB47" i="9"/>
  <c r="AE47" i="9" s="1"/>
  <c r="AG47" i="9" s="1"/>
  <c r="AP276" i="10"/>
  <c r="AS276" i="10" s="1"/>
  <c r="AU276" i="10" s="1"/>
  <c r="N60" i="8"/>
  <c r="Q60" i="8" s="1"/>
  <c r="S60" i="8" s="1"/>
  <c r="T60" i="8" s="1"/>
  <c r="AC285" i="6"/>
  <c r="AB62" i="9"/>
  <c r="AE62" i="9" s="1"/>
  <c r="AG62" i="9" s="1"/>
  <c r="AB148" i="8"/>
  <c r="AE148" i="8" s="1"/>
  <c r="AG148" i="8" s="1"/>
  <c r="AB284" i="10"/>
  <c r="AE284" i="10" s="1"/>
  <c r="AG284" i="10" s="1"/>
  <c r="N44" i="8"/>
  <c r="Q44" i="8" s="1"/>
  <c r="S44" i="8" s="1"/>
  <c r="AB81" i="8"/>
  <c r="AE81" i="8" s="1"/>
  <c r="AG81" i="8" s="1"/>
  <c r="N212" i="9"/>
  <c r="Q212" i="9" s="1"/>
  <c r="S212" i="9" s="1"/>
  <c r="AP156" i="10"/>
  <c r="AS156" i="10" s="1"/>
  <c r="AU156" i="10" s="1"/>
  <c r="N300" i="9"/>
  <c r="AP348" i="8"/>
  <c r="AS348" i="8" s="1"/>
  <c r="AU348" i="8" s="1"/>
  <c r="AB276" i="9"/>
  <c r="AE276" i="9" s="1"/>
  <c r="AG276" i="9" s="1"/>
  <c r="AC299" i="6"/>
  <c r="AA269" i="6"/>
  <c r="AP204" i="8"/>
  <c r="AS204" i="8" s="1"/>
  <c r="AU204" i="8" s="1"/>
  <c r="AP292" i="9"/>
  <c r="AS292" i="9" s="1"/>
  <c r="AU292" i="9" s="1"/>
  <c r="AC365" i="6"/>
  <c r="AB62" i="8"/>
  <c r="AE62" i="8" s="1"/>
  <c r="AG62" i="8" s="1"/>
  <c r="AA45" i="6"/>
  <c r="AC163" i="6"/>
  <c r="AC92" i="6"/>
  <c r="AA329" i="6"/>
  <c r="N62" i="9"/>
  <c r="Q62" i="9" s="1"/>
  <c r="S62" i="9" s="1"/>
  <c r="AC221" i="6"/>
  <c r="N148" i="8"/>
  <c r="Q148" i="8" s="1"/>
  <c r="S148" i="8" s="1"/>
  <c r="AP81" i="9"/>
  <c r="AS81" i="9" s="1"/>
  <c r="AU81" i="9" s="1"/>
  <c r="AB124" i="8"/>
  <c r="AE124" i="8" s="1"/>
  <c r="AG124" i="8" s="1"/>
  <c r="AA44" i="6"/>
  <c r="AC301" i="6"/>
  <c r="AP212" i="9"/>
  <c r="AS212" i="9" s="1"/>
  <c r="AU212" i="9" s="1"/>
  <c r="AC314" i="6"/>
  <c r="AA94" i="6"/>
  <c r="N348" i="9"/>
  <c r="Q348" i="9" s="1"/>
  <c r="S348" i="9" s="1"/>
  <c r="N60" i="10"/>
  <c r="AC404" i="6"/>
  <c r="N276" i="9"/>
  <c r="Q276" i="9" s="1"/>
  <c r="S276" i="9" s="1"/>
  <c r="AC351" i="6"/>
  <c r="AA294" i="6"/>
  <c r="AB148" i="10"/>
  <c r="AE148" i="10" s="1"/>
  <c r="AG148" i="10" s="1"/>
  <c r="AA209" i="6"/>
  <c r="N140" i="9"/>
  <c r="AC201" i="6"/>
  <c r="AC373" i="6"/>
  <c r="AC71" i="6"/>
  <c r="AP124" i="9"/>
  <c r="AS124" i="9" s="1"/>
  <c r="AU124" i="9" s="1"/>
  <c r="N351" i="10"/>
  <c r="Q351" i="10" s="1"/>
  <c r="S351" i="10" s="1"/>
  <c r="AC335" i="6"/>
  <c r="AB292" i="10"/>
  <c r="AE292" i="10" s="1"/>
  <c r="AG292" i="10" s="1"/>
  <c r="AA74" i="6"/>
  <c r="N260" i="9"/>
  <c r="AC252" i="6"/>
  <c r="AA97" i="6"/>
  <c r="AP31" i="10"/>
  <c r="AS31" i="10" s="1"/>
  <c r="AU31" i="10" s="1"/>
  <c r="AC204" i="6"/>
  <c r="AA178" i="6"/>
  <c r="N124" i="8"/>
  <c r="Q124" i="8" s="1"/>
  <c r="S124" i="8" s="1"/>
  <c r="AA119" i="6"/>
  <c r="AA113" i="6"/>
  <c r="AA117" i="6"/>
  <c r="AA189" i="6"/>
  <c r="AB260" i="8"/>
  <c r="AE260" i="8" s="1"/>
  <c r="AG260" i="8" s="1"/>
  <c r="AH260" i="8" s="1"/>
  <c r="AA76" i="6"/>
  <c r="AC230" i="6"/>
  <c r="AP76" i="10"/>
  <c r="AS76" i="10" s="1"/>
  <c r="AU76" i="10" s="1"/>
  <c r="N421" i="8"/>
  <c r="Q421" i="8" s="1"/>
  <c r="S421" i="8" s="1"/>
  <c r="AC89" i="6"/>
  <c r="AC363" i="6"/>
  <c r="AB76" i="9"/>
  <c r="AE76" i="9" s="1"/>
  <c r="AG76" i="9" s="1"/>
  <c r="AA316" i="6"/>
  <c r="AC59" i="6"/>
  <c r="AP212" i="8"/>
  <c r="AS212" i="8" s="1"/>
  <c r="AU212" i="8" s="1"/>
  <c r="N116" i="8"/>
  <c r="Q116" i="8" s="1"/>
  <c r="S116" i="8" s="1"/>
  <c r="AA137" i="6"/>
  <c r="AC159" i="6"/>
  <c r="AC115" i="6"/>
  <c r="N47" i="8"/>
  <c r="Q47" i="8" s="1"/>
  <c r="S47" i="8" s="1"/>
  <c r="AA163" i="6"/>
  <c r="N148" i="10"/>
  <c r="Q148" i="10" s="1"/>
  <c r="S148" i="10" s="1"/>
  <c r="AA92" i="6"/>
  <c r="AC199" i="6"/>
  <c r="AA301" i="6"/>
  <c r="AW210" i="10"/>
  <c r="AZ210" i="10"/>
  <c r="AX210" i="10"/>
  <c r="AR210" i="10"/>
  <c r="N171" i="8"/>
  <c r="Q171" i="8" s="1"/>
  <c r="S171" i="8" s="1"/>
  <c r="P285" i="9"/>
  <c r="AB338" i="10"/>
  <c r="AE338" i="10" s="1"/>
  <c r="AG338" i="10" s="1"/>
  <c r="AP318" i="10"/>
  <c r="AS318" i="10" s="1"/>
  <c r="AU318" i="10" s="1"/>
  <c r="N340" i="10"/>
  <c r="Q340" i="10" s="1"/>
  <c r="S340" i="10" s="1"/>
  <c r="T340" i="10" s="1"/>
  <c r="AB72" i="10"/>
  <c r="AE72" i="10" s="1"/>
  <c r="AG72" i="10" s="1"/>
  <c r="N149" i="10"/>
  <c r="Q149" i="10" s="1"/>
  <c r="S149" i="10" s="1"/>
  <c r="AB323" i="9"/>
  <c r="AE323" i="9" s="1"/>
  <c r="AG323" i="9" s="1"/>
  <c r="AP40" i="8"/>
  <c r="AS40" i="8" s="1"/>
  <c r="AU40" i="8" s="1"/>
  <c r="AV40" i="8" s="1"/>
  <c r="AY40" i="8" s="1"/>
  <c r="AP71" i="9"/>
  <c r="AS71" i="9" s="1"/>
  <c r="AU71" i="9" s="1"/>
  <c r="AP130" i="8"/>
  <c r="AS130" i="8" s="1"/>
  <c r="AU130" i="8" s="1"/>
  <c r="AV130" i="8" s="1"/>
  <c r="AY130" i="8" s="1"/>
  <c r="AR110" i="10"/>
  <c r="AX110" i="10"/>
  <c r="AW110" i="10"/>
  <c r="AZ110" i="10"/>
  <c r="AP380" i="8"/>
  <c r="AS380" i="8" s="1"/>
  <c r="AU380" i="8" s="1"/>
  <c r="AV380" i="8" s="1"/>
  <c r="AY380" i="8" s="1"/>
  <c r="AM380" i="8"/>
  <c r="AP40" i="9"/>
  <c r="AS40" i="9" s="1"/>
  <c r="AU40" i="9" s="1"/>
  <c r="AV40" i="9" s="1"/>
  <c r="AY40" i="9" s="1"/>
  <c r="N211" i="9"/>
  <c r="Q211" i="9" s="1"/>
  <c r="S211" i="9" s="1"/>
  <c r="AP197" i="10"/>
  <c r="AS197" i="10" s="1"/>
  <c r="AU197" i="10" s="1"/>
  <c r="N273" i="9"/>
  <c r="Q273" i="9" s="1"/>
  <c r="S273" i="9" s="1"/>
  <c r="AP130" i="10"/>
  <c r="AS130" i="10" s="1"/>
  <c r="AU130" i="10" s="1"/>
  <c r="AV130" i="10" s="1"/>
  <c r="AY130" i="10" s="1"/>
  <c r="AP144" i="8"/>
  <c r="AS144" i="8" s="1"/>
  <c r="AU144" i="8" s="1"/>
  <c r="N247" i="8"/>
  <c r="Q247" i="8" s="1"/>
  <c r="S247" i="8" s="1"/>
  <c r="N262" i="8"/>
  <c r="Q262" i="8" s="1"/>
  <c r="S262" i="8" s="1"/>
  <c r="AB388" i="10"/>
  <c r="AE388" i="10" s="1"/>
  <c r="AG388" i="10" s="1"/>
  <c r="AP312" i="10"/>
  <c r="AS312" i="10" s="1"/>
  <c r="AU312" i="10" s="1"/>
  <c r="N366" i="10"/>
  <c r="Q366" i="10" s="1"/>
  <c r="S366" i="10" s="1"/>
  <c r="AB195" i="10"/>
  <c r="AE195" i="10" s="1"/>
  <c r="AG195" i="10" s="1"/>
  <c r="AH195" i="10" s="1"/>
  <c r="AB356" i="10"/>
  <c r="AE356" i="10" s="1"/>
  <c r="AG356" i="10" s="1"/>
  <c r="N326" i="8"/>
  <c r="Q326" i="8" s="1"/>
  <c r="S326" i="8" s="1"/>
  <c r="AB280" i="10"/>
  <c r="AE280" i="10" s="1"/>
  <c r="AG280" i="10" s="1"/>
  <c r="AH280" i="10" s="1"/>
  <c r="AB420" i="9"/>
  <c r="AE420" i="9" s="1"/>
  <c r="AG420" i="9" s="1"/>
  <c r="AH420" i="9" s="1"/>
  <c r="Y420" i="9"/>
  <c r="AC420" i="9" s="1"/>
  <c r="N317" i="10"/>
  <c r="Q317" i="10" s="1"/>
  <c r="S317" i="10" s="1"/>
  <c r="AP142" i="10"/>
  <c r="AS142" i="10" s="1"/>
  <c r="AU142" i="10" s="1"/>
  <c r="N307" i="8"/>
  <c r="Q307" i="8" s="1"/>
  <c r="S307" i="8" s="1"/>
  <c r="AP281" i="10"/>
  <c r="AS281" i="10" s="1"/>
  <c r="AU281" i="10" s="1"/>
  <c r="AP297" i="8"/>
  <c r="AS297" i="8" s="1"/>
  <c r="AU297" i="8" s="1"/>
  <c r="N237" i="9"/>
  <c r="Q237" i="9" s="1"/>
  <c r="S237" i="9" s="1"/>
  <c r="AB190" i="9"/>
  <c r="AE190" i="9" s="1"/>
  <c r="AG190" i="9" s="1"/>
  <c r="AH190" i="9" s="1"/>
  <c r="AB313" i="8"/>
  <c r="AE313" i="8" s="1"/>
  <c r="AG313" i="8" s="1"/>
  <c r="AB202" i="8"/>
  <c r="AE202" i="8" s="1"/>
  <c r="AG202" i="8" s="1"/>
  <c r="AB295" i="9"/>
  <c r="AE295" i="9" s="1"/>
  <c r="AG295" i="9" s="1"/>
  <c r="AH295" i="9" s="1"/>
  <c r="N105" i="8"/>
  <c r="Q105" i="8" s="1"/>
  <c r="S105" i="8" s="1"/>
  <c r="T105" i="8" s="1"/>
  <c r="AP135" i="9"/>
  <c r="AS135" i="9" s="1"/>
  <c r="AU135" i="9" s="1"/>
  <c r="AV135" i="9" s="1"/>
  <c r="AY135" i="9" s="1"/>
  <c r="AB226" i="8"/>
  <c r="AE226" i="8" s="1"/>
  <c r="AG226" i="8" s="1"/>
  <c r="N176" i="9"/>
  <c r="Q176" i="9" s="1"/>
  <c r="S176" i="9" s="1"/>
  <c r="N313" i="9"/>
  <c r="Q313" i="9" s="1"/>
  <c r="S313" i="9" s="1"/>
  <c r="N394" i="8"/>
  <c r="Q394" i="8" s="1"/>
  <c r="S394" i="8" s="1"/>
  <c r="N336" i="9"/>
  <c r="Q336" i="9" s="1"/>
  <c r="S336" i="9" s="1"/>
  <c r="AD65" i="10"/>
  <c r="AJ65" i="10"/>
  <c r="AI65" i="10"/>
  <c r="AM66" i="10" s="1"/>
  <c r="AQ66" i="10" s="1"/>
  <c r="AR66" i="10" s="1"/>
  <c r="AT66" i="10" s="1"/>
  <c r="AL65" i="10"/>
  <c r="AB91" i="10"/>
  <c r="AE91" i="10" s="1"/>
  <c r="AG91" i="10" s="1"/>
  <c r="N145" i="10"/>
  <c r="Q145" i="10" s="1"/>
  <c r="S145" i="10" s="1"/>
  <c r="T145" i="10" s="1"/>
  <c r="AB86" i="8"/>
  <c r="AE86" i="8" s="1"/>
  <c r="AG86" i="8" s="1"/>
  <c r="AB93" i="10"/>
  <c r="AE93" i="10" s="1"/>
  <c r="AG93" i="10" s="1"/>
  <c r="AP400" i="8"/>
  <c r="AS400" i="8" s="1"/>
  <c r="AU400" i="8" s="1"/>
  <c r="AV400" i="8" s="1"/>
  <c r="AY400" i="8" s="1"/>
  <c r="AB391" i="9"/>
  <c r="AE391" i="9" s="1"/>
  <c r="AG391" i="9" s="1"/>
  <c r="AB57" i="9"/>
  <c r="AE57" i="9" s="1"/>
  <c r="AG57" i="9" s="1"/>
  <c r="AB414" i="8"/>
  <c r="AE414" i="8" s="1"/>
  <c r="AG414" i="8" s="1"/>
  <c r="AB249" i="8"/>
  <c r="AE249" i="8" s="1"/>
  <c r="AG249" i="8" s="1"/>
  <c r="N354" i="10"/>
  <c r="Q354" i="10" s="1"/>
  <c r="S354" i="10" s="1"/>
  <c r="AP221" i="9"/>
  <c r="AS221" i="9" s="1"/>
  <c r="AU221" i="9" s="1"/>
  <c r="AB393" i="8"/>
  <c r="AE393" i="8" s="1"/>
  <c r="AG393" i="8" s="1"/>
  <c r="AP173" i="10"/>
  <c r="AS173" i="10" s="1"/>
  <c r="AU173" i="10" s="1"/>
  <c r="N210" i="8"/>
  <c r="Q210" i="8" s="1"/>
  <c r="S210" i="8" s="1"/>
  <c r="T210" i="8" s="1"/>
  <c r="AP339" i="8"/>
  <c r="AS339" i="8" s="1"/>
  <c r="AU339" i="8" s="1"/>
  <c r="AP151" i="9"/>
  <c r="AS151" i="9" s="1"/>
  <c r="AU151" i="9" s="1"/>
  <c r="AB238" i="8"/>
  <c r="AE238" i="8" s="1"/>
  <c r="AG238" i="8" s="1"/>
  <c r="AB269" i="9"/>
  <c r="AE269" i="9" s="1"/>
  <c r="AG269" i="9" s="1"/>
  <c r="AP186" i="9"/>
  <c r="AS186" i="9" s="1"/>
  <c r="AU186" i="9" s="1"/>
  <c r="AB375" i="8"/>
  <c r="AE375" i="8" s="1"/>
  <c r="AG375" i="8" s="1"/>
  <c r="AH375" i="8" s="1"/>
  <c r="N418" i="8"/>
  <c r="Q418" i="8" s="1"/>
  <c r="S418" i="8" s="1"/>
  <c r="AB305" i="10"/>
  <c r="AE305" i="10" s="1"/>
  <c r="AG305" i="10" s="1"/>
  <c r="AH305" i="10" s="1"/>
  <c r="AB209" i="9"/>
  <c r="AE209" i="9" s="1"/>
  <c r="AG209" i="9" s="1"/>
  <c r="AB98" i="8"/>
  <c r="AE98" i="8" s="1"/>
  <c r="AG98" i="8" s="1"/>
  <c r="AB305" i="9"/>
  <c r="AE305" i="9" s="1"/>
  <c r="AG305" i="9" s="1"/>
  <c r="AH305" i="9" s="1"/>
  <c r="AP279" i="8"/>
  <c r="AS279" i="8" s="1"/>
  <c r="AU279" i="8" s="1"/>
  <c r="N157" i="8"/>
  <c r="Q157" i="8" s="1"/>
  <c r="S157" i="8" s="1"/>
  <c r="AB375" i="9"/>
  <c r="AE375" i="9" s="1"/>
  <c r="AG375" i="9" s="1"/>
  <c r="AH375" i="9" s="1"/>
  <c r="N336" i="8"/>
  <c r="Q336" i="8" s="1"/>
  <c r="S336" i="8" s="1"/>
  <c r="AP269" i="9"/>
  <c r="AS269" i="9" s="1"/>
  <c r="AU269" i="9" s="1"/>
  <c r="AB355" i="8"/>
  <c r="AE355" i="8" s="1"/>
  <c r="AG355" i="8" s="1"/>
  <c r="AH355" i="8" s="1"/>
  <c r="AP375" i="8"/>
  <c r="AS375" i="8" s="1"/>
  <c r="AU375" i="8" s="1"/>
  <c r="AV375" i="8" s="1"/>
  <c r="AY375" i="8" s="1"/>
  <c r="AB194" i="8"/>
  <c r="AE194" i="8" s="1"/>
  <c r="AG194" i="8" s="1"/>
  <c r="N388" i="8"/>
  <c r="Q388" i="8" s="1"/>
  <c r="S388" i="8" s="1"/>
  <c r="AB39" i="10"/>
  <c r="AE39" i="10" s="1"/>
  <c r="AG39" i="10" s="1"/>
  <c r="AP29" i="10"/>
  <c r="AS29" i="10" s="1"/>
  <c r="AU29" i="10" s="1"/>
  <c r="AP328" i="9"/>
  <c r="AS328" i="9" s="1"/>
  <c r="AU328" i="9" s="1"/>
  <c r="AP357" i="10"/>
  <c r="AS357" i="10" s="1"/>
  <c r="AU357" i="10" s="1"/>
  <c r="AP270" i="10"/>
  <c r="AS270" i="10" s="1"/>
  <c r="AU270" i="10" s="1"/>
  <c r="AP243" i="10"/>
  <c r="AS243" i="10" s="1"/>
  <c r="AU243" i="10" s="1"/>
  <c r="N90" i="10"/>
  <c r="Q90" i="10" s="1"/>
  <c r="S90" i="10" s="1"/>
  <c r="T90" i="10" s="1"/>
  <c r="AC368" i="6"/>
  <c r="AB289" i="8"/>
  <c r="AE289" i="8" s="1"/>
  <c r="AG289" i="8" s="1"/>
  <c r="AB113" i="10"/>
  <c r="AE113" i="10" s="1"/>
  <c r="AG113" i="10" s="1"/>
  <c r="AP67" i="10"/>
  <c r="AS67" i="10" s="1"/>
  <c r="AU67" i="10" s="1"/>
  <c r="AB422" i="10"/>
  <c r="AE422" i="10" s="1"/>
  <c r="AG422" i="10" s="1"/>
  <c r="AA387" i="6"/>
  <c r="N30" i="8"/>
  <c r="Q30" i="8" s="1"/>
  <c r="S30" i="8" s="1"/>
  <c r="T30" i="8" s="1"/>
  <c r="AB183" i="8"/>
  <c r="AE183" i="8" s="1"/>
  <c r="AG183" i="8" s="1"/>
  <c r="AP375" i="10"/>
  <c r="AS375" i="10" s="1"/>
  <c r="AU375" i="10" s="1"/>
  <c r="AV375" i="10" s="1"/>
  <c r="AY375" i="10" s="1"/>
  <c r="AB406" i="10"/>
  <c r="AE406" i="10" s="1"/>
  <c r="AG406" i="10" s="1"/>
  <c r="AP87" i="10"/>
  <c r="AS87" i="10" s="1"/>
  <c r="AU87" i="10" s="1"/>
  <c r="AP403" i="8"/>
  <c r="AS403" i="8" s="1"/>
  <c r="AU403" i="8" s="1"/>
  <c r="N83" i="8"/>
  <c r="Q83" i="8" s="1"/>
  <c r="S83" i="8" s="1"/>
  <c r="AP295" i="9"/>
  <c r="AS295" i="9" s="1"/>
  <c r="AU295" i="9" s="1"/>
  <c r="AV295" i="9" s="1"/>
  <c r="AY295" i="9" s="1"/>
  <c r="AP183" i="9"/>
  <c r="AS183" i="9" s="1"/>
  <c r="AU183" i="9" s="1"/>
  <c r="N179" i="10"/>
  <c r="Q179" i="10" s="1"/>
  <c r="S179" i="10" s="1"/>
  <c r="N49" i="8"/>
  <c r="Q49" i="8" s="1"/>
  <c r="S49" i="8" s="1"/>
  <c r="AB385" i="8"/>
  <c r="AE385" i="8" s="1"/>
  <c r="AG385" i="8" s="1"/>
  <c r="AH385" i="8" s="1"/>
  <c r="AP335" i="8"/>
  <c r="AS335" i="8" s="1"/>
  <c r="AU335" i="8" s="1"/>
  <c r="AV335" i="8" s="1"/>
  <c r="AY335" i="8" s="1"/>
  <c r="AP166" i="10"/>
  <c r="AS166" i="10" s="1"/>
  <c r="AU166" i="10" s="1"/>
  <c r="N187" i="8"/>
  <c r="Q187" i="8" s="1"/>
  <c r="S187" i="8" s="1"/>
  <c r="N307" i="10"/>
  <c r="Q307" i="10" s="1"/>
  <c r="S307" i="10" s="1"/>
  <c r="AB88" i="8"/>
  <c r="AE88" i="8" s="1"/>
  <c r="AG88" i="8" s="1"/>
  <c r="AB97" i="10"/>
  <c r="AE97" i="10" s="1"/>
  <c r="AG97" i="10" s="1"/>
  <c r="AP158" i="8"/>
  <c r="AS158" i="8" s="1"/>
  <c r="AU158" i="8" s="1"/>
  <c r="AB358" i="10"/>
  <c r="AE358" i="10" s="1"/>
  <c r="AG358" i="10" s="1"/>
  <c r="AB123" i="9"/>
  <c r="AE123" i="9" s="1"/>
  <c r="AG123" i="9" s="1"/>
  <c r="AB145" i="10"/>
  <c r="AE145" i="10" s="1"/>
  <c r="AG145" i="10" s="1"/>
  <c r="AH145" i="10" s="1"/>
  <c r="AP93" i="10"/>
  <c r="AS93" i="10" s="1"/>
  <c r="AU93" i="10" s="1"/>
  <c r="AP255" i="10"/>
  <c r="AS255" i="10" s="1"/>
  <c r="AU255" i="10" s="1"/>
  <c r="AV255" i="10" s="1"/>
  <c r="AY255" i="10" s="1"/>
  <c r="N365" i="9"/>
  <c r="Q365" i="9" s="1"/>
  <c r="S365" i="9" s="1"/>
  <c r="T365" i="9" s="1"/>
  <c r="N203" i="8"/>
  <c r="Q203" i="8" s="1"/>
  <c r="S203" i="8" s="1"/>
  <c r="AB279" i="9"/>
  <c r="AE279" i="9" s="1"/>
  <c r="AG279" i="9" s="1"/>
  <c r="AP131" i="8"/>
  <c r="AS131" i="8" s="1"/>
  <c r="AU131" i="8" s="1"/>
  <c r="AP170" i="8"/>
  <c r="AS170" i="8" s="1"/>
  <c r="AU170" i="8" s="1"/>
  <c r="AV170" i="8" s="1"/>
  <c r="AY170" i="8" s="1"/>
  <c r="AP25" i="8"/>
  <c r="AS25" i="8" s="1"/>
  <c r="AU25" i="8" s="1"/>
  <c r="AP242" i="8"/>
  <c r="AS242" i="8" s="1"/>
  <c r="AU242" i="8" s="1"/>
  <c r="AB277" i="10"/>
  <c r="AE277" i="10" s="1"/>
  <c r="AG277" i="10" s="1"/>
  <c r="AB40" i="10"/>
  <c r="AE40" i="10" s="1"/>
  <c r="AG40" i="10" s="1"/>
  <c r="AH40" i="10" s="1"/>
  <c r="AP199" i="9"/>
  <c r="AS199" i="9" s="1"/>
  <c r="AU199" i="9" s="1"/>
  <c r="N416" i="9"/>
  <c r="Q416" i="9" s="1"/>
  <c r="S416" i="9" s="1"/>
  <c r="AB177" i="10"/>
  <c r="AE177" i="10" s="1"/>
  <c r="AG177" i="10" s="1"/>
  <c r="AB330" i="8"/>
  <c r="AE330" i="8" s="1"/>
  <c r="AG330" i="8" s="1"/>
  <c r="AH330" i="8" s="1"/>
  <c r="N221" i="10"/>
  <c r="Q221" i="10" s="1"/>
  <c r="S221" i="10" s="1"/>
  <c r="AB400" i="10"/>
  <c r="AE400" i="10" s="1"/>
  <c r="AG400" i="10" s="1"/>
  <c r="AH400" i="10" s="1"/>
  <c r="AP96" i="9"/>
  <c r="AS96" i="9" s="1"/>
  <c r="AU96" i="9" s="1"/>
  <c r="AB269" i="10"/>
  <c r="AE269" i="10" s="1"/>
  <c r="AG269" i="10" s="1"/>
  <c r="AP246" i="10"/>
  <c r="AS246" i="10" s="1"/>
  <c r="AU246" i="10" s="1"/>
  <c r="N46" i="9"/>
  <c r="Q46" i="9" s="1"/>
  <c r="S46" i="9" s="1"/>
  <c r="AP135" i="8"/>
  <c r="AS135" i="8" s="1"/>
  <c r="AU135" i="8" s="1"/>
  <c r="AV135" i="8" s="1"/>
  <c r="AY135" i="8" s="1"/>
  <c r="N394" i="9"/>
  <c r="Q394" i="9" s="1"/>
  <c r="S394" i="9" s="1"/>
  <c r="AB105" i="10"/>
  <c r="AE105" i="10" s="1"/>
  <c r="AG105" i="10" s="1"/>
  <c r="AH105" i="10" s="1"/>
  <c r="N134" i="9"/>
  <c r="Q134" i="9" s="1"/>
  <c r="S134" i="9" s="1"/>
  <c r="AB203" i="9"/>
  <c r="AE203" i="9" s="1"/>
  <c r="AG203" i="9" s="1"/>
  <c r="AB271" i="8"/>
  <c r="AE271" i="8" s="1"/>
  <c r="AG271" i="8" s="1"/>
  <c r="AB282" i="10"/>
  <c r="AE282" i="10" s="1"/>
  <c r="AG282" i="10" s="1"/>
  <c r="AB203" i="10"/>
  <c r="AE203" i="10" s="1"/>
  <c r="AG203" i="10" s="1"/>
  <c r="AP169" i="8"/>
  <c r="AS169" i="8" s="1"/>
  <c r="AU169" i="8" s="1"/>
  <c r="N247" i="10"/>
  <c r="Q247" i="10" s="1"/>
  <c r="S247" i="10" s="1"/>
  <c r="AB275" i="8"/>
  <c r="AE275" i="8" s="1"/>
  <c r="AG275" i="8" s="1"/>
  <c r="AH275" i="8" s="1"/>
  <c r="AP219" i="8"/>
  <c r="AS219" i="8" s="1"/>
  <c r="AU219" i="8" s="1"/>
  <c r="AP317" i="10"/>
  <c r="AS317" i="10" s="1"/>
  <c r="AU317" i="10" s="1"/>
  <c r="AB142" i="10"/>
  <c r="AE142" i="10" s="1"/>
  <c r="AG142" i="10" s="1"/>
  <c r="N370" i="10"/>
  <c r="Q370" i="10" s="1"/>
  <c r="S370" i="10" s="1"/>
  <c r="T370" i="10" s="1"/>
  <c r="AB337" i="8"/>
  <c r="AE337" i="8" s="1"/>
  <c r="AG337" i="8" s="1"/>
  <c r="AP135" i="10"/>
  <c r="AS135" i="10" s="1"/>
  <c r="AU135" i="10" s="1"/>
  <c r="AV135" i="10" s="1"/>
  <c r="AY135" i="10" s="1"/>
  <c r="AP115" i="10"/>
  <c r="AS115" i="10" s="1"/>
  <c r="AU115" i="10" s="1"/>
  <c r="AV115" i="10" s="1"/>
  <c r="AY115" i="10" s="1"/>
  <c r="AP113" i="9"/>
  <c r="AS113" i="9" s="1"/>
  <c r="AU113" i="9" s="1"/>
  <c r="N262" i="10"/>
  <c r="Q262" i="10" s="1"/>
  <c r="S262" i="10" s="1"/>
  <c r="AB112" i="10"/>
  <c r="AE112" i="10" s="1"/>
  <c r="AG112" i="10" s="1"/>
  <c r="AP333" i="8"/>
  <c r="AS333" i="8" s="1"/>
  <c r="AU333" i="8" s="1"/>
  <c r="AB49" i="8"/>
  <c r="AE49" i="8" s="1"/>
  <c r="AG49" i="8" s="1"/>
  <c r="AP395" i="8"/>
  <c r="AS395" i="8" s="1"/>
  <c r="AU395" i="8" s="1"/>
  <c r="AV395" i="8" s="1"/>
  <c r="AY395" i="8" s="1"/>
  <c r="AB419" i="9"/>
  <c r="AE419" i="9" s="1"/>
  <c r="AG419" i="9" s="1"/>
  <c r="AP385" i="8"/>
  <c r="AS385" i="8" s="1"/>
  <c r="AU385" i="8" s="1"/>
  <c r="AV385" i="8" s="1"/>
  <c r="AY385" i="8" s="1"/>
  <c r="N64" i="10"/>
  <c r="Q64" i="10" s="1"/>
  <c r="S64" i="10" s="1"/>
  <c r="AP118" i="10"/>
  <c r="AS118" i="10" s="1"/>
  <c r="AU118" i="10" s="1"/>
  <c r="AP378" i="10"/>
  <c r="AS378" i="10" s="1"/>
  <c r="AU378" i="10" s="1"/>
  <c r="N382" i="10"/>
  <c r="Q382" i="10" s="1"/>
  <c r="S382" i="10" s="1"/>
  <c r="AB125" i="8"/>
  <c r="AE125" i="8" s="1"/>
  <c r="AG125" i="8" s="1"/>
  <c r="AH125" i="8" s="1"/>
  <c r="AB287" i="10"/>
  <c r="AE287" i="10" s="1"/>
  <c r="AG287" i="10" s="1"/>
  <c r="AP243" i="8"/>
  <c r="AS243" i="8" s="1"/>
  <c r="AU243" i="8" s="1"/>
  <c r="N182" i="9"/>
  <c r="Q182" i="9" s="1"/>
  <c r="S182" i="9" s="1"/>
  <c r="AB323" i="10"/>
  <c r="AE323" i="10" s="1"/>
  <c r="AG323" i="10" s="1"/>
  <c r="AP369" i="9"/>
  <c r="AS369" i="9" s="1"/>
  <c r="AU369" i="9" s="1"/>
  <c r="AB199" i="8"/>
  <c r="AE199" i="8" s="1"/>
  <c r="AG199" i="8" s="1"/>
  <c r="AP108" i="9"/>
  <c r="AS108" i="9" s="1"/>
  <c r="AU108" i="9" s="1"/>
  <c r="AP288" i="8"/>
  <c r="AS288" i="8" s="1"/>
  <c r="AU288" i="8" s="1"/>
  <c r="N177" i="9"/>
  <c r="Q177" i="9" s="1"/>
  <c r="S177" i="9" s="1"/>
  <c r="AP78" i="8"/>
  <c r="AS78" i="8" s="1"/>
  <c r="AU78" i="8" s="1"/>
  <c r="N85" i="9"/>
  <c r="Q85" i="9" s="1"/>
  <c r="S85" i="9" s="1"/>
  <c r="T85" i="9" s="1"/>
  <c r="AB182" i="10"/>
  <c r="AE182" i="10" s="1"/>
  <c r="AG182" i="10" s="1"/>
  <c r="AP40" i="10"/>
  <c r="AS40" i="10" s="1"/>
  <c r="AU40" i="10" s="1"/>
  <c r="AV40" i="10" s="1"/>
  <c r="AY40" i="10" s="1"/>
  <c r="AP82" i="10"/>
  <c r="AS82" i="10" s="1"/>
  <c r="AU82" i="10" s="1"/>
  <c r="N150" i="8"/>
  <c r="Q150" i="8" s="1"/>
  <c r="S150" i="8" s="1"/>
  <c r="T150" i="8" s="1"/>
  <c r="AP142" i="9"/>
  <c r="AS142" i="9" s="1"/>
  <c r="AU142" i="9" s="1"/>
  <c r="AP211" i="8"/>
  <c r="AS211" i="8" s="1"/>
  <c r="AU211" i="8" s="1"/>
  <c r="N305" i="8"/>
  <c r="Q305" i="8" s="1"/>
  <c r="S305" i="8" s="1"/>
  <c r="T305" i="8" s="1"/>
  <c r="AB120" i="10"/>
  <c r="AE120" i="10" s="1"/>
  <c r="AG120" i="10" s="1"/>
  <c r="AH120" i="10" s="1"/>
  <c r="AP189" i="10"/>
  <c r="AS189" i="10" s="1"/>
  <c r="AU189" i="10" s="1"/>
  <c r="N25" i="10"/>
  <c r="Q25" i="10" s="1"/>
  <c r="S25" i="10" s="1"/>
  <c r="AB239" i="9"/>
  <c r="AE239" i="9" s="1"/>
  <c r="AG239" i="9" s="1"/>
  <c r="N247" i="9"/>
  <c r="Q247" i="9" s="1"/>
  <c r="S247" i="9" s="1"/>
  <c r="N90" i="9"/>
  <c r="Q90" i="9" s="1"/>
  <c r="S90" i="9" s="1"/>
  <c r="T90" i="9" s="1"/>
  <c r="AP423" i="9"/>
  <c r="AS423" i="9" s="1"/>
  <c r="AU423" i="9" s="1"/>
  <c r="AP333" i="9"/>
  <c r="AS333" i="9" s="1"/>
  <c r="AU333" i="9" s="1"/>
  <c r="AP328" i="8"/>
  <c r="AS328" i="8" s="1"/>
  <c r="AU328" i="8" s="1"/>
  <c r="N61" i="9"/>
  <c r="Q61" i="9" s="1"/>
  <c r="S61" i="9" s="1"/>
  <c r="AB397" i="9"/>
  <c r="AE397" i="9" s="1"/>
  <c r="AG397" i="9" s="1"/>
  <c r="N319" i="9"/>
  <c r="Q319" i="9" s="1"/>
  <c r="S319" i="9" s="1"/>
  <c r="AB354" i="9"/>
  <c r="AE354" i="9" s="1"/>
  <c r="AG354" i="9" s="1"/>
  <c r="N235" i="8"/>
  <c r="Q235" i="8" s="1"/>
  <c r="S235" i="8" s="1"/>
  <c r="T235" i="8" s="1"/>
  <c r="N256" i="10"/>
  <c r="Q256" i="10" s="1"/>
  <c r="S256" i="10" s="1"/>
  <c r="AB398" i="9"/>
  <c r="AE398" i="9" s="1"/>
  <c r="AG398" i="9" s="1"/>
  <c r="AB226" i="9"/>
  <c r="AE226" i="9" s="1"/>
  <c r="AG226" i="9" s="1"/>
  <c r="AP251" i="9"/>
  <c r="AS251" i="9" s="1"/>
  <c r="AU251" i="9" s="1"/>
  <c r="N330" i="8"/>
  <c r="Q330" i="8" s="1"/>
  <c r="S330" i="8" s="1"/>
  <c r="T330" i="8" s="1"/>
  <c r="AP345" i="10"/>
  <c r="AS345" i="10" s="1"/>
  <c r="AU345" i="10" s="1"/>
  <c r="AV345" i="10" s="1"/>
  <c r="AY345" i="10" s="1"/>
  <c r="N211" i="8"/>
  <c r="Q211" i="8" s="1"/>
  <c r="S211" i="8" s="1"/>
  <c r="AP120" i="10"/>
  <c r="AS120" i="10" s="1"/>
  <c r="AU120" i="10" s="1"/>
  <c r="AV120" i="10" s="1"/>
  <c r="AY120" i="10" s="1"/>
  <c r="AB393" i="10"/>
  <c r="AE393" i="10" s="1"/>
  <c r="AG393" i="10" s="1"/>
  <c r="AP418" i="10"/>
  <c r="AS418" i="10" s="1"/>
  <c r="AU418" i="10" s="1"/>
  <c r="AB207" i="8"/>
  <c r="AE207" i="8" s="1"/>
  <c r="AG207" i="8" s="1"/>
  <c r="AP422" i="8"/>
  <c r="AS422" i="8" s="1"/>
  <c r="AU422" i="8" s="1"/>
  <c r="N298" i="8"/>
  <c r="Q298" i="8" s="1"/>
  <c r="S298" i="8" s="1"/>
  <c r="AP240" i="9"/>
  <c r="AS240" i="9" s="1"/>
  <c r="AU240" i="9" s="1"/>
  <c r="AV240" i="9" s="1"/>
  <c r="AY240" i="9" s="1"/>
  <c r="AB147" i="9"/>
  <c r="AE147" i="9" s="1"/>
  <c r="AG147" i="9" s="1"/>
  <c r="AP343" i="8"/>
  <c r="AS343" i="8" s="1"/>
  <c r="AU343" i="8" s="1"/>
  <c r="AP385" i="9"/>
  <c r="AS385" i="9" s="1"/>
  <c r="AU385" i="9" s="1"/>
  <c r="AV385" i="9" s="1"/>
  <c r="AY385" i="9" s="1"/>
  <c r="AB281" i="9"/>
  <c r="AE281" i="9" s="1"/>
  <c r="AG281" i="9" s="1"/>
  <c r="AB262" i="10"/>
  <c r="AE262" i="10" s="1"/>
  <c r="AG262" i="10" s="1"/>
  <c r="AP322" i="8"/>
  <c r="AS322" i="8" s="1"/>
  <c r="AU322" i="8" s="1"/>
  <c r="AP166" i="9"/>
  <c r="AS166" i="9" s="1"/>
  <c r="AU166" i="9" s="1"/>
  <c r="AC383" i="6"/>
  <c r="N321" i="9"/>
  <c r="Q321" i="9" s="1"/>
  <c r="S321" i="9" s="1"/>
  <c r="AP110" i="8"/>
  <c r="AS110" i="8" s="1"/>
  <c r="AU110" i="8" s="1"/>
  <c r="AV110" i="8" s="1"/>
  <c r="AY110" i="8" s="1"/>
  <c r="AP42" i="10"/>
  <c r="AS42" i="10" s="1"/>
  <c r="AU42" i="10" s="1"/>
  <c r="AP358" i="9"/>
  <c r="AS358" i="9" s="1"/>
  <c r="AU358" i="9" s="1"/>
  <c r="AB272" i="8"/>
  <c r="AE272" i="8" s="1"/>
  <c r="AG272" i="8" s="1"/>
  <c r="N69" i="10"/>
  <c r="Q69" i="10" s="1"/>
  <c r="S69" i="10" s="1"/>
  <c r="AP64" i="10"/>
  <c r="AS64" i="10" s="1"/>
  <c r="AU64" i="10" s="1"/>
  <c r="AP65" i="9"/>
  <c r="AS65" i="9" s="1"/>
  <c r="AU65" i="9" s="1"/>
  <c r="AV65" i="9" s="1"/>
  <c r="AY65" i="9" s="1"/>
  <c r="AP404" i="9"/>
  <c r="AS404" i="9" s="1"/>
  <c r="AU404" i="9" s="1"/>
  <c r="N245" i="10"/>
  <c r="Q245" i="10" s="1"/>
  <c r="S245" i="10" s="1"/>
  <c r="T245" i="10" s="1"/>
  <c r="AP294" i="9"/>
  <c r="AS294" i="9" s="1"/>
  <c r="AU294" i="9" s="1"/>
  <c r="N139" i="10"/>
  <c r="Q139" i="10" s="1"/>
  <c r="S139" i="10" s="1"/>
  <c r="N72" i="8"/>
  <c r="Q72" i="8" s="1"/>
  <c r="S72" i="8" s="1"/>
  <c r="AP108" i="10"/>
  <c r="AS108" i="10" s="1"/>
  <c r="AU108" i="10" s="1"/>
  <c r="N338" i="9"/>
  <c r="Q338" i="9" s="1"/>
  <c r="S338" i="9" s="1"/>
  <c r="AB185" i="8"/>
  <c r="AE185" i="8" s="1"/>
  <c r="AG185" i="8" s="1"/>
  <c r="AH185" i="8" s="1"/>
  <c r="AP157" i="9"/>
  <c r="AS157" i="9" s="1"/>
  <c r="AU157" i="9" s="1"/>
  <c r="N390" i="8"/>
  <c r="Q390" i="8" s="1"/>
  <c r="S390" i="8" s="1"/>
  <c r="T390" i="8" s="1"/>
  <c r="AP219" i="9"/>
  <c r="AS219" i="9" s="1"/>
  <c r="AU219" i="9" s="1"/>
  <c r="AB65" i="8"/>
  <c r="AE65" i="8" s="1"/>
  <c r="AG65" i="8" s="1"/>
  <c r="AH65" i="8" s="1"/>
  <c r="AP386" i="10"/>
  <c r="AS386" i="10" s="1"/>
  <c r="AU386" i="10" s="1"/>
  <c r="N37" i="8"/>
  <c r="Q37" i="8" s="1"/>
  <c r="S37" i="8" s="1"/>
  <c r="AP217" i="8"/>
  <c r="AS217" i="8" s="1"/>
  <c r="AU217" i="8" s="1"/>
  <c r="AP237" i="10"/>
  <c r="AS237" i="10" s="1"/>
  <c r="AU237" i="10" s="1"/>
  <c r="N333" i="9"/>
  <c r="Q333" i="9" s="1"/>
  <c r="S333" i="9" s="1"/>
  <c r="AP311" i="8"/>
  <c r="AS311" i="8" s="1"/>
  <c r="AU311" i="8" s="1"/>
  <c r="AB314" i="10"/>
  <c r="AE314" i="10" s="1"/>
  <c r="AG314" i="10" s="1"/>
  <c r="N417" i="10"/>
  <c r="Q417" i="10" s="1"/>
  <c r="S417" i="10" s="1"/>
  <c r="AB378" i="10"/>
  <c r="AE378" i="10" s="1"/>
  <c r="AG378" i="10" s="1"/>
  <c r="N139" i="9"/>
  <c r="Q139" i="9" s="1"/>
  <c r="S139" i="9" s="1"/>
  <c r="AB319" i="9"/>
  <c r="AE319" i="9" s="1"/>
  <c r="AG319" i="9" s="1"/>
  <c r="AB313" i="10"/>
  <c r="AE313" i="10" s="1"/>
  <c r="AG313" i="10" s="1"/>
  <c r="AP197" i="9"/>
  <c r="AS197" i="9" s="1"/>
  <c r="AU197" i="9" s="1"/>
  <c r="AB103" i="10"/>
  <c r="AE103" i="10" s="1"/>
  <c r="AG103" i="10" s="1"/>
  <c r="N362" i="8"/>
  <c r="Q362" i="8" s="1"/>
  <c r="S362" i="8" s="1"/>
  <c r="N328" i="9"/>
  <c r="Q328" i="9" s="1"/>
  <c r="S328" i="9" s="1"/>
  <c r="AP61" i="10"/>
  <c r="AS61" i="10" s="1"/>
  <c r="AU61" i="10" s="1"/>
  <c r="AB373" i="8"/>
  <c r="AE373" i="8" s="1"/>
  <c r="AG373" i="8" s="1"/>
  <c r="AB108" i="9"/>
  <c r="AE108" i="9" s="1"/>
  <c r="AG108" i="9" s="1"/>
  <c r="N130" i="9"/>
  <c r="Q130" i="9" s="1"/>
  <c r="S130" i="9" s="1"/>
  <c r="T130" i="9" s="1"/>
  <c r="N309" i="9"/>
  <c r="Q309" i="9" s="1"/>
  <c r="S309" i="9" s="1"/>
  <c r="N151" i="8"/>
  <c r="Q151" i="8" s="1"/>
  <c r="S151" i="8" s="1"/>
  <c r="AP82" i="9"/>
  <c r="AS82" i="9" s="1"/>
  <c r="AU82" i="9" s="1"/>
  <c r="N372" i="9"/>
  <c r="Q372" i="9" s="1"/>
  <c r="S372" i="9" s="1"/>
  <c r="AP203" i="9"/>
  <c r="AS203" i="9" s="1"/>
  <c r="AU203" i="9" s="1"/>
  <c r="N224" i="9"/>
  <c r="Q224" i="9" s="1"/>
  <c r="S224" i="9" s="1"/>
  <c r="AP290" i="9"/>
  <c r="AS290" i="9" s="1"/>
  <c r="AU290" i="9" s="1"/>
  <c r="AV290" i="9" s="1"/>
  <c r="AY290" i="9" s="1"/>
  <c r="N198" i="8"/>
  <c r="Q198" i="8" s="1"/>
  <c r="S198" i="8" s="1"/>
  <c r="AP201" i="10"/>
  <c r="AS201" i="10" s="1"/>
  <c r="AU201" i="10" s="1"/>
  <c r="AB146" i="8"/>
  <c r="AE146" i="8" s="1"/>
  <c r="AG146" i="8" s="1"/>
  <c r="N345" i="10"/>
  <c r="Q345" i="10" s="1"/>
  <c r="S345" i="10" s="1"/>
  <c r="T345" i="10" s="1"/>
  <c r="AP167" i="9"/>
  <c r="AS167" i="9" s="1"/>
  <c r="AU167" i="9" s="1"/>
  <c r="N414" i="10"/>
  <c r="Q414" i="10" s="1"/>
  <c r="S414" i="10" s="1"/>
  <c r="AP51" i="10"/>
  <c r="AS51" i="10" s="1"/>
  <c r="AU51" i="10" s="1"/>
  <c r="N150" i="9"/>
  <c r="Q150" i="9" s="1"/>
  <c r="S150" i="9" s="1"/>
  <c r="T150" i="9" s="1"/>
  <c r="N161" i="9"/>
  <c r="Q161" i="9" s="1"/>
  <c r="S161" i="9" s="1"/>
  <c r="AB126" i="9"/>
  <c r="AE126" i="9" s="1"/>
  <c r="AG126" i="9" s="1"/>
  <c r="AB262" i="9"/>
  <c r="AE262" i="9" s="1"/>
  <c r="AG262" i="9" s="1"/>
  <c r="N208" i="10"/>
  <c r="Q208" i="10" s="1"/>
  <c r="S208" i="10" s="1"/>
  <c r="AB401" i="8"/>
  <c r="AE401" i="8" s="1"/>
  <c r="AG401" i="8" s="1"/>
  <c r="AP36" i="10"/>
  <c r="AS36" i="10" s="1"/>
  <c r="AU36" i="10" s="1"/>
  <c r="AB218" i="10"/>
  <c r="AE218" i="10" s="1"/>
  <c r="AG218" i="10" s="1"/>
  <c r="AB128" i="10"/>
  <c r="AE128" i="10" s="1"/>
  <c r="AG128" i="10" s="1"/>
  <c r="AB168" i="8"/>
  <c r="AE168" i="8" s="1"/>
  <c r="AG168" i="8" s="1"/>
  <c r="N266" i="9"/>
  <c r="Q266" i="9" s="1"/>
  <c r="S266" i="9" s="1"/>
  <c r="AP174" i="9"/>
  <c r="AS174" i="9" s="1"/>
  <c r="AU174" i="9" s="1"/>
  <c r="AB394" i="10"/>
  <c r="AE394" i="10" s="1"/>
  <c r="AG394" i="10" s="1"/>
  <c r="AP304" i="9"/>
  <c r="AS304" i="9" s="1"/>
  <c r="AU304" i="9" s="1"/>
  <c r="AP392" i="10"/>
  <c r="AS392" i="10" s="1"/>
  <c r="AU392" i="10" s="1"/>
  <c r="AB246" i="9"/>
  <c r="AE246" i="9" s="1"/>
  <c r="AG246" i="9" s="1"/>
  <c r="N128" i="9"/>
  <c r="Q128" i="9" s="1"/>
  <c r="S128" i="9" s="1"/>
  <c r="AB213" i="9"/>
  <c r="AE213" i="9" s="1"/>
  <c r="AG213" i="9" s="1"/>
  <c r="AP391" i="9"/>
  <c r="AS391" i="9" s="1"/>
  <c r="AU391" i="9" s="1"/>
  <c r="AD305" i="9"/>
  <c r="AI305" i="9"/>
  <c r="AM306" i="9" s="1"/>
  <c r="AQ306" i="9" s="1"/>
  <c r="AR306" i="9" s="1"/>
  <c r="AL375" i="9"/>
  <c r="AJ375" i="9"/>
  <c r="AB386" i="9"/>
  <c r="AE386" i="9" s="1"/>
  <c r="AG386" i="9" s="1"/>
  <c r="N380" i="10"/>
  <c r="Q380" i="10" s="1"/>
  <c r="S380" i="10" s="1"/>
  <c r="T380" i="10" s="1"/>
  <c r="K380" i="10"/>
  <c r="O380" i="10" s="1"/>
  <c r="AK365" i="10"/>
  <c r="P325" i="9"/>
  <c r="V325" i="9"/>
  <c r="U325" i="9"/>
  <c r="Y326" i="9" s="1"/>
  <c r="AC326" i="9" s="1"/>
  <c r="X325" i="9"/>
  <c r="AR245" i="10"/>
  <c r="AW245" i="10"/>
  <c r="AX245" i="10"/>
  <c r="AZ245" i="10"/>
  <c r="AK390" i="9"/>
  <c r="AX275" i="9"/>
  <c r="AW275" i="9"/>
  <c r="AR275" i="9"/>
  <c r="AZ275" i="9"/>
  <c r="P215" i="10"/>
  <c r="U215" i="10"/>
  <c r="Y216" i="10" s="1"/>
  <c r="AC216" i="10" s="1"/>
  <c r="V215" i="10"/>
  <c r="X215" i="10"/>
  <c r="AR130" i="9"/>
  <c r="AW130" i="9"/>
  <c r="AZ130" i="9"/>
  <c r="AX130" i="9"/>
  <c r="AB399" i="9"/>
  <c r="AE399" i="9" s="1"/>
  <c r="AG399" i="9" s="1"/>
  <c r="AJ365" i="9"/>
  <c r="AI365" i="9"/>
  <c r="AM366" i="9" s="1"/>
  <c r="AQ366" i="9" s="1"/>
  <c r="AR366" i="9" s="1"/>
  <c r="AL365" i="9"/>
  <c r="AD365" i="9"/>
  <c r="N57" i="9"/>
  <c r="Q57" i="9" s="1"/>
  <c r="S57" i="9" s="1"/>
  <c r="AP303" i="10"/>
  <c r="AS303" i="10" s="1"/>
  <c r="AU303" i="10" s="1"/>
  <c r="AB195" i="8"/>
  <c r="AE195" i="8" s="1"/>
  <c r="AG195" i="8" s="1"/>
  <c r="AH195" i="8" s="1"/>
  <c r="AC352" i="6"/>
  <c r="AB373" i="9"/>
  <c r="AE373" i="9" s="1"/>
  <c r="AG373" i="9" s="1"/>
  <c r="AP399" i="8"/>
  <c r="AS399" i="8" s="1"/>
  <c r="AU399" i="8" s="1"/>
  <c r="N117" i="9"/>
  <c r="Q117" i="9" s="1"/>
  <c r="S117" i="9" s="1"/>
  <c r="N111" i="10"/>
  <c r="Q111" i="10" s="1"/>
  <c r="S111" i="10" s="1"/>
  <c r="N366" i="9"/>
  <c r="Q366" i="9" s="1"/>
  <c r="S366" i="9" s="1"/>
  <c r="AP28" i="9"/>
  <c r="AS28" i="9" s="1"/>
  <c r="AU28" i="9" s="1"/>
  <c r="AB279" i="8"/>
  <c r="AE279" i="8" s="1"/>
  <c r="AG279" i="8" s="1"/>
  <c r="N363" i="9"/>
  <c r="Q363" i="9" s="1"/>
  <c r="S363" i="9" s="1"/>
  <c r="AB99" i="10"/>
  <c r="AE99" i="10" s="1"/>
  <c r="AG99" i="10" s="1"/>
  <c r="AP214" i="8"/>
  <c r="AS214" i="8" s="1"/>
  <c r="AU214" i="8" s="1"/>
  <c r="AB329" i="10"/>
  <c r="AE329" i="10" s="1"/>
  <c r="AG329" i="10" s="1"/>
  <c r="AP286" i="9"/>
  <c r="AS286" i="9" s="1"/>
  <c r="AU286" i="9" s="1"/>
  <c r="N67" i="10"/>
  <c r="Q67" i="10" s="1"/>
  <c r="S67" i="10" s="1"/>
  <c r="N340" i="8"/>
  <c r="Q340" i="8" s="1"/>
  <c r="S340" i="8" s="1"/>
  <c r="T340" i="8" s="1"/>
  <c r="N407" i="9"/>
  <c r="Q407" i="9" s="1"/>
  <c r="S407" i="9" s="1"/>
  <c r="AB137" i="10"/>
  <c r="AE137" i="10" s="1"/>
  <c r="AG137" i="10" s="1"/>
  <c r="N320" i="10"/>
  <c r="AP350" i="10"/>
  <c r="AS350" i="10" s="1"/>
  <c r="AU350" i="10" s="1"/>
  <c r="AV350" i="10" s="1"/>
  <c r="AY350" i="10" s="1"/>
  <c r="N190" i="9"/>
  <c r="Q190" i="9" s="1"/>
  <c r="S190" i="9" s="1"/>
  <c r="T190" i="9" s="1"/>
  <c r="AB55" i="9"/>
  <c r="AE55" i="9" s="1"/>
  <c r="AG55" i="9" s="1"/>
  <c r="AH55" i="9" s="1"/>
  <c r="AB160" i="8"/>
  <c r="AE160" i="8" s="1"/>
  <c r="AG160" i="8" s="1"/>
  <c r="AH160" i="8" s="1"/>
  <c r="AB294" i="10"/>
  <c r="AE294" i="10" s="1"/>
  <c r="AG294" i="10" s="1"/>
  <c r="N403" i="10"/>
  <c r="Q403" i="10"/>
  <c r="S403" i="10" s="1"/>
  <c r="AA366" i="6"/>
  <c r="AB175" i="9"/>
  <c r="AE175" i="9" s="1"/>
  <c r="AG175" i="9" s="1"/>
  <c r="AH175" i="9" s="1"/>
  <c r="N256" i="8"/>
  <c r="Q256" i="8" s="1"/>
  <c r="S256" i="8" s="1"/>
  <c r="AB179" i="10"/>
  <c r="AE179" i="10" s="1"/>
  <c r="AG179" i="10" s="1"/>
  <c r="AP26" i="9"/>
  <c r="AS26" i="9" s="1"/>
  <c r="AU26" i="9" s="1"/>
  <c r="N110" i="9"/>
  <c r="Q110" i="9" s="1"/>
  <c r="S110" i="9" s="1"/>
  <c r="T110" i="9" s="1"/>
  <c r="AB141" i="8"/>
  <c r="AE141" i="8" s="1"/>
  <c r="AG141" i="8" s="1"/>
  <c r="AP114" i="10"/>
  <c r="AS114" i="10" s="1"/>
  <c r="AU114" i="10" s="1"/>
  <c r="N183" i="10"/>
  <c r="Q183" i="10" s="1"/>
  <c r="S183" i="10" s="1"/>
  <c r="N272" i="9"/>
  <c r="Q272" i="9" s="1"/>
  <c r="S272" i="9" s="1"/>
  <c r="AP155" i="9"/>
  <c r="AS155" i="9" s="1"/>
  <c r="AU155" i="9" s="1"/>
  <c r="AV155" i="9" s="1"/>
  <c r="AY155" i="9" s="1"/>
  <c r="AB309" i="8"/>
  <c r="AE309" i="8" s="1"/>
  <c r="AG309" i="8" s="1"/>
  <c r="AB26" i="10"/>
  <c r="AE26" i="10" s="1"/>
  <c r="AG26" i="10" s="1"/>
  <c r="AB302" i="9"/>
  <c r="AE302" i="9" s="1"/>
  <c r="AG302" i="9" s="1"/>
  <c r="AP82" i="8"/>
  <c r="AS82" i="8" s="1"/>
  <c r="AU82" i="8" s="1"/>
  <c r="N86" i="8"/>
  <c r="Q86" i="8" s="1"/>
  <c r="S86" i="8" s="1"/>
  <c r="AB380" i="8"/>
  <c r="AE380" i="8" s="1"/>
  <c r="AG380" i="8" s="1"/>
  <c r="AH380" i="8" s="1"/>
  <c r="Y380" i="8"/>
  <c r="N71" i="10"/>
  <c r="Q71" i="10" s="1"/>
  <c r="S71" i="10" s="1"/>
  <c r="AB349" i="9"/>
  <c r="AE349" i="9" s="1"/>
  <c r="AG349" i="9" s="1"/>
  <c r="AZ230" i="10"/>
  <c r="AX230" i="10"/>
  <c r="AR230" i="10"/>
  <c r="AW230" i="10"/>
  <c r="AP394" i="10"/>
  <c r="AS394" i="10" s="1"/>
  <c r="AU394" i="10" s="1"/>
  <c r="AB152" i="9"/>
  <c r="AE152" i="9" s="1"/>
  <c r="AG152" i="9" s="1"/>
  <c r="N393" i="8"/>
  <c r="Q393" i="8" s="1"/>
  <c r="S393" i="8" s="1"/>
  <c r="AP177" i="10"/>
  <c r="AS177" i="10" s="1"/>
  <c r="AU177" i="10" s="1"/>
  <c r="AP273" i="10"/>
  <c r="AS273" i="10" s="1"/>
  <c r="AU273" i="10" s="1"/>
  <c r="AP355" i="8"/>
  <c r="AS355" i="8" s="1"/>
  <c r="AU355" i="8" s="1"/>
  <c r="AV355" i="8" s="1"/>
  <c r="AY355" i="8" s="1"/>
  <c r="N400" i="10"/>
  <c r="Q400" i="10" s="1"/>
  <c r="S400" i="10" s="1"/>
  <c r="T400" i="10" s="1"/>
  <c r="AB45" i="9"/>
  <c r="AE45" i="9" s="1"/>
  <c r="AG45" i="9" s="1"/>
  <c r="AH45" i="9" s="1"/>
  <c r="AB181" i="10"/>
  <c r="AE181" i="10" s="1"/>
  <c r="AG181" i="10" s="1"/>
  <c r="AB283" i="9"/>
  <c r="AE283" i="9" s="1"/>
  <c r="AG283" i="9" s="1"/>
  <c r="AP133" i="9"/>
  <c r="AS133" i="9" s="1"/>
  <c r="AU133" i="9" s="1"/>
  <c r="AB209" i="8"/>
  <c r="AE209" i="8" s="1"/>
  <c r="AG209" i="8" s="1"/>
  <c r="AP157" i="8"/>
  <c r="AS157" i="8" s="1"/>
  <c r="AU157" i="8" s="1"/>
  <c r="AB189" i="9"/>
  <c r="AE189" i="9" s="1"/>
  <c r="AG189" i="9" s="1"/>
  <c r="AP78" i="10"/>
  <c r="AS78" i="10" s="1"/>
  <c r="AU78" i="10" s="1"/>
  <c r="N301" i="10"/>
  <c r="Q301" i="10" s="1"/>
  <c r="S301" i="10" s="1"/>
  <c r="N420" i="9"/>
  <c r="Q420" i="9" s="1"/>
  <c r="S420" i="9" s="1"/>
  <c r="T420" i="9" s="1"/>
  <c r="K420" i="9"/>
  <c r="O420" i="9" s="1"/>
  <c r="N321" i="8"/>
  <c r="Q321" i="8" s="1"/>
  <c r="S321" i="8" s="1"/>
  <c r="AP417" i="8"/>
  <c r="AS417" i="8" s="1"/>
  <c r="AU417" i="8" s="1"/>
  <c r="AB378" i="8"/>
  <c r="AE378" i="8" s="1"/>
  <c r="AG378" i="8" s="1"/>
  <c r="AP55" i="9"/>
  <c r="AS55" i="9" s="1"/>
  <c r="AU55" i="9" s="1"/>
  <c r="AV55" i="9" s="1"/>
  <c r="AY55" i="9" s="1"/>
  <c r="AP402" i="9"/>
  <c r="AS402" i="9" s="1"/>
  <c r="AU402" i="9" s="1"/>
  <c r="N403" i="9"/>
  <c r="Q403" i="9" s="1"/>
  <c r="S403" i="9" s="1"/>
  <c r="AP26" i="8"/>
  <c r="AS26" i="8" s="1"/>
  <c r="AU26" i="8" s="1"/>
  <c r="AB205" i="10"/>
  <c r="AE205" i="10" s="1"/>
  <c r="AG205" i="10" s="1"/>
  <c r="AH205" i="10" s="1"/>
  <c r="AL210" i="10"/>
  <c r="AD210" i="10"/>
  <c r="AJ210" i="10"/>
  <c r="AI210" i="10"/>
  <c r="AM211" i="10" s="1"/>
  <c r="AQ211" i="10" s="1"/>
  <c r="N424" i="10"/>
  <c r="Q424" i="10" s="1"/>
  <c r="S424" i="10" s="1"/>
  <c r="AP179" i="10"/>
  <c r="AS179" i="10" s="1"/>
  <c r="AU179" i="10" s="1"/>
  <c r="AP160" i="10"/>
  <c r="AS160" i="10" s="1"/>
  <c r="AU160" i="10" s="1"/>
  <c r="AV160" i="10" s="1"/>
  <c r="AY160" i="10" s="1"/>
  <c r="AB166" i="10"/>
  <c r="AE166" i="10" s="1"/>
  <c r="AG166" i="10" s="1"/>
  <c r="AB291" i="10"/>
  <c r="AE291" i="10" s="1"/>
  <c r="AG291" i="10" s="1"/>
  <c r="AL295" i="10"/>
  <c r="AD295" i="10"/>
  <c r="AJ295" i="10"/>
  <c r="AI295" i="10"/>
  <c r="AM296" i="10" s="1"/>
  <c r="AQ296" i="10" s="1"/>
  <c r="AP307" i="10"/>
  <c r="AS307" i="10" s="1"/>
  <c r="AU307" i="10" s="1"/>
  <c r="N88" i="8"/>
  <c r="Q88" i="8" s="1"/>
  <c r="S88" i="8" s="1"/>
  <c r="AB285" i="10"/>
  <c r="AE285" i="10" s="1"/>
  <c r="AG285" i="10" s="1"/>
  <c r="AH285" i="10" s="1"/>
  <c r="N218" i="9"/>
  <c r="Q218" i="9" s="1"/>
  <c r="S218" i="9" s="1"/>
  <c r="AL105" i="9"/>
  <c r="AD105" i="9"/>
  <c r="AI105" i="9"/>
  <c r="AM106" i="9" s="1"/>
  <c r="AQ106" i="9" s="1"/>
  <c r="AJ105" i="9"/>
  <c r="N71" i="9"/>
  <c r="Q71" i="9" s="1"/>
  <c r="S71" i="9" s="1"/>
  <c r="AP257" i="8"/>
  <c r="AS257" i="8" s="1"/>
  <c r="AU257" i="8" s="1"/>
  <c r="N82" i="8"/>
  <c r="Q82" i="8" s="1"/>
  <c r="S82" i="8" s="1"/>
  <c r="AP278" i="10"/>
  <c r="AS278" i="10" s="1"/>
  <c r="AU278" i="10" s="1"/>
  <c r="N165" i="9"/>
  <c r="Q165" i="9" s="1"/>
  <c r="S165" i="9" s="1"/>
  <c r="T165" i="9" s="1"/>
  <c r="AP270" i="9"/>
  <c r="AS270" i="9" s="1"/>
  <c r="AU270" i="9" s="1"/>
  <c r="AV270" i="9" s="1"/>
  <c r="AY270" i="9" s="1"/>
  <c r="AD310" i="9"/>
  <c r="AL310" i="9"/>
  <c r="AI310" i="9"/>
  <c r="AM311" i="9" s="1"/>
  <c r="AQ311" i="9" s="1"/>
  <c r="AJ310" i="9"/>
  <c r="N391" i="9"/>
  <c r="Q391" i="9" s="1"/>
  <c r="S391" i="9" s="1"/>
  <c r="N412" i="8"/>
  <c r="Q412" i="8" s="1"/>
  <c r="S412" i="8" s="1"/>
  <c r="AP223" i="8"/>
  <c r="AS223" i="8" s="1"/>
  <c r="AU223" i="8" s="1"/>
  <c r="AB201" i="9"/>
  <c r="AE201" i="9" s="1"/>
  <c r="AG201" i="9" s="1"/>
  <c r="AB39" i="8"/>
  <c r="AE39" i="8" s="1"/>
  <c r="AG39" i="8" s="1"/>
  <c r="AB282" i="9"/>
  <c r="AE282" i="9" s="1"/>
  <c r="AG282" i="9" s="1"/>
  <c r="N344" i="9"/>
  <c r="Q344" i="9" s="1"/>
  <c r="S344" i="9" s="1"/>
  <c r="N360" i="9"/>
  <c r="Q360" i="9" s="1"/>
  <c r="S360" i="9" s="1"/>
  <c r="T360" i="9" s="1"/>
  <c r="AP366" i="8"/>
  <c r="AS366" i="8" s="1"/>
  <c r="AU366" i="8" s="1"/>
  <c r="AB133" i="8"/>
  <c r="AE133" i="8" s="1"/>
  <c r="AG133" i="8" s="1"/>
  <c r="AP51" i="9"/>
  <c r="AS51" i="9" s="1"/>
  <c r="AU51" i="9" s="1"/>
  <c r="AB153" i="9"/>
  <c r="AE153" i="9" s="1"/>
  <c r="AG153" i="9" s="1"/>
  <c r="AB262" i="8"/>
  <c r="AE262" i="8" s="1"/>
  <c r="AG262" i="8" s="1"/>
  <c r="AP168" i="9"/>
  <c r="AS168" i="9" s="1"/>
  <c r="AU168" i="9" s="1"/>
  <c r="AB249" i="10"/>
  <c r="AE249" i="10" s="1"/>
  <c r="AG249" i="10" s="1"/>
  <c r="N133" i="9"/>
  <c r="Q133" i="9" s="1"/>
  <c r="S133" i="9" s="1"/>
  <c r="N312" i="10"/>
  <c r="Q312" i="10" s="1"/>
  <c r="S312" i="10" s="1"/>
  <c r="AP209" i="8"/>
  <c r="AS209" i="8" s="1"/>
  <c r="AU209" i="8" s="1"/>
  <c r="AP99" i="10"/>
  <c r="AS99" i="10" s="1"/>
  <c r="AU99" i="10" s="1"/>
  <c r="AB355" i="9"/>
  <c r="AE355" i="9" s="1"/>
  <c r="AG355" i="9" s="1"/>
  <c r="AH355" i="9" s="1"/>
  <c r="AB144" i="8"/>
  <c r="AE144" i="8" s="1"/>
  <c r="AG144" i="8" s="1"/>
  <c r="N99" i="9"/>
  <c r="Q99" i="9" s="1"/>
  <c r="S99" i="9" s="1"/>
  <c r="N259" i="9"/>
  <c r="Q259" i="9" s="1"/>
  <c r="S259" i="9" s="1"/>
  <c r="N199" i="10"/>
  <c r="Q199" i="10" s="1"/>
  <c r="S199" i="10" s="1"/>
  <c r="AB367" i="8"/>
  <c r="AE367" i="8" s="1"/>
  <c r="AG367" i="8" s="1"/>
  <c r="AP280" i="8"/>
  <c r="AS280" i="8" s="1"/>
  <c r="AU280" i="8" s="1"/>
  <c r="AV280" i="8" s="1"/>
  <c r="AY280" i="8" s="1"/>
  <c r="N283" i="9"/>
  <c r="Q283" i="9" s="1"/>
  <c r="S283" i="9" s="1"/>
  <c r="AB133" i="9"/>
  <c r="AE133" i="9" s="1"/>
  <c r="AG133" i="9" s="1"/>
  <c r="AP250" i="8"/>
  <c r="AS250" i="8" s="1"/>
  <c r="AU250" i="8" s="1"/>
  <c r="AV250" i="8" s="1"/>
  <c r="AY250" i="8" s="1"/>
  <c r="AP230" i="9"/>
  <c r="AS230" i="9" s="1"/>
  <c r="AU230" i="9" s="1"/>
  <c r="AV230" i="9" s="1"/>
  <c r="AY230" i="9" s="1"/>
  <c r="AB131" i="8"/>
  <c r="AE131" i="8" s="1"/>
  <c r="AG131" i="8" s="1"/>
  <c r="AB99" i="8"/>
  <c r="AE99" i="8" s="1"/>
  <c r="AG99" i="8" s="1"/>
  <c r="AB372" i="10"/>
  <c r="AE372" i="10" s="1"/>
  <c r="AG372" i="10" s="1"/>
  <c r="AP170" i="9"/>
  <c r="AS170" i="9" s="1"/>
  <c r="AU170" i="9" s="1"/>
  <c r="AV170" i="9" s="1"/>
  <c r="AY170" i="9" s="1"/>
  <c r="AP242" i="9"/>
  <c r="AS242" i="9" s="1"/>
  <c r="AU242" i="9" s="1"/>
  <c r="AB233" i="10"/>
  <c r="AE233" i="10" s="1"/>
  <c r="AG233" i="10" s="1"/>
  <c r="AB360" i="10"/>
  <c r="AE360" i="10" s="1"/>
  <c r="AG360" i="10" s="1"/>
  <c r="AH360" i="10" s="1"/>
  <c r="AP102" i="8"/>
  <c r="AS102" i="8" s="1"/>
  <c r="AU102" i="8" s="1"/>
  <c r="AP239" i="9"/>
  <c r="AS239" i="9" s="1"/>
  <c r="AU239" i="9" s="1"/>
  <c r="AB418" i="9"/>
  <c r="AE418" i="9" s="1"/>
  <c r="AG418" i="9" s="1"/>
  <c r="N319" i="8"/>
  <c r="Q319" i="8" s="1"/>
  <c r="S319" i="8" s="1"/>
  <c r="N275" i="8"/>
  <c r="Q275" i="8" s="1"/>
  <c r="S275" i="8" s="1"/>
  <c r="T275" i="8" s="1"/>
  <c r="AB56" i="9"/>
  <c r="AE56" i="9" s="1"/>
  <c r="AG56" i="9" s="1"/>
  <c r="N422" i="10"/>
  <c r="Q422" i="10" s="1"/>
  <c r="S422" i="10" s="1"/>
  <c r="AC387" i="6"/>
  <c r="AP248" i="9"/>
  <c r="AS248" i="9" s="1"/>
  <c r="AU248" i="9" s="1"/>
  <c r="AP34" i="8"/>
  <c r="AS34" i="8" s="1"/>
  <c r="AU34" i="8" s="1"/>
  <c r="AB127" i="9"/>
  <c r="AE127" i="9" s="1"/>
  <c r="AG127" i="9" s="1"/>
  <c r="N396" i="9"/>
  <c r="Q396" i="9" s="1"/>
  <c r="S396" i="9" s="1"/>
  <c r="N72" i="9"/>
  <c r="Q72" i="9" s="1"/>
  <c r="S72" i="9" s="1"/>
  <c r="X80" i="9"/>
  <c r="P80" i="9"/>
  <c r="V80" i="9"/>
  <c r="U80" i="9"/>
  <c r="Y81" i="9" s="1"/>
  <c r="AC81" i="9" s="1"/>
  <c r="AD81" i="9" s="1"/>
  <c r="AF81" i="9" s="1"/>
  <c r="N89" i="10"/>
  <c r="Q89" i="10" s="1"/>
  <c r="S89" i="10" s="1"/>
  <c r="AP289" i="10"/>
  <c r="AS289" i="10" s="1"/>
  <c r="AU289" i="10" s="1"/>
  <c r="AP71" i="8"/>
  <c r="AS71" i="8" s="1"/>
  <c r="AU71" i="8" s="1"/>
  <c r="AB241" i="10"/>
  <c r="AE241" i="10" s="1"/>
  <c r="AG241" i="10" s="1"/>
  <c r="N410" i="9"/>
  <c r="Q410" i="9" s="1"/>
  <c r="S410" i="9" s="1"/>
  <c r="T410" i="9" s="1"/>
  <c r="N278" i="9"/>
  <c r="Q278" i="9" s="1"/>
  <c r="S278" i="9" s="1"/>
  <c r="N165" i="8"/>
  <c r="Q165" i="8" s="1"/>
  <c r="S165" i="8" s="1"/>
  <c r="T165" i="8" s="1"/>
  <c r="N409" i="10"/>
  <c r="Q409" i="10" s="1"/>
  <c r="S409" i="10" s="1"/>
  <c r="N193" i="9"/>
  <c r="Q193" i="9" s="1"/>
  <c r="S193" i="9" s="1"/>
  <c r="N192" i="9"/>
  <c r="Q192" i="9" s="1"/>
  <c r="S192" i="9" s="1"/>
  <c r="AP86" i="8"/>
  <c r="AS86" i="8" s="1"/>
  <c r="AU86" i="8" s="1"/>
  <c r="N395" i="10"/>
  <c r="Q395" i="10" s="1"/>
  <c r="S395" i="10" s="1"/>
  <c r="T395" i="10" s="1"/>
  <c r="AP138" i="8"/>
  <c r="AS138" i="8" s="1"/>
  <c r="AU138" i="8" s="1"/>
  <c r="AP117" i="8"/>
  <c r="AS117" i="8" s="1"/>
  <c r="AU117" i="8" s="1"/>
  <c r="AL230" i="10"/>
  <c r="AD230" i="10"/>
  <c r="AJ230" i="10"/>
  <c r="AI230" i="10"/>
  <c r="AM231" i="10" s="1"/>
  <c r="AQ231" i="10" s="1"/>
  <c r="AR231" i="10" s="1"/>
  <c r="AT231" i="10" s="1"/>
  <c r="AB78" i="8"/>
  <c r="AE78" i="8" s="1"/>
  <c r="AG78" i="8" s="1"/>
  <c r="AB315" i="9"/>
  <c r="AE315" i="9" s="1"/>
  <c r="AG315" i="9" s="1"/>
  <c r="AH315" i="9" s="1"/>
  <c r="AP122" i="10"/>
  <c r="AS122" i="10" s="1"/>
  <c r="AU122" i="10" s="1"/>
  <c r="AP401" i="10"/>
  <c r="AS401" i="10" s="1"/>
  <c r="AU401" i="10" s="1"/>
  <c r="AB46" i="10"/>
  <c r="AE46" i="10" s="1"/>
  <c r="AG46" i="10" s="1"/>
  <c r="AP134" i="10"/>
  <c r="AS134" i="10" s="1"/>
  <c r="AU134" i="10" s="1"/>
  <c r="AP238" i="8"/>
  <c r="AS238" i="8" s="1"/>
  <c r="AU238" i="8" s="1"/>
  <c r="N242" i="9"/>
  <c r="Q242" i="9" s="1"/>
  <c r="S242" i="9" s="1"/>
  <c r="AB416" i="8"/>
  <c r="AE416" i="8" s="1"/>
  <c r="AG416" i="8" s="1"/>
  <c r="AP96" i="8"/>
  <c r="AS96" i="8" s="1"/>
  <c r="AU96" i="8" s="1"/>
  <c r="AP45" i="10"/>
  <c r="AS45" i="10" s="1"/>
  <c r="AU45" i="10" s="1"/>
  <c r="AV45" i="10" s="1"/>
  <c r="AY45" i="10" s="1"/>
  <c r="U245" i="9"/>
  <c r="Y246" i="9" s="1"/>
  <c r="AC246" i="9" s="1"/>
  <c r="X245" i="9"/>
  <c r="P245" i="9"/>
  <c r="V245" i="9"/>
  <c r="AB41" i="9"/>
  <c r="AE41" i="9" s="1"/>
  <c r="AG41" i="9" s="1"/>
  <c r="AB201" i="10"/>
  <c r="AE201" i="10" s="1"/>
  <c r="AG201" i="10" s="1"/>
  <c r="AP113" i="8"/>
  <c r="AS113" i="8" s="1"/>
  <c r="AU113" i="8" s="1"/>
  <c r="N262" i="9"/>
  <c r="Q262" i="9" s="1"/>
  <c r="S262" i="9" s="1"/>
  <c r="AP289" i="8"/>
  <c r="AS289" i="8" s="1"/>
  <c r="AU289" i="8" s="1"/>
  <c r="AP98" i="10"/>
  <c r="AS98" i="10" s="1"/>
  <c r="AU98" i="10" s="1"/>
  <c r="AP224" i="10"/>
  <c r="AS224" i="10" s="1"/>
  <c r="AU224" i="10" s="1"/>
  <c r="AB64" i="8"/>
  <c r="AE64" i="8" s="1"/>
  <c r="AG64" i="8" s="1"/>
  <c r="N341" i="10"/>
  <c r="Q341" i="10" s="1"/>
  <c r="S341" i="10" s="1"/>
  <c r="AP294" i="8"/>
  <c r="AS294" i="8" s="1"/>
  <c r="AU294" i="8" s="1"/>
  <c r="AB213" i="10"/>
  <c r="AE213" i="10" s="1"/>
  <c r="AG213" i="10" s="1"/>
  <c r="AB166" i="9"/>
  <c r="AE166" i="9" s="1"/>
  <c r="AG166" i="9" s="1"/>
  <c r="N202" i="8"/>
  <c r="Q202" i="8" s="1"/>
  <c r="S202" i="8" s="1"/>
  <c r="N261" i="10"/>
  <c r="Q261" i="10" s="1"/>
  <c r="S261" i="10" s="1"/>
  <c r="AB334" i="10"/>
  <c r="AE334" i="10" s="1"/>
  <c r="AG334" i="10" s="1"/>
  <c r="AB91" i="8"/>
  <c r="AE91" i="8" s="1"/>
  <c r="AG91" i="8" s="1"/>
  <c r="AP424" i="10"/>
  <c r="AS424" i="10" s="1"/>
  <c r="AU424" i="10" s="1"/>
  <c r="AP376" i="8"/>
  <c r="AS376" i="8" s="1"/>
  <c r="AU376" i="8" s="1"/>
  <c r="N232" i="8"/>
  <c r="Q232" i="8" s="1"/>
  <c r="S232" i="8" s="1"/>
  <c r="AB219" i="10"/>
  <c r="AE219" i="10" s="1"/>
  <c r="AG219" i="10" s="1"/>
  <c r="AR215" i="9"/>
  <c r="AZ215" i="9"/>
  <c r="AX215" i="9"/>
  <c r="AW215" i="9"/>
  <c r="AB65" i="9"/>
  <c r="AE65" i="9" s="1"/>
  <c r="AG65" i="9" s="1"/>
  <c r="AH65" i="9" s="1"/>
  <c r="N299" i="10"/>
  <c r="Q299" i="10" s="1"/>
  <c r="S299" i="10" s="1"/>
  <c r="N295" i="10"/>
  <c r="Q295" i="10" s="1"/>
  <c r="S295" i="10" s="1"/>
  <c r="T295" i="10" s="1"/>
  <c r="N80" i="10"/>
  <c r="Q80" i="10" s="1"/>
  <c r="S80" i="10" s="1"/>
  <c r="T80" i="10" s="1"/>
  <c r="N175" i="10"/>
  <c r="Q175" i="10" s="1"/>
  <c r="S175" i="10" s="1"/>
  <c r="T175" i="10" s="1"/>
  <c r="AB200" i="10"/>
  <c r="AE200" i="10" s="1"/>
  <c r="AG200" i="10" s="1"/>
  <c r="AH200" i="10" s="1"/>
  <c r="AP97" i="10"/>
  <c r="AS97" i="10" s="1"/>
  <c r="AU97" i="10" s="1"/>
  <c r="AB369" i="8"/>
  <c r="AE369" i="8" s="1"/>
  <c r="AG369" i="8" s="1"/>
  <c r="AP193" i="9"/>
  <c r="AS193" i="9" s="1"/>
  <c r="AU193" i="9" s="1"/>
  <c r="N227" i="8"/>
  <c r="Q227" i="8" s="1"/>
  <c r="S227" i="8" s="1"/>
  <c r="AB192" i="9"/>
  <c r="AE192" i="9" s="1"/>
  <c r="AG192" i="9" s="1"/>
  <c r="N277" i="9"/>
  <c r="Q277" i="9" s="1"/>
  <c r="S277" i="9" s="1"/>
  <c r="N255" i="10"/>
  <c r="Q255" i="10" s="1"/>
  <c r="S255" i="10" s="1"/>
  <c r="T255" i="10" s="1"/>
  <c r="AD270" i="9"/>
  <c r="AJ270" i="9"/>
  <c r="AI270" i="9"/>
  <c r="AM271" i="9" s="1"/>
  <c r="AQ271" i="9" s="1"/>
  <c r="AL270" i="9"/>
  <c r="N138" i="8"/>
  <c r="Q138" i="8" s="1"/>
  <c r="S138" i="8" s="1"/>
  <c r="N28" i="10"/>
  <c r="Q28" i="10" s="1"/>
  <c r="S28" i="10" s="1"/>
  <c r="AP412" i="8"/>
  <c r="AS412" i="8" s="1"/>
  <c r="AU412" i="8" s="1"/>
  <c r="AB302" i="10"/>
  <c r="AE302" i="10" s="1"/>
  <c r="AG302" i="10" s="1"/>
  <c r="AB401" i="10"/>
  <c r="AE401" i="10" s="1"/>
  <c r="AG401" i="10" s="1"/>
  <c r="AB416" i="9"/>
  <c r="AE416" i="9" s="1"/>
  <c r="AG416" i="9" s="1"/>
  <c r="AP46" i="10"/>
  <c r="AS46" i="10" s="1"/>
  <c r="AU46" i="10" s="1"/>
  <c r="U290" i="9"/>
  <c r="Y291" i="9" s="1"/>
  <c r="AC291" i="9" s="1"/>
  <c r="X290" i="9"/>
  <c r="P290" i="9"/>
  <c r="V290" i="9"/>
  <c r="N134" i="10"/>
  <c r="Q134" i="10" s="1"/>
  <c r="S134" i="10" s="1"/>
  <c r="AP235" i="10"/>
  <c r="AS235" i="10" s="1"/>
  <c r="AU235" i="10" s="1"/>
  <c r="AV235" i="10" s="1"/>
  <c r="AY235" i="10" s="1"/>
  <c r="AB213" i="8"/>
  <c r="AE213" i="8" s="1"/>
  <c r="AG213" i="8" s="1"/>
  <c r="AB345" i="10"/>
  <c r="AE345" i="10" s="1"/>
  <c r="AG345" i="10" s="1"/>
  <c r="AH345" i="10" s="1"/>
  <c r="N126" i="8"/>
  <c r="Q126" i="8" s="1"/>
  <c r="S126" i="8" s="1"/>
  <c r="N203" i="10"/>
  <c r="Q203" i="10" s="1"/>
  <c r="S203" i="10" s="1"/>
  <c r="N335" i="9"/>
  <c r="Q335" i="9" s="1"/>
  <c r="S335" i="9" s="1"/>
  <c r="T335" i="9" s="1"/>
  <c r="N51" i="10"/>
  <c r="Q51" i="10" s="1"/>
  <c r="S51" i="10" s="1"/>
  <c r="AP153" i="10"/>
  <c r="AS153" i="10" s="1"/>
  <c r="AU153" i="10" s="1"/>
  <c r="N250" i="8"/>
  <c r="Q250" i="8" s="1"/>
  <c r="S250" i="8" s="1"/>
  <c r="T250" i="8" s="1"/>
  <c r="AB413" i="8"/>
  <c r="AE413" i="8" s="1"/>
  <c r="AG413" i="8" s="1"/>
  <c r="N29" i="10"/>
  <c r="Q29" i="10" s="1"/>
  <c r="S29" i="10" s="1"/>
  <c r="AB423" i="9"/>
  <c r="AE423" i="9" s="1"/>
  <c r="AG423" i="9" s="1"/>
  <c r="AB206" i="10"/>
  <c r="AE206" i="10" s="1"/>
  <c r="AG206" i="10" s="1"/>
  <c r="AB37" i="9"/>
  <c r="AE37" i="9" s="1"/>
  <c r="AG37" i="9" s="1"/>
  <c r="AP122" i="8"/>
  <c r="AS122" i="8" s="1"/>
  <c r="AU122" i="8" s="1"/>
  <c r="N411" i="9"/>
  <c r="Q411" i="9" s="1"/>
  <c r="S411" i="9" s="1"/>
  <c r="AB194" i="10"/>
  <c r="AE194" i="10" s="1"/>
  <c r="AG194" i="10" s="1"/>
  <c r="N313" i="10"/>
  <c r="Q313" i="10" s="1"/>
  <c r="S313" i="10" s="1"/>
  <c r="AP362" i="8"/>
  <c r="AS362" i="8" s="1"/>
  <c r="AU362" i="8" s="1"/>
  <c r="N288" i="8"/>
  <c r="Q288" i="8" s="1"/>
  <c r="S288" i="8" s="1"/>
  <c r="N174" i="9"/>
  <c r="Q174" i="9" s="1"/>
  <c r="S174" i="9" s="1"/>
  <c r="AB259" i="8"/>
  <c r="AE259" i="8" s="1"/>
  <c r="AG259" i="8" s="1"/>
  <c r="AP177" i="8"/>
  <c r="AS177" i="8" s="1"/>
  <c r="AU177" i="8" s="1"/>
  <c r="N194" i="8"/>
  <c r="Q194" i="8" s="1"/>
  <c r="S194" i="8" s="1"/>
  <c r="N412" i="10"/>
  <c r="Q412" i="10" s="1"/>
  <c r="S412" i="10" s="1"/>
  <c r="AB90" i="9"/>
  <c r="AE90" i="9" s="1"/>
  <c r="AG90" i="9" s="1"/>
  <c r="AH90" i="9" s="1"/>
  <c r="AB208" i="10"/>
  <c r="AE208" i="10" s="1"/>
  <c r="AG208" i="10" s="1"/>
  <c r="N241" i="8"/>
  <c r="Q241" i="8" s="1"/>
  <c r="S241" i="8" s="1"/>
  <c r="AB422" i="8"/>
  <c r="AE422" i="8" s="1"/>
  <c r="AG422" i="8" s="1"/>
  <c r="N261" i="9"/>
  <c r="Q261" i="9" s="1"/>
  <c r="S261" i="9" s="1"/>
  <c r="N206" i="8"/>
  <c r="Q206" i="8" s="1"/>
  <c r="S206" i="8" s="1"/>
  <c r="AP370" i="10"/>
  <c r="AS370" i="10" s="1"/>
  <c r="AU370" i="10" s="1"/>
  <c r="AV370" i="10" s="1"/>
  <c r="AY370" i="10" s="1"/>
  <c r="AB175" i="8"/>
  <c r="AE175" i="8" s="1"/>
  <c r="AG175" i="8" s="1"/>
  <c r="AH175" i="8" s="1"/>
  <c r="AB118" i="8"/>
  <c r="AE118" i="8" s="1"/>
  <c r="AG118" i="8" s="1"/>
  <c r="AP200" i="8"/>
  <c r="AS200" i="8" s="1"/>
  <c r="AU200" i="8" s="1"/>
  <c r="AV200" i="8" s="1"/>
  <c r="AY200" i="8" s="1"/>
  <c r="AB413" i="10"/>
  <c r="AE413" i="10" s="1"/>
  <c r="AG413" i="10" s="1"/>
  <c r="N286" i="10"/>
  <c r="Q286" i="10" s="1"/>
  <c r="S286" i="10" s="1"/>
  <c r="N330" i="10"/>
  <c r="Q330" i="10" s="1"/>
  <c r="S330" i="10" s="1"/>
  <c r="T330" i="10" s="1"/>
  <c r="AP241" i="9"/>
  <c r="AS241" i="9" s="1"/>
  <c r="AU241" i="9" s="1"/>
  <c r="AP261" i="10"/>
  <c r="AS261" i="10" s="1"/>
  <c r="AU261" i="10" s="1"/>
  <c r="N333" i="8"/>
  <c r="Q333" i="8" s="1"/>
  <c r="S333" i="8" s="1"/>
  <c r="AP371" i="9"/>
  <c r="AS371" i="9" s="1"/>
  <c r="AU371" i="9" s="1"/>
  <c r="N368" i="8"/>
  <c r="Q368" i="8" s="1"/>
  <c r="S368" i="8" s="1"/>
  <c r="AB42" i="8"/>
  <c r="AE42" i="8" s="1"/>
  <c r="AG42" i="8" s="1"/>
  <c r="AP347" i="8"/>
  <c r="AS347" i="8" s="1"/>
  <c r="AU347" i="8" s="1"/>
  <c r="AB206" i="8"/>
  <c r="AE206" i="8" s="1"/>
  <c r="AG206" i="8" s="1"/>
  <c r="AP80" i="8"/>
  <c r="AS80" i="8" s="1"/>
  <c r="AU80" i="8" s="1"/>
  <c r="AV80" i="8" s="1"/>
  <c r="AY80" i="8" s="1"/>
  <c r="N319" i="10"/>
  <c r="Q319" i="10" s="1"/>
  <c r="S319" i="10" s="1"/>
  <c r="AP160" i="9"/>
  <c r="AS160" i="9" s="1"/>
  <c r="AU160" i="9" s="1"/>
  <c r="AV160" i="9" s="1"/>
  <c r="AY160" i="9" s="1"/>
  <c r="N322" i="8"/>
  <c r="Q322" i="8" s="1"/>
  <c r="S322" i="8" s="1"/>
  <c r="N215" i="8"/>
  <c r="Q215" i="8" s="1"/>
  <c r="S215" i="8" s="1"/>
  <c r="T215" i="8" s="1"/>
  <c r="AB291" i="9"/>
  <c r="AE291" i="9" s="1"/>
  <c r="AG291" i="9" s="1"/>
  <c r="AB321" i="9"/>
  <c r="AE321" i="9" s="1"/>
  <c r="AG321" i="9" s="1"/>
  <c r="AB206" i="9"/>
  <c r="AE206" i="9" s="1"/>
  <c r="AG206" i="9" s="1"/>
  <c r="N386" i="10"/>
  <c r="Q386" i="10" s="1"/>
  <c r="S386" i="10" s="1"/>
  <c r="N42" i="10"/>
  <c r="Q42" i="10" s="1"/>
  <c r="S42" i="10" s="1"/>
  <c r="AP93" i="8"/>
  <c r="AS93" i="8" s="1"/>
  <c r="AU93" i="8" s="1"/>
  <c r="N255" i="8"/>
  <c r="Q255" i="8" s="1"/>
  <c r="S255" i="8" s="1"/>
  <c r="T255" i="8" s="1"/>
  <c r="AB395" i="8"/>
  <c r="AE395" i="8" s="1"/>
  <c r="AG395" i="8" s="1"/>
  <c r="AH395" i="8" s="1"/>
  <c r="N419" i="9"/>
  <c r="Q419" i="9" s="1"/>
  <c r="S419" i="9" s="1"/>
  <c r="AP267" i="9"/>
  <c r="AS267" i="9" s="1"/>
  <c r="AU267" i="9" s="1"/>
  <c r="N237" i="8"/>
  <c r="Q237" i="8" s="1"/>
  <c r="S237" i="8" s="1"/>
  <c r="AB230" i="8"/>
  <c r="AE230" i="8" s="1"/>
  <c r="AG230" i="8" s="1"/>
  <c r="AH230" i="8" s="1"/>
  <c r="AB64" i="10"/>
  <c r="AE64" i="10" s="1"/>
  <c r="AG64" i="10" s="1"/>
  <c r="AP423" i="8"/>
  <c r="AS423" i="8" s="1"/>
  <c r="AU423" i="8" s="1"/>
  <c r="AP206" i="10"/>
  <c r="AS206" i="10" s="1"/>
  <c r="AU206" i="10" s="1"/>
  <c r="AP175" i="10"/>
  <c r="AS175" i="10" s="1"/>
  <c r="AU175" i="10" s="1"/>
  <c r="AV175" i="10" s="1"/>
  <c r="AY175" i="10" s="1"/>
  <c r="N217" i="9"/>
  <c r="Q217" i="9" s="1"/>
  <c r="S217" i="9" s="1"/>
  <c r="N368" i="9"/>
  <c r="Q368" i="9" s="1"/>
  <c r="S368" i="9" s="1"/>
  <c r="N365" i="8"/>
  <c r="Q365" i="8" s="1"/>
  <c r="S365" i="8" s="1"/>
  <c r="T365" i="8" s="1"/>
  <c r="AP397" i="9"/>
  <c r="AS397" i="9" s="1"/>
  <c r="AU397" i="9" s="1"/>
  <c r="AP150" i="10"/>
  <c r="AS150" i="10" s="1"/>
  <c r="AU150" i="10" s="1"/>
  <c r="AV150" i="10" s="1"/>
  <c r="AY150" i="10" s="1"/>
  <c r="N287" i="10"/>
  <c r="Q287" i="10" s="1"/>
  <c r="S287" i="10" s="1"/>
  <c r="AB32" i="10"/>
  <c r="AE32" i="10" s="1"/>
  <c r="AG32" i="10" s="1"/>
  <c r="AP277" i="9"/>
  <c r="AS277" i="9" s="1"/>
  <c r="AU277" i="9" s="1"/>
  <c r="AB119" i="8"/>
  <c r="AE119" i="8" s="1"/>
  <c r="AG119" i="8" s="1"/>
  <c r="N254" i="9"/>
  <c r="Q254" i="9" s="1"/>
  <c r="S254" i="9" s="1"/>
  <c r="AB288" i="8"/>
  <c r="AE288" i="8" s="1"/>
  <c r="AG288" i="8" s="1"/>
  <c r="N290" i="8"/>
  <c r="Q290" i="8" s="1"/>
  <c r="S290" i="8" s="1"/>
  <c r="T290" i="8" s="1"/>
  <c r="AP187" i="10"/>
  <c r="AS187" i="10" s="1"/>
  <c r="AU187" i="10" s="1"/>
  <c r="AB88" i="10"/>
  <c r="AE88" i="10" s="1"/>
  <c r="AG88" i="10" s="1"/>
  <c r="N186" i="8"/>
  <c r="Q186" i="8" s="1"/>
  <c r="S186" i="8" s="1"/>
  <c r="AP372" i="9"/>
  <c r="AS372" i="9" s="1"/>
  <c r="AU372" i="9" s="1"/>
  <c r="N365" i="10"/>
  <c r="Q365" i="10" s="1"/>
  <c r="S365" i="10" s="1"/>
  <c r="T365" i="10" s="1"/>
  <c r="N356" i="8"/>
  <c r="Q356" i="8" s="1"/>
  <c r="S356" i="8" s="1"/>
  <c r="N170" i="9"/>
  <c r="Q170" i="9" s="1"/>
  <c r="S170" i="9" s="1"/>
  <c r="T170" i="9" s="1"/>
  <c r="AB362" i="10"/>
  <c r="AE362" i="10" s="1"/>
  <c r="AG362" i="10" s="1"/>
  <c r="N90" i="8"/>
  <c r="Q90" i="8" s="1"/>
  <c r="S90" i="8" s="1"/>
  <c r="T90" i="8" s="1"/>
  <c r="N344" i="10"/>
  <c r="Q344" i="10" s="1"/>
  <c r="S344" i="10" s="1"/>
  <c r="AP29" i="9"/>
  <c r="AS29" i="9" s="1"/>
  <c r="AU29" i="9" s="1"/>
  <c r="AP208" i="9"/>
  <c r="AS208" i="9" s="1"/>
  <c r="AU208" i="9" s="1"/>
  <c r="AP335" i="9"/>
  <c r="AS335" i="9" s="1"/>
  <c r="AU335" i="9" s="1"/>
  <c r="AV335" i="9" s="1"/>
  <c r="AY335" i="9" s="1"/>
  <c r="AB151" i="10"/>
  <c r="AE151" i="10" s="1"/>
  <c r="AG151" i="10" s="1"/>
  <c r="AB170" i="10"/>
  <c r="AE170" i="10" s="1"/>
  <c r="AG170" i="10" s="1"/>
  <c r="AH170" i="10" s="1"/>
  <c r="AP306" i="8"/>
  <c r="AS306" i="8" s="1"/>
  <c r="AU306" i="8" s="1"/>
  <c r="AB264" i="9"/>
  <c r="AE264" i="9" s="1"/>
  <c r="AG264" i="9" s="1"/>
  <c r="N40" i="8"/>
  <c r="Q40" i="8" s="1"/>
  <c r="S40" i="8" s="1"/>
  <c r="T40" i="8" s="1"/>
  <c r="AB253" i="10"/>
  <c r="AE253" i="10" s="1"/>
  <c r="AG253" i="10" s="1"/>
  <c r="AB111" i="8"/>
  <c r="AE111" i="8" s="1"/>
  <c r="AG111" i="8" s="1"/>
  <c r="AP373" i="8"/>
  <c r="AS373" i="8" s="1"/>
  <c r="AU373" i="8" s="1"/>
  <c r="AB143" i="9"/>
  <c r="AE143" i="9" s="1"/>
  <c r="AG143" i="9" s="1"/>
  <c r="AP346" i="8"/>
  <c r="AS346" i="8" s="1"/>
  <c r="AU346" i="8" s="1"/>
  <c r="N234" i="9"/>
  <c r="Q234" i="9" s="1"/>
  <c r="S234" i="9" s="1"/>
  <c r="N392" i="10"/>
  <c r="Q392" i="10" s="1"/>
  <c r="S392" i="10" s="1"/>
  <c r="AP282" i="10"/>
  <c r="AS282" i="10" s="1"/>
  <c r="AU282" i="10" s="1"/>
  <c r="AB381" i="9"/>
  <c r="AE381" i="9" s="1"/>
  <c r="AG381" i="9" s="1"/>
  <c r="N28" i="9"/>
  <c r="Q28" i="9" s="1"/>
  <c r="S28" i="9" s="1"/>
  <c r="AP245" i="8"/>
  <c r="AS245" i="8" s="1"/>
  <c r="AU245" i="8" s="1"/>
  <c r="AV245" i="8" s="1"/>
  <c r="AY245" i="8" s="1"/>
  <c r="N167" i="8"/>
  <c r="Q167" i="8" s="1"/>
  <c r="S167" i="8" s="1"/>
  <c r="AP341" i="8"/>
  <c r="AS341" i="8" s="1"/>
  <c r="AU341" i="8" s="1"/>
  <c r="AK225" i="10"/>
  <c r="AD320" i="9"/>
  <c r="AI320" i="9"/>
  <c r="AM321" i="9" s="1"/>
  <c r="AQ321" i="9" s="1"/>
  <c r="AR321" i="9" s="1"/>
  <c r="AT321" i="9" s="1"/>
  <c r="AL320" i="9"/>
  <c r="AJ320" i="9"/>
  <c r="N392" i="9"/>
  <c r="Q392" i="9" s="1"/>
  <c r="S392" i="9" s="1"/>
  <c r="X280" i="10"/>
  <c r="P280" i="10"/>
  <c r="U280" i="10"/>
  <c r="Y281" i="10" s="1"/>
  <c r="AC281" i="10" s="1"/>
  <c r="V280" i="10"/>
  <c r="AP407" i="9"/>
  <c r="AS407" i="9" s="1"/>
  <c r="AU407" i="9" s="1"/>
  <c r="AP403" i="10"/>
  <c r="AS403" i="10" s="1"/>
  <c r="AU403" i="10" s="1"/>
  <c r="AD195" i="10"/>
  <c r="AL195" i="10"/>
  <c r="AJ195" i="10"/>
  <c r="AI195" i="10"/>
  <c r="AM196" i="10" s="1"/>
  <c r="AQ196" i="10" s="1"/>
  <c r="U135" i="10"/>
  <c r="Y136" i="10" s="1"/>
  <c r="AC136" i="10" s="1"/>
  <c r="P135" i="10"/>
  <c r="V135" i="10"/>
  <c r="X135" i="10"/>
  <c r="V145" i="10"/>
  <c r="U145" i="10"/>
  <c r="Y146" i="10" s="1"/>
  <c r="AC146" i="10" s="1"/>
  <c r="X145" i="10"/>
  <c r="P145" i="10"/>
  <c r="AB387" i="9"/>
  <c r="AE387" i="9" s="1"/>
  <c r="AG387" i="9" s="1"/>
  <c r="AK350" i="9"/>
  <c r="AK275" i="9"/>
  <c r="AR185" i="10"/>
  <c r="AW185" i="10"/>
  <c r="AZ185" i="10"/>
  <c r="AX185" i="10"/>
  <c r="AD275" i="9"/>
  <c r="AI275" i="9"/>
  <c r="AM276" i="9" s="1"/>
  <c r="AQ276" i="9" s="1"/>
  <c r="AR276" i="9" s="1"/>
  <c r="AT276" i="9" s="1"/>
  <c r="AL275" i="9"/>
  <c r="AJ275" i="9"/>
  <c r="N386" i="9"/>
  <c r="Q386" i="9" s="1"/>
  <c r="S386" i="9" s="1"/>
  <c r="AP380" i="10"/>
  <c r="AS380" i="10" s="1"/>
  <c r="AU380" i="10" s="1"/>
  <c r="AV380" i="10" s="1"/>
  <c r="AY380" i="10" s="1"/>
  <c r="AM380" i="10"/>
  <c r="AQ380" i="10" s="1"/>
  <c r="AZ245" i="9"/>
  <c r="AR245" i="9"/>
  <c r="AW245" i="9"/>
  <c r="AX245" i="9"/>
  <c r="AL365" i="10"/>
  <c r="AD365" i="10"/>
  <c r="AJ365" i="10"/>
  <c r="AI365" i="10"/>
  <c r="AM366" i="10" s="1"/>
  <c r="AQ366" i="10" s="1"/>
  <c r="AP399" i="10"/>
  <c r="AS399" i="10" s="1"/>
  <c r="AU399" i="10" s="1"/>
  <c r="AR170" i="10"/>
  <c r="AZ170" i="10"/>
  <c r="AW170" i="10"/>
  <c r="AX170" i="10"/>
  <c r="AR280" i="10"/>
  <c r="AW280" i="10"/>
  <c r="AZ280" i="10"/>
  <c r="AX280" i="10"/>
  <c r="AL390" i="9"/>
  <c r="AD390" i="9"/>
  <c r="AJ390" i="9"/>
  <c r="AI390" i="9"/>
  <c r="AM391" i="9" s="1"/>
  <c r="AQ391" i="9" s="1"/>
  <c r="AR391" i="9" s="1"/>
  <c r="AT391" i="9" s="1"/>
  <c r="AJ145" i="9"/>
  <c r="AI145" i="9"/>
  <c r="AM146" i="9" s="1"/>
  <c r="AQ146" i="9" s="1"/>
  <c r="AD145" i="9"/>
  <c r="AL145" i="9"/>
  <c r="AL155" i="9"/>
  <c r="AD155" i="9"/>
  <c r="AI155" i="9"/>
  <c r="AM156" i="9" s="1"/>
  <c r="AQ156" i="9" s="1"/>
  <c r="AR156" i="9" s="1"/>
  <c r="AT156" i="9" s="1"/>
  <c r="AJ155" i="9"/>
  <c r="P95" i="9"/>
  <c r="X95" i="9"/>
  <c r="U95" i="9"/>
  <c r="Y96" i="9" s="1"/>
  <c r="AC96" i="9" s="1"/>
  <c r="V95" i="9"/>
  <c r="P235" i="9"/>
  <c r="V235" i="9"/>
  <c r="U235" i="9"/>
  <c r="Y236" i="9" s="1"/>
  <c r="AC236" i="9" s="1"/>
  <c r="X235" i="9"/>
  <c r="N399" i="9"/>
  <c r="Q399" i="9" s="1"/>
  <c r="S399" i="9" s="1"/>
  <c r="AL130" i="10"/>
  <c r="AD130" i="10"/>
  <c r="AI130" i="10"/>
  <c r="AM131" i="10" s="1"/>
  <c r="AQ131" i="10" s="1"/>
  <c r="AJ130" i="10"/>
  <c r="P315" i="10"/>
  <c r="V315" i="10"/>
  <c r="U315" i="10"/>
  <c r="Y316" i="10" s="1"/>
  <c r="AC316" i="10" s="1"/>
  <c r="AD316" i="10" s="1"/>
  <c r="AF316" i="10" s="1"/>
  <c r="X315" i="10"/>
  <c r="AR125" i="9"/>
  <c r="AW125" i="9"/>
  <c r="AZ125" i="9"/>
  <c r="AX125" i="9"/>
  <c r="AB304" i="8"/>
  <c r="AE304" i="8" s="1"/>
  <c r="AG304" i="8" s="1"/>
  <c r="AP246" i="8"/>
  <c r="AS246" i="8" s="1"/>
  <c r="AU246" i="8" s="1"/>
  <c r="AB233" i="9"/>
  <c r="AE233" i="9" s="1"/>
  <c r="AG233" i="9" s="1"/>
  <c r="AB399" i="8"/>
  <c r="AE399" i="8" s="1"/>
  <c r="AG399" i="8" s="1"/>
  <c r="AB151" i="9"/>
  <c r="AE151" i="9" s="1"/>
  <c r="AG151" i="9" s="1"/>
  <c r="AD25" i="9"/>
  <c r="AI25" i="9"/>
  <c r="AM26" i="9" s="1"/>
  <c r="AQ26" i="9" s="1"/>
  <c r="AL25" i="9"/>
  <c r="AJ25" i="9"/>
  <c r="AB221" i="10"/>
  <c r="AE221" i="10" s="1"/>
  <c r="AG221" i="10" s="1"/>
  <c r="N139" i="8"/>
  <c r="Q139" i="8" s="1"/>
  <c r="S139" i="8" s="1"/>
  <c r="N228" i="10"/>
  <c r="Q228" i="10" s="1"/>
  <c r="S228" i="10" s="1"/>
  <c r="N144" i="9"/>
  <c r="Q144" i="9" s="1"/>
  <c r="S144" i="9" s="1"/>
  <c r="AB327" i="9"/>
  <c r="AE327" i="9" s="1"/>
  <c r="AG327" i="9" s="1"/>
  <c r="N52" i="10"/>
  <c r="Q52" i="10" s="1"/>
  <c r="S52" i="10" s="1"/>
  <c r="AB234" i="10"/>
  <c r="AE234" i="10" s="1"/>
  <c r="AG234" i="10" s="1"/>
  <c r="P155" i="10"/>
  <c r="X155" i="10"/>
  <c r="V155" i="10"/>
  <c r="U155" i="10"/>
  <c r="Y156" i="10" s="1"/>
  <c r="AC156" i="10" s="1"/>
  <c r="AD156" i="10" s="1"/>
  <c r="AF156" i="10" s="1"/>
  <c r="AB281" i="10"/>
  <c r="AE281" i="10" s="1"/>
  <c r="AG281" i="10" s="1"/>
  <c r="AP127" i="9"/>
  <c r="AS127" i="9" s="1"/>
  <c r="AU127" i="9" s="1"/>
  <c r="N207" i="9"/>
  <c r="Q207" i="9" s="1"/>
  <c r="S207" i="9" s="1"/>
  <c r="N313" i="8"/>
  <c r="Q313" i="8" s="1"/>
  <c r="S313" i="8" s="1"/>
  <c r="AP287" i="8"/>
  <c r="AS287" i="8" s="1"/>
  <c r="AU287" i="8" s="1"/>
  <c r="AP299" i="9"/>
  <c r="AS299" i="9" s="1"/>
  <c r="AU299" i="9" s="1"/>
  <c r="AC366" i="6"/>
  <c r="AB89" i="10"/>
  <c r="AE89" i="10" s="1"/>
  <c r="AG89" i="10" s="1"/>
  <c r="AB61" i="8"/>
  <c r="AE61" i="8" s="1"/>
  <c r="AG61" i="8" s="1"/>
  <c r="N390" i="10"/>
  <c r="Q390" i="10" s="1"/>
  <c r="S390" i="10" s="1"/>
  <c r="T390" i="10" s="1"/>
  <c r="AB160" i="10"/>
  <c r="AE160" i="10" s="1"/>
  <c r="AG160" i="10" s="1"/>
  <c r="AH160" i="10" s="1"/>
  <c r="AB135" i="9"/>
  <c r="AE135" i="9" s="1"/>
  <c r="AG135" i="9" s="1"/>
  <c r="AH135" i="9" s="1"/>
  <c r="AP322" i="9"/>
  <c r="AS322" i="9" s="1"/>
  <c r="AU322" i="9" s="1"/>
  <c r="AP321" i="10"/>
  <c r="AS321" i="10" s="1"/>
  <c r="AU321" i="10" s="1"/>
  <c r="AP415" i="8"/>
  <c r="AS415" i="8" s="1"/>
  <c r="AU415" i="8" s="1"/>
  <c r="AV415" i="8" s="1"/>
  <c r="AY415" i="8" s="1"/>
  <c r="AM415" i="8"/>
  <c r="AP274" i="9"/>
  <c r="AS274" i="9" s="1"/>
  <c r="AU274" i="9" s="1"/>
  <c r="AP394" i="8"/>
  <c r="AS394" i="8" s="1"/>
  <c r="AU394" i="8" s="1"/>
  <c r="AP43" i="8"/>
  <c r="AS43" i="8" s="1"/>
  <c r="AU43" i="8" s="1"/>
  <c r="N58" i="8"/>
  <c r="Q58" i="8" s="1"/>
  <c r="S58" i="8" s="1"/>
  <c r="N343" i="10"/>
  <c r="Q343" i="10" s="1"/>
  <c r="S343" i="10" s="1"/>
  <c r="AP419" i="10"/>
  <c r="AS419" i="10" s="1"/>
  <c r="AU419" i="10" s="1"/>
  <c r="AB75" i="10"/>
  <c r="AE75" i="10" s="1"/>
  <c r="AG75" i="10" s="1"/>
  <c r="AH75" i="10" s="1"/>
  <c r="N274" i="10"/>
  <c r="Q274" i="10" s="1"/>
  <c r="S274" i="10" s="1"/>
  <c r="AB278" i="10"/>
  <c r="AE278" i="10" s="1"/>
  <c r="AG278" i="10" s="1"/>
  <c r="K380" i="8"/>
  <c r="N380" i="8"/>
  <c r="Q380" i="8" s="1"/>
  <c r="S380" i="8" s="1"/>
  <c r="T380" i="8" s="1"/>
  <c r="AR40" i="9"/>
  <c r="AX40" i="9"/>
  <c r="AW40" i="9"/>
  <c r="AZ40" i="9"/>
  <c r="AP401" i="9"/>
  <c r="AS401" i="9" s="1"/>
  <c r="AU401" i="9" s="1"/>
  <c r="N143" i="9"/>
  <c r="Q143" i="9" s="1"/>
  <c r="S143" i="9" s="1"/>
  <c r="N249" i="8"/>
  <c r="Q249" i="8" s="1"/>
  <c r="S249" i="8" s="1"/>
  <c r="AB231" i="9"/>
  <c r="AE231" i="9" s="1"/>
  <c r="AG231" i="9" s="1"/>
  <c r="N400" i="9"/>
  <c r="Q400" i="9" s="1"/>
  <c r="S400" i="9" s="1"/>
  <c r="T400" i="9" s="1"/>
  <c r="N45" i="8"/>
  <c r="Q45" i="8" s="1"/>
  <c r="S45" i="8" s="1"/>
  <c r="T45" i="8" s="1"/>
  <c r="AP210" i="8"/>
  <c r="AS210" i="8" s="1"/>
  <c r="AU210" i="8" s="1"/>
  <c r="AV210" i="8" s="1"/>
  <c r="AY210" i="8" s="1"/>
  <c r="AP223" i="9"/>
  <c r="AS223" i="9" s="1"/>
  <c r="AU223" i="9" s="1"/>
  <c r="N305" i="10"/>
  <c r="Q305" i="10" s="1"/>
  <c r="S305" i="10" s="1"/>
  <c r="T305" i="10" s="1"/>
  <c r="AP228" i="9"/>
  <c r="AS228" i="9" s="1"/>
  <c r="AU228" i="9" s="1"/>
  <c r="N271" i="9"/>
  <c r="Q271" i="9" s="1"/>
  <c r="S271" i="9" s="1"/>
  <c r="AP387" i="10"/>
  <c r="AS387" i="10" s="1"/>
  <c r="AU387" i="10" s="1"/>
  <c r="N96" i="8"/>
  <c r="Q96" i="8" s="1"/>
  <c r="S96" i="8" s="1"/>
  <c r="N350" i="8"/>
  <c r="Q350" i="8" s="1"/>
  <c r="S350" i="8" s="1"/>
  <c r="T350" i="8" s="1"/>
  <c r="AB146" i="10"/>
  <c r="AE146" i="10" s="1"/>
  <c r="AG146" i="10" s="1"/>
  <c r="N189" i="9"/>
  <c r="Q189" i="9" s="1"/>
  <c r="S189" i="9" s="1"/>
  <c r="AB370" i="8"/>
  <c r="AE370" i="8" s="1"/>
  <c r="AG370" i="8" s="1"/>
  <c r="AH370" i="8" s="1"/>
  <c r="N383" i="9"/>
  <c r="Q383" i="9" s="1"/>
  <c r="S383" i="9" s="1"/>
  <c r="AM420" i="9"/>
  <c r="AQ420" i="9" s="1"/>
  <c r="AS420" i="9"/>
  <c r="AU420" i="9" s="1"/>
  <c r="AV420" i="9" s="1"/>
  <c r="AY420" i="9" s="1"/>
  <c r="AP420" i="9"/>
  <c r="N87" i="9"/>
  <c r="Q87" i="9" s="1"/>
  <c r="S87" i="9" s="1"/>
  <c r="AB291" i="8"/>
  <c r="AE291" i="8" s="1"/>
  <c r="AG291" i="8" s="1"/>
  <c r="AP407" i="8"/>
  <c r="AS407" i="8" s="1"/>
  <c r="AU407" i="8" s="1"/>
  <c r="AB334" i="9"/>
  <c r="AE334" i="9" s="1"/>
  <c r="AG334" i="9" s="1"/>
  <c r="AB248" i="9"/>
  <c r="AE248" i="9" s="1"/>
  <c r="AG248" i="9" s="1"/>
  <c r="AB285" i="8"/>
  <c r="AE285" i="8" s="1"/>
  <c r="AG285" i="8" s="1"/>
  <c r="AH285" i="8" s="1"/>
  <c r="N127" i="9"/>
  <c r="Q127" i="9" s="1"/>
  <c r="S127" i="9" s="1"/>
  <c r="P350" i="10"/>
  <c r="V350" i="10"/>
  <c r="U350" i="10"/>
  <c r="Y351" i="10" s="1"/>
  <c r="AC351" i="10" s="1"/>
  <c r="AD351" i="10" s="1"/>
  <c r="AF351" i="10" s="1"/>
  <c r="X350" i="10"/>
  <c r="AP419" i="8"/>
  <c r="AS419" i="8" s="1"/>
  <c r="AU419" i="8" s="1"/>
  <c r="AP271" i="10"/>
  <c r="AS271" i="10" s="1"/>
  <c r="AU271" i="10" s="1"/>
  <c r="AJ115" i="9"/>
  <c r="AI115" i="9"/>
  <c r="AM116" i="9" s="1"/>
  <c r="AQ116" i="9" s="1"/>
  <c r="AR116" i="9" s="1"/>
  <c r="AT116" i="9" s="1"/>
  <c r="AD115" i="9"/>
  <c r="AL115" i="9"/>
  <c r="AB402" i="9"/>
  <c r="AE402" i="9" s="1"/>
  <c r="AG402" i="9" s="1"/>
  <c r="AP403" i="9"/>
  <c r="AS403" i="9" s="1"/>
  <c r="AU403" i="9" s="1"/>
  <c r="AB129" i="8"/>
  <c r="AE129" i="8" s="1"/>
  <c r="AG129" i="8" s="1"/>
  <c r="AP89" i="10"/>
  <c r="AS89" i="10" s="1"/>
  <c r="AU89" i="10" s="1"/>
  <c r="N343" i="9"/>
  <c r="Q343" i="9" s="1"/>
  <c r="S343" i="9" s="1"/>
  <c r="AB390" i="10"/>
  <c r="AE390" i="10" s="1"/>
  <c r="AG390" i="10" s="1"/>
  <c r="AH390" i="10" s="1"/>
  <c r="N385" i="8"/>
  <c r="Q385" i="8" s="1"/>
  <c r="S385" i="8" s="1"/>
  <c r="T385" i="8" s="1"/>
  <c r="AB335" i="8"/>
  <c r="AE335" i="8" s="1"/>
  <c r="AG335" i="8" s="1"/>
  <c r="AH335" i="8" s="1"/>
  <c r="N321" i="10"/>
  <c r="Q321" i="10" s="1"/>
  <c r="S321" i="10" s="1"/>
  <c r="AP265" i="10"/>
  <c r="AS265" i="10" s="1"/>
  <c r="AU265" i="10" s="1"/>
  <c r="AV265" i="10" s="1"/>
  <c r="AY265" i="10" s="1"/>
  <c r="AB178" i="8"/>
  <c r="AE178" i="8" s="1"/>
  <c r="AG178" i="8" s="1"/>
  <c r="AP278" i="9"/>
  <c r="AS278" i="9" s="1"/>
  <c r="AU278" i="9" s="1"/>
  <c r="AL285" i="10"/>
  <c r="AD285" i="10"/>
  <c r="AJ285" i="10"/>
  <c r="AI285" i="10"/>
  <c r="AM286" i="10" s="1"/>
  <c r="AQ286" i="10" s="1"/>
  <c r="N63" i="8"/>
  <c r="Q63" i="8" s="1"/>
  <c r="S63" i="8" s="1"/>
  <c r="AB343" i="10"/>
  <c r="AE343" i="10" s="1"/>
  <c r="AG343" i="10" s="1"/>
  <c r="AB193" i="9"/>
  <c r="AE193" i="9" s="1"/>
  <c r="AG193" i="9" s="1"/>
  <c r="N130" i="8"/>
  <c r="Q130" i="8" s="1"/>
  <c r="S130" i="8" s="1"/>
  <c r="T130" i="8" s="1"/>
  <c r="N110" i="10"/>
  <c r="Q110" i="10" s="1"/>
  <c r="S110" i="10" s="1"/>
  <c r="T110" i="10" s="1"/>
  <c r="N85" i="8"/>
  <c r="Q85" i="8" s="1"/>
  <c r="S85" i="8" s="1"/>
  <c r="T85" i="8" s="1"/>
  <c r="AB107" i="9"/>
  <c r="AE107" i="9" s="1"/>
  <c r="AG107" i="9" s="1"/>
  <c r="AB71" i="10"/>
  <c r="AE71" i="10" s="1"/>
  <c r="AG71" i="10" s="1"/>
  <c r="AB334" i="8"/>
  <c r="AE334" i="8" s="1"/>
  <c r="AG334" i="8" s="1"/>
  <c r="AB410" i="10"/>
  <c r="AE410" i="10" s="1"/>
  <c r="AG410" i="10" s="1"/>
  <c r="AH410" i="10" s="1"/>
  <c r="AP347" i="10"/>
  <c r="AS347" i="10" s="1"/>
  <c r="AU347" i="10" s="1"/>
  <c r="N227" i="9"/>
  <c r="Q227" i="9" s="1"/>
  <c r="S227" i="9" s="1"/>
  <c r="AP257" i="9"/>
  <c r="AS257" i="9" s="1"/>
  <c r="AU257" i="9" s="1"/>
  <c r="AB242" i="8"/>
  <c r="AE242" i="8" s="1"/>
  <c r="AG242" i="8" s="1"/>
  <c r="N315" i="9"/>
  <c r="Q315" i="9" s="1"/>
  <c r="S315" i="9" s="1"/>
  <c r="T315" i="9" s="1"/>
  <c r="N107" i="10"/>
  <c r="Q107" i="10" s="1"/>
  <c r="S107" i="10" s="1"/>
  <c r="AB191" i="8"/>
  <c r="AE191" i="8" s="1"/>
  <c r="AG191" i="8" s="1"/>
  <c r="AP373" i="9"/>
  <c r="AS373" i="9" s="1"/>
  <c r="AU373" i="9" s="1"/>
  <c r="AP222" i="10"/>
  <c r="AS222" i="10" s="1"/>
  <c r="AU222" i="10" s="1"/>
  <c r="AA379" i="6"/>
  <c r="AB143" i="10"/>
  <c r="AE143" i="10" s="1"/>
  <c r="AG143" i="10" s="1"/>
  <c r="AB39" i="9"/>
  <c r="AE39" i="9" s="1"/>
  <c r="AG39" i="9" s="1"/>
  <c r="AB85" i="10"/>
  <c r="AE85" i="10" s="1"/>
  <c r="AG85" i="10" s="1"/>
  <c r="AH85" i="10" s="1"/>
  <c r="AP342" i="8"/>
  <c r="AS342" i="8" s="1"/>
  <c r="AU342" i="8" s="1"/>
  <c r="AP400" i="10"/>
  <c r="AS400" i="10" s="1"/>
  <c r="AU400" i="10" s="1"/>
  <c r="AB317" i="9"/>
  <c r="AE317" i="9" s="1"/>
  <c r="AG317" i="9" s="1"/>
  <c r="AB147" i="8"/>
  <c r="AE147" i="8" s="1"/>
  <c r="AG147" i="8" s="1"/>
  <c r="AB388" i="9"/>
  <c r="AE388" i="9" s="1"/>
  <c r="AG388" i="9" s="1"/>
  <c r="AB396" i="8"/>
  <c r="AE396" i="8" s="1"/>
  <c r="AG396" i="8" s="1"/>
  <c r="AP408" i="9"/>
  <c r="AS408" i="9" s="1"/>
  <c r="AU408" i="9" s="1"/>
  <c r="AB293" i="10"/>
  <c r="AE293" i="10" s="1"/>
  <c r="AG293" i="10" s="1"/>
  <c r="AB366" i="10"/>
  <c r="AE366" i="10" s="1"/>
  <c r="AG366" i="10" s="1"/>
  <c r="AB82" i="10"/>
  <c r="AE82" i="10" s="1"/>
  <c r="AG82" i="10" s="1"/>
  <c r="N406" i="8"/>
  <c r="Q406" i="8" s="1"/>
  <c r="S406" i="8" s="1"/>
  <c r="N304" i="10"/>
  <c r="Q304" i="10" s="1"/>
  <c r="S304" i="10" s="1"/>
  <c r="N286" i="8"/>
  <c r="Q286" i="8" s="1"/>
  <c r="S286" i="8" s="1"/>
  <c r="AP315" i="8"/>
  <c r="AS315" i="8" s="1"/>
  <c r="AU315" i="8" s="1"/>
  <c r="AV315" i="8" s="1"/>
  <c r="AY315" i="8" s="1"/>
  <c r="N225" i="9"/>
  <c r="Q225" i="9" s="1"/>
  <c r="S225" i="9" s="1"/>
  <c r="T225" i="9" s="1"/>
  <c r="N411" i="10"/>
  <c r="Q411" i="10" s="1"/>
  <c r="S411" i="10" s="1"/>
  <c r="N372" i="10"/>
  <c r="Q372" i="10" s="1"/>
  <c r="S372" i="10" s="1"/>
  <c r="AR270" i="10"/>
  <c r="AB169" i="9"/>
  <c r="AE169" i="9" s="1"/>
  <c r="AG169" i="9" s="1"/>
  <c r="AB98" i="10"/>
  <c r="AE98" i="10" s="1"/>
  <c r="AG98" i="10" s="1"/>
  <c r="N406" i="9"/>
  <c r="Q406" i="9" s="1"/>
  <c r="S406" i="9" s="1"/>
  <c r="AP422" i="10"/>
  <c r="AS422" i="10" s="1"/>
  <c r="AU422" i="10" s="1"/>
  <c r="AP299" i="8"/>
  <c r="AS299" i="8" s="1"/>
  <c r="AU299" i="8" s="1"/>
  <c r="AB135" i="10"/>
  <c r="AE135" i="10" s="1"/>
  <c r="AG135" i="10" s="1"/>
  <c r="AH135" i="10" s="1"/>
  <c r="AP190" i="9"/>
  <c r="AS190" i="9" s="1"/>
  <c r="AU190" i="9" s="1"/>
  <c r="AV190" i="9" s="1"/>
  <c r="AY190" i="9" s="1"/>
  <c r="AP213" i="10"/>
  <c r="AS213" i="10" s="1"/>
  <c r="AU213" i="10" s="1"/>
  <c r="AW375" i="10"/>
  <c r="AR375" i="10"/>
  <c r="AZ375" i="10"/>
  <c r="AX375" i="10"/>
  <c r="AP115" i="9"/>
  <c r="AS115" i="9" s="1"/>
  <c r="AU115" i="9" s="1"/>
  <c r="AV115" i="9" s="1"/>
  <c r="AY115" i="9" s="1"/>
  <c r="N402" i="8"/>
  <c r="Q402" i="8" s="1"/>
  <c r="S402" i="8" s="1"/>
  <c r="AP75" i="8"/>
  <c r="AS75" i="8" s="1"/>
  <c r="AU75" i="8" s="1"/>
  <c r="AV75" i="8" s="1"/>
  <c r="AY75" i="8" s="1"/>
  <c r="AP265" i="9"/>
  <c r="AS265" i="9" s="1"/>
  <c r="AU265" i="9" s="1"/>
  <c r="AV265" i="9" s="1"/>
  <c r="AY265" i="9" s="1"/>
  <c r="N36" i="8"/>
  <c r="Q36" i="8" s="1"/>
  <c r="S36" i="8" s="1"/>
  <c r="AB145" i="8"/>
  <c r="AE145" i="8" s="1"/>
  <c r="AG145" i="8" s="1"/>
  <c r="AH145" i="8" s="1"/>
  <c r="AB318" i="10"/>
  <c r="AE318" i="10" s="1"/>
  <c r="AG318" i="10" s="1"/>
  <c r="N98" i="9"/>
  <c r="Q98" i="9" s="1"/>
  <c r="S98" i="9" s="1"/>
  <c r="AB215" i="9"/>
  <c r="AE215" i="9" s="1"/>
  <c r="AG215" i="9" s="1"/>
  <c r="AH215" i="9" s="1"/>
  <c r="N65" i="9"/>
  <c r="Q65" i="9" s="1"/>
  <c r="S65" i="9" s="1"/>
  <c r="T65" i="9" s="1"/>
  <c r="AP178" i="8"/>
  <c r="AS178" i="8" s="1"/>
  <c r="AU178" i="8" s="1"/>
  <c r="N200" i="10"/>
  <c r="Q200" i="10" s="1"/>
  <c r="S200" i="10" s="1"/>
  <c r="T200" i="10" s="1"/>
  <c r="N376" i="9"/>
  <c r="Q376" i="9" s="1"/>
  <c r="S376" i="9" s="1"/>
  <c r="AB411" i="9"/>
  <c r="AE411" i="9" s="1"/>
  <c r="AG411" i="9" s="1"/>
  <c r="N125" i="8"/>
  <c r="Q125" i="8" s="1"/>
  <c r="S125" i="8" s="1"/>
  <c r="T125" i="8" s="1"/>
  <c r="AP65" i="10"/>
  <c r="AS65" i="10" s="1"/>
  <c r="AU65" i="10" s="1"/>
  <c r="AV65" i="10" s="1"/>
  <c r="AY65" i="10" s="1"/>
  <c r="AB82" i="8"/>
  <c r="AE82" i="8" s="1"/>
  <c r="AG82" i="8" s="1"/>
  <c r="AA360" i="6"/>
  <c r="X395" i="10"/>
  <c r="V395" i="10"/>
  <c r="U395" i="10"/>
  <c r="Y396" i="10" s="1"/>
  <c r="AC396" i="10" s="1"/>
  <c r="AD396" i="10" s="1"/>
  <c r="P395" i="10"/>
  <c r="P365" i="9"/>
  <c r="V365" i="9"/>
  <c r="U365" i="9"/>
  <c r="Y366" i="9" s="1"/>
  <c r="AC366" i="9" s="1"/>
  <c r="X365" i="9"/>
  <c r="AP272" i="10"/>
  <c r="AS272" i="10" s="1"/>
  <c r="AU272" i="10" s="1"/>
  <c r="AP391" i="8"/>
  <c r="AS391" i="8" s="1"/>
  <c r="AU391" i="8" s="1"/>
  <c r="AP176" i="10"/>
  <c r="AS176" i="10" s="1"/>
  <c r="AU176" i="10" s="1"/>
  <c r="AP414" i="8"/>
  <c r="AS414" i="8" s="1"/>
  <c r="AU414" i="8" s="1"/>
  <c r="AB57" i="10"/>
  <c r="AE57" i="10" s="1"/>
  <c r="AG57" i="10" s="1"/>
  <c r="AB354" i="10"/>
  <c r="AE354" i="10" s="1"/>
  <c r="AG354" i="10" s="1"/>
  <c r="N111" i="9"/>
  <c r="Q111" i="9" s="1"/>
  <c r="S111" i="9" s="1"/>
  <c r="N345" i="9"/>
  <c r="Q345" i="9" s="1"/>
  <c r="S345" i="9" s="1"/>
  <c r="T345" i="9" s="1"/>
  <c r="AP282" i="9"/>
  <c r="AS282" i="9" s="1"/>
  <c r="AU282" i="9" s="1"/>
  <c r="AP393" i="8"/>
  <c r="AS393" i="8" s="1"/>
  <c r="AU393" i="8" s="1"/>
  <c r="AB301" i="8"/>
  <c r="AE301" i="8" s="1"/>
  <c r="AG301" i="8" s="1"/>
  <c r="AP208" i="8"/>
  <c r="AS208" i="8" s="1"/>
  <c r="AU208" i="8" s="1"/>
  <c r="N87" i="8"/>
  <c r="Q87" i="8" s="1"/>
  <c r="S87" i="8" s="1"/>
  <c r="N322" i="10"/>
  <c r="Q322" i="10" s="1"/>
  <c r="S322" i="10" s="1"/>
  <c r="AP117" i="9"/>
  <c r="AS117" i="9" s="1"/>
  <c r="AU117" i="9" s="1"/>
  <c r="AP133" i="8"/>
  <c r="AS133" i="8" s="1"/>
  <c r="AU133" i="8" s="1"/>
  <c r="AB273" i="10"/>
  <c r="AE273" i="10" s="1"/>
  <c r="AG273" i="10" s="1"/>
  <c r="AB191" i="9"/>
  <c r="AE191" i="9" s="1"/>
  <c r="AG191" i="9" s="1"/>
  <c r="AB301" i="9"/>
  <c r="AE301" i="9" s="1"/>
  <c r="AG301" i="9" s="1"/>
  <c r="AB242" i="10"/>
  <c r="AE242" i="10" s="1"/>
  <c r="AG242" i="10" s="1"/>
  <c r="AB353" i="10"/>
  <c r="AE353" i="10" s="1"/>
  <c r="AG353" i="10" s="1"/>
  <c r="AP345" i="8"/>
  <c r="AS345" i="8" s="1"/>
  <c r="AU345" i="8" s="1"/>
  <c r="AV345" i="8" s="1"/>
  <c r="AY345" i="8" s="1"/>
  <c r="AP199" i="8"/>
  <c r="AS199" i="8" s="1"/>
  <c r="AU199" i="8" s="1"/>
  <c r="N188" i="9"/>
  <c r="Q188" i="9" s="1"/>
  <c r="S188" i="9" s="1"/>
  <c r="AB379" i="8"/>
  <c r="AE379" i="8" s="1"/>
  <c r="AG379" i="8" s="1"/>
  <c r="AB239" i="8"/>
  <c r="AE239" i="8" s="1"/>
  <c r="AG239" i="8" s="1"/>
  <c r="AB101" i="8"/>
  <c r="AE101" i="8" s="1"/>
  <c r="AG101" i="8" s="1"/>
  <c r="N52" i="9"/>
  <c r="Q52" i="9" s="1"/>
  <c r="S52" i="9" s="1"/>
  <c r="AP356" i="9"/>
  <c r="AS356" i="9" s="1"/>
  <c r="AU356" i="9" s="1"/>
  <c r="AP298" i="8"/>
  <c r="AS298" i="8" s="1"/>
  <c r="AU298" i="8" s="1"/>
  <c r="N80" i="8"/>
  <c r="Q80" i="8" s="1"/>
  <c r="S80" i="8" s="1"/>
  <c r="T80" i="8" s="1"/>
  <c r="N108" i="10"/>
  <c r="Q108" i="10" s="1"/>
  <c r="S108" i="10" s="1"/>
  <c r="AP183" i="8"/>
  <c r="AS183" i="8" s="1"/>
  <c r="AU183" i="8" s="1"/>
  <c r="AB250" i="10"/>
  <c r="AE250" i="10" s="1"/>
  <c r="AG250" i="10" s="1"/>
  <c r="AH250" i="10" s="1"/>
  <c r="AP237" i="9"/>
  <c r="AS237" i="9" s="1"/>
  <c r="AU237" i="9" s="1"/>
  <c r="AR115" i="10"/>
  <c r="AX115" i="10"/>
  <c r="AZ115" i="10"/>
  <c r="AW115" i="10"/>
  <c r="AP330" i="10"/>
  <c r="AS330" i="10" s="1"/>
  <c r="AU330" i="10" s="1"/>
  <c r="AV330" i="10" s="1"/>
  <c r="AY330" i="10" s="1"/>
  <c r="AB322" i="8"/>
  <c r="AE322" i="8" s="1"/>
  <c r="AG322" i="8" s="1"/>
  <c r="N159" i="10"/>
  <c r="Q159" i="10" s="1"/>
  <c r="S159" i="10" s="1"/>
  <c r="AP214" i="10"/>
  <c r="AS214" i="10" s="1"/>
  <c r="AU214" i="10" s="1"/>
  <c r="AB229" i="10"/>
  <c r="AE229" i="10" s="1"/>
  <c r="AG229" i="10" s="1"/>
  <c r="AP417" i="9"/>
  <c r="AS417" i="9" s="1"/>
  <c r="AU417" i="9" s="1"/>
  <c r="N411" i="8"/>
  <c r="Q411" i="8" s="1"/>
  <c r="S411" i="8" s="1"/>
  <c r="AB238" i="10"/>
  <c r="AE238" i="10" s="1"/>
  <c r="AG238" i="10" s="1"/>
  <c r="N275" i="10"/>
  <c r="Q275" i="10" s="1"/>
  <c r="S275" i="10" s="1"/>
  <c r="T275" i="10" s="1"/>
  <c r="AP57" i="8"/>
  <c r="AS57" i="8" s="1"/>
  <c r="AU57" i="8" s="1"/>
  <c r="AP106" i="8"/>
  <c r="AS106" i="8" s="1"/>
  <c r="AU106" i="8" s="1"/>
  <c r="AP423" i="10"/>
  <c r="AS423" i="10" s="1"/>
  <c r="AU423" i="10" s="1"/>
  <c r="AB187" i="8"/>
  <c r="AE187" i="8" s="1"/>
  <c r="AG187" i="8" s="1"/>
  <c r="AB32" i="9"/>
  <c r="AE32" i="9" s="1"/>
  <c r="AG32" i="9" s="1"/>
  <c r="AB278" i="9"/>
  <c r="AE278" i="9" s="1"/>
  <c r="AG278" i="9" s="1"/>
  <c r="AP358" i="10"/>
  <c r="AS358" i="10" s="1"/>
  <c r="AU358" i="10" s="1"/>
  <c r="N397" i="9"/>
  <c r="Q397" i="9" s="1"/>
  <c r="S397" i="9" s="1"/>
  <c r="AB355" i="10"/>
  <c r="AE355" i="10" s="1"/>
  <c r="AG355" i="10" s="1"/>
  <c r="AH355" i="10" s="1"/>
  <c r="AB230" i="9"/>
  <c r="AE230" i="9" s="1"/>
  <c r="AG230" i="9" s="1"/>
  <c r="AH230" i="9" s="1"/>
  <c r="AB184" i="9"/>
  <c r="AE184" i="9" s="1"/>
  <c r="AG184" i="9" s="1"/>
  <c r="N187" i="9"/>
  <c r="Q187" i="9" s="1"/>
  <c r="S187" i="9" s="1"/>
  <c r="AP43" i="9"/>
  <c r="AS43" i="9" s="1"/>
  <c r="AU43" i="9" s="1"/>
  <c r="AB328" i="9"/>
  <c r="AE328" i="9" s="1"/>
  <c r="AG328" i="9" s="1"/>
  <c r="AP225" i="9"/>
  <c r="AB61" i="10"/>
  <c r="AE61" i="10" s="1"/>
  <c r="AG61" i="10" s="1"/>
  <c r="AB357" i="10"/>
  <c r="AE357" i="10" s="1"/>
  <c r="AG357" i="10" s="1"/>
  <c r="AB203" i="8"/>
  <c r="AE203" i="8" s="1"/>
  <c r="AG203" i="8" s="1"/>
  <c r="AA371" i="6"/>
  <c r="N117" i="8"/>
  <c r="Q117" i="8" s="1"/>
  <c r="S117" i="8" s="1"/>
  <c r="N170" i="8"/>
  <c r="Q170" i="8" s="1"/>
  <c r="S170" i="8" s="1"/>
  <c r="T170" i="8" s="1"/>
  <c r="N82" i="9"/>
  <c r="Q82" i="9" s="1"/>
  <c r="S82" i="9" s="1"/>
  <c r="N364" i="9"/>
  <c r="Q364" i="9" s="1"/>
  <c r="S364" i="9" s="1"/>
  <c r="AB119" i="9"/>
  <c r="AE119" i="9" s="1"/>
  <c r="AG119" i="9" s="1"/>
  <c r="AP188" i="9"/>
  <c r="AS188" i="9" s="1"/>
  <c r="AU188" i="9" s="1"/>
  <c r="AZ40" i="10"/>
  <c r="AR40" i="10"/>
  <c r="AX40" i="10"/>
  <c r="AW40" i="10"/>
  <c r="N208" i="8"/>
  <c r="Q208" i="8" s="1"/>
  <c r="S208" i="8" s="1"/>
  <c r="N271" i="8"/>
  <c r="Q271" i="8" s="1"/>
  <c r="S271" i="8" s="1"/>
  <c r="AB227" i="10"/>
  <c r="AE227" i="10" s="1"/>
  <c r="AG227" i="10" s="1"/>
  <c r="N201" i="10"/>
  <c r="Q201" i="10" s="1"/>
  <c r="S201" i="10" s="1"/>
  <c r="AP191" i="9"/>
  <c r="AS191" i="9" s="1"/>
  <c r="AU191" i="9" s="1"/>
  <c r="N327" i="8"/>
  <c r="Q327" i="8" s="1"/>
  <c r="S327" i="8" s="1"/>
  <c r="N208" i="9"/>
  <c r="Q208" i="9" s="1"/>
  <c r="S208" i="9" s="1"/>
  <c r="N146" i="10"/>
  <c r="Q146" i="10" s="1"/>
  <c r="S146" i="10" s="1"/>
  <c r="N280" i="8"/>
  <c r="Q280" i="8" s="1"/>
  <c r="S280" i="8" s="1"/>
  <c r="T280" i="8" s="1"/>
  <c r="AL120" i="10"/>
  <c r="AD120" i="10"/>
  <c r="AJ120" i="10"/>
  <c r="AI120" i="10"/>
  <c r="AM121" i="10" s="1"/>
  <c r="AQ121" i="10" s="1"/>
  <c r="AR121" i="10" s="1"/>
  <c r="AB412" i="10"/>
  <c r="AE412" i="10" s="1"/>
  <c r="AG412" i="10" s="1"/>
  <c r="P25" i="10"/>
  <c r="V25" i="10"/>
  <c r="AA388" i="6"/>
  <c r="N327" i="9"/>
  <c r="Q327" i="9" s="1"/>
  <c r="S327" i="9" s="1"/>
  <c r="AB286" i="8"/>
  <c r="AE286" i="8" s="1"/>
  <c r="AG286" i="8" s="1"/>
  <c r="N423" i="9"/>
  <c r="Q423" i="9" s="1"/>
  <c r="S423" i="9" s="1"/>
  <c r="AP103" i="9"/>
  <c r="AS103" i="9" s="1"/>
  <c r="AU103" i="9" s="1"/>
  <c r="AP80" i="10"/>
  <c r="AS80" i="10" s="1"/>
  <c r="AU80" i="10" s="1"/>
  <c r="AV80" i="10" s="1"/>
  <c r="AY80" i="10" s="1"/>
  <c r="N314" i="10"/>
  <c r="Q314" i="10" s="1"/>
  <c r="S314" i="10" s="1"/>
  <c r="AP376" i="9"/>
  <c r="AS376" i="9" s="1"/>
  <c r="AU376" i="9" s="1"/>
  <c r="AP216" i="10"/>
  <c r="AS216" i="10" s="1"/>
  <c r="AU216" i="10" s="1"/>
  <c r="AB227" i="8"/>
  <c r="AE227" i="8" s="1"/>
  <c r="AG227" i="8" s="1"/>
  <c r="AP287" i="10"/>
  <c r="AS287" i="10" s="1"/>
  <c r="AU287" i="10" s="1"/>
  <c r="AB187" i="9"/>
  <c r="AE187" i="9" s="1"/>
  <c r="AG187" i="9" s="1"/>
  <c r="N43" i="9"/>
  <c r="Q43" i="9" s="1"/>
  <c r="S43" i="9" s="1"/>
  <c r="AP254" i="9"/>
  <c r="AS254" i="9" s="1"/>
  <c r="AU254" i="9" s="1"/>
  <c r="N301" i="8"/>
  <c r="Q301" i="8" s="1"/>
  <c r="S301" i="8" s="1"/>
  <c r="AB131" i="10"/>
  <c r="AE131" i="10" s="1"/>
  <c r="AG131" i="10" s="1"/>
  <c r="AP152" i="10"/>
  <c r="AS152" i="10" s="1"/>
  <c r="AU152" i="10" s="1"/>
  <c r="N112" i="9"/>
  <c r="Q112" i="9" s="1"/>
  <c r="S112" i="9" s="1"/>
  <c r="AA400" i="6"/>
  <c r="N422" i="8"/>
  <c r="Q422" i="8" s="1"/>
  <c r="S422" i="8" s="1"/>
  <c r="AP337" i="8"/>
  <c r="AS337" i="8" s="1"/>
  <c r="AU337" i="8" s="1"/>
  <c r="AB341" i="10"/>
  <c r="AE341" i="10" s="1"/>
  <c r="AG341" i="10" s="1"/>
  <c r="AW385" i="9"/>
  <c r="AR385" i="9"/>
  <c r="AX385" i="9"/>
  <c r="AP240" i="8"/>
  <c r="AS240" i="8" s="1"/>
  <c r="AU240" i="8" s="1"/>
  <c r="AV240" i="8" s="1"/>
  <c r="AY240" i="8" s="1"/>
  <c r="AP161" i="10"/>
  <c r="AS161" i="10" s="1"/>
  <c r="AU161" i="10" s="1"/>
  <c r="AB87" i="10"/>
  <c r="AE87" i="10" s="1"/>
  <c r="AG87" i="10" s="1"/>
  <c r="AP232" i="10"/>
  <c r="AS232" i="10" s="1"/>
  <c r="AU232" i="10" s="1"/>
  <c r="AP334" i="10"/>
  <c r="AS334" i="10" s="1"/>
  <c r="AU334" i="10" s="1"/>
  <c r="AP91" i="8"/>
  <c r="AS91" i="8" s="1"/>
  <c r="AU91" i="8" s="1"/>
  <c r="AP147" i="10"/>
  <c r="AS147" i="10" s="1"/>
  <c r="AU147" i="10" s="1"/>
  <c r="N323" i="8"/>
  <c r="Q323" i="8" s="1"/>
  <c r="S323" i="8" s="1"/>
  <c r="AB411" i="8"/>
  <c r="AE411" i="8" s="1"/>
  <c r="AG411" i="8" s="1"/>
  <c r="AB385" i="10"/>
  <c r="AE385" i="10" s="1"/>
  <c r="AG385" i="10" s="1"/>
  <c r="AH385" i="10" s="1"/>
  <c r="N338" i="8"/>
  <c r="Q338" i="8" s="1"/>
  <c r="S338" i="8" s="1"/>
  <c r="N106" i="8"/>
  <c r="Q106" i="8" s="1"/>
  <c r="S106" i="8" s="1"/>
  <c r="AB198" i="10"/>
  <c r="AE198" i="10" s="1"/>
  <c r="AG198" i="10" s="1"/>
  <c r="AB112" i="9"/>
  <c r="AE112" i="9" s="1"/>
  <c r="AG112" i="9" s="1"/>
  <c r="P245" i="10"/>
  <c r="U245" i="10"/>
  <c r="Y246" i="10" s="1"/>
  <c r="AC246" i="10" s="1"/>
  <c r="V245" i="10"/>
  <c r="X245" i="10"/>
  <c r="AB279" i="10"/>
  <c r="AE279" i="10" s="1"/>
  <c r="AG279" i="10" s="1"/>
  <c r="N138" i="9"/>
  <c r="Q138" i="9" s="1"/>
  <c r="S138" i="9" s="1"/>
  <c r="AB167" i="10"/>
  <c r="AE167" i="10" s="1"/>
  <c r="AG167" i="10" s="1"/>
  <c r="N42" i="9"/>
  <c r="Q42" i="9" s="1"/>
  <c r="S42" i="9" s="1"/>
  <c r="AP89" i="9"/>
  <c r="AS89" i="9" s="1"/>
  <c r="AU89" i="9" s="1"/>
  <c r="AP289" i="9"/>
  <c r="AS289" i="9" s="1"/>
  <c r="AU289" i="9" s="1"/>
  <c r="AB330" i="10"/>
  <c r="AE330" i="10" s="1"/>
  <c r="AG330" i="10" s="1"/>
  <c r="AH330" i="10" s="1"/>
  <c r="N161" i="10"/>
  <c r="Q161" i="10" s="1"/>
  <c r="S161" i="10" s="1"/>
  <c r="N190" i="8"/>
  <c r="Q190" i="8" s="1"/>
  <c r="S190" i="8" s="1"/>
  <c r="T190" i="8" s="1"/>
  <c r="AP352" i="8"/>
  <c r="AS352" i="8" s="1"/>
  <c r="AU352" i="8" s="1"/>
  <c r="AB248" i="10"/>
  <c r="AE248" i="10" s="1"/>
  <c r="AG248" i="10" s="1"/>
  <c r="N371" i="9"/>
  <c r="Q371" i="9" s="1"/>
  <c r="S371" i="9" s="1"/>
  <c r="AB417" i="9"/>
  <c r="AE417" i="9" s="1"/>
  <c r="AG417" i="9" s="1"/>
  <c r="AP28" i="8"/>
  <c r="AS28" i="8" s="1"/>
  <c r="AU28" i="8" s="1"/>
  <c r="AP382" i="9"/>
  <c r="AS382" i="9" s="1"/>
  <c r="AU382" i="9" s="1"/>
  <c r="AB121" i="8"/>
  <c r="AE121" i="8" s="1"/>
  <c r="AG121" i="8" s="1"/>
  <c r="AB106" i="8"/>
  <c r="AE106" i="8" s="1"/>
  <c r="AG106" i="8" s="1"/>
  <c r="AB423" i="8"/>
  <c r="AE423" i="8" s="1"/>
  <c r="AG423" i="8" s="1"/>
  <c r="N91" i="9"/>
  <c r="Q91" i="9" s="1"/>
  <c r="S91" i="9" s="1"/>
  <c r="N225" i="8"/>
  <c r="Q225" i="8" s="1"/>
  <c r="S225" i="8" s="1"/>
  <c r="T225" i="8" s="1"/>
  <c r="N401" i="8"/>
  <c r="Q401" i="8" s="1"/>
  <c r="S401" i="8" s="1"/>
  <c r="N216" i="10"/>
  <c r="Q216" i="10" s="1"/>
  <c r="S216" i="10" s="1"/>
  <c r="AP253" i="10"/>
  <c r="AS253" i="10" s="1"/>
  <c r="AU253" i="10" s="1"/>
  <c r="AB129" i="10"/>
  <c r="AE129" i="10" s="1"/>
  <c r="AG129" i="10" s="1"/>
  <c r="N333" i="10"/>
  <c r="Q333" i="10" s="1"/>
  <c r="S333" i="10" s="1"/>
  <c r="AB43" i="9"/>
  <c r="AE43" i="9" s="1"/>
  <c r="AG43" i="9" s="1"/>
  <c r="AP122" i="9"/>
  <c r="AS122" i="9" s="1"/>
  <c r="AU122" i="9" s="1"/>
  <c r="N77" i="10"/>
  <c r="Q77" i="10" s="1"/>
  <c r="S77" i="10" s="1"/>
  <c r="AP158" i="9"/>
  <c r="AS158" i="9" s="1"/>
  <c r="AU158" i="9" s="1"/>
  <c r="AB245" i="9"/>
  <c r="AE245" i="9" s="1"/>
  <c r="AG245" i="9" s="1"/>
  <c r="AH245" i="9" s="1"/>
  <c r="AB215" i="10"/>
  <c r="N121" i="10"/>
  <c r="Q121" i="10" s="1"/>
  <c r="S121" i="10" s="1"/>
  <c r="AP41" i="9"/>
  <c r="AS41" i="9" s="1"/>
  <c r="AU41" i="9" s="1"/>
  <c r="AP63" i="10"/>
  <c r="AS63" i="10" s="1"/>
  <c r="AU63" i="10" s="1"/>
  <c r="AP369" i="10"/>
  <c r="AS369" i="10" s="1"/>
  <c r="AU369" i="10" s="1"/>
  <c r="N310" i="10"/>
  <c r="Q310" i="10" s="1"/>
  <c r="S310" i="10" s="1"/>
  <c r="T310" i="10" s="1"/>
  <c r="N248" i="8"/>
  <c r="Q248" i="8" s="1"/>
  <c r="S248" i="8" s="1"/>
  <c r="AP271" i="8"/>
  <c r="AS271" i="8" s="1"/>
  <c r="AU271" i="8" s="1"/>
  <c r="N249" i="9"/>
  <c r="Q249" i="9" s="1"/>
  <c r="S249" i="9" s="1"/>
  <c r="AB304" i="9"/>
  <c r="AE304" i="9" s="1"/>
  <c r="AG304" i="9" s="1"/>
  <c r="AP69" i="8"/>
  <c r="AS69" i="8" s="1"/>
  <c r="AU69" i="8" s="1"/>
  <c r="N41" i="10"/>
  <c r="Q41" i="10" s="1"/>
  <c r="S41" i="10" s="1"/>
  <c r="X345" i="10"/>
  <c r="P345" i="10"/>
  <c r="V345" i="10"/>
  <c r="U345" i="10"/>
  <c r="Y346" i="10" s="1"/>
  <c r="AC346" i="10" s="1"/>
  <c r="N282" i="10"/>
  <c r="Q282" i="10" s="1"/>
  <c r="S282" i="10" s="1"/>
  <c r="N381" i="9"/>
  <c r="Q381" i="9" s="1"/>
  <c r="S381" i="9" s="1"/>
  <c r="AP146" i="10"/>
  <c r="AS146" i="10" s="1"/>
  <c r="AU146" i="10" s="1"/>
  <c r="AB194" i="9"/>
  <c r="AE194" i="9" s="1"/>
  <c r="AG194" i="9" s="1"/>
  <c r="AP67" i="8"/>
  <c r="AS67" i="8" s="1"/>
  <c r="AU67" i="8" s="1"/>
  <c r="N189" i="8"/>
  <c r="Q189" i="8" s="1"/>
  <c r="S189" i="8" s="1"/>
  <c r="AP25" i="10"/>
  <c r="AS25" i="10" s="1"/>
  <c r="AU25" i="10" s="1"/>
  <c r="N213" i="9"/>
  <c r="Q213" i="9" s="1"/>
  <c r="S213" i="9" s="1"/>
  <c r="U150" i="9"/>
  <c r="Y151" i="9" s="1"/>
  <c r="AC151" i="9" s="1"/>
  <c r="AD151" i="9" s="1"/>
  <c r="X150" i="9"/>
  <c r="P150" i="9"/>
  <c r="V150" i="9"/>
  <c r="AB169" i="8"/>
  <c r="AE169" i="8" s="1"/>
  <c r="AG169" i="8" s="1"/>
  <c r="AP327" i="9"/>
  <c r="AS327" i="9" s="1"/>
  <c r="AU327" i="9" s="1"/>
  <c r="N405" i="9"/>
  <c r="Q405" i="9" s="1"/>
  <c r="S405" i="9" s="1"/>
  <c r="T405" i="9" s="1"/>
  <c r="N367" i="9"/>
  <c r="Q367" i="9" s="1"/>
  <c r="S367" i="9" s="1"/>
  <c r="AP389" i="10"/>
  <c r="AS389" i="10" s="1"/>
  <c r="AU389" i="10" s="1"/>
  <c r="N155" i="9"/>
  <c r="Q155" i="9" s="1"/>
  <c r="S155" i="9" s="1"/>
  <c r="T155" i="9" s="1"/>
  <c r="AP95" i="9"/>
  <c r="AS95" i="9" s="1"/>
  <c r="AU95" i="9" s="1"/>
  <c r="AV95" i="9" s="1"/>
  <c r="AY95" i="9" s="1"/>
  <c r="AP273" i="8"/>
  <c r="AS273" i="8" s="1"/>
  <c r="AU273" i="8" s="1"/>
  <c r="N49" i="10"/>
  <c r="Q49" i="10" s="1"/>
  <c r="S49" i="10" s="1"/>
  <c r="AP159" i="8"/>
  <c r="AS159" i="8" s="1"/>
  <c r="AU159" i="8" s="1"/>
  <c r="AB243" i="9"/>
  <c r="AE243" i="9" s="1"/>
  <c r="AG243" i="9" s="1"/>
  <c r="AB86" i="9"/>
  <c r="AE86" i="9" s="1"/>
  <c r="AG86" i="9" s="1"/>
  <c r="N381" i="8"/>
  <c r="Q381" i="8" s="1"/>
  <c r="S381" i="8" s="1"/>
  <c r="AB248" i="8"/>
  <c r="AE248" i="8" s="1"/>
  <c r="AG248" i="8" s="1"/>
  <c r="AB231" i="10"/>
  <c r="AE231" i="10" s="1"/>
  <c r="AG231" i="10" s="1"/>
  <c r="AB392" i="10"/>
  <c r="AE392" i="10" s="1"/>
  <c r="AG392" i="10" s="1"/>
  <c r="AP331" i="8"/>
  <c r="AS331" i="8" s="1"/>
  <c r="AU331" i="8" s="1"/>
  <c r="N69" i="9"/>
  <c r="Q69" i="9" s="1"/>
  <c r="S69" i="9" s="1"/>
  <c r="AL340" i="10"/>
  <c r="AD340" i="10"/>
  <c r="AJ340" i="10"/>
  <c r="AI340" i="10"/>
  <c r="AM341" i="10" s="1"/>
  <c r="AQ341" i="10" s="1"/>
  <c r="AR341" i="10" s="1"/>
  <c r="AT341" i="10" s="1"/>
  <c r="P280" i="9"/>
  <c r="V280" i="9"/>
  <c r="X280" i="9"/>
  <c r="U280" i="9"/>
  <c r="Y281" i="9" s="1"/>
  <c r="AC281" i="9" s="1"/>
  <c r="AD281" i="9" s="1"/>
  <c r="AF281" i="9" s="1"/>
  <c r="AZ340" i="10"/>
  <c r="AR340" i="10"/>
  <c r="AW340" i="10"/>
  <c r="AX340" i="10"/>
  <c r="AR285" i="10"/>
  <c r="AX285" i="10"/>
  <c r="AZ285" i="10"/>
  <c r="AW285" i="10"/>
  <c r="P75" i="10"/>
  <c r="V75" i="10"/>
  <c r="U75" i="10"/>
  <c r="Y76" i="10" s="1"/>
  <c r="AC76" i="10" s="1"/>
  <c r="AD76" i="10" s="1"/>
  <c r="AF76" i="10" s="1"/>
  <c r="X75" i="10"/>
  <c r="N380" i="9"/>
  <c r="Q380" i="9" s="1"/>
  <c r="S380" i="9" s="1"/>
  <c r="T380" i="9" s="1"/>
  <c r="K380" i="9"/>
  <c r="O380" i="9" s="1"/>
  <c r="AK290" i="10"/>
  <c r="AK385" i="9"/>
  <c r="AP415" i="10"/>
  <c r="AS415" i="10" s="1"/>
  <c r="AU415" i="10" s="1"/>
  <c r="AV415" i="10" s="1"/>
  <c r="AY415" i="10" s="1"/>
  <c r="AM415" i="10"/>
  <c r="AQ415" i="10" s="1"/>
  <c r="AB380" i="10"/>
  <c r="AE380" i="10" s="1"/>
  <c r="AG380" i="10" s="1"/>
  <c r="AH380" i="10" s="1"/>
  <c r="Y380" i="10"/>
  <c r="AC380" i="10" s="1"/>
  <c r="W130" i="10"/>
  <c r="AK170" i="9"/>
  <c r="W55" i="10"/>
  <c r="AR110" i="9"/>
  <c r="AW110" i="9"/>
  <c r="AX110" i="9"/>
  <c r="AZ110" i="9"/>
  <c r="AL165" i="10"/>
  <c r="AD165" i="10"/>
  <c r="AI165" i="10"/>
  <c r="AM166" i="10" s="1"/>
  <c r="AQ166" i="10" s="1"/>
  <c r="AR166" i="10" s="1"/>
  <c r="AT166" i="10" s="1"/>
  <c r="AJ165" i="10"/>
  <c r="AK185" i="9"/>
  <c r="W295" i="9"/>
  <c r="AB415" i="8"/>
  <c r="AE415" i="8" s="1"/>
  <c r="AG415" i="8" s="1"/>
  <c r="AH415" i="8" s="1"/>
  <c r="Y415" i="8"/>
  <c r="P85" i="10"/>
  <c r="X85" i="10"/>
  <c r="U85" i="10"/>
  <c r="Y86" i="10" s="1"/>
  <c r="AC86" i="10" s="1"/>
  <c r="V85" i="10"/>
  <c r="P400" i="10"/>
  <c r="U400" i="10"/>
  <c r="Y401" i="10" s="1"/>
  <c r="AC401" i="10" s="1"/>
  <c r="AD401" i="10" s="1"/>
  <c r="X400" i="10"/>
  <c r="V400" i="10"/>
  <c r="W305" i="9"/>
  <c r="N387" i="10"/>
  <c r="Q387" i="10" s="1"/>
  <c r="S387" i="10" s="1"/>
  <c r="AP189" i="9"/>
  <c r="AS189" i="9" s="1"/>
  <c r="AU189" i="9" s="1"/>
  <c r="N402" i="9"/>
  <c r="Q402" i="9" s="1"/>
  <c r="S402" i="9" s="1"/>
  <c r="AB403" i="9"/>
  <c r="AE403" i="9" s="1"/>
  <c r="AG403" i="9" s="1"/>
  <c r="AL205" i="10"/>
  <c r="AD205" i="10"/>
  <c r="AJ205" i="10"/>
  <c r="AI205" i="10"/>
  <c r="AM206" i="10" s="1"/>
  <c r="AQ206" i="10" s="1"/>
  <c r="AR206" i="10" s="1"/>
  <c r="AL390" i="10"/>
  <c r="AD390" i="10"/>
  <c r="AJ390" i="10"/>
  <c r="AP283" i="10"/>
  <c r="AS283" i="10" s="1"/>
  <c r="AU283" i="10" s="1"/>
  <c r="AP342" i="10"/>
  <c r="AS342" i="10" s="1"/>
  <c r="AU342" i="10" s="1"/>
  <c r="AB275" i="10"/>
  <c r="AE275" i="10" s="1"/>
  <c r="AG275" i="10" s="1"/>
  <c r="AH275" i="10" s="1"/>
  <c r="AP197" i="8"/>
  <c r="AS197" i="8" s="1"/>
  <c r="AU197" i="8" s="1"/>
  <c r="AP32" i="9"/>
  <c r="AS32" i="9" s="1"/>
  <c r="AU32" i="9" s="1"/>
  <c r="N107" i="8"/>
  <c r="Q107" i="8" s="1"/>
  <c r="S107" i="8" s="1"/>
  <c r="AP49" i="9"/>
  <c r="AS49" i="9" s="1"/>
  <c r="AU49" i="9" s="1"/>
  <c r="N419" i="10"/>
  <c r="Q419" i="10" s="1"/>
  <c r="S419" i="10" s="1"/>
  <c r="AP75" i="10"/>
  <c r="AS75" i="10" s="1"/>
  <c r="AU75" i="10" s="1"/>
  <c r="AV75" i="10" s="1"/>
  <c r="AY75" i="10" s="1"/>
  <c r="AP231" i="8"/>
  <c r="AS231" i="8" s="1"/>
  <c r="AU231" i="8" s="1"/>
  <c r="AB274" i="10"/>
  <c r="AE274" i="10" s="1"/>
  <c r="AG274" i="10" s="1"/>
  <c r="N364" i="8"/>
  <c r="Q364" i="8" s="1"/>
  <c r="S364" i="8" s="1"/>
  <c r="AB282" i="8"/>
  <c r="AE282" i="8" s="1"/>
  <c r="AG282" i="8" s="1"/>
  <c r="N40" i="9"/>
  <c r="Q40" i="9" s="1"/>
  <c r="S40" i="9" s="1"/>
  <c r="T40" i="9" s="1"/>
  <c r="AW270" i="9"/>
  <c r="AZ270" i="9"/>
  <c r="AR270" i="9"/>
  <c r="AX270" i="9"/>
  <c r="AP349" i="9"/>
  <c r="AS349" i="9" s="1"/>
  <c r="AU349" i="9" s="1"/>
  <c r="AP111" i="9"/>
  <c r="AS111" i="9" s="1"/>
  <c r="AU111" i="9" s="1"/>
  <c r="AB353" i="8"/>
  <c r="AE353" i="8" s="1"/>
  <c r="AG353" i="8" s="1"/>
  <c r="AC379" i="6"/>
  <c r="N177" i="10"/>
  <c r="Q177" i="10" s="1"/>
  <c r="S177" i="10" s="1"/>
  <c r="AP125" i="10"/>
  <c r="AS125" i="10" s="1"/>
  <c r="AU125" i="10" s="1"/>
  <c r="AV125" i="10" s="1"/>
  <c r="AY125" i="10" s="1"/>
  <c r="AP25" i="9"/>
  <c r="AS25" i="9" s="1"/>
  <c r="AU25" i="9" s="1"/>
  <c r="N144" i="8"/>
  <c r="Q144" i="8" s="1"/>
  <c r="S144" i="8" s="1"/>
  <c r="AA372" i="6"/>
  <c r="AP221" i="10"/>
  <c r="AS221" i="10" s="1"/>
  <c r="AU221" i="10" s="1"/>
  <c r="N161" i="8"/>
  <c r="Q161" i="8" s="1"/>
  <c r="S161" i="8" s="1"/>
  <c r="AR400" i="10"/>
  <c r="AP290" i="10"/>
  <c r="AS290" i="10" s="1"/>
  <c r="AU290" i="10" s="1"/>
  <c r="AV290" i="10" s="1"/>
  <c r="AY290" i="10" s="1"/>
  <c r="N388" i="9"/>
  <c r="Q388" i="9" s="1"/>
  <c r="S388" i="9" s="1"/>
  <c r="AP317" i="8"/>
  <c r="AS317" i="8" s="1"/>
  <c r="AU317" i="8" s="1"/>
  <c r="N242" i="10"/>
  <c r="Q242" i="10" s="1"/>
  <c r="S242" i="10" s="1"/>
  <c r="AB408" i="9"/>
  <c r="AE408" i="9" s="1"/>
  <c r="AG408" i="9" s="1"/>
  <c r="N320" i="8"/>
  <c r="Q320" i="8" s="1"/>
  <c r="S320" i="8" s="1"/>
  <c r="T320" i="8" s="1"/>
  <c r="AD355" i="9"/>
  <c r="AJ355" i="9"/>
  <c r="AL355" i="9"/>
  <c r="AI355" i="9"/>
  <c r="AM356" i="9" s="1"/>
  <c r="AQ356" i="9" s="1"/>
  <c r="AR356" i="9" s="1"/>
  <c r="AP377" i="9"/>
  <c r="AS377" i="9" s="1"/>
  <c r="AU377" i="9" s="1"/>
  <c r="AB350" i="8"/>
  <c r="AE350" i="8" s="1"/>
  <c r="AG350" i="8" s="1"/>
  <c r="AH350" i="8" s="1"/>
  <c r="N86" i="10"/>
  <c r="Q86" i="10" s="1"/>
  <c r="S86" i="10" s="1"/>
  <c r="N186" i="9"/>
  <c r="Q186" i="9" s="1"/>
  <c r="S186" i="9" s="1"/>
  <c r="AP360" i="10"/>
  <c r="AS360" i="10" s="1"/>
  <c r="AU360" i="10" s="1"/>
  <c r="AV360" i="10" s="1"/>
  <c r="AY360" i="10" s="1"/>
  <c r="AP271" i="9"/>
  <c r="AS271" i="9" s="1"/>
  <c r="AU271" i="9" s="1"/>
  <c r="N102" i="8"/>
  <c r="Q102" i="8" s="1"/>
  <c r="S102" i="8" s="1"/>
  <c r="N239" i="9"/>
  <c r="Q239" i="9" s="1"/>
  <c r="S239" i="9" s="1"/>
  <c r="N101" i="9"/>
  <c r="Q101" i="9" s="1"/>
  <c r="S101" i="9" s="1"/>
  <c r="AP331" i="9"/>
  <c r="AS331" i="9" s="1"/>
  <c r="AU331" i="9" s="1"/>
  <c r="AP290" i="8"/>
  <c r="AS290" i="8" s="1"/>
  <c r="AU290" i="8" s="1"/>
  <c r="AV290" i="8" s="1"/>
  <c r="AY290" i="8" s="1"/>
  <c r="AP182" i="10"/>
  <c r="AS182" i="10" s="1"/>
  <c r="AU182" i="10" s="1"/>
  <c r="AP372" i="10"/>
  <c r="AS372" i="10" s="1"/>
  <c r="AU372" i="10" s="1"/>
  <c r="AB208" i="8"/>
  <c r="AE208" i="8" s="1"/>
  <c r="AG208" i="8" s="1"/>
  <c r="AB290" i="9"/>
  <c r="AE290" i="9" s="1"/>
  <c r="AG290" i="9" s="1"/>
  <c r="AH290" i="9" s="1"/>
  <c r="AW170" i="9"/>
  <c r="AZ170" i="9"/>
  <c r="AR170" i="9"/>
  <c r="AX170" i="9"/>
  <c r="AP213" i="8"/>
  <c r="AS213" i="8" s="1"/>
  <c r="AU213" i="8" s="1"/>
  <c r="AP393" i="9"/>
  <c r="AS393" i="9" s="1"/>
  <c r="AU393" i="9" s="1"/>
  <c r="AB335" i="9"/>
  <c r="AE335" i="9" s="1"/>
  <c r="AG335" i="9" s="1"/>
  <c r="AH335" i="9" s="1"/>
  <c r="AP223" i="10"/>
  <c r="AS223" i="10" s="1"/>
  <c r="AU223" i="10" s="1"/>
  <c r="AB246" i="10"/>
  <c r="AE246" i="10" s="1"/>
  <c r="AG246" i="10" s="1"/>
  <c r="AB45" i="10"/>
  <c r="AE45" i="10" s="1"/>
  <c r="AG45" i="10" s="1"/>
  <c r="AH45" i="10" s="1"/>
  <c r="AB346" i="10"/>
  <c r="AE346" i="10" s="1"/>
  <c r="AG346" i="10" s="1"/>
  <c r="AB326" i="8"/>
  <c r="AE326" i="8" s="1"/>
  <c r="AG326" i="8" s="1"/>
  <c r="N166" i="8"/>
  <c r="Q166" i="8" s="1"/>
  <c r="S166" i="8" s="1"/>
  <c r="N240" i="9"/>
  <c r="Q240" i="9" s="1"/>
  <c r="S240" i="9" s="1"/>
  <c r="T240" i="9" s="1"/>
  <c r="N265" i="8"/>
  <c r="Q265" i="8" s="1"/>
  <c r="S265" i="8" s="1"/>
  <c r="T265" i="8" s="1"/>
  <c r="AP285" i="8"/>
  <c r="AS285" i="8" s="1"/>
  <c r="AU285" i="8" s="1"/>
  <c r="AV285" i="8" s="1"/>
  <c r="AY285" i="8" s="1"/>
  <c r="AP97" i="8"/>
  <c r="AS97" i="8" s="1"/>
  <c r="AU97" i="8" s="1"/>
  <c r="AP262" i="10"/>
  <c r="AS262" i="10" s="1"/>
  <c r="AU262" i="10" s="1"/>
  <c r="AB59" i="8"/>
  <c r="AE59" i="8" s="1"/>
  <c r="AG59" i="8" s="1"/>
  <c r="AP402" i="8"/>
  <c r="AS402" i="8" s="1"/>
  <c r="AU402" i="8" s="1"/>
  <c r="AB64" i="9"/>
  <c r="AE64" i="9" s="1"/>
  <c r="AG64" i="9" s="1"/>
  <c r="N110" i="8"/>
  <c r="Q110" i="8" s="1"/>
  <c r="S110" i="8" s="1"/>
  <c r="T110" i="8" s="1"/>
  <c r="N34" i="9"/>
  <c r="Q34" i="9" s="1"/>
  <c r="S34" i="9" s="1"/>
  <c r="AP232" i="8"/>
  <c r="AS232" i="8" s="1"/>
  <c r="AU232" i="8" s="1"/>
  <c r="AB338" i="8"/>
  <c r="AE338" i="8" s="1"/>
  <c r="AG338" i="8" s="1"/>
  <c r="AP275" i="10"/>
  <c r="AS275" i="10" s="1"/>
  <c r="AU275" i="10" s="1"/>
  <c r="AV275" i="10" s="1"/>
  <c r="AY275" i="10" s="1"/>
  <c r="AP291" i="10"/>
  <c r="AS291" i="10" s="1"/>
  <c r="AU291" i="10" s="1"/>
  <c r="AB321" i="10"/>
  <c r="AE321" i="10" s="1"/>
  <c r="AG321" i="10" s="1"/>
  <c r="AP295" i="10"/>
  <c r="AS295" i="10" s="1"/>
  <c r="AU295" i="10" s="1"/>
  <c r="AV295" i="10" s="1"/>
  <c r="AY295" i="10" s="1"/>
  <c r="N32" i="9"/>
  <c r="Q32" i="9" s="1"/>
  <c r="S32" i="9" s="1"/>
  <c r="AP183" i="10"/>
  <c r="AS183" i="10" s="1"/>
  <c r="AU183" i="10" s="1"/>
  <c r="AP154" i="8"/>
  <c r="AS154" i="8" s="1"/>
  <c r="AU154" i="8" s="1"/>
  <c r="AP227" i="8"/>
  <c r="AS227" i="8" s="1"/>
  <c r="AU227" i="8" s="1"/>
  <c r="AP274" i="10"/>
  <c r="AS274" i="10" s="1"/>
  <c r="AU274" i="10" s="1"/>
  <c r="AB85" i="8"/>
  <c r="AE85" i="8" s="1"/>
  <c r="AG85" i="8" s="1"/>
  <c r="AH85" i="8" s="1"/>
  <c r="N278" i="10"/>
  <c r="Q278" i="10" s="1"/>
  <c r="S278" i="10" s="1"/>
  <c r="AC360" i="6"/>
  <c r="AB165" i="9"/>
  <c r="AE165" i="9" s="1"/>
  <c r="AG165" i="9" s="1"/>
  <c r="AH165" i="9" s="1"/>
  <c r="AB401" i="9"/>
  <c r="AE401" i="9" s="1"/>
  <c r="AG401" i="9" s="1"/>
  <c r="N397" i="10"/>
  <c r="Q397" i="10" s="1"/>
  <c r="S397" i="10" s="1"/>
  <c r="AB391" i="8"/>
  <c r="AE391" i="8" s="1"/>
  <c r="AG391" i="8" s="1"/>
  <c r="AP57" i="9"/>
  <c r="AS57" i="9" s="1"/>
  <c r="AU57" i="9" s="1"/>
  <c r="N347" i="10"/>
  <c r="Q347" i="10" s="1"/>
  <c r="S347" i="10" s="1"/>
  <c r="N302" i="10"/>
  <c r="Q302" i="10" s="1"/>
  <c r="S302" i="10" s="1"/>
  <c r="AD315" i="9"/>
  <c r="AJ315" i="9"/>
  <c r="AI315" i="9"/>
  <c r="AM316" i="9" s="1"/>
  <c r="AQ316" i="9" s="1"/>
  <c r="AL315" i="9"/>
  <c r="AB188" i="9"/>
  <c r="AE188" i="9" s="1"/>
  <c r="AG188" i="9" s="1"/>
  <c r="AP158" i="10"/>
  <c r="AS158" i="10" s="1"/>
  <c r="AU158" i="10" s="1"/>
  <c r="AP29" i="8"/>
  <c r="AS29" i="8" s="1"/>
  <c r="AU29" i="8" s="1"/>
  <c r="AP379" i="10"/>
  <c r="AS379" i="10" s="1"/>
  <c r="AU379" i="10" s="1"/>
  <c r="N151" i="9"/>
  <c r="Q151" i="9" s="1"/>
  <c r="S151" i="9" s="1"/>
  <c r="AB235" i="10"/>
  <c r="AE235" i="10" s="1"/>
  <c r="AG235" i="10" s="1"/>
  <c r="AH235" i="10" s="1"/>
  <c r="AP262" i="8"/>
  <c r="AS262" i="8" s="1"/>
  <c r="AU262" i="8" s="1"/>
  <c r="N211" i="10"/>
  <c r="Q211" i="10" s="1"/>
  <c r="S211" i="10" s="1"/>
  <c r="N356" i="9"/>
  <c r="Q356" i="9" s="1"/>
  <c r="S356" i="9" s="1"/>
  <c r="AB408" i="8"/>
  <c r="AE408" i="8" s="1"/>
  <c r="AG408" i="8" s="1"/>
  <c r="N55" i="8"/>
  <c r="Q55" i="8" s="1"/>
  <c r="S55" i="8" s="1"/>
  <c r="T55" i="8" s="1"/>
  <c r="AZ45" i="10"/>
  <c r="AR45" i="10"/>
  <c r="AW45" i="10"/>
  <c r="AX45" i="10"/>
  <c r="AP325" i="8"/>
  <c r="AS325" i="8" s="1"/>
  <c r="AU325" i="8" s="1"/>
  <c r="AV325" i="8" s="1"/>
  <c r="AY325" i="8" s="1"/>
  <c r="N379" i="8"/>
  <c r="Q379" i="8" s="1"/>
  <c r="S379" i="8" s="1"/>
  <c r="N195" i="9"/>
  <c r="Q195" i="9" s="1"/>
  <c r="S195" i="9" s="1"/>
  <c r="T195" i="9" s="1"/>
  <c r="AP56" i="8"/>
  <c r="AS56" i="8" s="1"/>
  <c r="AU56" i="8" s="1"/>
  <c r="AP169" i="9"/>
  <c r="AS169" i="9" s="1"/>
  <c r="AU169" i="9" s="1"/>
  <c r="AB166" i="8"/>
  <c r="AE166" i="8" s="1"/>
  <c r="AG166" i="8" s="1"/>
  <c r="AP321" i="8"/>
  <c r="AS321" i="8" s="1"/>
  <c r="AU321" i="8" s="1"/>
  <c r="AB30" i="8"/>
  <c r="AE30" i="8" s="1"/>
  <c r="AG30" i="8" s="1"/>
  <c r="AH30" i="8" s="1"/>
  <c r="AB42" i="9"/>
  <c r="AE42" i="9" s="1"/>
  <c r="AG42" i="9" s="1"/>
  <c r="N34" i="8"/>
  <c r="Q34" i="8" s="1"/>
  <c r="S34" i="8" s="1"/>
  <c r="AB343" i="8"/>
  <c r="AE343" i="8" s="1"/>
  <c r="AG343" i="8" s="1"/>
  <c r="N406" i="10"/>
  <c r="Q406" i="10" s="1"/>
  <c r="S406" i="10" s="1"/>
  <c r="N87" i="10"/>
  <c r="Q87" i="10" s="1"/>
  <c r="S87" i="10" s="1"/>
  <c r="AB83" i="8"/>
  <c r="AE83" i="8" s="1"/>
  <c r="AG83" i="8" s="1"/>
  <c r="AB371" i="9"/>
  <c r="AE371" i="9" s="1"/>
  <c r="AG371" i="9" s="1"/>
  <c r="N272" i="8"/>
  <c r="Q272" i="8" s="1"/>
  <c r="S272" i="8" s="1"/>
  <c r="AP176" i="9"/>
  <c r="AS176" i="9" s="1"/>
  <c r="AU176" i="9" s="1"/>
  <c r="AB313" i="9"/>
  <c r="AE313" i="9" s="1"/>
  <c r="AG313" i="9" s="1"/>
  <c r="AB298" i="10"/>
  <c r="AE298" i="10" s="1"/>
  <c r="AG298" i="10" s="1"/>
  <c r="AB423" i="10"/>
  <c r="AE423" i="10" s="1"/>
  <c r="AG423" i="10" s="1"/>
  <c r="X295" i="10"/>
  <c r="P295" i="10"/>
  <c r="V295" i="10"/>
  <c r="U295" i="10"/>
  <c r="Y296" i="10" s="1"/>
  <c r="AC296" i="10" s="1"/>
  <c r="P80" i="10"/>
  <c r="V80" i="10"/>
  <c r="U80" i="10"/>
  <c r="Y81" i="10" s="1"/>
  <c r="AC81" i="10" s="1"/>
  <c r="AD81" i="10" s="1"/>
  <c r="X80" i="10"/>
  <c r="AP218" i="9"/>
  <c r="AS218" i="9" s="1"/>
  <c r="AU218" i="9" s="1"/>
  <c r="AB376" i="9"/>
  <c r="AE376" i="9" s="1"/>
  <c r="AG376" i="9" s="1"/>
  <c r="AP61" i="9"/>
  <c r="AS61" i="9" s="1"/>
  <c r="AU61" i="9" s="1"/>
  <c r="N65" i="10"/>
  <c r="Q65" i="10" s="1"/>
  <c r="S65" i="10" s="1"/>
  <c r="T65" i="10" s="1"/>
  <c r="N174" i="8"/>
  <c r="Q174" i="8" s="1"/>
  <c r="S174" i="8" s="1"/>
  <c r="AB362" i="8"/>
  <c r="AE362" i="8" s="1"/>
  <c r="AG362" i="8" s="1"/>
  <c r="AP364" i="8"/>
  <c r="AS364" i="8" s="1"/>
  <c r="AU364" i="8" s="1"/>
  <c r="AB254" i="9"/>
  <c r="AE254" i="9" s="1"/>
  <c r="AG254" i="9" s="1"/>
  <c r="N272" i="10"/>
  <c r="Q272" i="10" s="1"/>
  <c r="S272" i="10" s="1"/>
  <c r="AC371" i="6"/>
  <c r="AB290" i="8"/>
  <c r="AE290" i="8" s="1"/>
  <c r="AG290" i="8" s="1"/>
  <c r="AH290" i="8" s="1"/>
  <c r="AB51" i="8"/>
  <c r="AE51" i="8" s="1"/>
  <c r="AG51" i="8" s="1"/>
  <c r="N242" i="8"/>
  <c r="Q242" i="8" s="1"/>
  <c r="S242" i="8" s="1"/>
  <c r="N99" i="8"/>
  <c r="Q99" i="8" s="1"/>
  <c r="S99" i="8" s="1"/>
  <c r="N259" i="8"/>
  <c r="Q259" i="8" s="1"/>
  <c r="S259" i="8" s="1"/>
  <c r="N94" i="8"/>
  <c r="Q94" i="8" s="1"/>
  <c r="S94" i="8" s="1"/>
  <c r="N379" i="9"/>
  <c r="Q379" i="9" s="1"/>
  <c r="S379" i="9" s="1"/>
  <c r="AP370" i="9"/>
  <c r="AS370" i="9" s="1"/>
  <c r="AU370" i="9" s="1"/>
  <c r="AV370" i="9" s="1"/>
  <c r="AY370" i="9" s="1"/>
  <c r="N131" i="10"/>
  <c r="Q131" i="10" s="1"/>
  <c r="S131" i="10" s="1"/>
  <c r="AB242" i="9"/>
  <c r="AE242" i="9" s="1"/>
  <c r="AG242" i="9" s="1"/>
  <c r="AB99" i="9"/>
  <c r="AE99" i="9" s="1"/>
  <c r="AG99" i="9" s="1"/>
  <c r="AL345" i="10"/>
  <c r="AD345" i="10"/>
  <c r="AJ345" i="10"/>
  <c r="AI345" i="10"/>
  <c r="AM346" i="10" s="1"/>
  <c r="AQ346" i="10" s="1"/>
  <c r="AR346" i="10" s="1"/>
  <c r="AP161" i="8"/>
  <c r="AS161" i="8" s="1"/>
  <c r="AU161" i="8" s="1"/>
  <c r="U335" i="9"/>
  <c r="Y336" i="9" s="1"/>
  <c r="AC336" i="9" s="1"/>
  <c r="AD336" i="9" s="1"/>
  <c r="X335" i="9"/>
  <c r="P335" i="9"/>
  <c r="V335" i="9"/>
  <c r="AP349" i="8"/>
  <c r="AS349" i="8" s="1"/>
  <c r="AU349" i="8" s="1"/>
  <c r="AB102" i="8"/>
  <c r="AE102" i="8" s="1"/>
  <c r="AG102" i="8" s="1"/>
  <c r="AB296" i="10"/>
  <c r="AE296" i="10" s="1"/>
  <c r="AG296" i="10" s="1"/>
  <c r="AB78" i="10"/>
  <c r="AE78" i="10" s="1"/>
  <c r="AG78" i="10" s="1"/>
  <c r="AP269" i="10"/>
  <c r="AS269" i="10" s="1"/>
  <c r="AU269" i="10" s="1"/>
  <c r="AC388" i="6"/>
  <c r="N53" i="8"/>
  <c r="Q53" i="8" s="1"/>
  <c r="S53" i="8" s="1"/>
  <c r="AB191" i="10"/>
  <c r="AE191" i="10" s="1"/>
  <c r="AG191" i="10" s="1"/>
  <c r="AP384" i="9"/>
  <c r="AS384" i="9" s="1"/>
  <c r="AU384" i="9" s="1"/>
  <c r="AP409" i="10"/>
  <c r="AS409" i="10" s="1"/>
  <c r="AU409" i="10" s="1"/>
  <c r="N48" i="9"/>
  <c r="Q48" i="9" s="1"/>
  <c r="S48" i="9" s="1"/>
  <c r="AP184" i="9"/>
  <c r="AS184" i="9" s="1"/>
  <c r="AU184" i="9" s="1"/>
  <c r="AB174" i="8"/>
  <c r="AE174" i="8" s="1"/>
  <c r="AG174" i="8" s="1"/>
  <c r="N32" i="10"/>
  <c r="Q32" i="10" s="1"/>
  <c r="S32" i="10" s="1"/>
  <c r="AP221" i="8"/>
  <c r="AS221" i="8" s="1"/>
  <c r="AU221" i="8" s="1"/>
  <c r="N335" i="10"/>
  <c r="Q335" i="10" s="1"/>
  <c r="S335" i="10" s="1"/>
  <c r="T335" i="10" s="1"/>
  <c r="AB269" i="8"/>
  <c r="AE269" i="8" s="1"/>
  <c r="AG269" i="8" s="1"/>
  <c r="AB381" i="8"/>
  <c r="AE381" i="8" s="1"/>
  <c r="AG381" i="8" s="1"/>
  <c r="N82" i="10"/>
  <c r="Q82" i="10" s="1"/>
  <c r="S82" i="10" s="1"/>
  <c r="AB280" i="9"/>
  <c r="AE280" i="9" s="1"/>
  <c r="AG280" i="9" s="1"/>
  <c r="AH280" i="9" s="1"/>
  <c r="AB305" i="8"/>
  <c r="AE305" i="8" s="1"/>
  <c r="AG305" i="8" s="1"/>
  <c r="AH305" i="8" s="1"/>
  <c r="AP413" i="8"/>
  <c r="AS413" i="8" s="1"/>
  <c r="AU413" i="8" s="1"/>
  <c r="AB404" i="10"/>
  <c r="AE404" i="10" s="1"/>
  <c r="AG404" i="10" s="1"/>
  <c r="AC400" i="6"/>
  <c r="AP139" i="10"/>
  <c r="AS139" i="10" s="1"/>
  <c r="AU139" i="10" s="1"/>
  <c r="AP396" i="10"/>
  <c r="AS396" i="10" s="1"/>
  <c r="AU396" i="10" s="1"/>
  <c r="N167" i="10"/>
  <c r="Q167" i="10" s="1"/>
  <c r="S167" i="10" s="1"/>
  <c r="AB326" i="9"/>
  <c r="AE326" i="9" s="1"/>
  <c r="AG326" i="9" s="1"/>
  <c r="N115" i="10"/>
  <c r="Q115" i="10" s="1"/>
  <c r="S115" i="10" s="1"/>
  <c r="T115" i="10" s="1"/>
  <c r="N113" i="9"/>
  <c r="Q113" i="9" s="1"/>
  <c r="S113" i="9" s="1"/>
  <c r="AB405" i="10"/>
  <c r="AE405" i="10" s="1"/>
  <c r="AG405" i="10" s="1"/>
  <c r="AH405" i="10" s="1"/>
  <c r="AP406" i="10"/>
  <c r="AS406" i="10" s="1"/>
  <c r="AU406" i="10" s="1"/>
  <c r="AP127" i="10"/>
  <c r="AS127" i="10" s="1"/>
  <c r="AU127" i="10" s="1"/>
  <c r="N263" i="9"/>
  <c r="Q263" i="9" s="1"/>
  <c r="S263" i="9" s="1"/>
  <c r="AP237" i="8"/>
  <c r="AS237" i="8" s="1"/>
  <c r="AU237" i="8" s="1"/>
  <c r="N230" i="8"/>
  <c r="Q230" i="8" s="1"/>
  <c r="S230" i="8" s="1"/>
  <c r="T230" i="8" s="1"/>
  <c r="N261" i="8"/>
  <c r="Q261" i="8" s="1"/>
  <c r="S261" i="8" s="1"/>
  <c r="AB162" i="8"/>
  <c r="AE162" i="8" s="1"/>
  <c r="AG162" i="8" s="1"/>
  <c r="AB416" i="10"/>
  <c r="AE416" i="10" s="1"/>
  <c r="AG416" i="10" s="1"/>
  <c r="AP114" i="8"/>
  <c r="AS114" i="8" s="1"/>
  <c r="AU114" i="8" s="1"/>
  <c r="AP413" i="10"/>
  <c r="AS413" i="10" s="1"/>
  <c r="AU413" i="10" s="1"/>
  <c r="AR160" i="9"/>
  <c r="AW160" i="9"/>
  <c r="AZ160" i="9"/>
  <c r="AX160" i="9"/>
  <c r="AP331" i="10"/>
  <c r="AS331" i="10" s="1"/>
  <c r="AU331" i="10" s="1"/>
  <c r="N241" i="9"/>
  <c r="Q241" i="9" s="1"/>
  <c r="S241" i="9" s="1"/>
  <c r="N232" i="10"/>
  <c r="Q232" i="10" s="1"/>
  <c r="S232" i="10" s="1"/>
  <c r="AB103" i="8"/>
  <c r="AE103" i="8" s="1"/>
  <c r="AG103" i="8" s="1"/>
  <c r="N147" i="10"/>
  <c r="Q147" i="10" s="1"/>
  <c r="S147" i="10" s="1"/>
  <c r="AB97" i="9"/>
  <c r="AE97" i="9" s="1"/>
  <c r="AG97" i="9" s="1"/>
  <c r="N378" i="9"/>
  <c r="Q378" i="9" s="1"/>
  <c r="S378" i="9" s="1"/>
  <c r="AB207" i="10"/>
  <c r="AE207" i="10" s="1"/>
  <c r="AG207" i="10" s="1"/>
  <c r="N347" i="8"/>
  <c r="Q347" i="8" s="1"/>
  <c r="S347" i="8" s="1"/>
  <c r="N253" i="9"/>
  <c r="Q253" i="9" s="1"/>
  <c r="S253" i="9" s="1"/>
  <c r="N298" i="10"/>
  <c r="Q298" i="10" s="1"/>
  <c r="S298" i="10" s="1"/>
  <c r="N423" i="8"/>
  <c r="Q423" i="8" s="1"/>
  <c r="S423" i="8" s="1"/>
  <c r="AZ175" i="10"/>
  <c r="AX175" i="10"/>
  <c r="AP77" i="9"/>
  <c r="AS77" i="9" s="1"/>
  <c r="AU77" i="9" s="1"/>
  <c r="N398" i="8"/>
  <c r="Q398" i="8" s="1"/>
  <c r="S398" i="8" s="1"/>
  <c r="N389" i="10"/>
  <c r="Q389" i="10" s="1"/>
  <c r="S389" i="10" s="1"/>
  <c r="AZ150" i="10"/>
  <c r="AR150" i="10"/>
  <c r="AX150" i="10"/>
  <c r="AW150" i="10"/>
  <c r="AB235" i="8"/>
  <c r="AE235" i="8" s="1"/>
  <c r="AG235" i="8" s="1"/>
  <c r="AH235" i="8" s="1"/>
  <c r="AB243" i="8"/>
  <c r="AE243" i="8" s="1"/>
  <c r="AG243" i="8" s="1"/>
  <c r="AB273" i="8"/>
  <c r="AE273" i="8" s="1"/>
  <c r="AG273" i="8" s="1"/>
  <c r="AB394" i="9"/>
  <c r="AE394" i="9" s="1"/>
  <c r="AG394" i="9" s="1"/>
  <c r="AP105" i="10"/>
  <c r="AS105" i="10" s="1"/>
  <c r="AU105" i="10" s="1"/>
  <c r="AV105" i="10" s="1"/>
  <c r="AY105" i="10" s="1"/>
  <c r="AB159" i="8"/>
  <c r="AE159" i="8" s="1"/>
  <c r="AG159" i="8" s="1"/>
  <c r="AP250" i="9"/>
  <c r="AS250" i="9" s="1"/>
  <c r="AU250" i="9" s="1"/>
  <c r="AV250" i="9" s="1"/>
  <c r="AY250" i="9" s="1"/>
  <c r="AB335" i="10"/>
  <c r="AE335" i="10" s="1"/>
  <c r="AG335" i="10" s="1"/>
  <c r="AH335" i="10" s="1"/>
  <c r="AB131" i="9"/>
  <c r="AE131" i="9" s="1"/>
  <c r="AG131" i="9" s="1"/>
  <c r="N184" i="10"/>
  <c r="Q184" i="10" s="1"/>
  <c r="S184" i="10" s="1"/>
  <c r="N95" i="10"/>
  <c r="Q95" i="10" s="1"/>
  <c r="S95" i="10" s="1"/>
  <c r="T95" i="10" s="1"/>
  <c r="AP85" i="9"/>
  <c r="AS85" i="9" s="1"/>
  <c r="AU85" i="9" s="1"/>
  <c r="AV85" i="9" s="1"/>
  <c r="AY85" i="9" s="1"/>
  <c r="AP381" i="8"/>
  <c r="AS381" i="8" s="1"/>
  <c r="AU381" i="8" s="1"/>
  <c r="N251" i="9"/>
  <c r="Q251" i="9" s="1"/>
  <c r="S251" i="9" s="1"/>
  <c r="N309" i="10"/>
  <c r="Q309" i="10" s="1"/>
  <c r="S309" i="10" s="1"/>
  <c r="AP363" i="8"/>
  <c r="AS363" i="8" s="1"/>
  <c r="AU363" i="8" s="1"/>
  <c r="AP239" i="8"/>
  <c r="AS239" i="8" s="1"/>
  <c r="AU239" i="8" s="1"/>
  <c r="N188" i="10"/>
  <c r="Q188" i="10" s="1"/>
  <c r="S188" i="10" s="1"/>
  <c r="AP346" i="9"/>
  <c r="AS346" i="9" s="1"/>
  <c r="AU346" i="9" s="1"/>
  <c r="N424" i="8"/>
  <c r="Q424" i="8" s="1"/>
  <c r="S424" i="8" s="1"/>
  <c r="AB79" i="8"/>
  <c r="AE79" i="8" s="1"/>
  <c r="AG79" i="8" s="1"/>
  <c r="AP189" i="8"/>
  <c r="AS189" i="8" s="1"/>
  <c r="AU189" i="8" s="1"/>
  <c r="N136" i="9"/>
  <c r="Q136" i="9" s="1"/>
  <c r="S136" i="9" s="1"/>
  <c r="AP69" i="9"/>
  <c r="AS69" i="9" s="1"/>
  <c r="AU69" i="9" s="1"/>
  <c r="AB341" i="8"/>
  <c r="AE341" i="8" s="1"/>
  <c r="AG341" i="8" s="1"/>
  <c r="AP90" i="9"/>
  <c r="AS90" i="9" s="1"/>
  <c r="AU90" i="9" s="1"/>
  <c r="AV90" i="9" s="1"/>
  <c r="AY90" i="9" s="1"/>
  <c r="N393" i="10"/>
  <c r="Q393" i="10" s="1"/>
  <c r="S393" i="10" s="1"/>
  <c r="AP323" i="9"/>
  <c r="AS323" i="9" s="1"/>
  <c r="AU323" i="9" s="1"/>
  <c r="AB417" i="10"/>
  <c r="AE417" i="10" s="1"/>
  <c r="AG417" i="10" s="1"/>
  <c r="AB272" i="9"/>
  <c r="AE272" i="9" s="1"/>
  <c r="AG272" i="9" s="1"/>
  <c r="AP103" i="10"/>
  <c r="AS103" i="10" s="1"/>
  <c r="AU103" i="10" s="1"/>
  <c r="AP394" i="9"/>
  <c r="AS394" i="9" s="1"/>
  <c r="AU394" i="9" s="1"/>
  <c r="N48" i="10"/>
  <c r="Q48" i="10" s="1"/>
  <c r="S48" i="10" s="1"/>
  <c r="AB95" i="10"/>
  <c r="AE95" i="10" s="1"/>
  <c r="AG95" i="10" s="1"/>
  <c r="AH95" i="10" s="1"/>
  <c r="N63" i="10"/>
  <c r="Q63" i="10" s="1"/>
  <c r="S63" i="10" s="1"/>
  <c r="AB310" i="10"/>
  <c r="AE310" i="10" s="1"/>
  <c r="AG310" i="10" s="1"/>
  <c r="AH310" i="10" s="1"/>
  <c r="AP89" i="8"/>
  <c r="AS89" i="8" s="1"/>
  <c r="AU89" i="8" s="1"/>
  <c r="N69" i="8"/>
  <c r="Q69" i="8" s="1"/>
  <c r="S69" i="8" s="1"/>
  <c r="AB119" i="10"/>
  <c r="AE119" i="10" s="1"/>
  <c r="AG119" i="10" s="1"/>
  <c r="AB293" i="9"/>
  <c r="AE293" i="9" s="1"/>
  <c r="AG293" i="9" s="1"/>
  <c r="AB366" i="9"/>
  <c r="AE366" i="9" s="1"/>
  <c r="AG366" i="9" s="1"/>
  <c r="N414" i="9"/>
  <c r="Q414" i="9" s="1"/>
  <c r="S414" i="9" s="1"/>
  <c r="AP198" i="9"/>
  <c r="AS198" i="9" s="1"/>
  <c r="AU198" i="9" s="1"/>
  <c r="AB161" i="9"/>
  <c r="AE161" i="9" s="1"/>
  <c r="AG161" i="9" s="1"/>
  <c r="X240" i="10"/>
  <c r="P240" i="10"/>
  <c r="V240" i="10"/>
  <c r="U240" i="10"/>
  <c r="Y241" i="10" s="1"/>
  <c r="AC241" i="10" s="1"/>
  <c r="AD241" i="10" s="1"/>
  <c r="V125" i="9"/>
  <c r="U125" i="9"/>
  <c r="Y126" i="9" s="1"/>
  <c r="AC126" i="9" s="1"/>
  <c r="AD126" i="9" s="1"/>
  <c r="P125" i="9"/>
  <c r="X125" i="9"/>
  <c r="AB415" i="9"/>
  <c r="AE415" i="9" s="1"/>
  <c r="AG415" i="9" s="1"/>
  <c r="AH415" i="9" s="1"/>
  <c r="Y415" i="9"/>
  <c r="AC415" i="9" s="1"/>
  <c r="AJ245" i="10"/>
  <c r="AL245" i="10"/>
  <c r="AD245" i="10"/>
  <c r="AI245" i="10"/>
  <c r="AM246" i="10" s="1"/>
  <c r="AQ246" i="10" s="1"/>
  <c r="AR246" i="10" s="1"/>
  <c r="AT246" i="10" s="1"/>
  <c r="AR240" i="10"/>
  <c r="AZ240" i="10"/>
  <c r="AW240" i="10"/>
  <c r="AX240" i="10"/>
  <c r="N399" i="10"/>
  <c r="Q399" i="10" s="1"/>
  <c r="S399" i="10" s="1"/>
  <c r="N407" i="10"/>
  <c r="Q407" i="10" s="1"/>
  <c r="S407" i="10" s="1"/>
  <c r="AK185" i="10"/>
  <c r="AR310" i="9"/>
  <c r="AW310" i="9"/>
  <c r="AX310" i="9"/>
  <c r="AZ310" i="9"/>
  <c r="AK365" i="9"/>
  <c r="AT366" i="9"/>
  <c r="U190" i="9"/>
  <c r="Y191" i="9" s="1"/>
  <c r="AC191" i="9" s="1"/>
  <c r="AD191" i="9" s="1"/>
  <c r="X190" i="9"/>
  <c r="P190" i="9"/>
  <c r="V190" i="9"/>
  <c r="AP402" i="10"/>
  <c r="AS402" i="10" s="1"/>
  <c r="AU402" i="10" s="1"/>
  <c r="AL175" i="9"/>
  <c r="AD175" i="9"/>
  <c r="AJ175" i="9"/>
  <c r="AI175" i="9"/>
  <c r="AM176" i="9" s="1"/>
  <c r="AQ176" i="9" s="1"/>
  <c r="P390" i="10"/>
  <c r="X390" i="10"/>
  <c r="U390" i="10"/>
  <c r="Y391" i="10" s="1"/>
  <c r="AC391" i="10" s="1"/>
  <c r="V390" i="10"/>
  <c r="P110" i="9"/>
  <c r="V110" i="9"/>
  <c r="X110" i="9"/>
  <c r="U110" i="9"/>
  <c r="Y111" i="9" s="1"/>
  <c r="AC111" i="9" s="1"/>
  <c r="N391" i="10"/>
  <c r="Q391" i="10" s="1"/>
  <c r="S391" i="10" s="1"/>
  <c r="AD45" i="9"/>
  <c r="AJ45" i="9"/>
  <c r="AI45" i="9"/>
  <c r="AM46" i="9" s="1"/>
  <c r="AQ46" i="9" s="1"/>
  <c r="AL45" i="9"/>
  <c r="AD205" i="9"/>
  <c r="AL205" i="9"/>
  <c r="AJ205" i="9"/>
  <c r="AI205" i="9"/>
  <c r="AM206" i="9" s="1"/>
  <c r="AQ206" i="9" s="1"/>
  <c r="AR206" i="9" s="1"/>
  <c r="AT206" i="9" s="1"/>
  <c r="AD385" i="9"/>
  <c r="AJ385" i="9"/>
  <c r="AL385" i="9"/>
  <c r="AI385" i="9"/>
  <c r="AM386" i="9" s="1"/>
  <c r="AQ386" i="9" s="1"/>
  <c r="AR386" i="9" s="1"/>
  <c r="AT386" i="9" s="1"/>
  <c r="AI75" i="9"/>
  <c r="AM76" i="9" s="1"/>
  <c r="AQ76" i="9" s="1"/>
  <c r="AR76" i="9" s="1"/>
  <c r="AT76" i="9" s="1"/>
  <c r="AD75" i="9"/>
  <c r="AJ75" i="9"/>
  <c r="AL75" i="9"/>
  <c r="AB415" i="10"/>
  <c r="AE415" i="10" s="1"/>
  <c r="AG415" i="10" s="1"/>
  <c r="AH415" i="10" s="1"/>
  <c r="Y415" i="10"/>
  <c r="AC415" i="10" s="1"/>
  <c r="AR215" i="10"/>
  <c r="AX215" i="10"/>
  <c r="AW215" i="10"/>
  <c r="AZ215" i="10"/>
  <c r="AB399" i="10"/>
  <c r="AE399" i="10" s="1"/>
  <c r="AG399" i="10" s="1"/>
  <c r="P130" i="10"/>
  <c r="V130" i="10"/>
  <c r="U130" i="10"/>
  <c r="Y131" i="10" s="1"/>
  <c r="AC131" i="10" s="1"/>
  <c r="AD131" i="10" s="1"/>
  <c r="AF131" i="10" s="1"/>
  <c r="X130" i="10"/>
  <c r="AD170" i="9"/>
  <c r="AL170" i="9"/>
  <c r="AI170" i="9"/>
  <c r="AM171" i="9" s="1"/>
  <c r="AQ171" i="9" s="1"/>
  <c r="AR171" i="9" s="1"/>
  <c r="AT171" i="9" s="1"/>
  <c r="AJ170" i="9"/>
  <c r="AP407" i="10"/>
  <c r="AS407" i="10" s="1"/>
  <c r="AU407" i="10" s="1"/>
  <c r="P55" i="10"/>
  <c r="U55" i="10"/>
  <c r="Y56" i="10" s="1"/>
  <c r="AC56" i="10" s="1"/>
  <c r="AD56" i="10" s="1"/>
  <c r="AF56" i="10" s="1"/>
  <c r="V55" i="10"/>
  <c r="X55" i="10"/>
  <c r="AI185" i="10"/>
  <c r="AM186" i="10" s="1"/>
  <c r="AQ186" i="10" s="1"/>
  <c r="AL185" i="10"/>
  <c r="AD185" i="10"/>
  <c r="AJ185" i="10"/>
  <c r="AR205" i="10"/>
  <c r="AX205" i="10"/>
  <c r="AW205" i="10"/>
  <c r="AZ205" i="10"/>
  <c r="AR75" i="9"/>
  <c r="AW75" i="9"/>
  <c r="AZ75" i="9"/>
  <c r="AX75" i="9"/>
  <c r="AL150" i="10"/>
  <c r="AD150" i="10"/>
  <c r="AJ150" i="10"/>
  <c r="AI150" i="10"/>
  <c r="AM151" i="10" s="1"/>
  <c r="AQ151" i="10" s="1"/>
  <c r="AR410" i="10"/>
  <c r="AZ410" i="10"/>
  <c r="AX410" i="10"/>
  <c r="AW410" i="10"/>
  <c r="AR320" i="9"/>
  <c r="AZ195" i="10"/>
  <c r="AR195" i="10"/>
  <c r="AX195" i="10"/>
  <c r="AW195" i="10"/>
  <c r="AW355" i="9"/>
  <c r="AZ355" i="9"/>
  <c r="AR355" i="9"/>
  <c r="AX355" i="9"/>
  <c r="N53" i="9"/>
  <c r="Q53" i="9" s="1"/>
  <c r="S53" i="9" s="1"/>
  <c r="N410" i="10"/>
  <c r="Q410" i="10" s="1"/>
  <c r="S410" i="10" s="1"/>
  <c r="T410" i="10" s="1"/>
  <c r="AB221" i="9"/>
  <c r="AE221" i="9" s="1"/>
  <c r="AG221" i="9" s="1"/>
  <c r="AP360" i="9"/>
  <c r="AS360" i="9" s="1"/>
  <c r="AU360" i="9" s="1"/>
  <c r="AV360" i="9" s="1"/>
  <c r="AY360" i="9" s="1"/>
  <c r="AB128" i="8"/>
  <c r="AE128" i="8" s="1"/>
  <c r="AG128" i="8" s="1"/>
  <c r="AB78" i="9"/>
  <c r="AE78" i="9" s="1"/>
  <c r="AG78" i="9" s="1"/>
  <c r="N392" i="8"/>
  <c r="Q392" i="8" s="1"/>
  <c r="S392" i="8" s="1"/>
  <c r="AB259" i="9"/>
  <c r="AE259" i="9" s="1"/>
  <c r="AG259" i="9" s="1"/>
  <c r="N396" i="8"/>
  <c r="Q396" i="8" s="1"/>
  <c r="S396" i="8" s="1"/>
  <c r="N375" i="9"/>
  <c r="Q375" i="9" s="1"/>
  <c r="S375" i="9" s="1"/>
  <c r="T375" i="9" s="1"/>
  <c r="AB67" i="8"/>
  <c r="AE67" i="8" s="1"/>
  <c r="AG67" i="8" s="1"/>
  <c r="AC367" i="6"/>
  <c r="AP112" i="8"/>
  <c r="AS112" i="8" s="1"/>
  <c r="AU112" i="8" s="1"/>
  <c r="N229" i="8"/>
  <c r="Q229" i="8" s="1"/>
  <c r="S229" i="8" s="1"/>
  <c r="AB406" i="9"/>
  <c r="AE406" i="9" s="1"/>
  <c r="AG406" i="9" s="1"/>
  <c r="AJ185" i="9"/>
  <c r="AI185" i="9"/>
  <c r="AM186" i="9" s="1"/>
  <c r="AQ186" i="9" s="1"/>
  <c r="AR186" i="9" s="1"/>
  <c r="AT186" i="9" s="1"/>
  <c r="AD185" i="9"/>
  <c r="AL185" i="9"/>
  <c r="AP159" i="9"/>
  <c r="AS159" i="9" s="1"/>
  <c r="AU159" i="9" s="1"/>
  <c r="N248" i="9"/>
  <c r="Q248" i="9" s="1"/>
  <c r="S248" i="9" s="1"/>
  <c r="N149" i="8"/>
  <c r="Q149" i="8" s="1"/>
  <c r="S149" i="8" s="1"/>
  <c r="N214" i="9"/>
  <c r="Q214" i="9" s="1"/>
  <c r="S214" i="9" s="1"/>
  <c r="N97" i="8"/>
  <c r="Q97" i="8" s="1"/>
  <c r="S97" i="8" s="1"/>
  <c r="AB318" i="9"/>
  <c r="AE318" i="9" s="1"/>
  <c r="AG318" i="9" s="1"/>
  <c r="AB267" i="8"/>
  <c r="AE267" i="8" s="1"/>
  <c r="AG267" i="8" s="1"/>
  <c r="N275" i="9"/>
  <c r="Q275" i="9" s="1"/>
  <c r="S275" i="9" s="1"/>
  <c r="T275" i="9" s="1"/>
  <c r="N402" i="10"/>
  <c r="Q402" i="10" s="1"/>
  <c r="S402" i="10" s="1"/>
  <c r="AP64" i="9"/>
  <c r="AS64" i="9" s="1"/>
  <c r="AU64" i="9" s="1"/>
  <c r="V295" i="9"/>
  <c r="U295" i="9"/>
  <c r="Y296" i="9" s="1"/>
  <c r="AC296" i="9" s="1"/>
  <c r="P295" i="9"/>
  <c r="X295" i="9"/>
  <c r="AP307" i="9"/>
  <c r="AS307" i="9" s="1"/>
  <c r="AU307" i="9" s="1"/>
  <c r="AP337" i="9"/>
  <c r="AS337" i="9" s="1"/>
  <c r="AU337" i="9" s="1"/>
  <c r="AB34" i="9"/>
  <c r="AE34" i="9" s="1"/>
  <c r="AG34" i="9" s="1"/>
  <c r="AP318" i="8"/>
  <c r="AS318" i="8" s="1"/>
  <c r="AU318" i="8" s="1"/>
  <c r="AB184" i="8"/>
  <c r="AE184" i="8" s="1"/>
  <c r="AG184" i="8" s="1"/>
  <c r="AB197" i="8"/>
  <c r="AE197" i="8" s="1"/>
  <c r="AG197" i="8" s="1"/>
  <c r="AP302" i="8"/>
  <c r="AS302" i="8" s="1"/>
  <c r="AU302" i="8" s="1"/>
  <c r="K415" i="8"/>
  <c r="N415" i="8"/>
  <c r="Q415" i="8" s="1"/>
  <c r="S415" i="8" s="1"/>
  <c r="T415" i="8" s="1"/>
  <c r="AP303" i="8"/>
  <c r="AS303" i="8" s="1"/>
  <c r="AU303" i="8" s="1"/>
  <c r="AP254" i="8"/>
  <c r="AS254" i="8" s="1"/>
  <c r="AU254" i="8" s="1"/>
  <c r="N264" i="10"/>
  <c r="Q264" i="10" s="1"/>
  <c r="S264" i="10" s="1"/>
  <c r="N106" i="9"/>
  <c r="Q106" i="9" s="1"/>
  <c r="S106" i="9" s="1"/>
  <c r="N83" i="10"/>
  <c r="Q83" i="10" s="1"/>
  <c r="S83" i="10" s="1"/>
  <c r="AB201" i="8"/>
  <c r="AE201" i="8" s="1"/>
  <c r="AG201" i="8" s="1"/>
  <c r="N111" i="8"/>
  <c r="Q111" i="8" s="1"/>
  <c r="S111" i="8" s="1"/>
  <c r="N58" i="9"/>
  <c r="Q58" i="9" s="1"/>
  <c r="S58" i="9" s="1"/>
  <c r="AD395" i="10"/>
  <c r="AJ395" i="10"/>
  <c r="AL395" i="10"/>
  <c r="AI395" i="10"/>
  <c r="AM396" i="10" s="1"/>
  <c r="AQ396" i="10" s="1"/>
  <c r="AP48" i="10"/>
  <c r="AS48" i="10" s="1"/>
  <c r="AU48" i="10" s="1"/>
  <c r="AP391" i="10"/>
  <c r="AS391" i="10" s="1"/>
  <c r="AU391" i="10" s="1"/>
  <c r="AP228" i="8"/>
  <c r="AS228" i="8" s="1"/>
  <c r="AU228" i="8" s="1"/>
  <c r="AP227" i="9"/>
  <c r="AS227" i="9" s="1"/>
  <c r="AU227" i="9" s="1"/>
  <c r="AB312" i="8"/>
  <c r="AE312" i="8" s="1"/>
  <c r="AG312" i="8" s="1"/>
  <c r="P400" i="9"/>
  <c r="X400" i="9"/>
  <c r="V400" i="9"/>
  <c r="AP374" i="9"/>
  <c r="AS374" i="9" s="1"/>
  <c r="AU374" i="9" s="1"/>
  <c r="N320" i="9"/>
  <c r="Q320" i="9" s="1"/>
  <c r="S320" i="9" s="1"/>
  <c r="T320" i="9" s="1"/>
  <c r="AP136" i="8"/>
  <c r="AS136" i="8" s="1"/>
  <c r="AU136" i="8" s="1"/>
  <c r="AB342" i="8"/>
  <c r="AE342" i="8" s="1"/>
  <c r="AG342" i="8" s="1"/>
  <c r="AB199" i="10"/>
  <c r="AE199" i="10" s="1"/>
  <c r="AG199" i="10" s="1"/>
  <c r="AB331" i="8"/>
  <c r="AE331" i="8" s="1"/>
  <c r="AG331" i="8" s="1"/>
  <c r="X305" i="9"/>
  <c r="P305" i="9"/>
  <c r="V305" i="9"/>
  <c r="U305" i="9"/>
  <c r="Y306" i="9" s="1"/>
  <c r="AC306" i="9" s="1"/>
  <c r="AD306" i="9" s="1"/>
  <c r="AF306" i="9" s="1"/>
  <c r="AB155" i="8"/>
  <c r="AE155" i="8" s="1"/>
  <c r="AG155" i="8" s="1"/>
  <c r="AH155" i="8" s="1"/>
  <c r="AB387" i="10"/>
  <c r="AE387" i="10" s="1"/>
  <c r="AG387" i="10" s="1"/>
  <c r="N330" i="9"/>
  <c r="Q330" i="9" s="1"/>
  <c r="S330" i="9" s="1"/>
  <c r="T330" i="9" s="1"/>
  <c r="AB306" i="8"/>
  <c r="AE306" i="8" s="1"/>
  <c r="AG306" i="8" s="1"/>
  <c r="N383" i="8"/>
  <c r="Q383" i="8" s="1"/>
  <c r="S383" i="8" s="1"/>
  <c r="N179" i="8"/>
  <c r="Q179" i="8" s="1"/>
  <c r="S179" i="8" s="1"/>
  <c r="AB67" i="10"/>
  <c r="AE67" i="10" s="1"/>
  <c r="AG67" i="10" s="1"/>
  <c r="AB340" i="8"/>
  <c r="AE340" i="8" s="1"/>
  <c r="AG340" i="8" s="1"/>
  <c r="AH340" i="8" s="1"/>
  <c r="AP232" i="9"/>
  <c r="AS232" i="9" s="1"/>
  <c r="AU232" i="9" s="1"/>
  <c r="N407" i="8"/>
  <c r="Q407" i="8" s="1"/>
  <c r="S407" i="8" s="1"/>
  <c r="AP209" i="10"/>
  <c r="AS209" i="10" s="1"/>
  <c r="AU209" i="10" s="1"/>
  <c r="AB371" i="8"/>
  <c r="AE371" i="8" s="1"/>
  <c r="AG371" i="8" s="1"/>
  <c r="N390" i="9"/>
  <c r="Q390" i="9" s="1"/>
  <c r="S390" i="9" s="1"/>
  <c r="T390" i="9" s="1"/>
  <c r="N294" i="8"/>
  <c r="Q294" i="8" s="1"/>
  <c r="S294" i="8" s="1"/>
  <c r="AB375" i="10"/>
  <c r="N59" i="8"/>
  <c r="Q59" i="8" s="1"/>
  <c r="S59" i="8" s="1"/>
  <c r="N299" i="9"/>
  <c r="Q299" i="9" s="1"/>
  <c r="S299" i="9" s="1"/>
  <c r="N307" i="9"/>
  <c r="Q307" i="9" s="1"/>
  <c r="S307" i="9" s="1"/>
  <c r="AP175" i="9"/>
  <c r="AS175" i="9" s="1"/>
  <c r="AU175" i="9" s="1"/>
  <c r="AV175" i="9" s="1"/>
  <c r="AY175" i="9" s="1"/>
  <c r="AB256" i="8"/>
  <c r="AE256" i="8" s="1"/>
  <c r="AG256" i="8" s="1"/>
  <c r="AP34" i="9"/>
  <c r="AS34" i="9" s="1"/>
  <c r="AU34" i="9" s="1"/>
  <c r="AB200" i="9"/>
  <c r="AE200" i="9" s="1"/>
  <c r="AG200" i="9" s="1"/>
  <c r="AH200" i="9" s="1"/>
  <c r="N326" i="10"/>
  <c r="Q326" i="10" s="1"/>
  <c r="S326" i="10" s="1"/>
  <c r="AP389" i="9"/>
  <c r="AS389" i="9" s="1"/>
  <c r="AU389" i="9" s="1"/>
  <c r="AP238" i="10"/>
  <c r="AS238" i="10" s="1"/>
  <c r="AU238" i="10" s="1"/>
  <c r="AB377" i="10"/>
  <c r="AE377" i="10" s="1"/>
  <c r="AG377" i="10" s="1"/>
  <c r="N241" i="10"/>
  <c r="Q241" i="10" s="1"/>
  <c r="S241" i="10" s="1"/>
  <c r="P215" i="9"/>
  <c r="V215" i="9"/>
  <c r="X215" i="9"/>
  <c r="U215" i="9"/>
  <c r="Y216" i="9" s="1"/>
  <c r="AC216" i="9" s="1"/>
  <c r="AB202" i="9"/>
  <c r="AE202" i="9" s="1"/>
  <c r="AG202" i="9" s="1"/>
  <c r="AR265" i="10"/>
  <c r="AX265" i="10"/>
  <c r="AW265" i="10"/>
  <c r="AZ265" i="10"/>
  <c r="AB183" i="10"/>
  <c r="AE183" i="10" s="1"/>
  <c r="AG183" i="10" s="1"/>
  <c r="AP200" i="10"/>
  <c r="AS200" i="10" s="1"/>
  <c r="AU200" i="10" s="1"/>
  <c r="AV200" i="10" s="1"/>
  <c r="AY200" i="10" s="1"/>
  <c r="N395" i="9"/>
  <c r="AP309" i="8"/>
  <c r="AS309" i="8" s="1"/>
  <c r="AU309" i="8" s="1"/>
  <c r="AB106" i="9"/>
  <c r="AE106" i="9" s="1"/>
  <c r="AG106" i="9" s="1"/>
  <c r="AP201" i="8"/>
  <c r="AS201" i="8" s="1"/>
  <c r="AU201" i="8" s="1"/>
  <c r="AB171" i="10"/>
  <c r="AE171" i="10" s="1"/>
  <c r="AG171" i="10" s="1"/>
  <c r="AB311" i="9"/>
  <c r="AE311" i="9" s="1"/>
  <c r="AG311" i="9" s="1"/>
  <c r="AP203" i="8"/>
  <c r="AS203" i="8" s="1"/>
  <c r="AU203" i="8" s="1"/>
  <c r="N363" i="10"/>
  <c r="Q363" i="10" s="1"/>
  <c r="S363" i="10" s="1"/>
  <c r="AB28" i="10"/>
  <c r="AE28" i="10" s="1"/>
  <c r="AG28" i="10" s="1"/>
  <c r="AP288" i="9"/>
  <c r="AS288" i="9" s="1"/>
  <c r="AU288" i="9" s="1"/>
  <c r="N296" i="8"/>
  <c r="Q296" i="8" s="1"/>
  <c r="S296" i="8" s="1"/>
  <c r="N197" i="10"/>
  <c r="Q197" i="10" s="1"/>
  <c r="S197" i="10" s="1"/>
  <c r="N78" i="8"/>
  <c r="Q78" i="8" s="1"/>
  <c r="S78" i="8" s="1"/>
  <c r="AP119" i="9"/>
  <c r="AS119" i="9" s="1"/>
  <c r="AU119" i="9" s="1"/>
  <c r="AP152" i="9"/>
  <c r="AS152" i="9" s="1"/>
  <c r="AU152" i="9" s="1"/>
  <c r="AB293" i="8"/>
  <c r="AE293" i="8" s="1"/>
  <c r="AG293" i="8" s="1"/>
  <c r="AB45" i="8"/>
  <c r="AE45" i="8" s="1"/>
  <c r="AG45" i="8" s="1"/>
  <c r="AH45" i="8" s="1"/>
  <c r="AP87" i="8"/>
  <c r="AS87" i="8" s="1"/>
  <c r="AU87" i="8" s="1"/>
  <c r="AB341" i="9"/>
  <c r="AE341" i="9" s="1"/>
  <c r="AG341" i="9" s="1"/>
  <c r="AP227" i="10"/>
  <c r="AS227" i="10" s="1"/>
  <c r="AU227" i="10" s="1"/>
  <c r="AC372" i="6"/>
  <c r="AP377" i="8"/>
  <c r="AS377" i="8" s="1"/>
  <c r="AU377" i="8" s="1"/>
  <c r="AP45" i="9"/>
  <c r="AS45" i="9" s="1"/>
  <c r="AU45" i="9" s="1"/>
  <c r="AV45" i="9" s="1"/>
  <c r="AY45" i="9" s="1"/>
  <c r="N142" i="9"/>
  <c r="Q142" i="9" s="1"/>
  <c r="S142" i="9" s="1"/>
  <c r="AB96" i="9"/>
  <c r="AE96" i="9" s="1"/>
  <c r="AG96" i="9" s="1"/>
  <c r="N228" i="9"/>
  <c r="Q228" i="9" s="1"/>
  <c r="S228" i="9" s="1"/>
  <c r="AP388" i="9"/>
  <c r="AS388" i="9" s="1"/>
  <c r="AU388" i="9" s="1"/>
  <c r="AB139" i="8"/>
  <c r="AE139" i="8" s="1"/>
  <c r="AG139" i="8" s="1"/>
  <c r="AP304" i="10"/>
  <c r="AS304" i="10" s="1"/>
  <c r="AU304" i="10" s="1"/>
  <c r="Q408" i="9"/>
  <c r="S408" i="9" s="1"/>
  <c r="N408" i="9"/>
  <c r="AB96" i="8"/>
  <c r="AE96" i="8" s="1"/>
  <c r="AG96" i="8" s="1"/>
  <c r="N227" i="10"/>
  <c r="Q227" i="10" s="1"/>
  <c r="S227" i="10" s="1"/>
  <c r="AP111" i="10"/>
  <c r="AS111" i="10" s="1"/>
  <c r="AU111" i="10" s="1"/>
  <c r="AB142" i="9"/>
  <c r="AE142" i="9" s="1"/>
  <c r="AG142" i="9" s="1"/>
  <c r="AB387" i="8"/>
  <c r="AE387" i="8" s="1"/>
  <c r="AG387" i="8" s="1"/>
  <c r="N377" i="9"/>
  <c r="Q377" i="9" s="1"/>
  <c r="S377" i="9" s="1"/>
  <c r="N369" i="9"/>
  <c r="Q369" i="9" s="1"/>
  <c r="S369" i="9" s="1"/>
  <c r="AP345" i="9"/>
  <c r="AS345" i="9" s="1"/>
  <c r="AU345" i="9" s="1"/>
  <c r="AV345" i="9" s="1"/>
  <c r="AY345" i="9" s="1"/>
  <c r="AB94" i="8"/>
  <c r="AE94" i="8" s="1"/>
  <c r="AG94" i="8" s="1"/>
  <c r="AP339" i="10"/>
  <c r="AS339" i="10" s="1"/>
  <c r="AU339" i="10" s="1"/>
  <c r="AB208" i="9"/>
  <c r="AE208" i="9" s="1"/>
  <c r="AG208" i="9" s="1"/>
  <c r="AB414" i="9"/>
  <c r="AE414" i="9" s="1"/>
  <c r="AG414" i="9" s="1"/>
  <c r="AB56" i="8"/>
  <c r="AE56" i="8" s="1"/>
  <c r="AG56" i="8" s="1"/>
  <c r="AB383" i="9"/>
  <c r="AE383" i="9" s="1"/>
  <c r="AG383" i="9" s="1"/>
  <c r="N258" i="9"/>
  <c r="Q258" i="9" s="1"/>
  <c r="S258" i="9" s="1"/>
  <c r="AP420" i="8"/>
  <c r="AS420" i="8" s="1"/>
  <c r="AU420" i="8" s="1"/>
  <c r="AV420" i="8" s="1"/>
  <c r="AY420" i="8" s="1"/>
  <c r="AM420" i="8"/>
  <c r="AB87" i="9"/>
  <c r="AE87" i="9" s="1"/>
  <c r="AG87" i="9" s="1"/>
  <c r="AB317" i="10"/>
  <c r="AE317" i="10" s="1"/>
  <c r="AG317" i="10" s="1"/>
  <c r="AB370" i="10"/>
  <c r="AE370" i="10" s="1"/>
  <c r="AG370" i="10" s="1"/>
  <c r="AH370" i="10" s="1"/>
  <c r="N210" i="9"/>
  <c r="Q210" i="9" s="1"/>
  <c r="S210" i="9" s="1"/>
  <c r="T210" i="9" s="1"/>
  <c r="AP96" i="10"/>
  <c r="AS96" i="10" s="1"/>
  <c r="AU96" i="10" s="1"/>
  <c r="N343" i="8"/>
  <c r="Q343" i="8" s="1"/>
  <c r="S343" i="8" s="1"/>
  <c r="AB237" i="9"/>
  <c r="AE237" i="9" s="1"/>
  <c r="AG237" i="9" s="1"/>
  <c r="AP378" i="8"/>
  <c r="AS378" i="8" s="1"/>
  <c r="AU378" i="8" s="1"/>
  <c r="AP281" i="9"/>
  <c r="AS281" i="9" s="1"/>
  <c r="AU281" i="9" s="1"/>
  <c r="AP258" i="10"/>
  <c r="AS258" i="10" s="1"/>
  <c r="AU258" i="10" s="1"/>
  <c r="AB402" i="8"/>
  <c r="AE402" i="8" s="1"/>
  <c r="AG402" i="8" s="1"/>
  <c r="N340" i="9"/>
  <c r="Q340" i="9" s="1"/>
  <c r="S340" i="9" s="1"/>
  <c r="T340" i="9" s="1"/>
  <c r="AR265" i="9"/>
  <c r="AZ265" i="9"/>
  <c r="AW265" i="9"/>
  <c r="AX265" i="9"/>
  <c r="N210" i="10"/>
  <c r="Q210" i="10" s="1"/>
  <c r="S210" i="10" s="1"/>
  <c r="T210" i="10" s="1"/>
  <c r="AB424" i="10"/>
  <c r="AE424" i="10" s="1"/>
  <c r="AG424" i="10" s="1"/>
  <c r="AP200" i="9"/>
  <c r="AS200" i="9" s="1"/>
  <c r="AU200" i="9" s="1"/>
  <c r="AV200" i="9" s="1"/>
  <c r="AY200" i="9" s="1"/>
  <c r="AB105" i="8"/>
  <c r="AE105" i="8" s="1"/>
  <c r="AG105" i="8" s="1"/>
  <c r="AH105" i="8" s="1"/>
  <c r="AP411" i="8"/>
  <c r="AS411" i="8" s="1"/>
  <c r="AU411" i="8" s="1"/>
  <c r="N238" i="10"/>
  <c r="Q238" i="10" s="1"/>
  <c r="S238" i="10" s="1"/>
  <c r="N219" i="10"/>
  <c r="Q219" i="10" s="1"/>
  <c r="S219" i="10" s="1"/>
  <c r="AB57" i="8"/>
  <c r="AE57" i="8" s="1"/>
  <c r="AG57" i="8" s="1"/>
  <c r="AP202" i="9"/>
  <c r="AS202" i="9" s="1"/>
  <c r="AU202" i="9" s="1"/>
  <c r="N265" i="10"/>
  <c r="Q265" i="10" s="1"/>
  <c r="S265" i="10" s="1"/>
  <c r="T265" i="10" s="1"/>
  <c r="AB218" i="9"/>
  <c r="AE218" i="9" s="1"/>
  <c r="AG218" i="9" s="1"/>
  <c r="AP105" i="9"/>
  <c r="AS105" i="9" s="1"/>
  <c r="AU105" i="9" s="1"/>
  <c r="AV105" i="9" s="1"/>
  <c r="AY105" i="9" s="1"/>
  <c r="AB71" i="9"/>
  <c r="AE71" i="9" s="1"/>
  <c r="AG71" i="9" s="1"/>
  <c r="AP270" i="8"/>
  <c r="AS270" i="8" s="1"/>
  <c r="AU270" i="8" s="1"/>
  <c r="AV270" i="8" s="1"/>
  <c r="AY270" i="8" s="1"/>
  <c r="N352" i="10"/>
  <c r="Q352" i="10" s="1"/>
  <c r="S352" i="10" s="1"/>
  <c r="AP83" i="10"/>
  <c r="AS83" i="10" s="1"/>
  <c r="AU83" i="10" s="1"/>
  <c r="AB141" i="9"/>
  <c r="AE141" i="9" s="1"/>
  <c r="AG141" i="9" s="1"/>
  <c r="AB364" i="8"/>
  <c r="AE364" i="8" s="1"/>
  <c r="AG364" i="8" s="1"/>
  <c r="N400" i="8"/>
  <c r="Q400" i="8" s="1"/>
  <c r="S400" i="8" s="1"/>
  <c r="T400" i="8" s="1"/>
  <c r="N391" i="8"/>
  <c r="Q391" i="8" s="1"/>
  <c r="S391" i="8" s="1"/>
  <c r="AP249" i="8"/>
  <c r="AS249" i="8" s="1"/>
  <c r="AU249" i="8" s="1"/>
  <c r="N257" i="9"/>
  <c r="Q257" i="9" s="1"/>
  <c r="S257" i="9" s="1"/>
  <c r="N51" i="8"/>
  <c r="Q51" i="8" s="1"/>
  <c r="S51" i="8" s="1"/>
  <c r="AP191" i="8"/>
  <c r="AS191" i="8" s="1"/>
  <c r="AU191" i="8" s="1"/>
  <c r="N379" i="10"/>
  <c r="Q379" i="10" s="1"/>
  <c r="S379" i="10" s="1"/>
  <c r="N177" i="8"/>
  <c r="Q177" i="8" s="1"/>
  <c r="S177" i="8" s="1"/>
  <c r="AP131" i="10"/>
  <c r="AS131" i="10" s="1"/>
  <c r="AU131" i="10" s="1"/>
  <c r="AB195" i="9"/>
  <c r="AE195" i="9" s="1"/>
  <c r="AG195" i="9" s="1"/>
  <c r="AH195" i="9" s="1"/>
  <c r="AP233" i="10"/>
  <c r="AS233" i="10" s="1"/>
  <c r="AU233" i="10" s="1"/>
  <c r="AB228" i="9"/>
  <c r="AE228" i="9" s="1"/>
  <c r="AG228" i="9" s="1"/>
  <c r="N317" i="8"/>
  <c r="Q317" i="8" s="1"/>
  <c r="S317" i="8" s="1"/>
  <c r="N408" i="8"/>
  <c r="Q408" i="8" s="1"/>
  <c r="S408" i="8" s="1"/>
  <c r="AB153" i="10"/>
  <c r="AE153" i="10" s="1"/>
  <c r="AG153" i="10" s="1"/>
  <c r="AP375" i="9"/>
  <c r="AS375" i="9" s="1"/>
  <c r="AU375" i="9" s="1"/>
  <c r="AV375" i="9" s="1"/>
  <c r="AY375" i="9" s="1"/>
  <c r="AB336" i="8"/>
  <c r="AE336" i="8" s="1"/>
  <c r="AG336" i="8" s="1"/>
  <c r="AP323" i="10"/>
  <c r="AS323" i="10" s="1"/>
  <c r="AU323" i="10" s="1"/>
  <c r="AB250" i="9"/>
  <c r="AE250" i="9" s="1"/>
  <c r="AG250" i="9" s="1"/>
  <c r="AH250" i="9" s="1"/>
  <c r="AP186" i="8"/>
  <c r="AS186" i="8" s="1"/>
  <c r="AU186" i="8" s="1"/>
  <c r="AP379" i="8"/>
  <c r="AS379" i="8" s="1"/>
  <c r="AU379" i="8" s="1"/>
  <c r="AB346" i="9"/>
  <c r="AE346" i="9" s="1"/>
  <c r="AG346" i="9" s="1"/>
  <c r="AP424" i="8"/>
  <c r="AS424" i="8" s="1"/>
  <c r="AU424" i="8" s="1"/>
  <c r="AB261" i="8"/>
  <c r="AE261" i="8" s="1"/>
  <c r="AG261" i="8" s="1"/>
  <c r="AP326" i="8"/>
  <c r="AS326" i="8" s="1"/>
  <c r="AU326" i="8" s="1"/>
  <c r="AB258" i="9"/>
  <c r="AE258" i="9" s="1"/>
  <c r="AG258" i="9" s="1"/>
  <c r="N422" i="9"/>
  <c r="Q422" i="9" s="1"/>
  <c r="S422" i="9" s="1"/>
  <c r="N299" i="8"/>
  <c r="Q299" i="8" s="1"/>
  <c r="S299" i="8" s="1"/>
  <c r="AB419" i="8"/>
  <c r="AE419" i="8" s="1"/>
  <c r="AG419" i="8" s="1"/>
  <c r="AW330" i="10"/>
  <c r="AR330" i="10"/>
  <c r="AZ330" i="10"/>
  <c r="AX330" i="10"/>
  <c r="N281" i="9"/>
  <c r="Q281" i="9" s="1"/>
  <c r="S281" i="9" s="1"/>
  <c r="N405" i="10"/>
  <c r="Q405" i="10" s="1"/>
  <c r="S405" i="10" s="1"/>
  <c r="T405" i="10" s="1"/>
  <c r="AB26" i="8"/>
  <c r="AE26" i="8" s="1"/>
  <c r="AG26" i="8" s="1"/>
  <c r="N30" i="9"/>
  <c r="Q30" i="9" s="1"/>
  <c r="S30" i="9" s="1"/>
  <c r="T30" i="9" s="1"/>
  <c r="AB80" i="9"/>
  <c r="AE80" i="9" s="1"/>
  <c r="AG80" i="9" s="1"/>
  <c r="AH80" i="9" s="1"/>
  <c r="N183" i="9"/>
  <c r="Q183" i="9" s="1"/>
  <c r="S183" i="9" s="1"/>
  <c r="AP368" i="8"/>
  <c r="AS368" i="8" s="1"/>
  <c r="AU368" i="8" s="1"/>
  <c r="N385" i="10"/>
  <c r="Q385" i="10" s="1"/>
  <c r="S385" i="10" s="1"/>
  <c r="T385" i="10" s="1"/>
  <c r="N42" i="8"/>
  <c r="Q42" i="8" s="1"/>
  <c r="S42" i="8" s="1"/>
  <c r="N423" i="10"/>
  <c r="Q423" i="10" s="1"/>
  <c r="S423" i="10" s="1"/>
  <c r="N206" i="10"/>
  <c r="Q206" i="10" s="1"/>
  <c r="S206" i="10" s="1"/>
  <c r="N36" i="9"/>
  <c r="Q36" i="9" s="1"/>
  <c r="S36" i="9" s="1"/>
  <c r="N337" i="10"/>
  <c r="Q337" i="10" s="1"/>
  <c r="S337" i="10" s="1"/>
  <c r="N311" i="8"/>
  <c r="Q311" i="8" s="1"/>
  <c r="S311" i="8" s="1"/>
  <c r="AP411" i="9"/>
  <c r="AS411" i="9" s="1"/>
  <c r="AU411" i="9" s="1"/>
  <c r="AL355" i="10"/>
  <c r="AD355" i="10"/>
  <c r="AJ355" i="10"/>
  <c r="AI355" i="10"/>
  <c r="AM356" i="10" s="1"/>
  <c r="AQ356" i="10" s="1"/>
  <c r="AR356" i="10" s="1"/>
  <c r="AL230" i="9"/>
  <c r="AD230" i="9"/>
  <c r="AJ230" i="9"/>
  <c r="AI230" i="9"/>
  <c r="AM231" i="9" s="1"/>
  <c r="AQ231" i="9" s="1"/>
  <c r="AR231" i="9" s="1"/>
  <c r="AB202" i="10"/>
  <c r="AE202" i="10" s="1"/>
  <c r="AG202" i="10" s="1"/>
  <c r="AP303" i="9"/>
  <c r="AS303" i="9" s="1"/>
  <c r="AU303" i="9" s="1"/>
  <c r="N171" i="10"/>
  <c r="Q171" i="10" s="1"/>
  <c r="S171" i="10" s="1"/>
  <c r="N158" i="9"/>
  <c r="Q158" i="9" s="1"/>
  <c r="S158" i="9" s="1"/>
  <c r="N137" i="9"/>
  <c r="Q137" i="9" s="1"/>
  <c r="S137" i="9" s="1"/>
  <c r="N250" i="9"/>
  <c r="Q250" i="9" s="1"/>
  <c r="S250" i="9" s="1"/>
  <c r="T250" i="9" s="1"/>
  <c r="N120" i="8"/>
  <c r="Q120" i="8" s="1"/>
  <c r="S120" i="8" s="1"/>
  <c r="T120" i="8" s="1"/>
  <c r="AP354" i="10"/>
  <c r="AS354" i="10" s="1"/>
  <c r="AU354" i="10" s="1"/>
  <c r="AB325" i="8"/>
  <c r="AE325" i="8" s="1"/>
  <c r="AG325" i="8" s="1"/>
  <c r="AH325" i="8" s="1"/>
  <c r="N141" i="10"/>
  <c r="Q141" i="10" s="1"/>
  <c r="S141" i="10" s="1"/>
  <c r="AB111" i="9"/>
  <c r="AE111" i="9" s="1"/>
  <c r="AG111" i="9" s="1"/>
  <c r="N88" i="10"/>
  <c r="Q88" i="10" s="1"/>
  <c r="S88" i="10" s="1"/>
  <c r="AP43" i="10"/>
  <c r="AS43" i="10" s="1"/>
  <c r="AU43" i="10" s="1"/>
  <c r="AP379" i="9"/>
  <c r="AS379" i="9" s="1"/>
  <c r="AU379" i="9" s="1"/>
  <c r="AB322" i="10"/>
  <c r="AE322" i="10" s="1"/>
  <c r="AG322" i="10" s="1"/>
  <c r="AB51" i="9"/>
  <c r="AE51" i="9" s="1"/>
  <c r="AG51" i="9" s="1"/>
  <c r="N239" i="8"/>
  <c r="Q239" i="8" s="1"/>
  <c r="S239" i="8" s="1"/>
  <c r="N46" i="8"/>
  <c r="Q46" i="8" s="1"/>
  <c r="S46" i="8" s="1"/>
  <c r="N101" i="8"/>
  <c r="Q101" i="8" s="1"/>
  <c r="S101" i="8" s="1"/>
  <c r="AP301" i="9"/>
  <c r="AS301" i="9" s="1"/>
  <c r="AU301" i="9" s="1"/>
  <c r="AP367" i="8"/>
  <c r="AS367" i="8" s="1"/>
  <c r="AU367" i="8" s="1"/>
  <c r="AB214" i="8"/>
  <c r="AE214" i="8" s="1"/>
  <c r="AG214" i="8" s="1"/>
  <c r="AB113" i="8"/>
  <c r="AE113" i="8" s="1"/>
  <c r="AG113" i="8" s="1"/>
  <c r="N251" i="8"/>
  <c r="Q251" i="8" s="1"/>
  <c r="S251" i="8" s="1"/>
  <c r="AB46" i="9"/>
  <c r="AE46" i="9" s="1"/>
  <c r="AG46" i="9" s="1"/>
  <c r="AP301" i="10"/>
  <c r="AS301" i="10" s="1"/>
  <c r="AU301" i="10" s="1"/>
  <c r="AB384" i="9"/>
  <c r="AE384" i="9" s="1"/>
  <c r="AG384" i="9" s="1"/>
  <c r="N30" i="10"/>
  <c r="Q30" i="10" s="1"/>
  <c r="S30" i="10" s="1"/>
  <c r="T30" i="10" s="1"/>
  <c r="N118" i="10"/>
  <c r="Q118" i="10" s="1"/>
  <c r="S118" i="10" s="1"/>
  <c r="AP93" i="9"/>
  <c r="AS93" i="9" s="1"/>
  <c r="AU93" i="9" s="1"/>
  <c r="AB77" i="9"/>
  <c r="AE77" i="9" s="1"/>
  <c r="AG77" i="9" s="1"/>
  <c r="N173" i="8"/>
  <c r="Q173" i="8" s="1"/>
  <c r="S173" i="8" s="1"/>
  <c r="N67" i="9"/>
  <c r="Q67" i="9" s="1"/>
  <c r="S67" i="9" s="1"/>
  <c r="N129" i="10"/>
  <c r="Q129" i="10" s="1"/>
  <c r="S129" i="10" s="1"/>
  <c r="N103" i="10"/>
  <c r="Q103" i="10" s="1"/>
  <c r="S103" i="10" s="1"/>
  <c r="N273" i="8"/>
  <c r="Q273" i="8" s="1"/>
  <c r="S273" i="8" s="1"/>
  <c r="AB122" i="9"/>
  <c r="AE122" i="9" s="1"/>
  <c r="AG122" i="9" s="1"/>
  <c r="N374" i="8"/>
  <c r="Q374" i="8" s="1"/>
  <c r="S374" i="8" s="1"/>
  <c r="AP310" i="10"/>
  <c r="AS310" i="10" s="1"/>
  <c r="AU310" i="10" s="1"/>
  <c r="AV310" i="10" s="1"/>
  <c r="AY310" i="10" s="1"/>
  <c r="AB134" i="10"/>
  <c r="AE134" i="10" s="1"/>
  <c r="AG134" i="10" s="1"/>
  <c r="AB51" i="10"/>
  <c r="AE51" i="10" s="1"/>
  <c r="AG51" i="10" s="1"/>
  <c r="AP286" i="8"/>
  <c r="AS286" i="8" s="1"/>
  <c r="AU286" i="8" s="1"/>
  <c r="Q404" i="10"/>
  <c r="S404" i="10" s="1"/>
  <c r="N404" i="10"/>
  <c r="AP261" i="8"/>
  <c r="AS261" i="8" s="1"/>
  <c r="AU261" i="8" s="1"/>
  <c r="N219" i="8"/>
  <c r="Q219" i="8" s="1"/>
  <c r="S219" i="8" s="1"/>
  <c r="AB80" i="8"/>
  <c r="AE80" i="8" s="1"/>
  <c r="AG80" i="8" s="1"/>
  <c r="AH80" i="8" s="1"/>
  <c r="AB108" i="10"/>
  <c r="AE108" i="10" s="1"/>
  <c r="AG108" i="10" s="1"/>
  <c r="AB89" i="9"/>
  <c r="AE89" i="9" s="1"/>
  <c r="AG89" i="9" s="1"/>
  <c r="AP250" i="10"/>
  <c r="AS250" i="10" s="1"/>
  <c r="AU250" i="10" s="1"/>
  <c r="AV250" i="10" s="1"/>
  <c r="AY250" i="10" s="1"/>
  <c r="AP350" i="9"/>
  <c r="AS350" i="9" s="1"/>
  <c r="AU350" i="9" s="1"/>
  <c r="AV350" i="9" s="1"/>
  <c r="AY350" i="9" s="1"/>
  <c r="AB159" i="10"/>
  <c r="AE159" i="10" s="1"/>
  <c r="AG159" i="10" s="1"/>
  <c r="AP83" i="8"/>
  <c r="AS83" i="8" s="1"/>
  <c r="AU83" i="8" s="1"/>
  <c r="AB30" i="9"/>
  <c r="AE30" i="9" s="1"/>
  <c r="AG30" i="9" s="1"/>
  <c r="AH30" i="9" s="1"/>
  <c r="AP80" i="9"/>
  <c r="AS80" i="9" s="1"/>
  <c r="AU80" i="9" s="1"/>
  <c r="AV80" i="9" s="1"/>
  <c r="AY80" i="9" s="1"/>
  <c r="AB118" i="9"/>
  <c r="AE118" i="9" s="1"/>
  <c r="AG118" i="9" s="1"/>
  <c r="AP229" i="10"/>
  <c r="AS229" i="10" s="1"/>
  <c r="AU229" i="10" s="1"/>
  <c r="AP98" i="9"/>
  <c r="AS98" i="9" s="1"/>
  <c r="AU98" i="9" s="1"/>
  <c r="AB28" i="8"/>
  <c r="AE28" i="8" s="1"/>
  <c r="AG28" i="8" s="1"/>
  <c r="N121" i="8"/>
  <c r="Q121" i="8" s="1"/>
  <c r="S121" i="8" s="1"/>
  <c r="AP298" i="10"/>
  <c r="AS298" i="10" s="1"/>
  <c r="AU298" i="10" s="1"/>
  <c r="AP247" i="10"/>
  <c r="AS247" i="10" s="1"/>
  <c r="AU247" i="10" s="1"/>
  <c r="N349" i="10"/>
  <c r="Q349" i="10" s="1"/>
  <c r="S349" i="10" s="1"/>
  <c r="N205" i="9"/>
  <c r="Q205" i="9" s="1"/>
  <c r="S205" i="9" s="1"/>
  <c r="T205" i="9" s="1"/>
  <c r="N306" i="10"/>
  <c r="Q306" i="10" s="1"/>
  <c r="S306" i="10" s="1"/>
  <c r="AP147" i="9"/>
  <c r="AS147" i="9" s="1"/>
  <c r="AU147" i="9" s="1"/>
  <c r="N53" i="10"/>
  <c r="Q53" i="10" s="1"/>
  <c r="S53" i="10" s="1"/>
  <c r="N229" i="9"/>
  <c r="Q229" i="9" s="1"/>
  <c r="S229" i="9" s="1"/>
  <c r="AB263" i="8"/>
  <c r="AE263" i="8" s="1"/>
  <c r="AG263" i="8" s="1"/>
  <c r="N185" i="10"/>
  <c r="Q185" i="10" s="1"/>
  <c r="S185" i="10" s="1"/>
  <c r="T185" i="10" s="1"/>
  <c r="AB261" i="10"/>
  <c r="AE261" i="10" s="1"/>
  <c r="AG261" i="10" s="1"/>
  <c r="AP30" i="9"/>
  <c r="AS30" i="9" s="1"/>
  <c r="AU30" i="9" s="1"/>
  <c r="AV30" i="9" s="1"/>
  <c r="AY30" i="9" s="1"/>
  <c r="AB323" i="8"/>
  <c r="AE323" i="8" s="1"/>
  <c r="AG323" i="8" s="1"/>
  <c r="AB368" i="8"/>
  <c r="AE368" i="8" s="1"/>
  <c r="AG368" i="8" s="1"/>
  <c r="N358" i="9"/>
  <c r="Q358" i="9" s="1"/>
  <c r="S358" i="9" s="1"/>
  <c r="AB397" i="8"/>
  <c r="AE397" i="8" s="1"/>
  <c r="AG397" i="8" s="1"/>
  <c r="AB384" i="8"/>
  <c r="AE384" i="8" s="1"/>
  <c r="AG384" i="8" s="1"/>
  <c r="N103" i="9"/>
  <c r="Q103" i="9" s="1"/>
  <c r="S103" i="9" s="1"/>
  <c r="N371" i="10"/>
  <c r="Q371" i="10" s="1"/>
  <c r="S371" i="10" s="1"/>
  <c r="AB263" i="10"/>
  <c r="AE263" i="10" s="1"/>
  <c r="AG263" i="10" s="1"/>
  <c r="AP194" i="10"/>
  <c r="AS194" i="10" s="1"/>
  <c r="AU194" i="10" s="1"/>
  <c r="N355" i="10"/>
  <c r="AP382" i="10"/>
  <c r="AS382" i="10" s="1"/>
  <c r="AU382" i="10" s="1"/>
  <c r="N202" i="10"/>
  <c r="Q202" i="10" s="1"/>
  <c r="S202" i="10" s="1"/>
  <c r="AP187" i="9"/>
  <c r="AS187" i="9" s="1"/>
  <c r="AU187" i="9" s="1"/>
  <c r="AB36" i="10"/>
  <c r="AE36" i="10" s="1"/>
  <c r="AG36" i="10" s="1"/>
  <c r="N221" i="8"/>
  <c r="Q221" i="8" s="1"/>
  <c r="S221" i="8" s="1"/>
  <c r="AB411" i="10"/>
  <c r="AE411" i="10" s="1"/>
  <c r="AG411" i="10" s="1"/>
  <c r="AB136" i="10"/>
  <c r="AE136" i="10" s="1"/>
  <c r="AG136" i="10" s="1"/>
  <c r="AP120" i="8"/>
  <c r="AS120" i="8" s="1"/>
  <c r="AU120" i="8" s="1"/>
  <c r="AV120" i="8" s="1"/>
  <c r="AY120" i="8" s="1"/>
  <c r="AB174" i="9"/>
  <c r="AE174" i="9" s="1"/>
  <c r="AG174" i="9" s="1"/>
  <c r="N182" i="10"/>
  <c r="Q182" i="10" s="1"/>
  <c r="S182" i="10" s="1"/>
  <c r="AP94" i="8"/>
  <c r="AS94" i="8" s="1"/>
  <c r="AU94" i="8" s="1"/>
  <c r="AA359" i="6"/>
  <c r="AP412" i="9"/>
  <c r="AS412" i="9" s="1"/>
  <c r="AU412" i="9" s="1"/>
  <c r="AB174" i="10"/>
  <c r="AE174" i="10" s="1"/>
  <c r="AG174" i="10" s="1"/>
  <c r="N243" i="10"/>
  <c r="Q243" i="10" s="1"/>
  <c r="S243" i="10" s="1"/>
  <c r="N213" i="8"/>
  <c r="Q213" i="8" s="1"/>
  <c r="S213" i="8" s="1"/>
  <c r="AP150" i="8"/>
  <c r="AS150" i="8" s="1"/>
  <c r="AU150" i="8" s="1"/>
  <c r="AV150" i="8" s="1"/>
  <c r="AY150" i="8" s="1"/>
  <c r="N293" i="9"/>
  <c r="Q293" i="9" s="1"/>
  <c r="S293" i="9" s="1"/>
  <c r="AP126" i="8"/>
  <c r="AS126" i="8" s="1"/>
  <c r="AU126" i="8" s="1"/>
  <c r="AB405" i="8"/>
  <c r="AE405" i="8" s="1"/>
  <c r="AG405" i="8" s="1"/>
  <c r="AH405" i="8" s="1"/>
  <c r="AP280" i="9"/>
  <c r="AS280" i="9" s="1"/>
  <c r="AU280" i="9" s="1"/>
  <c r="AV280" i="9" s="1"/>
  <c r="AY280" i="9" s="1"/>
  <c r="AP90" i="10"/>
  <c r="AS90" i="10" s="1"/>
  <c r="AU90" i="10" s="1"/>
  <c r="AV90" i="10" s="1"/>
  <c r="AY90" i="10" s="1"/>
  <c r="AP305" i="8"/>
  <c r="AS305" i="8" s="1"/>
  <c r="AU305" i="8" s="1"/>
  <c r="AV305" i="8" s="1"/>
  <c r="AY305" i="8" s="1"/>
  <c r="N120" i="10"/>
  <c r="Q120" i="10" s="1"/>
  <c r="S120" i="10" s="1"/>
  <c r="T120" i="10" s="1"/>
  <c r="AB189" i="8"/>
  <c r="AE189" i="8" s="1"/>
  <c r="AG189" i="8" s="1"/>
  <c r="AB330" i="9"/>
  <c r="AE330" i="9" s="1"/>
  <c r="AG330" i="9" s="1"/>
  <c r="AH330" i="9" s="1"/>
  <c r="AB108" i="8"/>
  <c r="AE108" i="8" s="1"/>
  <c r="AG108" i="8" s="1"/>
  <c r="AP247" i="9"/>
  <c r="AS247" i="9" s="1"/>
  <c r="AU247" i="9" s="1"/>
  <c r="AB301" i="10"/>
  <c r="AE301" i="10" s="1"/>
  <c r="AG301" i="10" s="1"/>
  <c r="P405" i="9"/>
  <c r="V405" i="9"/>
  <c r="X405" i="9"/>
  <c r="U405" i="9"/>
  <c r="Y406" i="9" s="1"/>
  <c r="AC406" i="9" s="1"/>
  <c r="AB398" i="8"/>
  <c r="AE398" i="8" s="1"/>
  <c r="AG398" i="8" s="1"/>
  <c r="AZ95" i="9"/>
  <c r="AR95" i="9"/>
  <c r="AX95" i="9"/>
  <c r="AW95" i="9"/>
  <c r="N104" i="9"/>
  <c r="Q104" i="9" s="1"/>
  <c r="S104" i="9" s="1"/>
  <c r="N239" i="10"/>
  <c r="Q239" i="10" s="1"/>
  <c r="S239" i="10" s="1"/>
  <c r="AB309" i="9"/>
  <c r="AE309" i="9" s="1"/>
  <c r="AG309" i="9" s="1"/>
  <c r="N165" i="10"/>
  <c r="Q165" i="10" s="1"/>
  <c r="S165" i="10" s="1"/>
  <c r="T165" i="10" s="1"/>
  <c r="AB143" i="8"/>
  <c r="AE143" i="8" s="1"/>
  <c r="AG143" i="8" s="1"/>
  <c r="AB364" i="10"/>
  <c r="AE364" i="10" s="1"/>
  <c r="AG364" i="10" s="1"/>
  <c r="AP151" i="10"/>
  <c r="AS151" i="10" s="1"/>
  <c r="AU151" i="10" s="1"/>
  <c r="AP330" i="9"/>
  <c r="AS330" i="9" s="1"/>
  <c r="AU330" i="9" s="1"/>
  <c r="AV330" i="9" s="1"/>
  <c r="AY330" i="9" s="1"/>
  <c r="N163" i="8"/>
  <c r="Q163" i="8" s="1"/>
  <c r="S163" i="8" s="1"/>
  <c r="K415" i="10"/>
  <c r="O415" i="10" s="1"/>
  <c r="N415" i="10"/>
  <c r="Q415" i="10" s="1"/>
  <c r="S415" i="10" s="1"/>
  <c r="T415" i="10" s="1"/>
  <c r="AL270" i="10"/>
  <c r="AD270" i="10"/>
  <c r="AJ270" i="10"/>
  <c r="AI270" i="10"/>
  <c r="AM271" i="10" s="1"/>
  <c r="AQ271" i="10" s="1"/>
  <c r="AR271" i="10" s="1"/>
  <c r="AT271" i="10" s="1"/>
  <c r="AB407" i="10"/>
  <c r="AE407" i="10" s="1"/>
  <c r="AG407" i="10" s="1"/>
  <c r="AF241" i="10"/>
  <c r="W240" i="10"/>
  <c r="AL125" i="9"/>
  <c r="AD125" i="9"/>
  <c r="AJ125" i="9"/>
  <c r="AI125" i="9"/>
  <c r="AM126" i="9" s="1"/>
  <c r="AQ126" i="9" s="1"/>
  <c r="AR126" i="9" s="1"/>
  <c r="AT126" i="9" s="1"/>
  <c r="AK360" i="9"/>
  <c r="V25" i="9"/>
  <c r="P25" i="9"/>
  <c r="AP392" i="9"/>
  <c r="AS392" i="9" s="1"/>
  <c r="AU392" i="9" s="1"/>
  <c r="AZ305" i="9"/>
  <c r="AR305" i="9"/>
  <c r="AX305" i="9"/>
  <c r="AW305" i="9"/>
  <c r="AR325" i="10"/>
  <c r="AW325" i="10"/>
  <c r="AZ325" i="10"/>
  <c r="AX325" i="10"/>
  <c r="AZ150" i="9"/>
  <c r="AR150" i="9"/>
  <c r="AX150" i="9"/>
  <c r="AW150" i="9"/>
  <c r="AR405" i="9"/>
  <c r="AZ405" i="9"/>
  <c r="AX405" i="9"/>
  <c r="AW405" i="9"/>
  <c r="AP408" i="10"/>
  <c r="AS408" i="10" s="1"/>
  <c r="AU408" i="10" s="1"/>
  <c r="AB402" i="10"/>
  <c r="AE402" i="10" s="1"/>
  <c r="AG402" i="10" s="1"/>
  <c r="P200" i="9"/>
  <c r="P285" i="10"/>
  <c r="X285" i="10"/>
  <c r="V285" i="10"/>
  <c r="U285" i="10"/>
  <c r="Y286" i="10" s="1"/>
  <c r="AC286" i="10" s="1"/>
  <c r="AD286" i="10" s="1"/>
  <c r="AF286" i="10" s="1"/>
  <c r="AZ395" i="9"/>
  <c r="AR395" i="9"/>
  <c r="AW395" i="9"/>
  <c r="AX395" i="9"/>
  <c r="AB391" i="10"/>
  <c r="AE391" i="10" s="1"/>
  <c r="AG391" i="10" s="1"/>
  <c r="AD125" i="10"/>
  <c r="AJ125" i="10"/>
  <c r="AL125" i="10"/>
  <c r="AI125" i="10"/>
  <c r="AM126" i="10" s="1"/>
  <c r="AQ126" i="10" s="1"/>
  <c r="AR126" i="10" s="1"/>
  <c r="AT126" i="10" s="1"/>
  <c r="AD275" i="10"/>
  <c r="AI275" i="10"/>
  <c r="AM276" i="10" s="1"/>
  <c r="AQ276" i="10" s="1"/>
  <c r="AR276" i="10" s="1"/>
  <c r="AJ275" i="10"/>
  <c r="AL275" i="10"/>
  <c r="AB270" i="8"/>
  <c r="AE270" i="8" s="1"/>
  <c r="AG270" i="8" s="1"/>
  <c r="AH270" i="8" s="1"/>
  <c r="N303" i="9"/>
  <c r="Q303" i="9" s="1"/>
  <c r="S303" i="9" s="1"/>
  <c r="AP217" i="10"/>
  <c r="AS217" i="10" s="1"/>
  <c r="AU217" i="10" s="1"/>
  <c r="AB255" i="10"/>
  <c r="AE255" i="10" s="1"/>
  <c r="AG255" i="10" s="1"/>
  <c r="AH255" i="10" s="1"/>
  <c r="AP365" i="9"/>
  <c r="AS365" i="9" s="1"/>
  <c r="AU365" i="9" s="1"/>
  <c r="AV365" i="9" s="1"/>
  <c r="AY365" i="9" s="1"/>
  <c r="AB272" i="10"/>
  <c r="AE272" i="10" s="1"/>
  <c r="AG272" i="10" s="1"/>
  <c r="N279" i="9"/>
  <c r="Q279" i="9" s="1"/>
  <c r="S279" i="9" s="1"/>
  <c r="AB170" i="8"/>
  <c r="AE170" i="8" s="1"/>
  <c r="AG170" i="8" s="1"/>
  <c r="AH170" i="8" s="1"/>
  <c r="AP302" i="10"/>
  <c r="AS302" i="10" s="1"/>
  <c r="AU302" i="10" s="1"/>
  <c r="AB273" i="9"/>
  <c r="AE273" i="9" s="1"/>
  <c r="AG273" i="9" s="1"/>
  <c r="AB400" i="9"/>
  <c r="AE400" i="9" s="1"/>
  <c r="AG400" i="9" s="1"/>
  <c r="AH400" i="9" s="1"/>
  <c r="AB254" i="10"/>
  <c r="AE254" i="10" s="1"/>
  <c r="AG254" i="10" s="1"/>
  <c r="N104" i="10"/>
  <c r="Q104" i="10" s="1"/>
  <c r="S104" i="10" s="1"/>
  <c r="N136" i="8"/>
  <c r="Q136" i="8" s="1"/>
  <c r="S136" i="8" s="1"/>
  <c r="AB111" i="10"/>
  <c r="AE111" i="10" s="1"/>
  <c r="AG111" i="10" s="1"/>
  <c r="N355" i="8"/>
  <c r="Q355" i="8" s="1"/>
  <c r="S355" i="8" s="1"/>
  <c r="T355" i="8" s="1"/>
  <c r="N94" i="9"/>
  <c r="Q94" i="9" s="1"/>
  <c r="S94" i="9" s="1"/>
  <c r="AP199" i="10"/>
  <c r="AS199" i="10" s="1"/>
  <c r="AU199" i="10" s="1"/>
  <c r="N367" i="8"/>
  <c r="Q367" i="8" s="1"/>
  <c r="S367" i="8" s="1"/>
  <c r="AP123" i="8"/>
  <c r="AS123" i="8" s="1"/>
  <c r="AU123" i="8" s="1"/>
  <c r="AB271" i="9"/>
  <c r="AE271" i="9" s="1"/>
  <c r="AG271" i="9" s="1"/>
  <c r="N416" i="8"/>
  <c r="Q416" i="8" s="1"/>
  <c r="S416" i="8" s="1"/>
  <c r="AP296" i="10"/>
  <c r="AS296" i="10" s="1"/>
  <c r="AU296" i="10" s="1"/>
  <c r="AB238" i="9"/>
  <c r="AE238" i="9" s="1"/>
  <c r="AG238" i="9" s="1"/>
  <c r="N269" i="10"/>
  <c r="Q269" i="10" s="1"/>
  <c r="S269" i="10" s="1"/>
  <c r="Q387" i="9"/>
  <c r="S387" i="9" s="1"/>
  <c r="N387" i="9"/>
  <c r="AP55" i="8"/>
  <c r="AS55" i="8" s="1"/>
  <c r="AU55" i="8" s="1"/>
  <c r="AV55" i="8" s="1"/>
  <c r="AY55" i="8" s="1"/>
  <c r="AB250" i="8"/>
  <c r="AE250" i="8" s="1"/>
  <c r="AG250" i="8" s="1"/>
  <c r="AH250" i="8" s="1"/>
  <c r="AB135" i="8"/>
  <c r="AE135" i="8" s="1"/>
  <c r="AG135" i="8" s="1"/>
  <c r="AH135" i="8" s="1"/>
  <c r="AB161" i="8"/>
  <c r="AE161" i="8" s="1"/>
  <c r="AG161" i="8" s="1"/>
  <c r="AR360" i="10"/>
  <c r="AX360" i="10"/>
  <c r="AW360" i="10"/>
  <c r="AZ360" i="10"/>
  <c r="N214" i="8"/>
  <c r="Q214" i="8" s="1"/>
  <c r="S214" i="8" s="1"/>
  <c r="N113" i="8"/>
  <c r="Q113" i="8" s="1"/>
  <c r="S113" i="8" s="1"/>
  <c r="N296" i="10"/>
  <c r="Q296" i="10" s="1"/>
  <c r="S296" i="10" s="1"/>
  <c r="AP238" i="9"/>
  <c r="AS238" i="9" s="1"/>
  <c r="AU238" i="9" s="1"/>
  <c r="N387" i="8"/>
  <c r="Q387" i="8" s="1"/>
  <c r="S387" i="8" s="1"/>
  <c r="AP366" i="10"/>
  <c r="AS366" i="10" s="1"/>
  <c r="AU366" i="10" s="1"/>
  <c r="AB182" i="9"/>
  <c r="AE182" i="9" s="1"/>
  <c r="AG182" i="9" s="1"/>
  <c r="AB397" i="10"/>
  <c r="AE397" i="10" s="1"/>
  <c r="AG397" i="10" s="1"/>
  <c r="AB120" i="8"/>
  <c r="AE120" i="8" s="1"/>
  <c r="AG120" i="8" s="1"/>
  <c r="AH120" i="8" s="1"/>
  <c r="AB187" i="10"/>
  <c r="AE187" i="10" s="1"/>
  <c r="AG187" i="10" s="1"/>
  <c r="AP365" i="10"/>
  <c r="AS365" i="10" s="1"/>
  <c r="AU365" i="10" s="1"/>
  <c r="AV365" i="10" s="1"/>
  <c r="AY365" i="10" s="1"/>
  <c r="AP120" i="9"/>
  <c r="AS120" i="9" s="1"/>
  <c r="AU120" i="9" s="1"/>
  <c r="AV120" i="9" s="1"/>
  <c r="AY120" i="9" s="1"/>
  <c r="N235" i="10"/>
  <c r="Q235" i="10" s="1"/>
  <c r="S235" i="10" s="1"/>
  <c r="T235" i="10" s="1"/>
  <c r="AB150" i="8"/>
  <c r="AE150" i="8" s="1"/>
  <c r="AG150" i="8" s="1"/>
  <c r="AH150" i="8" s="1"/>
  <c r="AB126" i="8"/>
  <c r="AE126" i="8" s="1"/>
  <c r="AG126" i="8" s="1"/>
  <c r="AP406" i="8"/>
  <c r="AS406" i="8" s="1"/>
  <c r="AU406" i="8" s="1"/>
  <c r="AP46" i="9"/>
  <c r="AS46" i="9" s="1"/>
  <c r="AU46" i="9" s="1"/>
  <c r="AB420" i="8"/>
  <c r="AE420" i="8" s="1"/>
  <c r="AG420" i="8" s="1"/>
  <c r="AH420" i="8" s="1"/>
  <c r="Y420" i="8"/>
  <c r="N64" i="8"/>
  <c r="Q64" i="8" s="1"/>
  <c r="S64" i="8" s="1"/>
  <c r="X240" i="9"/>
  <c r="P240" i="9"/>
  <c r="U240" i="9"/>
  <c r="Y241" i="9" s="1"/>
  <c r="AC241" i="9" s="1"/>
  <c r="V240" i="9"/>
  <c r="N337" i="8"/>
  <c r="Q337" i="8" s="1"/>
  <c r="S337" i="8" s="1"/>
  <c r="AP326" i="9"/>
  <c r="AS326" i="9" s="1"/>
  <c r="AU326" i="9" s="1"/>
  <c r="N419" i="8"/>
  <c r="Q419" i="8" s="1"/>
  <c r="S419" i="8" s="1"/>
  <c r="AB113" i="9"/>
  <c r="AE113" i="9" s="1"/>
  <c r="AG113" i="9" s="1"/>
  <c r="AP405" i="10"/>
  <c r="AS405" i="10" s="1"/>
  <c r="AU405" i="10" s="1"/>
  <c r="AV405" i="10" s="1"/>
  <c r="AY405" i="10" s="1"/>
  <c r="AP176" i="8"/>
  <c r="AS176" i="8" s="1"/>
  <c r="AU176" i="8" s="1"/>
  <c r="AP313" i="8"/>
  <c r="AS313" i="8" s="1"/>
  <c r="AU313" i="8" s="1"/>
  <c r="AP202" i="8"/>
  <c r="AS202" i="8" s="1"/>
  <c r="AU202" i="8" s="1"/>
  <c r="N334" i="10"/>
  <c r="Q334" i="10" s="1"/>
  <c r="S334" i="10" s="1"/>
  <c r="AB333" i="8"/>
  <c r="AE333" i="8" s="1"/>
  <c r="AG333" i="8" s="1"/>
  <c r="N218" i="8"/>
  <c r="Q218" i="8" s="1"/>
  <c r="S218" i="8" s="1"/>
  <c r="AP272" i="8"/>
  <c r="AS272" i="8" s="1"/>
  <c r="AU272" i="8" s="1"/>
  <c r="AB216" i="9"/>
  <c r="AE216" i="9" s="1"/>
  <c r="AG216" i="9" s="1"/>
  <c r="AB176" i="9"/>
  <c r="AE176" i="9" s="1"/>
  <c r="AG176" i="9" s="1"/>
  <c r="AP313" i="9"/>
  <c r="AS313" i="9" s="1"/>
  <c r="AU313" i="9" s="1"/>
  <c r="N197" i="8"/>
  <c r="Q197" i="8" s="1"/>
  <c r="S197" i="8" s="1"/>
  <c r="N369" i="8"/>
  <c r="Q369" i="8" s="1"/>
  <c r="S369" i="8" s="1"/>
  <c r="AB173" i="8"/>
  <c r="AE173" i="8" s="1"/>
  <c r="AG173" i="8" s="1"/>
  <c r="N184" i="9"/>
  <c r="Q184" i="9" s="1"/>
  <c r="S184" i="9" s="1"/>
  <c r="AP311" i="9"/>
  <c r="AS311" i="9" s="1"/>
  <c r="AU311" i="9" s="1"/>
  <c r="AP107" i="9"/>
  <c r="AS107" i="9" s="1"/>
  <c r="AU107" i="9" s="1"/>
  <c r="AB40" i="9"/>
  <c r="AE40" i="9" s="1"/>
  <c r="AG40" i="9" s="1"/>
  <c r="AH40" i="9" s="1"/>
  <c r="N199" i="8"/>
  <c r="Q199" i="8" s="1"/>
  <c r="S199" i="8" s="1"/>
  <c r="N349" i="9"/>
  <c r="Q349" i="9" s="1"/>
  <c r="S349" i="9" s="1"/>
  <c r="AP334" i="8"/>
  <c r="AS334" i="8" s="1"/>
  <c r="AU334" i="8" s="1"/>
  <c r="N288" i="9"/>
  <c r="Q288" i="9" s="1"/>
  <c r="S288" i="9" s="1"/>
  <c r="AB412" i="8"/>
  <c r="AE412" i="8" s="1"/>
  <c r="AG412" i="8" s="1"/>
  <c r="AB197" i="10"/>
  <c r="AE197" i="10" s="1"/>
  <c r="AG197" i="10" s="1"/>
  <c r="N119" i="9"/>
  <c r="Q119" i="9" s="1"/>
  <c r="S119" i="9" s="1"/>
  <c r="AP259" i="8"/>
  <c r="AS259" i="8" s="1"/>
  <c r="AU259" i="8" s="1"/>
  <c r="AP353" i="8"/>
  <c r="AS353" i="8" s="1"/>
  <c r="AU353" i="8" s="1"/>
  <c r="AB379" i="10"/>
  <c r="AE379" i="10" s="1"/>
  <c r="AG379" i="10" s="1"/>
  <c r="AB370" i="9"/>
  <c r="AE370" i="9" s="1"/>
  <c r="AG370" i="9" s="1"/>
  <c r="AH370" i="9" s="1"/>
  <c r="N339" i="8"/>
  <c r="Q339" i="8" s="1"/>
  <c r="S339" i="8" s="1"/>
  <c r="N125" i="10"/>
  <c r="Q125" i="10" s="1"/>
  <c r="S125" i="10" s="1"/>
  <c r="T125" i="10" s="1"/>
  <c r="AJ235" i="10"/>
  <c r="AI235" i="10"/>
  <c r="AM236" i="10" s="1"/>
  <c r="AQ236" i="10" s="1"/>
  <c r="AR236" i="10" s="1"/>
  <c r="AP317" i="9"/>
  <c r="AS317" i="9" s="1"/>
  <c r="AU317" i="9" s="1"/>
  <c r="N193" i="8"/>
  <c r="Q193" i="8" s="1"/>
  <c r="S193" i="8" s="1"/>
  <c r="AP408" i="8"/>
  <c r="AS408" i="8" s="1"/>
  <c r="AU408" i="8" s="1"/>
  <c r="N253" i="10"/>
  <c r="Q253" i="10" s="1"/>
  <c r="S253" i="10" s="1"/>
  <c r="N63" i="9"/>
  <c r="Q63" i="9" s="1"/>
  <c r="S63" i="9" s="1"/>
  <c r="AP168" i="8"/>
  <c r="AS168" i="8" s="1"/>
  <c r="AU168" i="8" s="1"/>
  <c r="N192" i="10"/>
  <c r="Q192" i="10" s="1"/>
  <c r="S192" i="10" s="1"/>
  <c r="AB158" i="10"/>
  <c r="AE158" i="10" s="1"/>
  <c r="AG158" i="10" s="1"/>
  <c r="AB325" i="9"/>
  <c r="AE325" i="9" s="1"/>
  <c r="AG325" i="9" s="1"/>
  <c r="AH325" i="9" s="1"/>
  <c r="P195" i="9"/>
  <c r="V195" i="9"/>
  <c r="AB327" i="8"/>
  <c r="AE327" i="8" s="1"/>
  <c r="AG327" i="8" s="1"/>
  <c r="AP211" i="10"/>
  <c r="AS211" i="10" s="1"/>
  <c r="AU211" i="10" s="1"/>
  <c r="AP191" i="10"/>
  <c r="AS191" i="10" s="1"/>
  <c r="AU191" i="10" s="1"/>
  <c r="AP163" i="9"/>
  <c r="AS163" i="9" s="1"/>
  <c r="AU163" i="9" s="1"/>
  <c r="AP383" i="9"/>
  <c r="AS383" i="9" s="1"/>
  <c r="AU383" i="9" s="1"/>
  <c r="N207" i="8"/>
  <c r="Q207" i="8" s="1"/>
  <c r="S207" i="8" s="1"/>
  <c r="AP422" i="9"/>
  <c r="AS422" i="9" s="1"/>
  <c r="AU422" i="9" s="1"/>
  <c r="AB265" i="8"/>
  <c r="AE265" i="8" s="1"/>
  <c r="AG265" i="8" s="1"/>
  <c r="AH265" i="8" s="1"/>
  <c r="AB210" i="9"/>
  <c r="AE210" i="9" s="1"/>
  <c r="AG210" i="9" s="1"/>
  <c r="AH210" i="9" s="1"/>
  <c r="N285" i="8"/>
  <c r="Q285" i="8" s="1"/>
  <c r="S285" i="8" s="1"/>
  <c r="T285" i="8" s="1"/>
  <c r="N326" i="9"/>
  <c r="Q326" i="9" s="1"/>
  <c r="S326" i="9" s="1"/>
  <c r="AB358" i="8"/>
  <c r="AE358" i="8" s="1"/>
  <c r="AG358" i="8" s="1"/>
  <c r="N160" i="9"/>
  <c r="Q160" i="9" s="1"/>
  <c r="S160" i="9" s="1"/>
  <c r="T160" i="9" s="1"/>
  <c r="AB396" i="9"/>
  <c r="AE396" i="9" s="1"/>
  <c r="AG396" i="9" s="1"/>
  <c r="N331" i="10"/>
  <c r="Q331" i="10" s="1"/>
  <c r="S331" i="10" s="1"/>
  <c r="AA382" i="6"/>
  <c r="AB72" i="9"/>
  <c r="AE72" i="9" s="1"/>
  <c r="AG72" i="9" s="1"/>
  <c r="AB274" i="8"/>
  <c r="AE274" i="8" s="1"/>
  <c r="AG274" i="8" s="1"/>
  <c r="AP323" i="8"/>
  <c r="AS323" i="8" s="1"/>
  <c r="AU323" i="8" s="1"/>
  <c r="AP105" i="8"/>
  <c r="AS105" i="8" s="1"/>
  <c r="AU105" i="8" s="1"/>
  <c r="AV105" i="8" s="1"/>
  <c r="AY105" i="8" s="1"/>
  <c r="N71" i="8"/>
  <c r="Q71" i="8" s="1"/>
  <c r="S71" i="8" s="1"/>
  <c r="AP338" i="8"/>
  <c r="AS338" i="8" s="1"/>
  <c r="AU338" i="8" s="1"/>
  <c r="AP216" i="9"/>
  <c r="AS216" i="9" s="1"/>
  <c r="AU216" i="9" s="1"/>
  <c r="N166" i="10"/>
  <c r="Q166" i="10" s="1"/>
  <c r="S166" i="10" s="1"/>
  <c r="AP384" i="10"/>
  <c r="AS384" i="10" s="1"/>
  <c r="AU384" i="10" s="1"/>
  <c r="AB265" i="10"/>
  <c r="AE265" i="10" s="1"/>
  <c r="AG265" i="10" s="1"/>
  <c r="AH265" i="10" s="1"/>
  <c r="N77" i="9"/>
  <c r="Q77" i="9" s="1"/>
  <c r="S77" i="9" s="1"/>
  <c r="AB409" i="10"/>
  <c r="AE409" i="10" s="1"/>
  <c r="AG409" i="10" s="1"/>
  <c r="AP48" i="9"/>
  <c r="AS48" i="9" s="1"/>
  <c r="AU48" i="9" s="1"/>
  <c r="AP123" i="9"/>
  <c r="AS123" i="9" s="1"/>
  <c r="AU123" i="9" s="1"/>
  <c r="N154" i="8"/>
  <c r="Q154" i="8" s="1"/>
  <c r="S154" i="8" s="1"/>
  <c r="AP313" i="10"/>
  <c r="AS313" i="10" s="1"/>
  <c r="AU313" i="10" s="1"/>
  <c r="N197" i="9"/>
  <c r="Q197" i="9" s="1"/>
  <c r="S197" i="9" s="1"/>
  <c r="AB345" i="8"/>
  <c r="AE345" i="8" s="1"/>
  <c r="AG345" i="8" s="1"/>
  <c r="AH345" i="8" s="1"/>
  <c r="N122" i="9"/>
  <c r="Q122" i="9" s="1"/>
  <c r="S122" i="9" s="1"/>
  <c r="AP411" i="10"/>
  <c r="AS411" i="10" s="1"/>
  <c r="AU411" i="10" s="1"/>
  <c r="AP397" i="10"/>
  <c r="AS397" i="10" s="1"/>
  <c r="AU397" i="10" s="1"/>
  <c r="AP335" i="10"/>
  <c r="AS335" i="10" s="1"/>
  <c r="AU335" i="10" s="1"/>
  <c r="AV335" i="10" s="1"/>
  <c r="AY335" i="10" s="1"/>
  <c r="AB134" i="9"/>
  <c r="AE134" i="9" s="1"/>
  <c r="AG134" i="9" s="1"/>
  <c r="AP328" i="10"/>
  <c r="AS328" i="10" s="1"/>
  <c r="AU328" i="10" s="1"/>
  <c r="N158" i="10"/>
  <c r="Q158" i="10" s="1"/>
  <c r="S158" i="10" s="1"/>
  <c r="AB379" i="9"/>
  <c r="AE379" i="9" s="1"/>
  <c r="AG379" i="9" s="1"/>
  <c r="AB251" i="9"/>
  <c r="AE251" i="9" s="1"/>
  <c r="AG251" i="9" s="1"/>
  <c r="AB177" i="8"/>
  <c r="AE177" i="8" s="1"/>
  <c r="AG177" i="8" s="1"/>
  <c r="AP330" i="8"/>
  <c r="AS330" i="8" s="1"/>
  <c r="AU330" i="8" s="1"/>
  <c r="AV330" i="8" s="1"/>
  <c r="AY330" i="8" s="1"/>
  <c r="AB152" i="10"/>
  <c r="AE152" i="10" s="1"/>
  <c r="AG152" i="10" s="1"/>
  <c r="AB406" i="8"/>
  <c r="AE406" i="8" s="1"/>
  <c r="AG406" i="8" s="1"/>
  <c r="AB211" i="10"/>
  <c r="AE211" i="10" s="1"/>
  <c r="AG211" i="10" s="1"/>
  <c r="AB356" i="9"/>
  <c r="AE356" i="9" s="1"/>
  <c r="AG356" i="9" s="1"/>
  <c r="N238" i="9"/>
  <c r="Q238" i="9" s="1"/>
  <c r="S238" i="9" s="1"/>
  <c r="AP39" i="10"/>
  <c r="AS39" i="10" s="1"/>
  <c r="AU39" i="10" s="1"/>
  <c r="N246" i="10"/>
  <c r="Q246" i="10" s="1"/>
  <c r="S246" i="10" s="1"/>
  <c r="N45" i="10"/>
  <c r="Q45" i="10" s="1"/>
  <c r="S45" i="10" s="1"/>
  <c r="T45" i="10" s="1"/>
  <c r="N384" i="9"/>
  <c r="Q384" i="9" s="1"/>
  <c r="S384" i="9" s="1"/>
  <c r="AB36" i="9"/>
  <c r="AE36" i="9" s="1"/>
  <c r="AG36" i="9" s="1"/>
  <c r="AB311" i="8"/>
  <c r="AE311" i="8" s="1"/>
  <c r="AG311" i="8" s="1"/>
  <c r="N297" i="10"/>
  <c r="Q297" i="10" s="1"/>
  <c r="S297" i="10" s="1"/>
  <c r="AP352" i="10"/>
  <c r="AS352" i="10" s="1"/>
  <c r="AU352" i="10" s="1"/>
  <c r="AB117" i="8"/>
  <c r="AE117" i="8" s="1"/>
  <c r="AG117" i="8" s="1"/>
  <c r="AP99" i="9"/>
  <c r="AS99" i="9" s="1"/>
  <c r="AU99" i="9" s="1"/>
  <c r="AI280" i="9"/>
  <c r="AM281" i="9" s="1"/>
  <c r="AQ281" i="9" s="1"/>
  <c r="AL280" i="9"/>
  <c r="AD280" i="9"/>
  <c r="AJ280" i="9"/>
  <c r="N194" i="9"/>
  <c r="Q194" i="9" s="1"/>
  <c r="S194" i="9" s="1"/>
  <c r="N39" i="10"/>
  <c r="Q39" i="10" s="1"/>
  <c r="S39" i="10" s="1"/>
  <c r="AP404" i="10"/>
  <c r="AS404" i="10" s="1"/>
  <c r="AU404" i="10" s="1"/>
  <c r="N98" i="10"/>
  <c r="Q98" i="10" s="1"/>
  <c r="S98" i="10" s="1"/>
  <c r="N224" i="10"/>
  <c r="Q224" i="10" s="1"/>
  <c r="S224" i="10" s="1"/>
  <c r="AP64" i="8"/>
  <c r="AS64" i="8" s="1"/>
  <c r="AU64" i="8" s="1"/>
  <c r="AB299" i="8"/>
  <c r="AE299" i="8" s="1"/>
  <c r="AG299" i="8" s="1"/>
  <c r="AP30" i="8"/>
  <c r="AS30" i="8" s="1"/>
  <c r="AU30" i="8" s="1"/>
  <c r="AV30" i="8" s="1"/>
  <c r="AY30" i="8" s="1"/>
  <c r="AP409" i="8"/>
  <c r="AS409" i="8" s="1"/>
  <c r="AU409" i="8" s="1"/>
  <c r="AP144" i="10"/>
  <c r="AS144" i="10" s="1"/>
  <c r="AU144" i="10" s="1"/>
  <c r="AB331" i="10"/>
  <c r="AE331" i="10" s="1"/>
  <c r="AG331" i="10" s="1"/>
  <c r="AB219" i="9"/>
  <c r="AE219" i="9" s="1"/>
  <c r="AG219" i="9" s="1"/>
  <c r="AP340" i="9"/>
  <c r="AS340" i="9" s="1"/>
  <c r="AU340" i="9" s="1"/>
  <c r="AV340" i="9" s="1"/>
  <c r="AY340" i="9" s="1"/>
  <c r="N65" i="8"/>
  <c r="Q65" i="8" s="1"/>
  <c r="S65" i="8" s="1"/>
  <c r="T65" i="8" s="1"/>
  <c r="AP72" i="9"/>
  <c r="AS72" i="9" s="1"/>
  <c r="AU72" i="9" s="1"/>
  <c r="AP49" i="8"/>
  <c r="AS49" i="8" s="1"/>
  <c r="AU49" i="8" s="1"/>
  <c r="AB237" i="10"/>
  <c r="AE237" i="10" s="1"/>
  <c r="AG237" i="10" s="1"/>
  <c r="N190" i="10"/>
  <c r="Q190" i="10" s="1"/>
  <c r="S190" i="10" s="1"/>
  <c r="T190" i="10" s="1"/>
  <c r="AB219" i="8"/>
  <c r="AE219" i="8" s="1"/>
  <c r="AG219" i="8" s="1"/>
  <c r="AB261" i="9"/>
  <c r="AE261" i="9" s="1"/>
  <c r="AG261" i="9" s="1"/>
  <c r="AB389" i="8"/>
  <c r="AE389" i="8" s="1"/>
  <c r="AG389" i="8" s="1"/>
  <c r="N385" i="9"/>
  <c r="Q385" i="9" s="1"/>
  <c r="S385" i="9" s="1"/>
  <c r="T385" i="9" s="1"/>
  <c r="N240" i="8"/>
  <c r="Q240" i="8" s="1"/>
  <c r="S240" i="8" s="1"/>
  <c r="T240" i="8" s="1"/>
  <c r="N112" i="10"/>
  <c r="Q112" i="10" s="1"/>
  <c r="S112" i="10" s="1"/>
  <c r="AB181" i="8"/>
  <c r="AE181" i="8" s="1"/>
  <c r="AG181" i="8" s="1"/>
  <c r="P185" i="10"/>
  <c r="X185" i="10"/>
  <c r="U185" i="10"/>
  <c r="Y186" i="10" s="1"/>
  <c r="AC186" i="10" s="1"/>
  <c r="AD186" i="10" s="1"/>
  <c r="V185" i="10"/>
  <c r="AP159" i="10"/>
  <c r="AS159" i="10" s="1"/>
  <c r="AU159" i="10" s="1"/>
  <c r="N114" i="9"/>
  <c r="Q114" i="9" s="1"/>
  <c r="S114" i="9" s="1"/>
  <c r="N154" i="10"/>
  <c r="Q154" i="10" s="1"/>
  <c r="S154" i="10" s="1"/>
  <c r="AB376" i="8"/>
  <c r="AE376" i="8" s="1"/>
  <c r="AG376" i="8" s="1"/>
  <c r="N352" i="9"/>
  <c r="Q352" i="9" s="1"/>
  <c r="S352" i="9" s="1"/>
  <c r="N75" i="9"/>
  <c r="Q75" i="9" s="1"/>
  <c r="S75" i="9" s="1"/>
  <c r="T75" i="9" s="1"/>
  <c r="N384" i="8"/>
  <c r="Q384" i="8" s="1"/>
  <c r="S384" i="8" s="1"/>
  <c r="AP37" i="9"/>
  <c r="AS37" i="9" s="1"/>
  <c r="AU37" i="9" s="1"/>
  <c r="N328" i="8"/>
  <c r="Q328" i="8" s="1"/>
  <c r="S328" i="8" s="1"/>
  <c r="AB48" i="9"/>
  <c r="AE48" i="9" s="1"/>
  <c r="AG48" i="9" s="1"/>
  <c r="AB67" i="9"/>
  <c r="AE67" i="9" s="1"/>
  <c r="AG67" i="9" s="1"/>
  <c r="N315" i="8"/>
  <c r="Q315" i="8" s="1"/>
  <c r="S315" i="8" s="1"/>
  <c r="T315" i="8" s="1"/>
  <c r="AP188" i="8"/>
  <c r="AS188" i="8" s="1"/>
  <c r="AU188" i="8" s="1"/>
  <c r="AB63" i="9"/>
  <c r="AE63" i="9" s="1"/>
  <c r="AG63" i="9" s="1"/>
  <c r="AR105" i="10"/>
  <c r="AX105" i="10"/>
  <c r="AW105" i="10"/>
  <c r="AZ105" i="10"/>
  <c r="AP398" i="9"/>
  <c r="AS398" i="9" s="1"/>
  <c r="AU398" i="9" s="1"/>
  <c r="AB374" i="8"/>
  <c r="AE374" i="8" s="1"/>
  <c r="AG374" i="8" s="1"/>
  <c r="AP226" i="9"/>
  <c r="AS226" i="9" s="1"/>
  <c r="AU226" i="9" s="1"/>
  <c r="N168" i="8"/>
  <c r="Q168" i="8" s="1"/>
  <c r="S168" i="8" s="1"/>
  <c r="AL335" i="10"/>
  <c r="AD335" i="10"/>
  <c r="AJ335" i="10"/>
  <c r="AI335" i="10"/>
  <c r="AM336" i="10" s="1"/>
  <c r="AQ336" i="10" s="1"/>
  <c r="AR336" i="10" s="1"/>
  <c r="N325" i="8"/>
  <c r="Q325" i="8" s="1"/>
  <c r="S325" i="8" s="1"/>
  <c r="T325" i="8" s="1"/>
  <c r="AP269" i="8"/>
  <c r="AS269" i="8" s="1"/>
  <c r="AU269" i="8" s="1"/>
  <c r="AP364" i="9"/>
  <c r="AS364" i="9" s="1"/>
  <c r="AU364" i="9" s="1"/>
  <c r="AB346" i="8"/>
  <c r="AE346" i="8" s="1"/>
  <c r="AG346" i="8" s="1"/>
  <c r="N270" i="10"/>
  <c r="Q270" i="10" s="1"/>
  <c r="S270" i="10" s="1"/>
  <c r="T270" i="10" s="1"/>
  <c r="AC359" i="6"/>
  <c r="AB89" i="8"/>
  <c r="AE89" i="8" s="1"/>
  <c r="AG89" i="8" s="1"/>
  <c r="AP283" i="8"/>
  <c r="AS283" i="8" s="1"/>
  <c r="AU283" i="8" s="1"/>
  <c r="AP325" i="9"/>
  <c r="AS325" i="9" s="1"/>
  <c r="AU325" i="9" s="1"/>
  <c r="AV325" i="9" s="1"/>
  <c r="AY325" i="9" s="1"/>
  <c r="N364" i="10"/>
  <c r="Q364" i="10" s="1"/>
  <c r="S364" i="10" s="1"/>
  <c r="AP46" i="8"/>
  <c r="AS46" i="8" s="1"/>
  <c r="AU46" i="8" s="1"/>
  <c r="AP327" i="8"/>
  <c r="AS327" i="8" s="1"/>
  <c r="AU327" i="8" s="1"/>
  <c r="AB228" i="10"/>
  <c r="AE228" i="10" s="1"/>
  <c r="AG228" i="10" s="1"/>
  <c r="AP412" i="10"/>
  <c r="AS412" i="10" s="1"/>
  <c r="AU412" i="10" s="1"/>
  <c r="N325" i="10"/>
  <c r="Q325" i="10" s="1"/>
  <c r="S325" i="10" s="1"/>
  <c r="T325" i="10" s="1"/>
  <c r="N78" i="10"/>
  <c r="Q78" i="10" s="1"/>
  <c r="S78" i="10" s="1"/>
  <c r="AP370" i="8"/>
  <c r="AS370" i="8" s="1"/>
  <c r="AU370" i="8" s="1"/>
  <c r="AV370" i="8" s="1"/>
  <c r="AY370" i="8" s="1"/>
  <c r="AR90" i="9"/>
  <c r="AW90" i="9"/>
  <c r="AX90" i="9"/>
  <c r="AZ90" i="9"/>
  <c r="N413" i="8"/>
  <c r="Q413" i="8" s="1"/>
  <c r="S413" i="8" s="1"/>
  <c r="AB122" i="8"/>
  <c r="AE122" i="8" s="1"/>
  <c r="AG122" i="8" s="1"/>
  <c r="N222" i="8"/>
  <c r="Q222" i="8" s="1"/>
  <c r="S222" i="8" s="1"/>
  <c r="N150" i="10"/>
  <c r="Q150" i="10" s="1"/>
  <c r="S150" i="10" s="1"/>
  <c r="T150" i="10" s="1"/>
  <c r="AP26" i="10"/>
  <c r="AS26" i="10" s="1"/>
  <c r="AU26" i="10" s="1"/>
  <c r="AB333" i="10"/>
  <c r="AE333" i="10" s="1"/>
  <c r="AG333" i="10" s="1"/>
  <c r="AB41" i="8"/>
  <c r="AE41" i="8" s="1"/>
  <c r="AG41" i="8" s="1"/>
  <c r="AB77" i="10"/>
  <c r="AE77" i="10" s="1"/>
  <c r="AG77" i="10" s="1"/>
  <c r="N134" i="8"/>
  <c r="Q134" i="8" s="1"/>
  <c r="S134" i="8" s="1"/>
  <c r="AB151" i="8"/>
  <c r="AE151" i="8" s="1"/>
  <c r="AG151" i="8" s="1"/>
  <c r="N178" i="10"/>
  <c r="Q178" i="10" s="1"/>
  <c r="S178" i="10" s="1"/>
  <c r="N311" i="10"/>
  <c r="Q311" i="10" s="1"/>
  <c r="S311" i="10" s="1"/>
  <c r="AD310" i="10"/>
  <c r="AI310" i="10"/>
  <c r="AM311" i="10" s="1"/>
  <c r="AQ311" i="10" s="1"/>
  <c r="AJ310" i="10"/>
  <c r="AL310" i="10"/>
  <c r="AP312" i="9"/>
  <c r="AS312" i="9" s="1"/>
  <c r="AU312" i="9" s="1"/>
  <c r="AB188" i="10"/>
  <c r="AE188" i="10" s="1"/>
  <c r="AG188" i="10" s="1"/>
  <c r="AB344" i="10"/>
  <c r="AE344" i="10" s="1"/>
  <c r="AG344" i="10" s="1"/>
  <c r="AP52" i="9"/>
  <c r="AS52" i="9" s="1"/>
  <c r="AU52" i="9" s="1"/>
  <c r="AP79" i="8"/>
  <c r="AS79" i="8" s="1"/>
  <c r="AU79" i="8" s="1"/>
  <c r="AP155" i="8"/>
  <c r="AS155" i="8" s="1"/>
  <c r="AU155" i="8" s="1"/>
  <c r="AV155" i="8" s="1"/>
  <c r="AY155" i="8" s="1"/>
  <c r="AP146" i="9"/>
  <c r="AS146" i="9" s="1"/>
  <c r="AU146" i="9" s="1"/>
  <c r="AR55" i="10"/>
  <c r="AX55" i="10"/>
  <c r="AW55" i="10"/>
  <c r="AZ55" i="10"/>
  <c r="AF126" i="9"/>
  <c r="W125" i="9"/>
  <c r="W160" i="10"/>
  <c r="AM415" i="9"/>
  <c r="AQ415" i="9" s="1"/>
  <c r="AP415" i="9"/>
  <c r="AS415" i="9" s="1"/>
  <c r="AU415" i="9" s="1"/>
  <c r="AV415" i="9" s="1"/>
  <c r="AY415" i="9" s="1"/>
  <c r="AK150" i="10"/>
  <c r="AE380" i="9"/>
  <c r="AG380" i="9" s="1"/>
  <c r="AH380" i="9" s="1"/>
  <c r="AB380" i="9"/>
  <c r="Y380" i="9"/>
  <c r="AC380" i="9" s="1"/>
  <c r="AL360" i="9"/>
  <c r="AD360" i="9"/>
  <c r="AI360" i="9"/>
  <c r="AM361" i="9" s="1"/>
  <c r="AQ361" i="9" s="1"/>
  <c r="AR361" i="9" s="1"/>
  <c r="AT361" i="9" s="1"/>
  <c r="AJ360" i="9"/>
  <c r="AB392" i="9"/>
  <c r="AE392" i="9" s="1"/>
  <c r="AG392" i="9" s="1"/>
  <c r="AR305" i="10"/>
  <c r="AX305" i="10"/>
  <c r="AW305" i="10"/>
  <c r="AZ305" i="10"/>
  <c r="AZ165" i="9"/>
  <c r="AR165" i="9"/>
  <c r="AX165" i="9"/>
  <c r="AW165" i="9"/>
  <c r="AB408" i="10"/>
  <c r="AE408" i="10" s="1"/>
  <c r="AG408" i="10" s="1"/>
  <c r="V170" i="10"/>
  <c r="X170" i="10"/>
  <c r="P170" i="10"/>
  <c r="U170" i="10"/>
  <c r="Y171" i="10" s="1"/>
  <c r="AC171" i="10" s="1"/>
  <c r="AD171" i="10" s="1"/>
  <c r="AF171" i="10" s="1"/>
  <c r="AJ150" i="9"/>
  <c r="AD150" i="9"/>
  <c r="AI150" i="9"/>
  <c r="AM151" i="9" s="1"/>
  <c r="AQ151" i="9" s="1"/>
  <c r="AR151" i="9" s="1"/>
  <c r="AT151" i="9" s="1"/>
  <c r="AL150" i="9"/>
  <c r="K420" i="10"/>
  <c r="O420" i="10" s="1"/>
  <c r="N420" i="10"/>
  <c r="Q420" i="10" s="1"/>
  <c r="S420" i="10" s="1"/>
  <c r="T420" i="10" s="1"/>
  <c r="AL55" i="10"/>
  <c r="AD55" i="10"/>
  <c r="AJ55" i="10"/>
  <c r="AI55" i="10"/>
  <c r="AM56" i="10" s="1"/>
  <c r="AQ56" i="10" s="1"/>
  <c r="AR56" i="10" s="1"/>
  <c r="AT56" i="10" s="1"/>
  <c r="AZ145" i="9"/>
  <c r="AR145" i="9"/>
  <c r="AW145" i="9"/>
  <c r="AX145" i="9"/>
  <c r="AD95" i="9"/>
  <c r="AI95" i="9"/>
  <c r="AM96" i="9" s="1"/>
  <c r="AQ96" i="9" s="1"/>
  <c r="AJ95" i="9"/>
  <c r="AL95" i="9"/>
  <c r="X310" i="9"/>
  <c r="P310" i="9"/>
  <c r="V310" i="9"/>
  <c r="U310" i="9"/>
  <c r="Y311" i="9" s="1"/>
  <c r="AC311" i="9" s="1"/>
  <c r="AD311" i="9" s="1"/>
  <c r="AF311" i="9" s="1"/>
  <c r="AR165" i="10"/>
  <c r="AZ165" i="10"/>
  <c r="AX165" i="10"/>
  <c r="AW165" i="10"/>
  <c r="AB173" i="10"/>
  <c r="AE173" i="10" s="1"/>
  <c r="AG173" i="10" s="1"/>
  <c r="N269" i="9"/>
  <c r="Q269" i="9" s="1"/>
  <c r="S269" i="9" s="1"/>
  <c r="AB86" i="10"/>
  <c r="AE86" i="10" s="1"/>
  <c r="AG86" i="10" s="1"/>
  <c r="AP94" i="9"/>
  <c r="AS94" i="9" s="1"/>
  <c r="AU94" i="9" s="1"/>
  <c r="AB109" i="8"/>
  <c r="AE109" i="8" s="1"/>
  <c r="AG109" i="8" s="1"/>
  <c r="AB367" i="10"/>
  <c r="AE367" i="10" s="1"/>
  <c r="AG367" i="10" s="1"/>
  <c r="V290" i="10"/>
  <c r="U290" i="10"/>
  <c r="Y291" i="10" s="1"/>
  <c r="AC291" i="10" s="1"/>
  <c r="AD291" i="10" s="1"/>
  <c r="AF291" i="10" s="1"/>
  <c r="P290" i="10"/>
  <c r="X290" i="10"/>
  <c r="AP388" i="10"/>
  <c r="AS388" i="10" s="1"/>
  <c r="AU388" i="10" s="1"/>
  <c r="AB317" i="8"/>
  <c r="AE317" i="8" s="1"/>
  <c r="AG317" i="8" s="1"/>
  <c r="AP167" i="8"/>
  <c r="AS167" i="8" s="1"/>
  <c r="AU167" i="8" s="1"/>
  <c r="P330" i="9"/>
  <c r="U330" i="9"/>
  <c r="Y331" i="9" s="1"/>
  <c r="AC331" i="9" s="1"/>
  <c r="AD331" i="9" s="1"/>
  <c r="V330" i="9"/>
  <c r="X330" i="9"/>
  <c r="AB53" i="8"/>
  <c r="AE53" i="8" s="1"/>
  <c r="AG53" i="8" s="1"/>
  <c r="AB115" i="8"/>
  <c r="AE115" i="8" s="1"/>
  <c r="AG115" i="8" s="1"/>
  <c r="AH115" i="8" s="1"/>
  <c r="N169" i="9"/>
  <c r="Q169" i="9" s="1"/>
  <c r="S169" i="9" s="1"/>
  <c r="AZ185" i="9"/>
  <c r="AR185" i="9"/>
  <c r="AX185" i="9"/>
  <c r="AW185" i="9"/>
  <c r="AP137" i="10"/>
  <c r="AS137" i="10" s="1"/>
  <c r="AU137" i="10" s="1"/>
  <c r="AB424" i="9"/>
  <c r="AE424" i="9" s="1"/>
  <c r="AG424" i="9" s="1"/>
  <c r="AB258" i="10"/>
  <c r="AE258" i="10" s="1"/>
  <c r="AG258" i="10" s="1"/>
  <c r="AP294" i="10"/>
  <c r="AS294" i="10" s="1"/>
  <c r="AU294" i="10" s="1"/>
  <c r="N64" i="9"/>
  <c r="Q64" i="9" s="1"/>
  <c r="S64" i="9" s="1"/>
  <c r="AP36" i="8"/>
  <c r="AS36" i="8" s="1"/>
  <c r="AU36" i="8" s="1"/>
  <c r="N145" i="8"/>
  <c r="Q145" i="8" s="1"/>
  <c r="S145" i="8" s="1"/>
  <c r="T145" i="8" s="1"/>
  <c r="N214" i="10"/>
  <c r="Q214" i="10" s="1"/>
  <c r="S214" i="10" s="1"/>
  <c r="AB71" i="8"/>
  <c r="AE71" i="8" s="1"/>
  <c r="AG71" i="8" s="1"/>
  <c r="AP48" i="8"/>
  <c r="AS48" i="8" s="1"/>
  <c r="AU48" i="8" s="1"/>
  <c r="N216" i="9"/>
  <c r="Q216" i="9" s="1"/>
  <c r="S216" i="9" s="1"/>
  <c r="N57" i="8"/>
  <c r="Q57" i="8" s="1"/>
  <c r="S57" i="8" s="1"/>
  <c r="AP187" i="8"/>
  <c r="AS187" i="8" s="1"/>
  <c r="AU187" i="8" s="1"/>
  <c r="AA395" i="6"/>
  <c r="AB34" i="10"/>
  <c r="AE34" i="10" s="1"/>
  <c r="AG34" i="10" s="1"/>
  <c r="AR200" i="10"/>
  <c r="AX200" i="10"/>
  <c r="AW200" i="10"/>
  <c r="AZ200" i="10"/>
  <c r="AP165" i="8"/>
  <c r="AS165" i="8" s="1"/>
  <c r="AU165" i="8" s="1"/>
  <c r="AV165" i="8" s="1"/>
  <c r="AY165" i="8" s="1"/>
  <c r="N104" i="8"/>
  <c r="Q104" i="8" s="1"/>
  <c r="S104" i="8" s="1"/>
  <c r="AP121" i="9"/>
  <c r="AS121" i="9" s="1"/>
  <c r="AU121" i="9" s="1"/>
  <c r="N141" i="9"/>
  <c r="Q141" i="9" s="1"/>
  <c r="S141" i="9" s="1"/>
  <c r="AP88" i="9"/>
  <c r="AS88" i="9" s="1"/>
  <c r="AU88" i="9" s="1"/>
  <c r="AD255" i="10"/>
  <c r="AI255" i="10"/>
  <c r="AM256" i="10" s="1"/>
  <c r="AQ256" i="10" s="1"/>
  <c r="AR256" i="10" s="1"/>
  <c r="AL255" i="10"/>
  <c r="AJ255" i="10"/>
  <c r="AZ395" i="10"/>
  <c r="AW395" i="10"/>
  <c r="AR395" i="10"/>
  <c r="AX395" i="10"/>
  <c r="AB138" i="8"/>
  <c r="AE138" i="8" s="1"/>
  <c r="AG138" i="8" s="1"/>
  <c r="AB176" i="10"/>
  <c r="AE176" i="10" s="1"/>
  <c r="AG176" i="10" s="1"/>
  <c r="N230" i="10"/>
  <c r="Q230" i="10" s="1"/>
  <c r="S230" i="10" s="1"/>
  <c r="T230" i="10" s="1"/>
  <c r="V40" i="10"/>
  <c r="X40" i="10"/>
  <c r="P40" i="10"/>
  <c r="U40" i="10"/>
  <c r="Y41" i="10" s="1"/>
  <c r="AC41" i="10" s="1"/>
  <c r="AD41" i="10" s="1"/>
  <c r="AF41" i="10" s="1"/>
  <c r="AB199" i="9"/>
  <c r="AE199" i="9" s="1"/>
  <c r="AG199" i="9" s="1"/>
  <c r="N401" i="10"/>
  <c r="Q401" i="10" s="1"/>
  <c r="S401" i="10" s="1"/>
  <c r="P370" i="9"/>
  <c r="V370" i="9"/>
  <c r="U370" i="9"/>
  <c r="Y371" i="9" s="1"/>
  <c r="AC371" i="9" s="1"/>
  <c r="AD371" i="9" s="1"/>
  <c r="AF371" i="9" s="1"/>
  <c r="X370" i="9"/>
  <c r="N46" i="10"/>
  <c r="Q46" i="10" s="1"/>
  <c r="S46" i="10" s="1"/>
  <c r="AB117" i="9"/>
  <c r="AE117" i="9" s="1"/>
  <c r="AG117" i="9" s="1"/>
  <c r="AP128" i="8"/>
  <c r="AS128" i="8" s="1"/>
  <c r="AU128" i="8" s="1"/>
  <c r="AP86" i="10"/>
  <c r="AS86" i="10" s="1"/>
  <c r="AU86" i="10" s="1"/>
  <c r="N301" i="9"/>
  <c r="Q301" i="9" s="1"/>
  <c r="S301" i="9" s="1"/>
  <c r="N258" i="8"/>
  <c r="Q258" i="8" s="1"/>
  <c r="S258" i="8" s="1"/>
  <c r="AP367" i="10"/>
  <c r="AS367" i="10" s="1"/>
  <c r="AU367" i="10" s="1"/>
  <c r="N52" i="8"/>
  <c r="Q52" i="8" s="1"/>
  <c r="S52" i="8" s="1"/>
  <c r="AP387" i="9"/>
  <c r="AS387" i="9" s="1"/>
  <c r="AU387" i="9" s="1"/>
  <c r="AP94" i="10"/>
  <c r="AS94" i="10" s="1"/>
  <c r="AU94" i="10" s="1"/>
  <c r="AB381" i="10"/>
  <c r="AE381" i="10" s="1"/>
  <c r="AG381" i="10" s="1"/>
  <c r="N51" i="9"/>
  <c r="Q51" i="9" s="1"/>
  <c r="S51" i="9" s="1"/>
  <c r="AZ85" i="10"/>
  <c r="AR85" i="10"/>
  <c r="AW85" i="10"/>
  <c r="AX85" i="10"/>
  <c r="AP153" i="9"/>
  <c r="AS153" i="9" s="1"/>
  <c r="AU153" i="9" s="1"/>
  <c r="AP101" i="8"/>
  <c r="AS101" i="8" s="1"/>
  <c r="AU101" i="8" s="1"/>
  <c r="X45" i="9"/>
  <c r="P45" i="9"/>
  <c r="V45" i="9"/>
  <c r="U45" i="9"/>
  <c r="Y46" i="9" s="1"/>
  <c r="AC46" i="9" s="1"/>
  <c r="N367" i="10"/>
  <c r="Q367" i="10" s="1"/>
  <c r="S367" i="10" s="1"/>
  <c r="AP388" i="8"/>
  <c r="AS388" i="8" s="1"/>
  <c r="AU388" i="8" s="1"/>
  <c r="N223" i="10"/>
  <c r="Q223" i="10" s="1"/>
  <c r="S223" i="10" s="1"/>
  <c r="AP329" i="9"/>
  <c r="AS329" i="9" s="1"/>
  <c r="AU329" i="9" s="1"/>
  <c r="AP387" i="8"/>
  <c r="AS387" i="8" s="1"/>
  <c r="AU387" i="8" s="1"/>
  <c r="AP350" i="8"/>
  <c r="AS350" i="8" s="1"/>
  <c r="AU350" i="8" s="1"/>
  <c r="AV350" i="8" s="1"/>
  <c r="AY350" i="8" s="1"/>
  <c r="AB188" i="8"/>
  <c r="AE188" i="8" s="1"/>
  <c r="AG188" i="8" s="1"/>
  <c r="N159" i="8"/>
  <c r="Q159" i="8" s="1"/>
  <c r="S159" i="8" s="1"/>
  <c r="AP51" i="8"/>
  <c r="AS51" i="8" s="1"/>
  <c r="AU51" i="8" s="1"/>
  <c r="AR345" i="9"/>
  <c r="AX345" i="9"/>
  <c r="AW345" i="9"/>
  <c r="AZ345" i="9"/>
  <c r="AP248" i="8"/>
  <c r="AS248" i="8" s="1"/>
  <c r="AU248" i="8" s="1"/>
  <c r="AB46" i="8"/>
  <c r="AE46" i="8" s="1"/>
  <c r="AG46" i="8" s="1"/>
  <c r="N373" i="10"/>
  <c r="Q373" i="10" s="1"/>
  <c r="S373" i="10" s="1"/>
  <c r="N349" i="8"/>
  <c r="Q349" i="8" s="1"/>
  <c r="S349" i="8" s="1"/>
  <c r="AB25" i="10"/>
  <c r="AE25" i="10" s="1"/>
  <c r="AG25" i="10" s="1"/>
  <c r="AJ25" i="10" s="1"/>
  <c r="AB163" i="9"/>
  <c r="AE163" i="9" s="1"/>
  <c r="AG163" i="9" s="1"/>
  <c r="AB286" i="9"/>
  <c r="AE286" i="9" s="1"/>
  <c r="AG286" i="9" s="1"/>
  <c r="AB79" i="10"/>
  <c r="AE79" i="10" s="1"/>
  <c r="AG79" i="10" s="1"/>
  <c r="K420" i="8"/>
  <c r="N420" i="8"/>
  <c r="Q420" i="8" s="1"/>
  <c r="S420" i="8" s="1"/>
  <c r="T420" i="8" s="1"/>
  <c r="AB298" i="8"/>
  <c r="AE298" i="8" s="1"/>
  <c r="AG298" i="8" s="1"/>
  <c r="AD370" i="10"/>
  <c r="AJ370" i="10"/>
  <c r="AL370" i="10"/>
  <c r="N250" i="10"/>
  <c r="Q250" i="10" s="1"/>
  <c r="S250" i="10" s="1"/>
  <c r="T250" i="10" s="1"/>
  <c r="N358" i="8"/>
  <c r="Q358" i="8" s="1"/>
  <c r="S358" i="8" s="1"/>
  <c r="AP101" i="10"/>
  <c r="AS101" i="10" s="1"/>
  <c r="AU101" i="10" s="1"/>
  <c r="AX405" i="10"/>
  <c r="AW405" i="10"/>
  <c r="AP207" i="9"/>
  <c r="AS207" i="9" s="1"/>
  <c r="AU207" i="9" s="1"/>
  <c r="N166" i="9"/>
  <c r="Q166" i="9" s="1"/>
  <c r="S166" i="9" s="1"/>
  <c r="AB403" i="8"/>
  <c r="AE403" i="8" s="1"/>
  <c r="AG403" i="8" s="1"/>
  <c r="N26" i="8"/>
  <c r="Q26" i="8" s="1"/>
  <c r="S26" i="8" s="1"/>
  <c r="N91" i="8"/>
  <c r="Q91" i="8" s="1"/>
  <c r="S91" i="8" s="1"/>
  <c r="P175" i="9"/>
  <c r="U175" i="9"/>
  <c r="Y176" i="9" s="1"/>
  <c r="AC176" i="9" s="1"/>
  <c r="AD176" i="9" s="1"/>
  <c r="AF176" i="9" s="1"/>
  <c r="X175" i="9"/>
  <c r="V175" i="9"/>
  <c r="AB214" i="10"/>
  <c r="AE214" i="10" s="1"/>
  <c r="AG214" i="10" s="1"/>
  <c r="N127" i="10"/>
  <c r="Q127" i="10" s="1"/>
  <c r="S127" i="10" s="1"/>
  <c r="AB343" i="9"/>
  <c r="AE343" i="9" s="1"/>
  <c r="AG343" i="9" s="1"/>
  <c r="AP385" i="10"/>
  <c r="AS385" i="10" s="1"/>
  <c r="AU385" i="10" s="1"/>
  <c r="AV385" i="10" s="1"/>
  <c r="AY385" i="10" s="1"/>
  <c r="AP42" i="8"/>
  <c r="AS42" i="8" s="1"/>
  <c r="AU42" i="8" s="1"/>
  <c r="N135" i="9"/>
  <c r="Q135" i="9" s="1"/>
  <c r="S135" i="9" s="1"/>
  <c r="T135" i="9" s="1"/>
  <c r="AP226" i="8"/>
  <c r="AS226" i="8" s="1"/>
  <c r="AU226" i="8" s="1"/>
  <c r="V265" i="10"/>
  <c r="X265" i="10"/>
  <c r="AP337" i="10"/>
  <c r="AS337" i="10" s="1"/>
  <c r="AU337" i="10" s="1"/>
  <c r="N93" i="9"/>
  <c r="Q93" i="9" s="1"/>
  <c r="S93" i="9" s="1"/>
  <c r="P255" i="9"/>
  <c r="U255" i="9"/>
  <c r="Y256" i="9" s="1"/>
  <c r="AC256" i="9" s="1"/>
  <c r="AD256" i="9" s="1"/>
  <c r="AF256" i="9" s="1"/>
  <c r="V255" i="9"/>
  <c r="X255" i="9"/>
  <c r="AB61" i="9"/>
  <c r="AE61" i="9" s="1"/>
  <c r="AG61" i="9" s="1"/>
  <c r="AB104" i="8"/>
  <c r="AE104" i="8" s="1"/>
  <c r="AG104" i="8" s="1"/>
  <c r="N309" i="8"/>
  <c r="Q309" i="8" s="1"/>
  <c r="S309" i="8" s="1"/>
  <c r="AP106" i="9"/>
  <c r="AS106" i="9" s="1"/>
  <c r="AU106" i="9" s="1"/>
  <c r="AB110" i="10"/>
  <c r="AE110" i="10" s="1"/>
  <c r="AG110" i="10" s="1"/>
  <c r="AH110" i="10" s="1"/>
  <c r="AB303" i="9"/>
  <c r="AE303" i="9" s="1"/>
  <c r="AG303" i="9" s="1"/>
  <c r="AP171" i="10"/>
  <c r="AS171" i="10" s="1"/>
  <c r="AU171" i="10" s="1"/>
  <c r="AP282" i="8"/>
  <c r="AS282" i="8" s="1"/>
  <c r="AU282" i="8" s="1"/>
  <c r="N357" i="10"/>
  <c r="Q357" i="10" s="1"/>
  <c r="S357" i="10" s="1"/>
  <c r="N270" i="9"/>
  <c r="Q270" i="9" s="1"/>
  <c r="S270" i="9" s="1"/>
  <c r="T270" i="9" s="1"/>
  <c r="AB363" i="10"/>
  <c r="AE363" i="10" s="1"/>
  <c r="AG363" i="10" s="1"/>
  <c r="AP28" i="10"/>
  <c r="AS28" i="10" s="1"/>
  <c r="AU28" i="10" s="1"/>
  <c r="AB296" i="8"/>
  <c r="AE296" i="8" s="1"/>
  <c r="AG296" i="8" s="1"/>
  <c r="AP141" i="10"/>
  <c r="AS141" i="10" s="1"/>
  <c r="AU141" i="10" s="1"/>
  <c r="AB328" i="10"/>
  <c r="AE328" i="10" s="1"/>
  <c r="AG328" i="10" s="1"/>
  <c r="AP293" i="8"/>
  <c r="AS293" i="8" s="1"/>
  <c r="AU293" i="8" s="1"/>
  <c r="AR400" i="9"/>
  <c r="AW400" i="9"/>
  <c r="AX400" i="9"/>
  <c r="AZ400" i="9"/>
  <c r="N339" i="10"/>
  <c r="Q339" i="10" s="1"/>
  <c r="S339" i="10" s="1"/>
  <c r="AP143" i="10"/>
  <c r="AS143" i="10" s="1"/>
  <c r="AU143" i="10" s="1"/>
  <c r="N120" i="9"/>
  <c r="Q120" i="9" s="1"/>
  <c r="S120" i="9" s="1"/>
  <c r="T120" i="9" s="1"/>
  <c r="AB136" i="8"/>
  <c r="AE136" i="8" s="1"/>
  <c r="AG136" i="8" s="1"/>
  <c r="AL195" i="9"/>
  <c r="AD195" i="9"/>
  <c r="AJ195" i="9"/>
  <c r="AI195" i="9"/>
  <c r="AM196" i="9" s="1"/>
  <c r="AQ196" i="9" s="1"/>
  <c r="AR196" i="9" s="1"/>
  <c r="AL400" i="10"/>
  <c r="AD400" i="10"/>
  <c r="AJ400" i="10"/>
  <c r="AI400" i="10"/>
  <c r="AM401" i="10" s="1"/>
  <c r="AQ401" i="10" s="1"/>
  <c r="AR401" i="10" s="1"/>
  <c r="AB349" i="8"/>
  <c r="AE349" i="8" s="1"/>
  <c r="AG349" i="8" s="1"/>
  <c r="AP396" i="8"/>
  <c r="AS396" i="8" s="1"/>
  <c r="AU396" i="8" s="1"/>
  <c r="AB320" i="8"/>
  <c r="AE320" i="8" s="1"/>
  <c r="AG320" i="8" s="1"/>
  <c r="AH320" i="8" s="1"/>
  <c r="AP53" i="8"/>
  <c r="AS53" i="8" s="1"/>
  <c r="AU53" i="8" s="1"/>
  <c r="AR375" i="9"/>
  <c r="AW375" i="9"/>
  <c r="AZ375" i="9"/>
  <c r="AX375" i="9"/>
  <c r="AP416" i="9"/>
  <c r="AS416" i="9" s="1"/>
  <c r="AU416" i="9" s="1"/>
  <c r="AP90" i="8"/>
  <c r="AS90" i="8" s="1"/>
  <c r="AU90" i="8" s="1"/>
  <c r="AV90" i="8" s="1"/>
  <c r="AY90" i="8" s="1"/>
  <c r="AB29" i="9"/>
  <c r="AE29" i="9" s="1"/>
  <c r="AG29" i="9" s="1"/>
  <c r="AP186" i="10"/>
  <c r="AS186" i="10" s="1"/>
  <c r="AU186" i="10" s="1"/>
  <c r="AP113" i="10"/>
  <c r="AS113" i="10" s="1"/>
  <c r="AU113" i="10" s="1"/>
  <c r="AB422" i="9"/>
  <c r="AE422" i="9" s="1"/>
  <c r="AG422" i="9" s="1"/>
  <c r="AJ240" i="9"/>
  <c r="AI240" i="9"/>
  <c r="AM241" i="9" s="1"/>
  <c r="AQ241" i="9" s="1"/>
  <c r="AR241" i="9" s="1"/>
  <c r="AT241" i="9" s="1"/>
  <c r="AD240" i="9"/>
  <c r="AL240" i="9"/>
  <c r="P370" i="10"/>
  <c r="X370" i="10"/>
  <c r="V370" i="10"/>
  <c r="U370" i="10"/>
  <c r="Y371" i="10" s="1"/>
  <c r="AC371" i="10" s="1"/>
  <c r="N175" i="8"/>
  <c r="Q175" i="8" s="1"/>
  <c r="S175" i="8" s="1"/>
  <c r="T175" i="8" s="1"/>
  <c r="N147" i="9"/>
  <c r="Q147" i="9" s="1"/>
  <c r="S147" i="9" s="1"/>
  <c r="AB409" i="8"/>
  <c r="AE409" i="8" s="1"/>
  <c r="AG409" i="8" s="1"/>
  <c r="AP286" i="10"/>
  <c r="AS286" i="10" s="1"/>
  <c r="AU286" i="10" s="1"/>
  <c r="N378" i="8"/>
  <c r="Q378" i="8" s="1"/>
  <c r="S378" i="8" s="1"/>
  <c r="N375" i="10"/>
  <c r="Q375" i="10" s="1"/>
  <c r="S375" i="10" s="1"/>
  <c r="T375" i="10" s="1"/>
  <c r="AC382" i="6"/>
  <c r="AB340" i="9"/>
  <c r="AE340" i="9" s="1"/>
  <c r="AG340" i="9" s="1"/>
  <c r="AH340" i="9" s="1"/>
  <c r="X265" i="9"/>
  <c r="P265" i="9"/>
  <c r="V265" i="9"/>
  <c r="U265" i="9"/>
  <c r="Y266" i="9" s="1"/>
  <c r="AC266" i="9" s="1"/>
  <c r="AD266" i="9" s="1"/>
  <c r="AF266" i="9" s="1"/>
  <c r="N217" i="8"/>
  <c r="Q217" i="8" s="1"/>
  <c r="S217" i="8" s="1"/>
  <c r="AP343" i="9"/>
  <c r="AS343" i="9" s="1"/>
  <c r="AU343" i="9" s="1"/>
  <c r="N237" i="10"/>
  <c r="Q237" i="10" s="1"/>
  <c r="S237" i="10" s="1"/>
  <c r="P385" i="10"/>
  <c r="U385" i="10"/>
  <c r="Y386" i="10" s="1"/>
  <c r="AC386" i="10" s="1"/>
  <c r="AD386" i="10" s="1"/>
  <c r="V385" i="10"/>
  <c r="X385" i="10"/>
  <c r="AB237" i="8"/>
  <c r="AE237" i="8" s="1"/>
  <c r="AG237" i="8" s="1"/>
  <c r="N226" i="8"/>
  <c r="Q226" i="8" s="1"/>
  <c r="S226" i="8" s="1"/>
  <c r="AL410" i="9"/>
  <c r="AD410" i="9"/>
  <c r="AJ410" i="9"/>
  <c r="AI410" i="9"/>
  <c r="AM411" i="9" s="1"/>
  <c r="AQ411" i="9" s="1"/>
  <c r="AR411" i="9" s="1"/>
  <c r="AT411" i="9" s="1"/>
  <c r="N95" i="8"/>
  <c r="Q95" i="8" s="1"/>
  <c r="S95" i="8" s="1"/>
  <c r="T95" i="8" s="1"/>
  <c r="N384" i="10"/>
  <c r="Q384" i="10" s="1"/>
  <c r="S384" i="10" s="1"/>
  <c r="N178" i="8"/>
  <c r="Q178" i="8" s="1"/>
  <c r="S178" i="8" s="1"/>
  <c r="N277" i="8"/>
  <c r="Q277" i="8" s="1"/>
  <c r="S277" i="8" s="1"/>
  <c r="AB93" i="9"/>
  <c r="AE93" i="9" s="1"/>
  <c r="AG93" i="9" s="1"/>
  <c r="P105" i="9"/>
  <c r="V105" i="9"/>
  <c r="U105" i="9"/>
  <c r="Y106" i="9" s="1"/>
  <c r="AC106" i="9" s="1"/>
  <c r="AD106" i="9" s="1"/>
  <c r="AF106" i="9" s="1"/>
  <c r="X105" i="9"/>
  <c r="AP173" i="8"/>
  <c r="AS173" i="8" s="1"/>
  <c r="AU173" i="8" s="1"/>
  <c r="AP67" i="9"/>
  <c r="AS67" i="9" s="1"/>
  <c r="AU67" i="9" s="1"/>
  <c r="N354" i="9"/>
  <c r="Q354" i="9" s="1"/>
  <c r="S354" i="9" s="1"/>
  <c r="AP145" i="10"/>
  <c r="AS145" i="10" s="1"/>
  <c r="AU145" i="10" s="1"/>
  <c r="AV145" i="10" s="1"/>
  <c r="AY145" i="10" s="1"/>
  <c r="AB221" i="8"/>
  <c r="AE221" i="8" s="1"/>
  <c r="AG221" i="8" s="1"/>
  <c r="N282" i="8"/>
  <c r="Q282" i="8" s="1"/>
  <c r="S282" i="8" s="1"/>
  <c r="X105" i="10"/>
  <c r="P105" i="10"/>
  <c r="V105" i="10"/>
  <c r="U105" i="10"/>
  <c r="Y106" i="10" s="1"/>
  <c r="AC106" i="10" s="1"/>
  <c r="AD106" i="10" s="1"/>
  <c r="AF106" i="10" s="1"/>
  <c r="AB400" i="8"/>
  <c r="AE400" i="8" s="1"/>
  <c r="AG400" i="8" s="1"/>
  <c r="AH400" i="8" s="1"/>
  <c r="AP363" i="10"/>
  <c r="AS363" i="10" s="1"/>
  <c r="AU363" i="10" s="1"/>
  <c r="N226" i="9"/>
  <c r="Q226" i="9" s="1"/>
  <c r="S226" i="9" s="1"/>
  <c r="AB257" i="9"/>
  <c r="AE257" i="9" s="1"/>
  <c r="AG257" i="9" s="1"/>
  <c r="N39" i="8"/>
  <c r="Q39" i="8" s="1"/>
  <c r="S39" i="8" s="1"/>
  <c r="AD345" i="9"/>
  <c r="AL345" i="9"/>
  <c r="AJ345" i="9"/>
  <c r="AI345" i="9"/>
  <c r="AM346" i="9" s="1"/>
  <c r="AQ346" i="9" s="1"/>
  <c r="AR346" i="9" s="1"/>
  <c r="AT346" i="9" s="1"/>
  <c r="AB186" i="8"/>
  <c r="AE186" i="8" s="1"/>
  <c r="AG186" i="8" s="1"/>
  <c r="AP301" i="8"/>
  <c r="AS301" i="8" s="1"/>
  <c r="AU301" i="8" s="1"/>
  <c r="AB339" i="8"/>
  <c r="AE339" i="8" s="1"/>
  <c r="AG339" i="8" s="1"/>
  <c r="AD120" i="9"/>
  <c r="AJ120" i="9"/>
  <c r="AL120" i="9"/>
  <c r="AI120" i="9"/>
  <c r="AM121" i="9" s="1"/>
  <c r="AQ121" i="9" s="1"/>
  <c r="N133" i="8"/>
  <c r="Q133" i="8" s="1"/>
  <c r="S133" i="8" s="1"/>
  <c r="AB243" i="10"/>
  <c r="AE243" i="10" s="1"/>
  <c r="AG243" i="10" s="1"/>
  <c r="AP195" i="9"/>
  <c r="AS195" i="9" s="1"/>
  <c r="AU195" i="9" s="1"/>
  <c r="AV195" i="9" s="1"/>
  <c r="AY195" i="9" s="1"/>
  <c r="N233" i="10"/>
  <c r="Q233" i="10" s="1"/>
  <c r="S233" i="10" s="1"/>
  <c r="P360" i="10"/>
  <c r="X360" i="10"/>
  <c r="V360" i="10"/>
  <c r="U360" i="10"/>
  <c r="Y361" i="10" s="1"/>
  <c r="AC361" i="10" s="1"/>
  <c r="AD361" i="10" s="1"/>
  <c r="AF361" i="10" s="1"/>
  <c r="N317" i="9"/>
  <c r="Q317" i="9" s="1"/>
  <c r="S317" i="9" s="1"/>
  <c r="AB90" i="10"/>
  <c r="AE90" i="10" s="1"/>
  <c r="AG90" i="10" s="1"/>
  <c r="AH90" i="10" s="1"/>
  <c r="AP194" i="8"/>
  <c r="AS194" i="8" s="1"/>
  <c r="AU194" i="8" s="1"/>
  <c r="AP117" i="10"/>
  <c r="AS117" i="10" s="1"/>
  <c r="AU117" i="10" s="1"/>
  <c r="AB189" i="10"/>
  <c r="AE189" i="10" s="1"/>
  <c r="AG189" i="10" s="1"/>
  <c r="AB223" i="10"/>
  <c r="AE223" i="10" s="1"/>
  <c r="AG223" i="10" s="1"/>
  <c r="AP242" i="10"/>
  <c r="AS242" i="10" s="1"/>
  <c r="AU242" i="10" s="1"/>
  <c r="AB101" i="9"/>
  <c r="AE101" i="9" s="1"/>
  <c r="AG101" i="9" s="1"/>
  <c r="N331" i="9"/>
  <c r="Q331" i="9" s="1"/>
  <c r="S331" i="9" s="1"/>
  <c r="AB299" i="10"/>
  <c r="AE299" i="10" s="1"/>
  <c r="AG299" i="10" s="1"/>
  <c r="P30" i="10"/>
  <c r="V30" i="10"/>
  <c r="U30" i="10"/>
  <c r="Y31" i="10" s="1"/>
  <c r="AC31" i="10" s="1"/>
  <c r="AD31" i="10" s="1"/>
  <c r="AP217" i="9"/>
  <c r="AS217" i="9" s="1"/>
  <c r="AU217" i="9" s="1"/>
  <c r="AB371" i="10"/>
  <c r="AE371" i="10" s="1"/>
  <c r="AG371" i="10" s="1"/>
  <c r="AP255" i="9"/>
  <c r="AS255" i="9" s="1"/>
  <c r="AU255" i="9" s="1"/>
  <c r="AV255" i="9" s="1"/>
  <c r="AY255" i="9" s="1"/>
  <c r="AP365" i="8"/>
  <c r="AS365" i="8" s="1"/>
  <c r="AU365" i="8" s="1"/>
  <c r="AV365" i="8" s="1"/>
  <c r="AY365" i="8" s="1"/>
  <c r="N378" i="10"/>
  <c r="Q378" i="10" s="1"/>
  <c r="S378" i="10" s="1"/>
  <c r="AZ355" i="10"/>
  <c r="AR355" i="10"/>
  <c r="AX355" i="10"/>
  <c r="AW355" i="10"/>
  <c r="AP202" i="10"/>
  <c r="AS202" i="10" s="1"/>
  <c r="AU202" i="10" s="1"/>
  <c r="AB197" i="9"/>
  <c r="AE197" i="9" s="1"/>
  <c r="AG197" i="9" s="1"/>
  <c r="N243" i="8"/>
  <c r="Q243" i="8" s="1"/>
  <c r="S243" i="8" s="1"/>
  <c r="AB277" i="9"/>
  <c r="AE277" i="9" s="1"/>
  <c r="AG277" i="9" s="1"/>
  <c r="AB137" i="9"/>
  <c r="AE137" i="9" s="1"/>
  <c r="AG137" i="9" s="1"/>
  <c r="AP95" i="10"/>
  <c r="AS95" i="10" s="1"/>
  <c r="AU95" i="10" s="1"/>
  <c r="AV95" i="10" s="1"/>
  <c r="AY95" i="10" s="1"/>
  <c r="AB85" i="9"/>
  <c r="AE85" i="9" s="1"/>
  <c r="AG85" i="9" s="1"/>
  <c r="AH85" i="9" s="1"/>
  <c r="AR310" i="10"/>
  <c r="AX310" i="10"/>
  <c r="AZ310" i="10"/>
  <c r="AW310" i="10"/>
  <c r="AB296" i="9"/>
  <c r="AE296" i="9" s="1"/>
  <c r="AG296" i="9" s="1"/>
  <c r="AB167" i="9"/>
  <c r="AE167" i="9" s="1"/>
  <c r="AG167" i="9" s="1"/>
  <c r="AP264" i="9"/>
  <c r="AS264" i="9" s="1"/>
  <c r="AU264" i="9" s="1"/>
  <c r="AB247" i="10"/>
  <c r="AE247" i="10" s="1"/>
  <c r="AG247" i="10" s="1"/>
  <c r="AP258" i="9"/>
  <c r="AS258" i="9" s="1"/>
  <c r="AU258" i="9" s="1"/>
  <c r="AB138" i="9"/>
  <c r="AE138" i="9" s="1"/>
  <c r="AG138" i="9" s="1"/>
  <c r="AP210" i="9"/>
  <c r="AS210" i="9" s="1"/>
  <c r="AU210" i="9" s="1"/>
  <c r="AV210" i="9" s="1"/>
  <c r="AY210" i="9" s="1"/>
  <c r="AP42" i="9"/>
  <c r="AS42" i="9" s="1"/>
  <c r="AU42" i="9" s="1"/>
  <c r="AB34" i="8"/>
  <c r="AE34" i="8" s="1"/>
  <c r="AG34" i="8" s="1"/>
  <c r="AP169" i="10"/>
  <c r="AS169" i="10" s="1"/>
  <c r="AU169" i="10" s="1"/>
  <c r="N263" i="8"/>
  <c r="Q263" i="8" s="1"/>
  <c r="S263" i="8" s="1"/>
  <c r="AB160" i="9"/>
  <c r="AE160" i="9" s="1"/>
  <c r="AG160" i="9" s="1"/>
  <c r="AH160" i="9" s="1"/>
  <c r="N185" i="8"/>
  <c r="Q185" i="8" s="1"/>
  <c r="S185" i="8" s="1"/>
  <c r="T185" i="8" s="1"/>
  <c r="N213" i="10"/>
  <c r="Q213" i="10" s="1"/>
  <c r="S213" i="10" s="1"/>
  <c r="AR350" i="9"/>
  <c r="AW350" i="9"/>
  <c r="AX350" i="9"/>
  <c r="AL265" i="9"/>
  <c r="AD265" i="9"/>
  <c r="AI265" i="9"/>
  <c r="AM266" i="9" s="1"/>
  <c r="AQ266" i="9" s="1"/>
  <c r="AR266" i="9" s="1"/>
  <c r="AT266" i="9" s="1"/>
  <c r="AJ265" i="9"/>
  <c r="AP274" i="8"/>
  <c r="AS274" i="8" s="1"/>
  <c r="AU274" i="8" s="1"/>
  <c r="N278" i="8"/>
  <c r="Q278" i="8" s="1"/>
  <c r="S278" i="8" s="1"/>
  <c r="N376" i="8"/>
  <c r="Q376" i="8" s="1"/>
  <c r="S376" i="8" s="1"/>
  <c r="N395" i="8"/>
  <c r="Q395" i="8" s="1"/>
  <c r="S395" i="8" s="1"/>
  <c r="T395" i="8" s="1"/>
  <c r="AB267" i="9"/>
  <c r="AE267" i="9" s="1"/>
  <c r="AG267" i="9" s="1"/>
  <c r="AB232" i="8"/>
  <c r="AE232" i="8" s="1"/>
  <c r="AG232" i="8" s="1"/>
  <c r="AP352" i="9"/>
  <c r="AS352" i="9" s="1"/>
  <c r="AU352" i="9" s="1"/>
  <c r="AP410" i="9"/>
  <c r="AS410" i="9" s="1"/>
  <c r="AU410" i="9" s="1"/>
  <c r="AV410" i="9" s="1"/>
  <c r="AY410" i="9" s="1"/>
  <c r="N287" i="9"/>
  <c r="Q287" i="9" s="1"/>
  <c r="S287" i="9" s="1"/>
  <c r="AB404" i="9"/>
  <c r="AE404" i="9" s="1"/>
  <c r="AG404" i="9" s="1"/>
  <c r="AP127" i="8"/>
  <c r="AS127" i="8" s="1"/>
  <c r="AU127" i="8" s="1"/>
  <c r="AP207" i="8"/>
  <c r="AS207" i="8" s="1"/>
  <c r="AU207" i="8" s="1"/>
  <c r="AB224" i="10"/>
  <c r="AE224" i="10" s="1"/>
  <c r="AG224" i="10" s="1"/>
  <c r="N396" i="10"/>
  <c r="Q396" i="10" s="1"/>
  <c r="S396" i="10" s="1"/>
  <c r="U205" i="9"/>
  <c r="Y206" i="9" s="1"/>
  <c r="AC206" i="9" s="1"/>
  <c r="AD206" i="9" s="1"/>
  <c r="X205" i="9"/>
  <c r="P205" i="9"/>
  <c r="V205" i="9"/>
  <c r="AP118" i="8"/>
  <c r="AS118" i="8" s="1"/>
  <c r="AU118" i="8" s="1"/>
  <c r="N200" i="8"/>
  <c r="Q200" i="8" s="1"/>
  <c r="S200" i="8" s="1"/>
  <c r="T200" i="8" s="1"/>
  <c r="N169" i="10"/>
  <c r="Q169" i="10" s="1"/>
  <c r="S169" i="10" s="1"/>
  <c r="AB115" i="10"/>
  <c r="AE115" i="10" s="1"/>
  <c r="AG115" i="10" s="1"/>
  <c r="AH115" i="10" s="1"/>
  <c r="N144" i="10"/>
  <c r="Q144" i="10" s="1"/>
  <c r="S144" i="10" s="1"/>
  <c r="N350" i="9"/>
  <c r="Q350" i="9" s="1"/>
  <c r="S350" i="9" s="1"/>
  <c r="T350" i="9" s="1"/>
  <c r="N382" i="8"/>
  <c r="Q382" i="8" s="1"/>
  <c r="S382" i="8" s="1"/>
  <c r="AB253" i="8"/>
  <c r="AE253" i="8" s="1"/>
  <c r="AG253" i="8" s="1"/>
  <c r="AB240" i="10"/>
  <c r="AE240" i="10" s="1"/>
  <c r="AG240" i="10" s="1"/>
  <c r="AH240" i="10" s="1"/>
  <c r="AR30" i="9"/>
  <c r="AW30" i="9"/>
  <c r="AX30" i="9"/>
  <c r="AZ30" i="9"/>
  <c r="N274" i="8"/>
  <c r="Q274" i="8" s="1"/>
  <c r="S274" i="8" s="1"/>
  <c r="AP118" i="9"/>
  <c r="AS118" i="9" s="1"/>
  <c r="AU118" i="9" s="1"/>
  <c r="N229" i="10"/>
  <c r="Q229" i="10" s="1"/>
  <c r="S229" i="10" s="1"/>
  <c r="AB263" i="9"/>
  <c r="AE263" i="9" s="1"/>
  <c r="AG263" i="9" s="1"/>
  <c r="AD190" i="10"/>
  <c r="AL190" i="10"/>
  <c r="AJ190" i="10"/>
  <c r="AI190" i="10"/>
  <c r="AM191" i="10" s="1"/>
  <c r="AQ191" i="10" s="1"/>
  <c r="AR191" i="10" s="1"/>
  <c r="AT191" i="10" s="1"/>
  <c r="AB69" i="10"/>
  <c r="AE69" i="10" s="1"/>
  <c r="AG69" i="10" s="1"/>
  <c r="AB287" i="9"/>
  <c r="AE287" i="9" s="1"/>
  <c r="AG287" i="9" s="1"/>
  <c r="AP384" i="8"/>
  <c r="AS384" i="8" s="1"/>
  <c r="AU384" i="8" s="1"/>
  <c r="AJ30" i="10"/>
  <c r="AL30" i="10"/>
  <c r="AD30" i="10"/>
  <c r="AI30" i="10"/>
  <c r="AM31" i="10" s="1"/>
  <c r="AQ31" i="10" s="1"/>
  <c r="AR31" i="10" s="1"/>
  <c r="AB80" i="10"/>
  <c r="AE80" i="10" s="1"/>
  <c r="AG80" i="10" s="1"/>
  <c r="AH80" i="10" s="1"/>
  <c r="AB118" i="10"/>
  <c r="AE118" i="10" s="1"/>
  <c r="AG118" i="10" s="1"/>
  <c r="N122" i="8"/>
  <c r="Q122" i="8" s="1"/>
  <c r="S122" i="8" s="1"/>
  <c r="AB297" i="10"/>
  <c r="AE297" i="10" s="1"/>
  <c r="AG297" i="10" s="1"/>
  <c r="AB357" i="9"/>
  <c r="AE357" i="9" s="1"/>
  <c r="AG357" i="9" s="1"/>
  <c r="N230" i="9"/>
  <c r="Q230" i="9" s="1"/>
  <c r="S230" i="9" s="1"/>
  <c r="T230" i="9" s="1"/>
  <c r="AP174" i="8"/>
  <c r="AS174" i="8" s="1"/>
  <c r="AU174" i="8" s="1"/>
  <c r="AP178" i="9"/>
  <c r="AS178" i="9" s="1"/>
  <c r="AU178" i="9" s="1"/>
  <c r="N41" i="8"/>
  <c r="Q41" i="8" s="1"/>
  <c r="S41" i="8" s="1"/>
  <c r="N323" i="10"/>
  <c r="Q323" i="10" s="1"/>
  <c r="S323" i="10" s="1"/>
  <c r="AB225" i="9"/>
  <c r="AE225" i="9" s="1"/>
  <c r="AG225" i="9" s="1"/>
  <c r="AH225" i="9" s="1"/>
  <c r="AB369" i="9"/>
  <c r="AE369" i="9" s="1"/>
  <c r="AG369" i="9" s="1"/>
  <c r="AP173" i="9"/>
  <c r="AS173" i="9" s="1"/>
  <c r="AU173" i="9" s="1"/>
  <c r="AB222" i="9"/>
  <c r="AE222" i="9" s="1"/>
  <c r="AG222" i="9" s="1"/>
  <c r="AP134" i="9"/>
  <c r="AS134" i="9" s="1"/>
  <c r="AU134" i="9" s="1"/>
  <c r="AB235" i="9"/>
  <c r="AE235" i="9" s="1"/>
  <c r="AG235" i="9" s="1"/>
  <c r="AH235" i="9" s="1"/>
  <c r="AB192" i="10"/>
  <c r="AE192" i="10" s="1"/>
  <c r="AG192" i="10" s="1"/>
  <c r="N153" i="8"/>
  <c r="Q153" i="8" s="1"/>
  <c r="S153" i="8" s="1"/>
  <c r="N225" i="10"/>
  <c r="Q225" i="10" s="1"/>
  <c r="S225" i="10" s="1"/>
  <c r="T225" i="10" s="1"/>
  <c r="AB398" i="10"/>
  <c r="AE398" i="10" s="1"/>
  <c r="AG398" i="10" s="1"/>
  <c r="AP79" i="9"/>
  <c r="AS79" i="9" s="1"/>
  <c r="AU79" i="9" s="1"/>
  <c r="N143" i="8"/>
  <c r="Q143" i="8" s="1"/>
  <c r="S143" i="8" s="1"/>
  <c r="AP288" i="10"/>
  <c r="AS288" i="10" s="1"/>
  <c r="AU288" i="10" s="1"/>
  <c r="AB312" i="9"/>
  <c r="AE312" i="9" s="1"/>
  <c r="AG312" i="9" s="1"/>
  <c r="N119" i="10"/>
  <c r="Q119" i="10" s="1"/>
  <c r="S119" i="10" s="1"/>
  <c r="N152" i="10"/>
  <c r="Q152" i="10" s="1"/>
  <c r="S152" i="10" s="1"/>
  <c r="N393" i="9"/>
  <c r="Q393" i="9" s="1"/>
  <c r="S393" i="9" s="1"/>
  <c r="AP373" i="10"/>
  <c r="AS373" i="10" s="1"/>
  <c r="AU373" i="10" s="1"/>
  <c r="AP203" i="10"/>
  <c r="AS203" i="10" s="1"/>
  <c r="AU203" i="10" s="1"/>
  <c r="AB52" i="9"/>
  <c r="AE52" i="9" s="1"/>
  <c r="AG52" i="9" s="1"/>
  <c r="AZ90" i="10"/>
  <c r="AW90" i="10"/>
  <c r="AR90" i="10"/>
  <c r="AX90" i="10"/>
  <c r="AP414" i="9"/>
  <c r="AS414" i="9" s="1"/>
  <c r="AU414" i="9" s="1"/>
  <c r="AB245" i="8"/>
  <c r="AE245" i="8" s="1"/>
  <c r="AG245" i="8" s="1"/>
  <c r="AH245" i="8" s="1"/>
  <c r="AB198" i="9"/>
  <c r="AE198" i="9" s="1"/>
  <c r="AG198" i="9" s="1"/>
  <c r="AP163" i="8"/>
  <c r="AS163" i="8" s="1"/>
  <c r="AU163" i="8" s="1"/>
  <c r="U195" i="10"/>
  <c r="Y196" i="10" s="1"/>
  <c r="AC196" i="10" s="1"/>
  <c r="AD196" i="10" s="1"/>
  <c r="P195" i="10"/>
  <c r="X195" i="10"/>
  <c r="V195" i="10"/>
  <c r="AB281" i="8"/>
  <c r="AE281" i="8" s="1"/>
  <c r="AG281" i="8" s="1"/>
  <c r="N191" i="10"/>
  <c r="Q191" i="10" s="1"/>
  <c r="S191" i="10" s="1"/>
  <c r="N346" i="10"/>
  <c r="Q346" i="10" s="1"/>
  <c r="S346" i="10" s="1"/>
  <c r="AP418" i="9"/>
  <c r="AS418" i="9" s="1"/>
  <c r="AU418" i="9" s="1"/>
  <c r="N115" i="8"/>
  <c r="Q115" i="8" s="1"/>
  <c r="S115" i="8" s="1"/>
  <c r="T115" i="8" s="1"/>
  <c r="AP357" i="9"/>
  <c r="AS357" i="9" s="1"/>
  <c r="AU357" i="9" s="1"/>
  <c r="AB102" i="9"/>
  <c r="AE102" i="9" s="1"/>
  <c r="AG102" i="9" s="1"/>
  <c r="AB216" i="10"/>
  <c r="AE216" i="10" s="1"/>
  <c r="AG216" i="10" s="1"/>
  <c r="AP119" i="8"/>
  <c r="AS119" i="8" s="1"/>
  <c r="AU119" i="8" s="1"/>
  <c r="AP344" i="8"/>
  <c r="AS344" i="8" s="1"/>
  <c r="AU344" i="8" s="1"/>
  <c r="AB211" i="9"/>
  <c r="AE211" i="9" s="1"/>
  <c r="AG211" i="9" s="1"/>
  <c r="AR235" i="9"/>
  <c r="AZ235" i="9"/>
  <c r="AW235" i="9"/>
  <c r="AX235" i="9"/>
  <c r="N362" i="9"/>
  <c r="Q362" i="9" s="1"/>
  <c r="S362" i="9" s="1"/>
  <c r="P165" i="10"/>
  <c r="V165" i="10"/>
  <c r="U165" i="10"/>
  <c r="Y166" i="10" s="1"/>
  <c r="AC166" i="10" s="1"/>
  <c r="AD166" i="10" s="1"/>
  <c r="X165" i="10"/>
  <c r="N223" i="9"/>
  <c r="Q223" i="9" s="1"/>
  <c r="S223" i="9" s="1"/>
  <c r="AW315" i="10"/>
  <c r="AZ315" i="10"/>
  <c r="AR315" i="10"/>
  <c r="AX315" i="10"/>
  <c r="AB90" i="8"/>
  <c r="AE90" i="8" s="1"/>
  <c r="AG90" i="8" s="1"/>
  <c r="AH90" i="8" s="1"/>
  <c r="AP228" i="10"/>
  <c r="AS228" i="10" s="1"/>
  <c r="AU228" i="10" s="1"/>
  <c r="AC169" i="6"/>
  <c r="AB405" i="9"/>
  <c r="AE405" i="9" s="1"/>
  <c r="AG405" i="9" s="1"/>
  <c r="AH405" i="9" s="1"/>
  <c r="AE315" i="10" l="1"/>
  <c r="AG315" i="10" s="1"/>
  <c r="AD315" i="10"/>
  <c r="Q395" i="9"/>
  <c r="S395" i="9" s="1"/>
  <c r="P395" i="9"/>
  <c r="AE375" i="10"/>
  <c r="AG375" i="10" s="1"/>
  <c r="AD375" i="10"/>
  <c r="AE215" i="10"/>
  <c r="AG215" i="10" s="1"/>
  <c r="AD215" i="10"/>
  <c r="AS225" i="9"/>
  <c r="AU225" i="9" s="1"/>
  <c r="AR225" i="9"/>
  <c r="Q320" i="10"/>
  <c r="S320" i="10" s="1"/>
  <c r="P320" i="10"/>
  <c r="AV270" i="10"/>
  <c r="AY270" i="10" s="1"/>
  <c r="AX270" i="10"/>
  <c r="AW270" i="10"/>
  <c r="AE175" i="10"/>
  <c r="AG175" i="10" s="1"/>
  <c r="AD175" i="10"/>
  <c r="AV320" i="9"/>
  <c r="AY320" i="9" s="1"/>
  <c r="AZ320" i="9"/>
  <c r="AX320" i="9"/>
  <c r="T285" i="9"/>
  <c r="W285" i="9" s="1"/>
  <c r="V285" i="9"/>
  <c r="AE255" i="9"/>
  <c r="AG255" i="9" s="1"/>
  <c r="AD255" i="9"/>
  <c r="Q205" i="10"/>
  <c r="S205" i="10" s="1"/>
  <c r="P205" i="10"/>
  <c r="T200" i="9"/>
  <c r="W200" i="9" s="1"/>
  <c r="V200" i="9"/>
  <c r="X200" i="9"/>
  <c r="AS285" i="9"/>
  <c r="AU285" i="9" s="1"/>
  <c r="AR285" i="9"/>
  <c r="AS225" i="10"/>
  <c r="AU225" i="10" s="1"/>
  <c r="AR225" i="10"/>
  <c r="AS390" i="10"/>
  <c r="AU390" i="10" s="1"/>
  <c r="AR390" i="10"/>
  <c r="Q355" i="9"/>
  <c r="S355" i="9" s="1"/>
  <c r="P355" i="9"/>
  <c r="AE285" i="9"/>
  <c r="AG285" i="9" s="1"/>
  <c r="AD285" i="9"/>
  <c r="AV155" i="10"/>
  <c r="AY155" i="10" s="1"/>
  <c r="AX155" i="10"/>
  <c r="AE395" i="9"/>
  <c r="AG395" i="9" s="1"/>
  <c r="AD395" i="9"/>
  <c r="Q185" i="9"/>
  <c r="S185" i="9" s="1"/>
  <c r="P185" i="9"/>
  <c r="Q55" i="9"/>
  <c r="S55" i="9" s="1"/>
  <c r="P55" i="9"/>
  <c r="AE110" i="9"/>
  <c r="AG110" i="9" s="1"/>
  <c r="AD110" i="9"/>
  <c r="AE320" i="10"/>
  <c r="AG320" i="10" s="1"/>
  <c r="AD320" i="10"/>
  <c r="AE350" i="10"/>
  <c r="AG350" i="10" s="1"/>
  <c r="AD350" i="10"/>
  <c r="AV400" i="10"/>
  <c r="AY400" i="10" s="1"/>
  <c r="AX400" i="10"/>
  <c r="AZ400" i="10"/>
  <c r="Q355" i="10"/>
  <c r="S355" i="10" s="1"/>
  <c r="P355" i="10"/>
  <c r="AR281" i="9"/>
  <c r="P123" i="8"/>
  <c r="R123" i="8" s="1"/>
  <c r="P187" i="10"/>
  <c r="R187" i="10" s="1"/>
  <c r="V187" i="10" s="1"/>
  <c r="P43" i="8"/>
  <c r="R43" i="8" s="1"/>
  <c r="P286" i="9"/>
  <c r="R286" i="9" s="1"/>
  <c r="AD241" i="9"/>
  <c r="AD406" i="9"/>
  <c r="P404" i="8"/>
  <c r="R404" i="8" s="1"/>
  <c r="P383" i="10"/>
  <c r="R383" i="10" s="1"/>
  <c r="P408" i="10"/>
  <c r="R408" i="10" s="1"/>
  <c r="AR311" i="10"/>
  <c r="AD236" i="9"/>
  <c r="AF236" i="9" s="1"/>
  <c r="AJ236" i="9" s="1"/>
  <c r="P413" i="9"/>
  <c r="R413" i="9" s="1"/>
  <c r="P356" i="10"/>
  <c r="R356" i="10" s="1"/>
  <c r="V356" i="10" s="1"/>
  <c r="P377" i="10"/>
  <c r="R377" i="10" s="1"/>
  <c r="AR316" i="9"/>
  <c r="P114" i="10"/>
  <c r="R114" i="10" s="1"/>
  <c r="AR96" i="9"/>
  <c r="AT96" i="9" s="1"/>
  <c r="AR196" i="10"/>
  <c r="P169" i="8"/>
  <c r="R169" i="8" s="1"/>
  <c r="P322" i="9"/>
  <c r="R322" i="9" s="1"/>
  <c r="P96" i="10"/>
  <c r="R96" i="10" s="1"/>
  <c r="P181" i="10"/>
  <c r="R181" i="10" s="1"/>
  <c r="T181" i="10" s="1"/>
  <c r="U181" i="10" s="1"/>
  <c r="Y182" i="10" s="1"/>
  <c r="AC182" i="10" s="1"/>
  <c r="AD182" i="10" s="1"/>
  <c r="P277" i="10"/>
  <c r="R277" i="10" s="1"/>
  <c r="P96" i="9"/>
  <c r="R96" i="9" s="1"/>
  <c r="T96" i="9" s="1"/>
  <c r="X96" i="9" s="1"/>
  <c r="P243" i="9"/>
  <c r="R243" i="9" s="1"/>
  <c r="P357" i="9"/>
  <c r="R357" i="9" s="1"/>
  <c r="P142" i="10"/>
  <c r="R142" i="10" s="1"/>
  <c r="P418" i="10"/>
  <c r="R418" i="10" s="1"/>
  <c r="V230" i="10"/>
  <c r="P264" i="8"/>
  <c r="R264" i="8" s="1"/>
  <c r="V264" i="8" s="1"/>
  <c r="AD281" i="10"/>
  <c r="AF281" i="10" s="1"/>
  <c r="AW55" i="9"/>
  <c r="AR155" i="9"/>
  <c r="P238" i="8"/>
  <c r="R238" i="8" s="1"/>
  <c r="P281" i="8"/>
  <c r="R281" i="8" s="1"/>
  <c r="P266" i="8"/>
  <c r="R266" i="8" s="1"/>
  <c r="T266" i="8" s="1"/>
  <c r="X266" i="8" s="1"/>
  <c r="P388" i="10"/>
  <c r="R388" i="10" s="1"/>
  <c r="U375" i="10"/>
  <c r="Y376" i="10" s="1"/>
  <c r="AC376" i="10" s="1"/>
  <c r="AD376" i="10" s="1"/>
  <c r="U90" i="10"/>
  <c r="Y91" i="10" s="1"/>
  <c r="AC91" i="10" s="1"/>
  <c r="P146" i="8"/>
  <c r="R146" i="8" s="1"/>
  <c r="AX360" i="9"/>
  <c r="U345" i="9"/>
  <c r="Y346" i="9" s="1"/>
  <c r="AC346" i="9" s="1"/>
  <c r="V255" i="10"/>
  <c r="P119" i="8"/>
  <c r="R119" i="8" s="1"/>
  <c r="V119" i="8" s="1"/>
  <c r="X25" i="9"/>
  <c r="U25" i="9"/>
  <c r="Y26" i="9" s="1"/>
  <c r="AC26" i="9" s="1"/>
  <c r="AD26" i="9" s="1"/>
  <c r="AF26" i="9" s="1"/>
  <c r="X230" i="9"/>
  <c r="AJ400" i="9"/>
  <c r="V120" i="10"/>
  <c r="AR250" i="10"/>
  <c r="U340" i="9"/>
  <c r="Y341" i="9" s="1"/>
  <c r="AC341" i="9" s="1"/>
  <c r="AZ175" i="9"/>
  <c r="X65" i="10"/>
  <c r="AW290" i="10"/>
  <c r="P40" i="9"/>
  <c r="AD410" i="10"/>
  <c r="AL90" i="9"/>
  <c r="AJ65" i="9"/>
  <c r="AJ160" i="9"/>
  <c r="AX255" i="9"/>
  <c r="U270" i="9"/>
  <c r="Y271" i="9" s="1"/>
  <c r="AC271" i="9" s="1"/>
  <c r="AD271" i="9" s="1"/>
  <c r="P230" i="10"/>
  <c r="P160" i="9"/>
  <c r="P235" i="10"/>
  <c r="AD400" i="9"/>
  <c r="U410" i="10"/>
  <c r="Y411" i="10" s="1"/>
  <c r="AC411" i="10" s="1"/>
  <c r="AD411" i="10" s="1"/>
  <c r="AF411" i="10" s="1"/>
  <c r="X120" i="10"/>
  <c r="AD30" i="9"/>
  <c r="X340" i="9"/>
  <c r="AR175" i="9"/>
  <c r="AJ45" i="10"/>
  <c r="AR290" i="10"/>
  <c r="AD405" i="10"/>
  <c r="AI215" i="9"/>
  <c r="AM216" i="9" s="1"/>
  <c r="AQ216" i="9" s="1"/>
  <c r="AI65" i="9"/>
  <c r="AM66" i="9" s="1"/>
  <c r="AQ66" i="9" s="1"/>
  <c r="AR66" i="9" s="1"/>
  <c r="AX160" i="10"/>
  <c r="P257" i="8"/>
  <c r="R257" i="8" s="1"/>
  <c r="P399" i="8"/>
  <c r="R399" i="8" s="1"/>
  <c r="T399" i="8" s="1"/>
  <c r="U399" i="8" s="1"/>
  <c r="Y399" i="8" s="1"/>
  <c r="AD399" i="8" s="1"/>
  <c r="P354" i="8"/>
  <c r="R354" i="8" s="1"/>
  <c r="P113" i="10"/>
  <c r="R113" i="10" s="1"/>
  <c r="AI290" i="10"/>
  <c r="AM291" i="10" s="1"/>
  <c r="AQ291" i="10" s="1"/>
  <c r="AL155" i="10"/>
  <c r="AI405" i="9"/>
  <c r="AM406" i="9" s="1"/>
  <c r="AQ406" i="9" s="1"/>
  <c r="AR406" i="9" s="1"/>
  <c r="X350" i="9"/>
  <c r="AI160" i="9"/>
  <c r="AM161" i="9" s="1"/>
  <c r="AQ161" i="9" s="1"/>
  <c r="AR161" i="9" s="1"/>
  <c r="AW255" i="9"/>
  <c r="AR195" i="9"/>
  <c r="V270" i="9"/>
  <c r="AX120" i="9"/>
  <c r="X250" i="9"/>
  <c r="AX45" i="9"/>
  <c r="AX175" i="9"/>
  <c r="U95" i="10"/>
  <c r="Y96" i="10" s="1"/>
  <c r="AC96" i="10" s="1"/>
  <c r="AD96" i="10" s="1"/>
  <c r="X335" i="10"/>
  <c r="AR370" i="9"/>
  <c r="AR275" i="10"/>
  <c r="AL45" i="10"/>
  <c r="AD215" i="9"/>
  <c r="U110" i="10"/>
  <c r="Y111" i="10" s="1"/>
  <c r="AC111" i="10" s="1"/>
  <c r="P90" i="10"/>
  <c r="AI305" i="10"/>
  <c r="AM306" i="10" s="1"/>
  <c r="AQ306" i="10" s="1"/>
  <c r="AR306" i="10" s="1"/>
  <c r="AX335" i="9"/>
  <c r="X330" i="10"/>
  <c r="V410" i="9"/>
  <c r="AD360" i="10"/>
  <c r="P165" i="9"/>
  <c r="P162" i="8"/>
  <c r="R162" i="8" s="1"/>
  <c r="P279" i="8"/>
  <c r="R279" i="8" s="1"/>
  <c r="T279" i="8" s="1"/>
  <c r="X279" i="8" s="1"/>
  <c r="P314" i="8"/>
  <c r="R314" i="8" s="1"/>
  <c r="P79" i="10"/>
  <c r="R79" i="10" s="1"/>
  <c r="V79" i="10" s="1"/>
  <c r="P198" i="10"/>
  <c r="R198" i="10" s="1"/>
  <c r="P289" i="10"/>
  <c r="R289" i="10" s="1"/>
  <c r="P353" i="10"/>
  <c r="R353" i="10" s="1"/>
  <c r="AJ290" i="10"/>
  <c r="AI155" i="10"/>
  <c r="AM156" i="10" s="1"/>
  <c r="AQ156" i="10" s="1"/>
  <c r="AR255" i="9"/>
  <c r="AR120" i="9"/>
  <c r="AD80" i="9"/>
  <c r="AZ105" i="9"/>
  <c r="P275" i="9"/>
  <c r="P335" i="10"/>
  <c r="AW275" i="10"/>
  <c r="AD45" i="10"/>
  <c r="AZ80" i="10"/>
  <c r="AD246" i="9"/>
  <c r="AF246" i="9" s="1"/>
  <c r="AD91" i="10"/>
  <c r="AF91" i="10" s="1"/>
  <c r="AD305" i="10"/>
  <c r="AZ335" i="9"/>
  <c r="V330" i="10"/>
  <c r="X410" i="9"/>
  <c r="P28" i="8"/>
  <c r="R28" i="8" s="1"/>
  <c r="P29" i="8"/>
  <c r="R29" i="8" s="1"/>
  <c r="V29" i="8" s="1"/>
  <c r="P109" i="8"/>
  <c r="R109" i="8" s="1"/>
  <c r="P182" i="8"/>
  <c r="R182" i="8" s="1"/>
  <c r="V182" i="8" s="1"/>
  <c r="P352" i="8"/>
  <c r="R352" i="8" s="1"/>
  <c r="P222" i="9"/>
  <c r="R222" i="9" s="1"/>
  <c r="P189" i="10"/>
  <c r="R189" i="10" s="1"/>
  <c r="AL290" i="10"/>
  <c r="AJ155" i="10"/>
  <c r="X225" i="10"/>
  <c r="AZ210" i="9"/>
  <c r="AL85" i="9"/>
  <c r="AI340" i="9"/>
  <c r="AM341" i="9" s="1"/>
  <c r="AQ341" i="9" s="1"/>
  <c r="AR341" i="9" s="1"/>
  <c r="U190" i="10"/>
  <c r="Y191" i="10" s="1"/>
  <c r="AC191" i="10" s="1"/>
  <c r="AD191" i="10" s="1"/>
  <c r="AZ120" i="9"/>
  <c r="AR176" i="9"/>
  <c r="X275" i="9"/>
  <c r="AD165" i="9"/>
  <c r="AJ335" i="9"/>
  <c r="AI330" i="10"/>
  <c r="AM331" i="10" s="1"/>
  <c r="AQ331" i="10" s="1"/>
  <c r="AR331" i="10" s="1"/>
  <c r="AT331" i="10" s="1"/>
  <c r="AX80" i="10"/>
  <c r="V275" i="10"/>
  <c r="AW115" i="9"/>
  <c r="AJ85" i="10"/>
  <c r="AI375" i="9"/>
  <c r="AM376" i="9" s="1"/>
  <c r="AQ376" i="9" s="1"/>
  <c r="AL305" i="10"/>
  <c r="AR335" i="9"/>
  <c r="P330" i="10"/>
  <c r="P118" i="8"/>
  <c r="R118" i="8" s="1"/>
  <c r="P234" i="8"/>
  <c r="R234" i="8" s="1"/>
  <c r="P269" i="8"/>
  <c r="R269" i="8" s="1"/>
  <c r="AD290" i="10"/>
  <c r="AD155" i="10"/>
  <c r="V225" i="10"/>
  <c r="AX210" i="9"/>
  <c r="AJ85" i="9"/>
  <c r="U385" i="9"/>
  <c r="Y386" i="9" s="1"/>
  <c r="AC386" i="9" s="1"/>
  <c r="AD386" i="9" s="1"/>
  <c r="X190" i="10"/>
  <c r="P210" i="10"/>
  <c r="AZ250" i="9"/>
  <c r="AX295" i="10"/>
  <c r="AJ330" i="10"/>
  <c r="U365" i="10"/>
  <c r="Y366" i="10" s="1"/>
  <c r="AC366" i="10" s="1"/>
  <c r="AR210" i="9"/>
  <c r="AL90" i="10"/>
  <c r="V385" i="9"/>
  <c r="P190" i="10"/>
  <c r="AW360" i="9"/>
  <c r="U320" i="9"/>
  <c r="Y321" i="9" s="1"/>
  <c r="AC321" i="9" s="1"/>
  <c r="AD321" i="9" s="1"/>
  <c r="AW250" i="9"/>
  <c r="U65" i="10"/>
  <c r="Y66" i="10" s="1"/>
  <c r="AC66" i="10" s="1"/>
  <c r="AD66" i="10" s="1"/>
  <c r="AZ295" i="10"/>
  <c r="U40" i="9"/>
  <c r="Y41" i="9" s="1"/>
  <c r="AC41" i="9" s="1"/>
  <c r="AD41" i="9" s="1"/>
  <c r="AD245" i="9"/>
  <c r="V345" i="9"/>
  <c r="X65" i="9"/>
  <c r="AZ190" i="9"/>
  <c r="V365" i="10"/>
  <c r="AJ90" i="9"/>
  <c r="AD200" i="10"/>
  <c r="P209" i="8"/>
  <c r="R209" i="8" s="1"/>
  <c r="P329" i="8"/>
  <c r="R329" i="8" s="1"/>
  <c r="P372" i="8"/>
  <c r="R372" i="8" s="1"/>
  <c r="P306" i="8"/>
  <c r="R306" i="8" s="1"/>
  <c r="P397" i="8"/>
  <c r="R397" i="8" s="1"/>
  <c r="P107" i="9"/>
  <c r="R107" i="9" s="1"/>
  <c r="T107" i="9" s="1"/>
  <c r="X107" i="9" s="1"/>
  <c r="P231" i="9"/>
  <c r="R231" i="9" s="1"/>
  <c r="P339" i="9"/>
  <c r="R339" i="9" s="1"/>
  <c r="V339" i="9" s="1"/>
  <c r="P398" i="9"/>
  <c r="R398" i="9" s="1"/>
  <c r="P128" i="10"/>
  <c r="R128" i="10" s="1"/>
  <c r="AJ90" i="10"/>
  <c r="P375" i="10"/>
  <c r="AJ110" i="10"/>
  <c r="X230" i="10"/>
  <c r="P385" i="9"/>
  <c r="AL400" i="9"/>
  <c r="AZ360" i="9"/>
  <c r="U120" i="10"/>
  <c r="Y121" i="10" s="1"/>
  <c r="AC121" i="10" s="1"/>
  <c r="AD121" i="10" s="1"/>
  <c r="AZ250" i="10"/>
  <c r="X210" i="9"/>
  <c r="AL200" i="9"/>
  <c r="P320" i="9"/>
  <c r="P65" i="10"/>
  <c r="AW295" i="10"/>
  <c r="AZ290" i="10"/>
  <c r="V40" i="9"/>
  <c r="AJ245" i="9"/>
  <c r="U65" i="9"/>
  <c r="Y66" i="9" s="1"/>
  <c r="AC66" i="9" s="1"/>
  <c r="AD66" i="9" s="1"/>
  <c r="AI410" i="10"/>
  <c r="AM411" i="10" s="1"/>
  <c r="AQ411" i="10" s="1"/>
  <c r="AD375" i="9"/>
  <c r="P365" i="10"/>
  <c r="AD90" i="9"/>
  <c r="AW230" i="9"/>
  <c r="V360" i="9"/>
  <c r="P89" i="8"/>
  <c r="R89" i="8" s="1"/>
  <c r="P231" i="8"/>
  <c r="R231" i="8" s="1"/>
  <c r="P152" i="8"/>
  <c r="R152" i="8" s="1"/>
  <c r="P417" i="8"/>
  <c r="R417" i="8" s="1"/>
  <c r="V417" i="8" s="1"/>
  <c r="P254" i="8"/>
  <c r="R254" i="8" s="1"/>
  <c r="P311" i="9"/>
  <c r="R311" i="9" s="1"/>
  <c r="T311" i="9" s="1"/>
  <c r="U311" i="9" s="1"/>
  <c r="Y312" i="9" s="1"/>
  <c r="AC312" i="9" s="1"/>
  <c r="AD312" i="9" s="1"/>
  <c r="P34" i="10"/>
  <c r="R34" i="10" s="1"/>
  <c r="P259" i="10"/>
  <c r="R259" i="10" s="1"/>
  <c r="P293" i="10"/>
  <c r="R293" i="10" s="1"/>
  <c r="AR226" i="10"/>
  <c r="AT226" i="10" s="1"/>
  <c r="W315" i="8"/>
  <c r="W415" i="8"/>
  <c r="AH81" i="9"/>
  <c r="AI81" i="9" s="1"/>
  <c r="AM82" i="9" s="1"/>
  <c r="AQ82" i="9" s="1"/>
  <c r="AR82" i="9" s="1"/>
  <c r="AL81" i="9"/>
  <c r="AJ81" i="9"/>
  <c r="AK220" i="8"/>
  <c r="AK420" i="10"/>
  <c r="AX191" i="10"/>
  <c r="AV191" i="10"/>
  <c r="AY191" i="10" s="1"/>
  <c r="AX266" i="9"/>
  <c r="AV266" i="9"/>
  <c r="AY266" i="9" s="1"/>
  <c r="AJ311" i="9"/>
  <c r="AH311" i="9"/>
  <c r="AI311" i="9" s="1"/>
  <c r="AM312" i="9" s="1"/>
  <c r="AQ312" i="9" s="1"/>
  <c r="AR312" i="9" s="1"/>
  <c r="AV56" i="10"/>
  <c r="AY56" i="10" s="1"/>
  <c r="AX56" i="10"/>
  <c r="AX151" i="9"/>
  <c r="AV151" i="9"/>
  <c r="AY151" i="9" s="1"/>
  <c r="W285" i="8"/>
  <c r="AK150" i="8"/>
  <c r="AV126" i="10"/>
  <c r="AY126" i="10" s="1"/>
  <c r="AX126" i="10"/>
  <c r="AK415" i="10"/>
  <c r="AV76" i="9"/>
  <c r="AY76" i="9" s="1"/>
  <c r="AX76" i="9"/>
  <c r="W230" i="8"/>
  <c r="AJ281" i="9"/>
  <c r="AH281" i="9"/>
  <c r="AL281" i="9" s="1"/>
  <c r="W80" i="8"/>
  <c r="AX391" i="9"/>
  <c r="AV391" i="9"/>
  <c r="AY391" i="9" s="1"/>
  <c r="W40" i="8"/>
  <c r="W275" i="8"/>
  <c r="AK380" i="8"/>
  <c r="AK185" i="8"/>
  <c r="AK355" i="8"/>
  <c r="AK300" i="8"/>
  <c r="W140" i="8"/>
  <c r="AV326" i="10"/>
  <c r="AY326" i="10" s="1"/>
  <c r="AX326" i="10"/>
  <c r="AJ291" i="10"/>
  <c r="AH291" i="10"/>
  <c r="AL106" i="9"/>
  <c r="AJ106" i="9"/>
  <c r="AH106" i="9"/>
  <c r="AI106" i="9" s="1"/>
  <c r="AM107" i="9" s="1"/>
  <c r="AQ107" i="9" s="1"/>
  <c r="AR107" i="9" s="1"/>
  <c r="W95" i="8"/>
  <c r="AV241" i="9"/>
  <c r="AY241" i="9" s="1"/>
  <c r="AX241" i="9"/>
  <c r="AJ41" i="10"/>
  <c r="AI41" i="10"/>
  <c r="AM42" i="10" s="1"/>
  <c r="AQ42" i="10" s="1"/>
  <c r="AR42" i="10" s="1"/>
  <c r="AH41" i="10"/>
  <c r="AL41" i="10"/>
  <c r="W145" i="8"/>
  <c r="AK115" i="8"/>
  <c r="AK345" i="8"/>
  <c r="W355" i="8"/>
  <c r="AK170" i="8"/>
  <c r="AL286" i="10"/>
  <c r="AH286" i="10"/>
  <c r="AI286" i="10" s="1"/>
  <c r="AM287" i="10" s="1"/>
  <c r="AQ287" i="10" s="1"/>
  <c r="AR287" i="10" s="1"/>
  <c r="AJ286" i="10"/>
  <c r="AX271" i="10"/>
  <c r="AV271" i="10"/>
  <c r="AY271" i="10" s="1"/>
  <c r="AK105" i="8"/>
  <c r="AK45" i="8"/>
  <c r="AX386" i="9"/>
  <c r="AV386" i="9"/>
  <c r="AY386" i="9" s="1"/>
  <c r="AK235" i="8"/>
  <c r="W55" i="8"/>
  <c r="W110" i="8"/>
  <c r="AK145" i="8"/>
  <c r="AK370" i="8"/>
  <c r="AX156" i="9"/>
  <c r="AV156" i="9"/>
  <c r="AY156" i="9" s="1"/>
  <c r="AZ156" i="9"/>
  <c r="W90" i="8"/>
  <c r="AK230" i="8"/>
  <c r="AK385" i="8"/>
  <c r="W210" i="8"/>
  <c r="W180" i="8"/>
  <c r="AK140" i="8"/>
  <c r="AK50" i="8"/>
  <c r="W415" i="9"/>
  <c r="AX126" i="9"/>
  <c r="AV126" i="9"/>
  <c r="AY126" i="9" s="1"/>
  <c r="AJ156" i="10"/>
  <c r="AH156" i="10"/>
  <c r="AK420" i="9"/>
  <c r="W185" i="8"/>
  <c r="AH256" i="9"/>
  <c r="AI256" i="9" s="1"/>
  <c r="AM257" i="9" s="1"/>
  <c r="AQ257" i="9" s="1"/>
  <c r="AR257" i="9" s="1"/>
  <c r="AJ256" i="9"/>
  <c r="AH171" i="10"/>
  <c r="AL171" i="10" s="1"/>
  <c r="AJ171" i="10"/>
  <c r="AX361" i="9"/>
  <c r="AV361" i="9"/>
  <c r="AY361" i="9" s="1"/>
  <c r="W325" i="8"/>
  <c r="AK135" i="8"/>
  <c r="AK270" i="8"/>
  <c r="AK405" i="8"/>
  <c r="AK325" i="8"/>
  <c r="AK340" i="8"/>
  <c r="AV186" i="9"/>
  <c r="AY186" i="9" s="1"/>
  <c r="AX186" i="9"/>
  <c r="AK305" i="8"/>
  <c r="W265" i="8"/>
  <c r="W125" i="8"/>
  <c r="AK335" i="8"/>
  <c r="AJ351" i="10"/>
  <c r="AH351" i="10"/>
  <c r="AL351" i="10" s="1"/>
  <c r="AX276" i="9"/>
  <c r="AV276" i="9"/>
  <c r="AY276" i="9" s="1"/>
  <c r="AJ281" i="10"/>
  <c r="AH281" i="10"/>
  <c r="AI281" i="10" s="1"/>
  <c r="AM282" i="10" s="1"/>
  <c r="AQ282" i="10" s="1"/>
  <c r="AR282" i="10" s="1"/>
  <c r="W340" i="8"/>
  <c r="W305" i="8"/>
  <c r="AK375" i="8"/>
  <c r="AX66" i="10"/>
  <c r="AV66" i="10"/>
  <c r="AY66" i="10" s="1"/>
  <c r="W60" i="8"/>
  <c r="W260" i="8"/>
  <c r="W35" i="8"/>
  <c r="AJ146" i="9"/>
  <c r="AH146" i="9"/>
  <c r="AI146" i="9" s="1"/>
  <c r="AM147" i="9" s="1"/>
  <c r="AQ147" i="9" s="1"/>
  <c r="AR147" i="9" s="1"/>
  <c r="AX411" i="9"/>
  <c r="AV411" i="9"/>
  <c r="AY411" i="9" s="1"/>
  <c r="AK265" i="8"/>
  <c r="AK85" i="8"/>
  <c r="AK195" i="8"/>
  <c r="AK420" i="8"/>
  <c r="AK250" i="8"/>
  <c r="AK80" i="8"/>
  <c r="AV246" i="10"/>
  <c r="AY246" i="10" s="1"/>
  <c r="AX246" i="10"/>
  <c r="AK290" i="8"/>
  <c r="AK415" i="8"/>
  <c r="AX166" i="10"/>
  <c r="AW166" i="10"/>
  <c r="AV166" i="10"/>
  <c r="AY166" i="10" s="1"/>
  <c r="AX341" i="10"/>
  <c r="AV341" i="10"/>
  <c r="AY341" i="10" s="1"/>
  <c r="W225" i="8"/>
  <c r="W385" i="8"/>
  <c r="W350" i="8"/>
  <c r="W250" i="8"/>
  <c r="AX231" i="10"/>
  <c r="AV231" i="10"/>
  <c r="AY231" i="10" s="1"/>
  <c r="AK160" i="8"/>
  <c r="AK65" i="8"/>
  <c r="W235" i="8"/>
  <c r="W30" i="8"/>
  <c r="W100" i="8"/>
  <c r="W300" i="8"/>
  <c r="W50" i="8"/>
  <c r="W175" i="8"/>
  <c r="W400" i="8"/>
  <c r="AX171" i="9"/>
  <c r="AV171" i="9"/>
  <c r="AY171" i="9" s="1"/>
  <c r="AK175" i="8"/>
  <c r="AH371" i="9"/>
  <c r="AL371" i="9" s="1"/>
  <c r="AJ371" i="9"/>
  <c r="AK90" i="8"/>
  <c r="AK245" i="8"/>
  <c r="AX346" i="9"/>
  <c r="AV346" i="9"/>
  <c r="AY346" i="9" s="1"/>
  <c r="AK400" i="8"/>
  <c r="AK120" i="8"/>
  <c r="W120" i="8"/>
  <c r="AX206" i="9"/>
  <c r="AV206" i="9"/>
  <c r="AY206" i="9" s="1"/>
  <c r="AK30" i="8"/>
  <c r="W320" i="8"/>
  <c r="AJ76" i="10"/>
  <c r="AH76" i="10"/>
  <c r="W280" i="8"/>
  <c r="W85" i="8"/>
  <c r="W45" i="8"/>
  <c r="AK395" i="8"/>
  <c r="W215" i="8"/>
  <c r="AK275" i="8"/>
  <c r="E9" i="8"/>
  <c r="AV25" i="8"/>
  <c r="W105" i="8"/>
  <c r="AK35" i="8"/>
  <c r="AK180" i="8"/>
  <c r="W220" i="8"/>
  <c r="AK100" i="8"/>
  <c r="AK155" i="8"/>
  <c r="AJ361" i="10"/>
  <c r="AH361" i="10"/>
  <c r="AL361" i="10" s="1"/>
  <c r="AJ106" i="10"/>
  <c r="AH106" i="10"/>
  <c r="AI106" i="10" s="1"/>
  <c r="AM107" i="10" s="1"/>
  <c r="AQ107" i="10" s="1"/>
  <c r="AR107" i="10" s="1"/>
  <c r="AK320" i="8"/>
  <c r="AJ176" i="9"/>
  <c r="AH176" i="9"/>
  <c r="W420" i="8"/>
  <c r="AX96" i="9"/>
  <c r="AV96" i="9"/>
  <c r="AY96" i="9" s="1"/>
  <c r="W240" i="8"/>
  <c r="AJ56" i="10"/>
  <c r="AH56" i="10"/>
  <c r="AJ131" i="10"/>
  <c r="AH131" i="10"/>
  <c r="AL131" i="10" s="1"/>
  <c r="AV116" i="9"/>
  <c r="AY116" i="9" s="1"/>
  <c r="AX116" i="9"/>
  <c r="AX321" i="9"/>
  <c r="AV321" i="9"/>
  <c r="AY321" i="9" s="1"/>
  <c r="W255" i="8"/>
  <c r="AH246" i="9"/>
  <c r="AL246" i="9" s="1"/>
  <c r="AJ246" i="9"/>
  <c r="W390" i="8"/>
  <c r="W150" i="8"/>
  <c r="AK125" i="8"/>
  <c r="AK330" i="8"/>
  <c r="AK70" i="8"/>
  <c r="W70" i="8"/>
  <c r="AK60" i="8"/>
  <c r="AX131" i="9"/>
  <c r="AV131" i="9"/>
  <c r="AY131" i="9" s="1"/>
  <c r="W115" i="8"/>
  <c r="W365" i="8"/>
  <c r="W200" i="8"/>
  <c r="W395" i="8"/>
  <c r="AJ266" i="9"/>
  <c r="AH266" i="9"/>
  <c r="AL266" i="9" s="1"/>
  <c r="W65" i="8"/>
  <c r="AK350" i="8"/>
  <c r="W190" i="8"/>
  <c r="W170" i="8"/>
  <c r="W130" i="8"/>
  <c r="AK285" i="8"/>
  <c r="W380" i="8"/>
  <c r="AJ316" i="10"/>
  <c r="AH316" i="10"/>
  <c r="W290" i="8"/>
  <c r="W165" i="8"/>
  <c r="W420" i="9"/>
  <c r="W330" i="8"/>
  <c r="AK260" i="8"/>
  <c r="AK380" i="9"/>
  <c r="AK210" i="9"/>
  <c r="AI110" i="10"/>
  <c r="AM111" i="10" s="1"/>
  <c r="AQ111" i="10" s="1"/>
  <c r="AR111" i="10" s="1"/>
  <c r="AT111" i="10" s="1"/>
  <c r="AK330" i="9"/>
  <c r="AZ325" i="9"/>
  <c r="AR340" i="9"/>
  <c r="AF31" i="10"/>
  <c r="W30" i="10"/>
  <c r="W405" i="10"/>
  <c r="V160" i="9"/>
  <c r="AD370" i="9"/>
  <c r="AK370" i="10"/>
  <c r="AD391" i="10"/>
  <c r="AW330" i="9"/>
  <c r="AL330" i="9"/>
  <c r="AR80" i="9"/>
  <c r="AJ80" i="9"/>
  <c r="AZ200" i="9"/>
  <c r="AD341" i="9"/>
  <c r="AW45" i="9"/>
  <c r="AD86" i="10"/>
  <c r="AF86" i="10" s="1"/>
  <c r="V375" i="9"/>
  <c r="AL95" i="10"/>
  <c r="AF406" i="9"/>
  <c r="W405" i="9"/>
  <c r="AV25" i="10"/>
  <c r="AZ25" i="10" s="1"/>
  <c r="AZ85" i="9"/>
  <c r="V115" i="10"/>
  <c r="AX370" i="9"/>
  <c r="X405" i="10"/>
  <c r="AK250" i="10"/>
  <c r="AD290" i="9"/>
  <c r="W225" i="9"/>
  <c r="AD96" i="9"/>
  <c r="AF96" i="9" s="1"/>
  <c r="P155" i="9"/>
  <c r="AR25" i="10"/>
  <c r="X310" i="10"/>
  <c r="AD385" i="10"/>
  <c r="AJ405" i="10"/>
  <c r="AF336" i="9"/>
  <c r="W335" i="9"/>
  <c r="W295" i="10"/>
  <c r="U275" i="10"/>
  <c r="Y276" i="10" s="1"/>
  <c r="AC276" i="10" s="1"/>
  <c r="AD276" i="10" s="1"/>
  <c r="AD250" i="10"/>
  <c r="AD346" i="9"/>
  <c r="AF346" i="9" s="1"/>
  <c r="AR190" i="9"/>
  <c r="AT356" i="9"/>
  <c r="AK355" i="9"/>
  <c r="W360" i="9"/>
  <c r="AR106" i="9"/>
  <c r="AT106" i="9" s="1"/>
  <c r="AR211" i="10"/>
  <c r="AT211" i="10" s="1"/>
  <c r="W110" i="9"/>
  <c r="AT176" i="9"/>
  <c r="AK175" i="9"/>
  <c r="AD326" i="9"/>
  <c r="AF326" i="9" s="1"/>
  <c r="AI170" i="10"/>
  <c r="AM171" i="10" s="1"/>
  <c r="AQ171" i="10" s="1"/>
  <c r="AR171" i="10" s="1"/>
  <c r="AT171" i="10" s="1"/>
  <c r="X170" i="9"/>
  <c r="AJ225" i="9"/>
  <c r="AX95" i="10"/>
  <c r="U255" i="10"/>
  <c r="Y256" i="10" s="1"/>
  <c r="AC256" i="10" s="1"/>
  <c r="AD256" i="10" s="1"/>
  <c r="AW145" i="10"/>
  <c r="AI200" i="10"/>
  <c r="AM201" i="10" s="1"/>
  <c r="AQ201" i="10" s="1"/>
  <c r="AR201" i="10" s="1"/>
  <c r="AT201" i="10" s="1"/>
  <c r="W370" i="10"/>
  <c r="X120" i="9"/>
  <c r="AK145" i="10"/>
  <c r="U250" i="10"/>
  <c r="Y251" i="10" s="1"/>
  <c r="AC251" i="10" s="1"/>
  <c r="AD251" i="10" s="1"/>
  <c r="AF251" i="10" s="1"/>
  <c r="AL360" i="10"/>
  <c r="AR230" i="9"/>
  <c r="AK305" i="10"/>
  <c r="AT306" i="10"/>
  <c r="U165" i="9"/>
  <c r="Y166" i="9" s="1"/>
  <c r="AC166" i="9" s="1"/>
  <c r="AD166" i="9" s="1"/>
  <c r="AD75" i="10"/>
  <c r="AE60" i="9"/>
  <c r="AG60" i="9" s="1"/>
  <c r="AD60" i="9"/>
  <c r="AE100" i="9"/>
  <c r="AG100" i="9" s="1"/>
  <c r="AD100" i="9"/>
  <c r="AS180" i="9"/>
  <c r="AU180" i="9" s="1"/>
  <c r="AR180" i="9"/>
  <c r="AE70" i="10"/>
  <c r="AG70" i="10" s="1"/>
  <c r="AD70" i="10"/>
  <c r="AS220" i="9"/>
  <c r="AU220" i="9" s="1"/>
  <c r="AR220" i="9"/>
  <c r="AS220" i="10"/>
  <c r="AU220" i="10" s="1"/>
  <c r="AR220" i="10"/>
  <c r="Q70" i="9"/>
  <c r="S70" i="9" s="1"/>
  <c r="P70" i="9"/>
  <c r="V67" i="8"/>
  <c r="T67" i="8"/>
  <c r="U67" i="8" s="1"/>
  <c r="Y68" i="8" s="1"/>
  <c r="AD68" i="8" s="1"/>
  <c r="AK75" i="8"/>
  <c r="AX95" i="8"/>
  <c r="AZ95" i="8"/>
  <c r="AR95" i="8"/>
  <c r="AW95" i="8"/>
  <c r="AJ105" i="8"/>
  <c r="AI105" i="8"/>
  <c r="AM106" i="8" s="1"/>
  <c r="AL105" i="8"/>
  <c r="AD105" i="8"/>
  <c r="V123" i="8"/>
  <c r="T123" i="8"/>
  <c r="W123" i="8" s="1"/>
  <c r="P46" i="8"/>
  <c r="R46" i="8" s="1"/>
  <c r="P94" i="8"/>
  <c r="R94" i="8" s="1"/>
  <c r="P25" i="8"/>
  <c r="V25" i="8"/>
  <c r="P81" i="8"/>
  <c r="R81" i="8" s="1"/>
  <c r="T129" i="8"/>
  <c r="U129" i="8" s="1"/>
  <c r="Y129" i="8" s="1"/>
  <c r="AD129" i="8" s="1"/>
  <c r="V129" i="8"/>
  <c r="P60" i="8"/>
  <c r="U60" i="8"/>
  <c r="Y61" i="8" s="1"/>
  <c r="V60" i="8"/>
  <c r="X60" i="8"/>
  <c r="P116" i="8"/>
  <c r="R116" i="8" s="1"/>
  <c r="P47" i="8"/>
  <c r="R47" i="8" s="1"/>
  <c r="AK55" i="8"/>
  <c r="AR75" i="8"/>
  <c r="AZ75" i="8"/>
  <c r="AW75" i="8"/>
  <c r="AX75" i="8"/>
  <c r="AL85" i="8"/>
  <c r="AD85" i="8"/>
  <c r="AJ85" i="8"/>
  <c r="AI85" i="8"/>
  <c r="AM86" i="8" s="1"/>
  <c r="AR86" i="8" s="1"/>
  <c r="AT86" i="8" s="1"/>
  <c r="P103" i="8"/>
  <c r="R103" i="8" s="1"/>
  <c r="AR30" i="8"/>
  <c r="AW30" i="8"/>
  <c r="AX30" i="8"/>
  <c r="AZ30" i="8"/>
  <c r="AD40" i="8"/>
  <c r="AJ40" i="8"/>
  <c r="AI40" i="8"/>
  <c r="AM41" i="8" s="1"/>
  <c r="AR41" i="8" s="1"/>
  <c r="AT41" i="8" s="1"/>
  <c r="AL40" i="8"/>
  <c r="P58" i="8"/>
  <c r="R58" i="8" s="1"/>
  <c r="P37" i="8"/>
  <c r="R37" i="8" s="1"/>
  <c r="AR65" i="8"/>
  <c r="AZ65" i="8"/>
  <c r="AX65" i="8"/>
  <c r="AW65" i="8"/>
  <c r="AL75" i="8"/>
  <c r="AD75" i="8"/>
  <c r="AI75" i="8"/>
  <c r="AM76" i="8" s="1"/>
  <c r="AJ75" i="8"/>
  <c r="P93" i="8"/>
  <c r="R93" i="8" s="1"/>
  <c r="P72" i="8"/>
  <c r="R72" i="8" s="1"/>
  <c r="AR100" i="8"/>
  <c r="AX100" i="8"/>
  <c r="AZ100" i="8"/>
  <c r="AW100" i="8"/>
  <c r="AD110" i="8"/>
  <c r="AJ110" i="8"/>
  <c r="AI110" i="8"/>
  <c r="AM111" i="8" s="1"/>
  <c r="AL110" i="8"/>
  <c r="P128" i="8"/>
  <c r="R128" i="8" s="1"/>
  <c r="P153" i="8"/>
  <c r="R153" i="8" s="1"/>
  <c r="AI130" i="8"/>
  <c r="AM131" i="8" s="1"/>
  <c r="AL130" i="8"/>
  <c r="AJ130" i="8"/>
  <c r="AD130" i="8"/>
  <c r="P148" i="8"/>
  <c r="R148" i="8" s="1"/>
  <c r="V257" i="8"/>
  <c r="T257" i="8"/>
  <c r="X257" i="8" s="1"/>
  <c r="P151" i="8"/>
  <c r="R151" i="8" s="1"/>
  <c r="P199" i="8"/>
  <c r="R199" i="8" s="1"/>
  <c r="V305" i="8"/>
  <c r="P305" i="8"/>
  <c r="U305" i="8"/>
  <c r="Y306" i="8" s="1"/>
  <c r="X305" i="8"/>
  <c r="AK130" i="8"/>
  <c r="AR150" i="8"/>
  <c r="AZ150" i="8"/>
  <c r="AW150" i="8"/>
  <c r="AX150" i="8"/>
  <c r="AD160" i="8"/>
  <c r="AJ160" i="8"/>
  <c r="AI160" i="8"/>
  <c r="AM161" i="8" s="1"/>
  <c r="AL160" i="8"/>
  <c r="P178" i="8"/>
  <c r="R178" i="8" s="1"/>
  <c r="AW365" i="8"/>
  <c r="AZ365" i="8"/>
  <c r="AR365" i="8"/>
  <c r="AX365" i="8"/>
  <c r="P157" i="8"/>
  <c r="R157" i="8" s="1"/>
  <c r="AK165" i="8"/>
  <c r="AR185" i="8"/>
  <c r="AX185" i="8"/>
  <c r="AZ185" i="8"/>
  <c r="AW185" i="8"/>
  <c r="AD195" i="8"/>
  <c r="AJ195" i="8"/>
  <c r="AL195" i="8"/>
  <c r="AI195" i="8"/>
  <c r="AM196" i="8" s="1"/>
  <c r="P213" i="8"/>
  <c r="R213" i="8" s="1"/>
  <c r="V152" i="8"/>
  <c r="T152" i="8"/>
  <c r="U152" i="8" s="1"/>
  <c r="Y153" i="8" s="1"/>
  <c r="AD153" i="8" s="1"/>
  <c r="AR180" i="8"/>
  <c r="AX180" i="8"/>
  <c r="AW180" i="8"/>
  <c r="AZ180" i="8"/>
  <c r="AD190" i="8"/>
  <c r="AJ190" i="8"/>
  <c r="AL190" i="8"/>
  <c r="AI190" i="8"/>
  <c r="AM191" i="8" s="1"/>
  <c r="AR191" i="8" s="1"/>
  <c r="AT191" i="8" s="1"/>
  <c r="P208" i="8"/>
  <c r="R208" i="8" s="1"/>
  <c r="V297" i="8"/>
  <c r="T297" i="8"/>
  <c r="X297" i="8" s="1"/>
  <c r="P131" i="8"/>
  <c r="R131" i="8" s="1"/>
  <c r="P179" i="8"/>
  <c r="R179" i="8" s="1"/>
  <c r="P235" i="8"/>
  <c r="U235" i="8"/>
  <c r="Y236" i="8" s="1"/>
  <c r="V235" i="8"/>
  <c r="X235" i="8"/>
  <c r="P273" i="8"/>
  <c r="R273" i="8" s="1"/>
  <c r="V345" i="8"/>
  <c r="U345" i="8"/>
  <c r="Y346" i="8" s="1"/>
  <c r="X345" i="8"/>
  <c r="P345" i="8"/>
  <c r="P222" i="8"/>
  <c r="R222" i="8" s="1"/>
  <c r="X260" i="8"/>
  <c r="P260" i="8"/>
  <c r="V260" i="8"/>
  <c r="U260" i="8"/>
  <c r="Y261" i="8" s="1"/>
  <c r="AD261" i="8" s="1"/>
  <c r="AF261" i="8" s="1"/>
  <c r="P316" i="8"/>
  <c r="R316" i="8" s="1"/>
  <c r="V279" i="8"/>
  <c r="P335" i="8"/>
  <c r="U335" i="8"/>
  <c r="Y336" i="8" s="1"/>
  <c r="AD336" i="8" s="1"/>
  <c r="AF336" i="8" s="1"/>
  <c r="V335" i="8"/>
  <c r="X335" i="8"/>
  <c r="P274" i="8"/>
  <c r="R274" i="8" s="1"/>
  <c r="P330" i="8"/>
  <c r="X330" i="8"/>
  <c r="V330" i="8"/>
  <c r="U330" i="8"/>
  <c r="Y331" i="8" s="1"/>
  <c r="V269" i="8"/>
  <c r="T269" i="8"/>
  <c r="X269" i="8" s="1"/>
  <c r="P325" i="8"/>
  <c r="X325" i="8"/>
  <c r="V325" i="8"/>
  <c r="U325" i="8"/>
  <c r="Y326" i="8" s="1"/>
  <c r="P272" i="8"/>
  <c r="R272" i="8" s="1"/>
  <c r="AK280" i="8"/>
  <c r="AR300" i="8"/>
  <c r="AX300" i="8"/>
  <c r="AW300" i="8"/>
  <c r="AZ300" i="8"/>
  <c r="AD310" i="8"/>
  <c r="AI310" i="8"/>
  <c r="AM311" i="8" s="1"/>
  <c r="AL310" i="8"/>
  <c r="AJ310" i="8"/>
  <c r="P328" i="8"/>
  <c r="R328" i="8" s="1"/>
  <c r="P251" i="8"/>
  <c r="R251" i="8" s="1"/>
  <c r="P299" i="8"/>
  <c r="R299" i="8" s="1"/>
  <c r="V254" i="8"/>
  <c r="T254" i="8"/>
  <c r="U254" i="8" s="1"/>
  <c r="Y254" i="8" s="1"/>
  <c r="AD254" i="8" s="1"/>
  <c r="X254" i="8"/>
  <c r="X310" i="8"/>
  <c r="P310" i="8"/>
  <c r="V310" i="8"/>
  <c r="U310" i="8"/>
  <c r="Y311" i="8" s="1"/>
  <c r="P401" i="8"/>
  <c r="R401" i="8" s="1"/>
  <c r="P388" i="8"/>
  <c r="R388" i="8" s="1"/>
  <c r="P32" i="9"/>
  <c r="R32" i="9" s="1"/>
  <c r="P351" i="8"/>
  <c r="R351" i="8" s="1"/>
  <c r="P43" i="9"/>
  <c r="R43" i="9" s="1"/>
  <c r="P362" i="8"/>
  <c r="R362" i="8" s="1"/>
  <c r="AZ390" i="8"/>
  <c r="AR390" i="8"/>
  <c r="AX390" i="8"/>
  <c r="AW390" i="8"/>
  <c r="AL400" i="8"/>
  <c r="AD400" i="8"/>
  <c r="AJ400" i="8"/>
  <c r="AI400" i="8"/>
  <c r="AM401" i="8" s="1"/>
  <c r="P418" i="8"/>
  <c r="R418" i="8" s="1"/>
  <c r="P46" i="9"/>
  <c r="R46" i="9" s="1"/>
  <c r="V49" i="9"/>
  <c r="T49" i="9"/>
  <c r="X49" i="9" s="1"/>
  <c r="P392" i="8"/>
  <c r="R392" i="8" s="1"/>
  <c r="W410" i="8"/>
  <c r="AR420" i="8"/>
  <c r="AZ420" i="8"/>
  <c r="AX420" i="8"/>
  <c r="AW420" i="8"/>
  <c r="P52" i="9"/>
  <c r="R52" i="9" s="1"/>
  <c r="P371" i="8"/>
  <c r="R371" i="8" s="1"/>
  <c r="P419" i="8"/>
  <c r="R419" i="8" s="1"/>
  <c r="P63" i="9"/>
  <c r="R63" i="9" s="1"/>
  <c r="P382" i="8"/>
  <c r="R382" i="8" s="1"/>
  <c r="AK390" i="8"/>
  <c r="AZ410" i="8"/>
  <c r="AR410" i="8"/>
  <c r="AW410" i="8"/>
  <c r="AX410" i="8"/>
  <c r="AL420" i="8"/>
  <c r="AD420" i="8"/>
  <c r="AI420" i="8"/>
  <c r="AM421" i="8" s="1"/>
  <c r="AR421" i="8" s="1"/>
  <c r="AT421" i="8" s="1"/>
  <c r="AJ420" i="8"/>
  <c r="P58" i="9"/>
  <c r="R58" i="9" s="1"/>
  <c r="V129" i="9"/>
  <c r="T129" i="9"/>
  <c r="U129" i="9" s="1"/>
  <c r="Y129" i="9" s="1"/>
  <c r="AC129" i="9" s="1"/>
  <c r="AD129" i="9" s="1"/>
  <c r="V79" i="9"/>
  <c r="T79" i="9"/>
  <c r="U79" i="9" s="1"/>
  <c r="Y79" i="9" s="1"/>
  <c r="AC79" i="9" s="1"/>
  <c r="AD79" i="9" s="1"/>
  <c r="P98" i="9"/>
  <c r="R98" i="9" s="1"/>
  <c r="P117" i="9"/>
  <c r="R117" i="9" s="1"/>
  <c r="P91" i="9"/>
  <c r="R91" i="9" s="1"/>
  <c r="V102" i="9"/>
  <c r="T102" i="9"/>
  <c r="X102" i="9" s="1"/>
  <c r="P183" i="9"/>
  <c r="R183" i="9" s="1"/>
  <c r="P141" i="9"/>
  <c r="R141" i="9" s="1"/>
  <c r="V152" i="9"/>
  <c r="T152" i="9"/>
  <c r="U152" i="9" s="1"/>
  <c r="Y153" i="9" s="1"/>
  <c r="AC153" i="9" s="1"/>
  <c r="AD153" i="9" s="1"/>
  <c r="V171" i="9"/>
  <c r="T171" i="9"/>
  <c r="U171" i="9" s="1"/>
  <c r="Y172" i="9" s="1"/>
  <c r="AC172" i="9" s="1"/>
  <c r="AD172" i="9" s="1"/>
  <c r="X171" i="9"/>
  <c r="P182" i="9"/>
  <c r="R182" i="9" s="1"/>
  <c r="P156" i="9"/>
  <c r="R156" i="9" s="1"/>
  <c r="P238" i="9"/>
  <c r="R238" i="9" s="1"/>
  <c r="P196" i="9"/>
  <c r="R196" i="9" s="1"/>
  <c r="P207" i="9"/>
  <c r="R207" i="9" s="1"/>
  <c r="P226" i="9"/>
  <c r="R226" i="9" s="1"/>
  <c r="P253" i="9"/>
  <c r="R253" i="9" s="1"/>
  <c r="P211" i="9"/>
  <c r="R211" i="9" s="1"/>
  <c r="V291" i="9"/>
  <c r="T291" i="9"/>
  <c r="U291" i="9" s="1"/>
  <c r="Y292" i="9" s="1"/>
  <c r="AC292" i="9" s="1"/>
  <c r="AD292" i="9" s="1"/>
  <c r="V302" i="9"/>
  <c r="T302" i="9"/>
  <c r="X302" i="9" s="1"/>
  <c r="P284" i="9"/>
  <c r="R284" i="9" s="1"/>
  <c r="P258" i="9"/>
  <c r="R258" i="9" s="1"/>
  <c r="P269" i="9"/>
  <c r="R269" i="9" s="1"/>
  <c r="P288" i="9"/>
  <c r="R288" i="9" s="1"/>
  <c r="V323" i="9"/>
  <c r="T323" i="9"/>
  <c r="W323" i="9" s="1"/>
  <c r="V342" i="9"/>
  <c r="T342" i="9"/>
  <c r="U342" i="9" s="1"/>
  <c r="Y343" i="9" s="1"/>
  <c r="AC343" i="9" s="1"/>
  <c r="AD343" i="9" s="1"/>
  <c r="V353" i="9"/>
  <c r="T353" i="9"/>
  <c r="W353" i="9" s="1"/>
  <c r="P364" i="9"/>
  <c r="R364" i="9" s="1"/>
  <c r="P359" i="9"/>
  <c r="R359" i="9" s="1"/>
  <c r="P333" i="9"/>
  <c r="R333" i="9" s="1"/>
  <c r="V409" i="9"/>
  <c r="T409" i="9"/>
  <c r="U409" i="9" s="1"/>
  <c r="Y409" i="9" s="1"/>
  <c r="AC409" i="9" s="1"/>
  <c r="AD409" i="9" s="1"/>
  <c r="P367" i="9"/>
  <c r="R367" i="9" s="1"/>
  <c r="P394" i="9"/>
  <c r="R394" i="9" s="1"/>
  <c r="T413" i="9"/>
  <c r="W413" i="9" s="1"/>
  <c r="V413" i="9"/>
  <c r="T424" i="9"/>
  <c r="X424" i="9" s="1"/>
  <c r="V424" i="9"/>
  <c r="P76" i="10"/>
  <c r="R76" i="10" s="1"/>
  <c r="V37" i="10"/>
  <c r="T37" i="10"/>
  <c r="X37" i="10" s="1"/>
  <c r="P107" i="10"/>
  <c r="R107" i="10" s="1"/>
  <c r="P53" i="10"/>
  <c r="R53" i="10" s="1"/>
  <c r="P52" i="10"/>
  <c r="R52" i="10" s="1"/>
  <c r="V58" i="10"/>
  <c r="T58" i="10"/>
  <c r="W58" i="10" s="1"/>
  <c r="T72" i="10"/>
  <c r="U72" i="10" s="1"/>
  <c r="Y73" i="10" s="1"/>
  <c r="AC73" i="10" s="1"/>
  <c r="AD73" i="10" s="1"/>
  <c r="V72" i="10"/>
  <c r="P104" i="10"/>
  <c r="R104" i="10" s="1"/>
  <c r="V94" i="10"/>
  <c r="T94" i="10"/>
  <c r="P118" i="10"/>
  <c r="R118" i="10" s="1"/>
  <c r="V137" i="10"/>
  <c r="T137" i="10"/>
  <c r="X137" i="10" s="1"/>
  <c r="P103" i="10"/>
  <c r="R103" i="10" s="1"/>
  <c r="T106" i="10"/>
  <c r="U106" i="10" s="1"/>
  <c r="Y107" i="10" s="1"/>
  <c r="AC107" i="10" s="1"/>
  <c r="AD107" i="10" s="1"/>
  <c r="V106" i="10"/>
  <c r="V133" i="10"/>
  <c r="T133" i="10"/>
  <c r="W133" i="10" s="1"/>
  <c r="P164" i="10"/>
  <c r="R164" i="10" s="1"/>
  <c r="P202" i="10"/>
  <c r="R202" i="10" s="1"/>
  <c r="V163" i="10"/>
  <c r="T163" i="10"/>
  <c r="W163" i="10" s="1"/>
  <c r="T193" i="10"/>
  <c r="W193" i="10" s="1"/>
  <c r="V193" i="10"/>
  <c r="P221" i="10"/>
  <c r="R221" i="10" s="1"/>
  <c r="P227" i="10"/>
  <c r="R227" i="10" s="1"/>
  <c r="P223" i="10"/>
  <c r="R223" i="10" s="1"/>
  <c r="P241" i="10"/>
  <c r="R241" i="10" s="1"/>
  <c r="P247" i="10"/>
  <c r="R247" i="10" s="1"/>
  <c r="V248" i="10"/>
  <c r="T248" i="10"/>
  <c r="W248" i="10" s="1"/>
  <c r="P282" i="10"/>
  <c r="R282" i="10" s="1"/>
  <c r="P272" i="10"/>
  <c r="R272" i="10" s="1"/>
  <c r="V291" i="10"/>
  <c r="T291" i="10"/>
  <c r="X291" i="10"/>
  <c r="P284" i="10"/>
  <c r="R284" i="10" s="1"/>
  <c r="P321" i="10"/>
  <c r="R321" i="10" s="1"/>
  <c r="P319" i="10"/>
  <c r="R319" i="10" s="1"/>
  <c r="P312" i="10"/>
  <c r="R312" i="10" s="1"/>
  <c r="P344" i="10"/>
  <c r="R344" i="10" s="1"/>
  <c r="P352" i="10"/>
  <c r="R352" i="10" s="1"/>
  <c r="P361" i="10"/>
  <c r="R361" i="10" s="1"/>
  <c r="P386" i="10"/>
  <c r="R386" i="10" s="1"/>
  <c r="T377" i="10"/>
  <c r="U377" i="10" s="1"/>
  <c r="Y378" i="10" s="1"/>
  <c r="AC378" i="10" s="1"/>
  <c r="AD378" i="10" s="1"/>
  <c r="V377" i="10"/>
  <c r="P392" i="10"/>
  <c r="R392" i="10" s="1"/>
  <c r="P411" i="10"/>
  <c r="R411" i="10" s="1"/>
  <c r="P417" i="10"/>
  <c r="R417" i="10" s="1"/>
  <c r="AX350" i="10"/>
  <c r="AR291" i="10"/>
  <c r="AT291" i="10" s="1"/>
  <c r="AR380" i="9"/>
  <c r="AW380" i="9"/>
  <c r="AX380" i="9"/>
  <c r="AZ380" i="9"/>
  <c r="AD295" i="9"/>
  <c r="AZ130" i="10"/>
  <c r="V340" i="10"/>
  <c r="V325" i="10"/>
  <c r="AW290" i="9"/>
  <c r="AX240" i="9"/>
  <c r="AW345" i="10"/>
  <c r="AR335" i="10"/>
  <c r="AJ325" i="9"/>
  <c r="V125" i="10"/>
  <c r="AI40" i="9"/>
  <c r="AM41" i="9" s="1"/>
  <c r="AQ41" i="9" s="1"/>
  <c r="AR41" i="9" s="1"/>
  <c r="AT41" i="9" s="1"/>
  <c r="AI145" i="10"/>
  <c r="AM146" i="10" s="1"/>
  <c r="AQ146" i="10" s="1"/>
  <c r="AR146" i="10" s="1"/>
  <c r="AT146" i="10" s="1"/>
  <c r="W270" i="10"/>
  <c r="AK250" i="9"/>
  <c r="W265" i="10"/>
  <c r="AR330" i="9"/>
  <c r="AI330" i="9"/>
  <c r="AM331" i="9" s="1"/>
  <c r="AQ331" i="9" s="1"/>
  <c r="AR331" i="9" s="1"/>
  <c r="AT331" i="9" s="1"/>
  <c r="AZ80" i="9"/>
  <c r="W115" i="10"/>
  <c r="W195" i="9"/>
  <c r="AT236" i="10"/>
  <c r="AK235" i="10"/>
  <c r="X390" i="9"/>
  <c r="AJ306" i="9"/>
  <c r="AH306" i="9"/>
  <c r="AL306" i="9" s="1"/>
  <c r="W310" i="10"/>
  <c r="AK385" i="10"/>
  <c r="X115" i="10"/>
  <c r="P405" i="10"/>
  <c r="AZ420" i="9"/>
  <c r="AR420" i="9"/>
  <c r="AW420" i="9"/>
  <c r="AX420" i="9"/>
  <c r="W400" i="9"/>
  <c r="AK135" i="9"/>
  <c r="AR146" i="9"/>
  <c r="AT146" i="9" s="1"/>
  <c r="AR366" i="10"/>
  <c r="AT366" i="10" s="1"/>
  <c r="U155" i="9"/>
  <c r="Y156" i="9" s="1"/>
  <c r="AC156" i="9" s="1"/>
  <c r="AD156" i="9" s="1"/>
  <c r="AK170" i="10"/>
  <c r="U310" i="10"/>
  <c r="Y311" i="10" s="1"/>
  <c r="AC311" i="10" s="1"/>
  <c r="AD311" i="10" s="1"/>
  <c r="AF311" i="10" s="1"/>
  <c r="AJ385" i="10"/>
  <c r="AL250" i="10"/>
  <c r="AD111" i="10"/>
  <c r="AJ170" i="10"/>
  <c r="AD225" i="9"/>
  <c r="AW95" i="10"/>
  <c r="W85" i="9"/>
  <c r="AR145" i="10"/>
  <c r="U120" i="9"/>
  <c r="Y121" i="9" s="1"/>
  <c r="AC121" i="9" s="1"/>
  <c r="AD121" i="9" s="1"/>
  <c r="AF121" i="9" s="1"/>
  <c r="AX65" i="10"/>
  <c r="V250" i="10"/>
  <c r="Q100" i="10"/>
  <c r="S100" i="10" s="1"/>
  <c r="P100" i="10"/>
  <c r="C31" i="7"/>
  <c r="C32" i="7" s="1"/>
  <c r="Q180" i="10"/>
  <c r="S180" i="10" s="1"/>
  <c r="P180" i="10"/>
  <c r="P59" i="8"/>
  <c r="R59" i="8" s="1"/>
  <c r="V115" i="8"/>
  <c r="U115" i="8"/>
  <c r="Y116" i="8" s="1"/>
  <c r="AD116" i="8" s="1"/>
  <c r="AF116" i="8" s="1"/>
  <c r="P115" i="8"/>
  <c r="X115" i="8"/>
  <c r="P38" i="8"/>
  <c r="R38" i="8" s="1"/>
  <c r="AH25" i="8"/>
  <c r="D9" i="8"/>
  <c r="AR45" i="8"/>
  <c r="AW45" i="8"/>
  <c r="AZ45" i="8"/>
  <c r="AX45" i="8"/>
  <c r="AL55" i="8"/>
  <c r="AD55" i="8"/>
  <c r="AJ55" i="8"/>
  <c r="AI55" i="8"/>
  <c r="AM56" i="8" s="1"/>
  <c r="P73" i="8"/>
  <c r="R73" i="8" s="1"/>
  <c r="P52" i="8"/>
  <c r="R52" i="8" s="1"/>
  <c r="AR80" i="8"/>
  <c r="AW80" i="8"/>
  <c r="AZ80" i="8"/>
  <c r="AX80" i="8"/>
  <c r="AD90" i="8"/>
  <c r="AI90" i="8"/>
  <c r="AM91" i="8" s="1"/>
  <c r="AJ90" i="8"/>
  <c r="AL90" i="8"/>
  <c r="V108" i="8"/>
  <c r="T108" i="8"/>
  <c r="W108" i="8" s="1"/>
  <c r="P39" i="8"/>
  <c r="R39" i="8" s="1"/>
  <c r="P95" i="8"/>
  <c r="X95" i="8"/>
  <c r="V95" i="8"/>
  <c r="U95" i="8"/>
  <c r="Y96" i="8" s="1"/>
  <c r="AD96" i="8" s="1"/>
  <c r="AF96" i="8" s="1"/>
  <c r="P50" i="8"/>
  <c r="V50" i="8"/>
  <c r="U50" i="8"/>
  <c r="Y51" i="8" s="1"/>
  <c r="AD51" i="8" s="1"/>
  <c r="AF51" i="8" s="1"/>
  <c r="X50" i="8"/>
  <c r="P106" i="8"/>
  <c r="R106" i="8" s="1"/>
  <c r="P85" i="8"/>
  <c r="X85" i="8"/>
  <c r="U85" i="8"/>
  <c r="Y86" i="8" s="1"/>
  <c r="AD86" i="8" s="1"/>
  <c r="AF86" i="8" s="1"/>
  <c r="V85" i="8"/>
  <c r="P64" i="8"/>
  <c r="R64" i="8" s="1"/>
  <c r="V120" i="8"/>
  <c r="P120" i="8"/>
  <c r="U120" i="8"/>
  <c r="Y121" i="8" s="1"/>
  <c r="X120" i="8"/>
  <c r="V201" i="8"/>
  <c r="T201" i="8"/>
  <c r="X201" i="8" s="1"/>
  <c r="P249" i="8"/>
  <c r="R249" i="8" s="1"/>
  <c r="U140" i="8"/>
  <c r="Y141" i="8" s="1"/>
  <c r="X140" i="8"/>
  <c r="P140" i="8"/>
  <c r="V140" i="8"/>
  <c r="P196" i="8"/>
  <c r="R196" i="8" s="1"/>
  <c r="P143" i="8"/>
  <c r="R143" i="8" s="1"/>
  <c r="P170" i="8"/>
  <c r="V170" i="8"/>
  <c r="U170" i="8"/>
  <c r="Y171" i="8" s="1"/>
  <c r="X170" i="8"/>
  <c r="P226" i="8"/>
  <c r="R226" i="8" s="1"/>
  <c r="P149" i="8"/>
  <c r="R149" i="8" s="1"/>
  <c r="X205" i="8"/>
  <c r="P205" i="8"/>
  <c r="V205" i="8"/>
  <c r="U205" i="8"/>
  <c r="Y206" i="8" s="1"/>
  <c r="P144" i="8"/>
  <c r="R144" i="8" s="1"/>
  <c r="P200" i="8"/>
  <c r="U200" i="8"/>
  <c r="Y201" i="8" s="1"/>
  <c r="X200" i="8"/>
  <c r="V200" i="8"/>
  <c r="P227" i="8"/>
  <c r="R227" i="8" s="1"/>
  <c r="P166" i="8"/>
  <c r="R166" i="8" s="1"/>
  <c r="P214" i="8"/>
  <c r="R214" i="8" s="1"/>
  <c r="P252" i="8"/>
  <c r="R252" i="8" s="1"/>
  <c r="W270" i="8"/>
  <c r="AR280" i="8"/>
  <c r="AX280" i="8"/>
  <c r="AZ280" i="8"/>
  <c r="AW280" i="8"/>
  <c r="AI290" i="8"/>
  <c r="AM291" i="8" s="1"/>
  <c r="AR291" i="8" s="1"/>
  <c r="AT291" i="8" s="1"/>
  <c r="AD290" i="8"/>
  <c r="AJ290" i="8"/>
  <c r="AL290" i="8"/>
  <c r="P308" i="8"/>
  <c r="R308" i="8" s="1"/>
  <c r="AD346" i="8"/>
  <c r="AF346" i="8" s="1"/>
  <c r="P327" i="8"/>
  <c r="R327" i="8" s="1"/>
  <c r="W345" i="8"/>
  <c r="P322" i="8"/>
  <c r="R322" i="8" s="1"/>
  <c r="P317" i="8"/>
  <c r="R317" i="8" s="1"/>
  <c r="W335" i="8"/>
  <c r="AR345" i="8"/>
  <c r="AW345" i="8"/>
  <c r="AZ345" i="8"/>
  <c r="AX345" i="8"/>
  <c r="T264" i="8"/>
  <c r="U264" i="8" s="1"/>
  <c r="Y264" i="8" s="1"/>
  <c r="AD264" i="8" s="1"/>
  <c r="P320" i="8"/>
  <c r="X320" i="8"/>
  <c r="V320" i="8"/>
  <c r="U320" i="8"/>
  <c r="Y321" i="8" s="1"/>
  <c r="P356" i="8"/>
  <c r="R356" i="8" s="1"/>
  <c r="P243" i="8"/>
  <c r="R243" i="8" s="1"/>
  <c r="P302" i="8"/>
  <c r="R302" i="8" s="1"/>
  <c r="AK310" i="8"/>
  <c r="AX330" i="8"/>
  <c r="AW330" i="8"/>
  <c r="AZ330" i="8"/>
  <c r="AR330" i="8"/>
  <c r="AJ340" i="8"/>
  <c r="AI340" i="8"/>
  <c r="AM341" i="8" s="1"/>
  <c r="AR341" i="8" s="1"/>
  <c r="AT341" i="8" s="1"/>
  <c r="AL340" i="8"/>
  <c r="AD340" i="8"/>
  <c r="X380" i="8"/>
  <c r="P380" i="8"/>
  <c r="V380" i="8"/>
  <c r="U380" i="8"/>
  <c r="Y381" i="8" s="1"/>
  <c r="AD381" i="8" s="1"/>
  <c r="AF381" i="8" s="1"/>
  <c r="P48" i="9"/>
  <c r="R48" i="9" s="1"/>
  <c r="P51" i="9"/>
  <c r="R51" i="9" s="1"/>
  <c r="V354" i="8"/>
  <c r="T354" i="8"/>
  <c r="P410" i="8"/>
  <c r="V410" i="8"/>
  <c r="U410" i="8"/>
  <c r="Y411" i="8" s="1"/>
  <c r="AD411" i="8" s="1"/>
  <c r="AF411" i="8" s="1"/>
  <c r="X410" i="8"/>
  <c r="P54" i="9"/>
  <c r="R54" i="9" s="1"/>
  <c r="P381" i="8"/>
  <c r="R381" i="8" s="1"/>
  <c r="P57" i="9"/>
  <c r="R57" i="9" s="1"/>
  <c r="P384" i="8"/>
  <c r="R384" i="8" s="1"/>
  <c r="P68" i="9"/>
  <c r="R68" i="9" s="1"/>
  <c r="P363" i="8"/>
  <c r="R363" i="8" s="1"/>
  <c r="P374" i="8"/>
  <c r="R374" i="8" s="1"/>
  <c r="P66" i="9"/>
  <c r="R66" i="9" s="1"/>
  <c r="P76" i="9"/>
  <c r="R76" i="9" s="1"/>
  <c r="P87" i="9"/>
  <c r="R87" i="9" s="1"/>
  <c r="P106" i="9"/>
  <c r="R106" i="9" s="1"/>
  <c r="P72" i="9"/>
  <c r="R72" i="9" s="1"/>
  <c r="P99" i="9"/>
  <c r="R99" i="9" s="1"/>
  <c r="V118" i="9"/>
  <c r="T118" i="9"/>
  <c r="W118" i="9" s="1"/>
  <c r="V191" i="9"/>
  <c r="T191" i="9"/>
  <c r="U191" i="9" s="1"/>
  <c r="Y192" i="9" s="1"/>
  <c r="AC192" i="9" s="1"/>
  <c r="AD192" i="9" s="1"/>
  <c r="V149" i="9"/>
  <c r="T149" i="9"/>
  <c r="U149" i="9" s="1"/>
  <c r="Y149" i="9" s="1"/>
  <c r="AC149" i="9" s="1"/>
  <c r="AD149" i="9" s="1"/>
  <c r="V168" i="9"/>
  <c r="T168" i="9"/>
  <c r="W168" i="9" s="1"/>
  <c r="V179" i="9"/>
  <c r="T179" i="9"/>
  <c r="X179" i="9" s="1"/>
  <c r="T153" i="9"/>
  <c r="W153" i="9" s="1"/>
  <c r="V153" i="9"/>
  <c r="P164" i="9"/>
  <c r="R164" i="9" s="1"/>
  <c r="V246" i="9"/>
  <c r="T246" i="9"/>
  <c r="U246" i="9" s="1"/>
  <c r="Y247" i="9" s="1"/>
  <c r="AC247" i="9" s="1"/>
  <c r="AD247" i="9" s="1"/>
  <c r="P204" i="9"/>
  <c r="R204" i="9" s="1"/>
  <c r="P223" i="9"/>
  <c r="R223" i="9" s="1"/>
  <c r="P234" i="9"/>
  <c r="R234" i="9" s="1"/>
  <c r="P257" i="9"/>
  <c r="R257" i="9" s="1"/>
  <c r="V219" i="9"/>
  <c r="T219" i="9"/>
  <c r="U219" i="9" s="1"/>
  <c r="Y219" i="9" s="1"/>
  <c r="AC219" i="9" s="1"/>
  <c r="AD219" i="9" s="1"/>
  <c r="P299" i="9"/>
  <c r="R299" i="9" s="1"/>
  <c r="V312" i="9"/>
  <c r="T312" i="9"/>
  <c r="X312" i="9" s="1"/>
  <c r="P292" i="9"/>
  <c r="R292" i="9" s="1"/>
  <c r="P266" i="9"/>
  <c r="R266" i="9" s="1"/>
  <c r="P277" i="9"/>
  <c r="R277" i="9" s="1"/>
  <c r="V296" i="9"/>
  <c r="T296" i="9"/>
  <c r="U296" i="9" s="1"/>
  <c r="Y297" i="9" s="1"/>
  <c r="AC297" i="9" s="1"/>
  <c r="AD297" i="9" s="1"/>
  <c r="P331" i="9"/>
  <c r="R331" i="9" s="1"/>
  <c r="P358" i="9"/>
  <c r="R358" i="9" s="1"/>
  <c r="P361" i="9"/>
  <c r="R361" i="9" s="1"/>
  <c r="V374" i="9"/>
  <c r="T374" i="9"/>
  <c r="U374" i="9" s="1"/>
  <c r="Y374" i="9" s="1"/>
  <c r="AC374" i="9" s="1"/>
  <c r="AD374" i="9" s="1"/>
  <c r="T314" i="9"/>
  <c r="U314" i="9" s="1"/>
  <c r="Y314" i="9" s="1"/>
  <c r="AC314" i="9" s="1"/>
  <c r="AD314" i="9" s="1"/>
  <c r="X314" i="9"/>
  <c r="V314" i="9"/>
  <c r="V341" i="9"/>
  <c r="T341" i="9"/>
  <c r="U341" i="9" s="1"/>
  <c r="Y342" i="9" s="1"/>
  <c r="AC342" i="9" s="1"/>
  <c r="AD342" i="9" s="1"/>
  <c r="V417" i="9"/>
  <c r="T417" i="9"/>
  <c r="U417" i="9" s="1"/>
  <c r="Y418" i="9" s="1"/>
  <c r="AC418" i="9" s="1"/>
  <c r="AD418" i="9" s="1"/>
  <c r="P383" i="9"/>
  <c r="R383" i="9" s="1"/>
  <c r="P402" i="9"/>
  <c r="R402" i="9" s="1"/>
  <c r="P421" i="9"/>
  <c r="R421" i="9" s="1"/>
  <c r="P371" i="9"/>
  <c r="R371" i="9" s="1"/>
  <c r="P77" i="10"/>
  <c r="R77" i="10" s="1"/>
  <c r="P84" i="10"/>
  <c r="R84" i="10" s="1"/>
  <c r="P27" i="10"/>
  <c r="R27" i="10" s="1"/>
  <c r="P73" i="10"/>
  <c r="R73" i="10" s="1"/>
  <c r="T56" i="10"/>
  <c r="X56" i="10" s="1"/>
  <c r="V56" i="10"/>
  <c r="P66" i="10"/>
  <c r="R66" i="10" s="1"/>
  <c r="P88" i="10"/>
  <c r="R88" i="10" s="1"/>
  <c r="P112" i="10"/>
  <c r="R112" i="10" s="1"/>
  <c r="V102" i="10"/>
  <c r="T102" i="10"/>
  <c r="X102" i="10" s="1"/>
  <c r="V126" i="10"/>
  <c r="T126" i="10"/>
  <c r="U126" i="10" s="1"/>
  <c r="Y127" i="10" s="1"/>
  <c r="AC127" i="10" s="1"/>
  <c r="AD127" i="10" s="1"/>
  <c r="V153" i="10"/>
  <c r="T153" i="10"/>
  <c r="W153" i="10" s="1"/>
  <c r="P111" i="10"/>
  <c r="R111" i="10" s="1"/>
  <c r="T114" i="10"/>
  <c r="X114" i="10" s="1"/>
  <c r="V114" i="10"/>
  <c r="P141" i="10"/>
  <c r="R141" i="10" s="1"/>
  <c r="P172" i="10"/>
  <c r="R172" i="10" s="1"/>
  <c r="T173" i="10"/>
  <c r="W173" i="10" s="1"/>
  <c r="V173" i="10"/>
  <c r="P171" i="10"/>
  <c r="R171" i="10" s="1"/>
  <c r="P201" i="10"/>
  <c r="R201" i="10" s="1"/>
  <c r="P229" i="10"/>
  <c r="R229" i="10" s="1"/>
  <c r="P214" i="10"/>
  <c r="R214" i="10" s="1"/>
  <c r="P238" i="10"/>
  <c r="R238" i="10" s="1"/>
  <c r="V249" i="10"/>
  <c r="T249" i="10"/>
  <c r="U249" i="10" s="1"/>
  <c r="Y249" i="10" s="1"/>
  <c r="AC249" i="10" s="1"/>
  <c r="AD249" i="10" s="1"/>
  <c r="V251" i="10"/>
  <c r="T251" i="10"/>
  <c r="U251" i="10" s="1"/>
  <c r="Y252" i="10" s="1"/>
  <c r="AC252" i="10" s="1"/>
  <c r="AD252" i="10" s="1"/>
  <c r="V267" i="10"/>
  <c r="T267" i="10"/>
  <c r="U267" i="10" s="1"/>
  <c r="Y268" i="10" s="1"/>
  <c r="AC268" i="10" s="1"/>
  <c r="AD268" i="10" s="1"/>
  <c r="T266" i="10"/>
  <c r="X266" i="10" s="1"/>
  <c r="V266" i="10"/>
  <c r="P298" i="10"/>
  <c r="R298" i="10" s="1"/>
  <c r="P299" i="10"/>
  <c r="R299" i="10" s="1"/>
  <c r="P292" i="10"/>
  <c r="R292" i="10" s="1"/>
  <c r="X329" i="10"/>
  <c r="V329" i="10"/>
  <c r="T329" i="10"/>
  <c r="U329" i="10" s="1"/>
  <c r="Y329" i="10" s="1"/>
  <c r="AC329" i="10" s="1"/>
  <c r="AD329" i="10" s="1"/>
  <c r="V327" i="10"/>
  <c r="T327" i="10"/>
  <c r="U327" i="10" s="1"/>
  <c r="Y328" i="10" s="1"/>
  <c r="AC328" i="10" s="1"/>
  <c r="AD328" i="10" s="1"/>
  <c r="V328" i="10"/>
  <c r="T328" i="10"/>
  <c r="W328" i="10" s="1"/>
  <c r="P331" i="10"/>
  <c r="R331" i="10" s="1"/>
  <c r="P351" i="10"/>
  <c r="R351" i="10" s="1"/>
  <c r="P347" i="10"/>
  <c r="R347" i="10" s="1"/>
  <c r="P382" i="10"/>
  <c r="R382" i="10" s="1"/>
  <c r="P397" i="10"/>
  <c r="R397" i="10" s="1"/>
  <c r="V388" i="10"/>
  <c r="T388" i="10"/>
  <c r="W388" i="10" s="1"/>
  <c r="P401" i="10"/>
  <c r="R401" i="10" s="1"/>
  <c r="P403" i="10"/>
  <c r="R403" i="10" s="1"/>
  <c r="P412" i="10"/>
  <c r="R412" i="10" s="1"/>
  <c r="AR350" i="10"/>
  <c r="AL295" i="9"/>
  <c r="AW130" i="10"/>
  <c r="P340" i="10"/>
  <c r="P325" i="10"/>
  <c r="AX290" i="9"/>
  <c r="X130" i="9"/>
  <c r="AW240" i="9"/>
  <c r="AX345" i="10"/>
  <c r="AZ335" i="10"/>
  <c r="AD325" i="9"/>
  <c r="X125" i="10"/>
  <c r="AJ40" i="9"/>
  <c r="AJ145" i="10"/>
  <c r="AH126" i="9"/>
  <c r="AL126" i="9" s="1"/>
  <c r="AJ126" i="9"/>
  <c r="AJ405" i="9"/>
  <c r="W225" i="10"/>
  <c r="AK225" i="9"/>
  <c r="AK160" i="9"/>
  <c r="AT161" i="9"/>
  <c r="AK85" i="9"/>
  <c r="AK340" i="9"/>
  <c r="AT341" i="9"/>
  <c r="AD371" i="10"/>
  <c r="AF371" i="10" s="1"/>
  <c r="W120" i="9"/>
  <c r="P265" i="10"/>
  <c r="AR405" i="10"/>
  <c r="AD46" i="9"/>
  <c r="AF46" i="9" s="1"/>
  <c r="V230" i="9"/>
  <c r="AD80" i="10"/>
  <c r="U350" i="9"/>
  <c r="Y351" i="9" s="1"/>
  <c r="AC351" i="9" s="1"/>
  <c r="AD351" i="9" s="1"/>
  <c r="AF351" i="9" s="1"/>
  <c r="AD160" i="9"/>
  <c r="AD85" i="9"/>
  <c r="AX195" i="9"/>
  <c r="AJ340" i="9"/>
  <c r="V375" i="10"/>
  <c r="X195" i="9"/>
  <c r="AD235" i="10"/>
  <c r="P270" i="9"/>
  <c r="AD110" i="10"/>
  <c r="W235" i="10"/>
  <c r="AK255" i="10"/>
  <c r="AT256" i="10"/>
  <c r="W120" i="10"/>
  <c r="AF121" i="10"/>
  <c r="AF186" i="10"/>
  <c r="W185" i="10"/>
  <c r="AK30" i="9"/>
  <c r="AJ265" i="10"/>
  <c r="W385" i="10"/>
  <c r="AF386" i="10"/>
  <c r="AT196" i="9"/>
  <c r="AK195" i="9"/>
  <c r="W210" i="10"/>
  <c r="X235" i="10"/>
  <c r="AX365" i="9"/>
  <c r="V410" i="10"/>
  <c r="AZ330" i="9"/>
  <c r="AT311" i="10"/>
  <c r="AK310" i="10"/>
  <c r="AD330" i="9"/>
  <c r="AT336" i="10"/>
  <c r="AK335" i="10"/>
  <c r="AW175" i="10"/>
  <c r="AI30" i="9"/>
  <c r="AM31" i="9" s="1"/>
  <c r="AQ31" i="9" s="1"/>
  <c r="AR31" i="9" s="1"/>
  <c r="AT31" i="9" s="1"/>
  <c r="P250" i="9"/>
  <c r="U30" i="9"/>
  <c r="Y31" i="9" s="1"/>
  <c r="AC31" i="9" s="1"/>
  <c r="AD31" i="9" s="1"/>
  <c r="AK165" i="9"/>
  <c r="AX105" i="9"/>
  <c r="X210" i="10"/>
  <c r="P340" i="9"/>
  <c r="P210" i="9"/>
  <c r="AK45" i="10"/>
  <c r="AR45" i="9"/>
  <c r="AT276" i="10"/>
  <c r="AK275" i="10"/>
  <c r="AD200" i="9"/>
  <c r="U390" i="9"/>
  <c r="Y391" i="9" s="1"/>
  <c r="AC391" i="9" s="1"/>
  <c r="AD391" i="9" s="1"/>
  <c r="V95" i="10"/>
  <c r="AR250" i="9"/>
  <c r="AK330" i="10"/>
  <c r="P115" i="10"/>
  <c r="AZ370" i="9"/>
  <c r="W345" i="9"/>
  <c r="AJ165" i="9"/>
  <c r="AF66" i="9"/>
  <c r="W65" i="9"/>
  <c r="AI335" i="9"/>
  <c r="AM336" i="9" s="1"/>
  <c r="AQ336" i="9" s="1"/>
  <c r="AR336" i="9" s="1"/>
  <c r="AR25" i="9"/>
  <c r="AK410" i="10"/>
  <c r="AK160" i="10"/>
  <c r="AR380" i="10"/>
  <c r="AW380" i="10"/>
  <c r="AX380" i="10"/>
  <c r="AZ380" i="10"/>
  <c r="AW365" i="10"/>
  <c r="AD146" i="10"/>
  <c r="P310" i="10"/>
  <c r="AL405" i="10"/>
  <c r="AD291" i="9"/>
  <c r="AF291" i="9" s="1"/>
  <c r="AK65" i="9"/>
  <c r="AT66" i="9"/>
  <c r="P275" i="10"/>
  <c r="P345" i="9"/>
  <c r="U200" i="10"/>
  <c r="Y201" i="10" s="1"/>
  <c r="AC201" i="10" s="1"/>
  <c r="AD201" i="10" s="1"/>
  <c r="AF201" i="10" s="1"/>
  <c r="V65" i="9"/>
  <c r="AX115" i="9"/>
  <c r="AD135" i="10"/>
  <c r="AK360" i="10"/>
  <c r="V225" i="9"/>
  <c r="AL85" i="10"/>
  <c r="AR311" i="9"/>
  <c r="AT311" i="9" s="1"/>
  <c r="V110" i="10"/>
  <c r="U305" i="10"/>
  <c r="Y306" i="10" s="1"/>
  <c r="AC306" i="10" s="1"/>
  <c r="AD306" i="10" s="1"/>
  <c r="AI135" i="9"/>
  <c r="AM136" i="9" s="1"/>
  <c r="AQ136" i="9" s="1"/>
  <c r="AR136" i="9" s="1"/>
  <c r="AT136" i="9" s="1"/>
  <c r="V90" i="10"/>
  <c r="AJ305" i="9"/>
  <c r="AL170" i="10"/>
  <c r="W345" i="10"/>
  <c r="W130" i="9"/>
  <c r="AR95" i="10"/>
  <c r="T25" i="10"/>
  <c r="P255" i="10"/>
  <c r="AL200" i="10"/>
  <c r="AL65" i="9"/>
  <c r="AW65" i="10"/>
  <c r="P250" i="10"/>
  <c r="AK375" i="9"/>
  <c r="X360" i="9"/>
  <c r="X165" i="9"/>
  <c r="AZ160" i="10"/>
  <c r="AX55" i="9"/>
  <c r="AK195" i="10"/>
  <c r="AT196" i="10"/>
  <c r="AX155" i="9"/>
  <c r="Q260" i="9"/>
  <c r="S260" i="9" s="1"/>
  <c r="P260" i="9"/>
  <c r="Q60" i="10"/>
  <c r="S60" i="10" s="1"/>
  <c r="P60" i="10"/>
  <c r="Q300" i="9"/>
  <c r="S300" i="9" s="1"/>
  <c r="P300" i="9"/>
  <c r="AE220" i="9"/>
  <c r="AG220" i="9" s="1"/>
  <c r="AD220" i="9"/>
  <c r="AE180" i="9"/>
  <c r="AG180" i="9" s="1"/>
  <c r="AD180" i="9"/>
  <c r="AE300" i="9"/>
  <c r="AG300" i="9" s="1"/>
  <c r="AD300" i="9"/>
  <c r="AE35" i="9"/>
  <c r="AG35" i="9" s="1"/>
  <c r="AD35" i="9"/>
  <c r="AS50" i="9"/>
  <c r="AU50" i="9" s="1"/>
  <c r="AR50" i="9"/>
  <c r="Q50" i="9"/>
  <c r="S50" i="9" s="1"/>
  <c r="P50" i="9"/>
  <c r="P107" i="8"/>
  <c r="R107" i="8" s="1"/>
  <c r="U30" i="8"/>
  <c r="Y31" i="8" s="1"/>
  <c r="X30" i="8"/>
  <c r="P30" i="8"/>
  <c r="V30" i="8"/>
  <c r="P86" i="8"/>
  <c r="R86" i="8" s="1"/>
  <c r="P65" i="8"/>
  <c r="V65" i="8"/>
  <c r="X65" i="8"/>
  <c r="U65" i="8"/>
  <c r="Y66" i="8" s="1"/>
  <c r="AD66" i="8" s="1"/>
  <c r="AF66" i="8" s="1"/>
  <c r="P121" i="8"/>
  <c r="R121" i="8" s="1"/>
  <c r="P44" i="8"/>
  <c r="R44" i="8" s="1"/>
  <c r="P100" i="8"/>
  <c r="U100" i="8"/>
  <c r="Y101" i="8" s="1"/>
  <c r="V100" i="8"/>
  <c r="X100" i="8"/>
  <c r="P87" i="8"/>
  <c r="R87" i="8" s="1"/>
  <c r="AK95" i="8"/>
  <c r="AR115" i="8"/>
  <c r="AX115" i="8"/>
  <c r="AW115" i="8"/>
  <c r="AZ115" i="8"/>
  <c r="AD125" i="8"/>
  <c r="AJ125" i="8"/>
  <c r="AI125" i="8"/>
  <c r="AM126" i="8" s="1"/>
  <c r="AR126" i="8" s="1"/>
  <c r="AT126" i="8" s="1"/>
  <c r="AL125" i="8"/>
  <c r="P42" i="8"/>
  <c r="R42" i="8" s="1"/>
  <c r="AR70" i="8"/>
  <c r="AX70" i="8"/>
  <c r="AW70" i="8"/>
  <c r="AZ70" i="8"/>
  <c r="AL80" i="8"/>
  <c r="AD80" i="8"/>
  <c r="AI80" i="8"/>
  <c r="AM81" i="8" s="1"/>
  <c r="AR81" i="8" s="1"/>
  <c r="AT81" i="8" s="1"/>
  <c r="AJ80" i="8"/>
  <c r="P98" i="8"/>
  <c r="R98" i="8" s="1"/>
  <c r="P77" i="8"/>
  <c r="R77" i="8" s="1"/>
  <c r="AR105" i="8"/>
  <c r="AX105" i="8"/>
  <c r="AZ105" i="8"/>
  <c r="AW105" i="8"/>
  <c r="AL115" i="8"/>
  <c r="AD115" i="8"/>
  <c r="AI115" i="8"/>
  <c r="AM116" i="8" s="1"/>
  <c r="AJ115" i="8"/>
  <c r="P112" i="8"/>
  <c r="R112" i="8" s="1"/>
  <c r="W155" i="8"/>
  <c r="AR165" i="8"/>
  <c r="AX165" i="8"/>
  <c r="AZ165" i="8"/>
  <c r="AW165" i="8"/>
  <c r="AJ175" i="8"/>
  <c r="AD175" i="8"/>
  <c r="AI175" i="8"/>
  <c r="AM176" i="8" s="1"/>
  <c r="AR176" i="8" s="1"/>
  <c r="AT176" i="8" s="1"/>
  <c r="AL175" i="8"/>
  <c r="P193" i="8"/>
  <c r="R193" i="8" s="1"/>
  <c r="V329" i="8"/>
  <c r="T329" i="8"/>
  <c r="X329" i="8" s="1"/>
  <c r="P132" i="8"/>
  <c r="R132" i="8" s="1"/>
  <c r="AW160" i="8"/>
  <c r="AZ160" i="8"/>
  <c r="AR160" i="8"/>
  <c r="AX160" i="8"/>
  <c r="AI170" i="8"/>
  <c r="AM171" i="8" s="1"/>
  <c r="AR171" i="8" s="1"/>
  <c r="AT171" i="8" s="1"/>
  <c r="AL170" i="8"/>
  <c r="AD170" i="8"/>
  <c r="AJ170" i="8"/>
  <c r="P188" i="8"/>
  <c r="R188" i="8" s="1"/>
  <c r="P337" i="8"/>
  <c r="R337" i="8" s="1"/>
  <c r="X135" i="8"/>
  <c r="P135" i="8"/>
  <c r="V135" i="8"/>
  <c r="U135" i="8"/>
  <c r="Y136" i="8" s="1"/>
  <c r="T191" i="8"/>
  <c r="X191" i="8" s="1"/>
  <c r="V191" i="8"/>
  <c r="P241" i="8"/>
  <c r="R241" i="8" s="1"/>
  <c r="P313" i="8"/>
  <c r="R313" i="8" s="1"/>
  <c r="V162" i="8"/>
  <c r="T162" i="8"/>
  <c r="U162" i="8" s="1"/>
  <c r="Y163" i="8" s="1"/>
  <c r="AD163" i="8" s="1"/>
  <c r="AZ190" i="8"/>
  <c r="AR190" i="8"/>
  <c r="AX190" i="8"/>
  <c r="AW190" i="8"/>
  <c r="AD200" i="8"/>
  <c r="AL200" i="8"/>
  <c r="AI200" i="8"/>
  <c r="AM201" i="8" s="1"/>
  <c r="AJ200" i="8"/>
  <c r="P218" i="8"/>
  <c r="R218" i="8" s="1"/>
  <c r="P197" i="8"/>
  <c r="R197" i="8" s="1"/>
  <c r="AK205" i="8"/>
  <c r="AR225" i="8"/>
  <c r="AZ225" i="8"/>
  <c r="AX225" i="8"/>
  <c r="AW225" i="8"/>
  <c r="AD235" i="8"/>
  <c r="AL235" i="8"/>
  <c r="AJ235" i="8"/>
  <c r="AI235" i="8"/>
  <c r="AM236" i="8" s="1"/>
  <c r="AR236" i="8" s="1"/>
  <c r="AT236" i="8" s="1"/>
  <c r="P192" i="8"/>
  <c r="R192" i="8" s="1"/>
  <c r="AK200" i="8"/>
  <c r="AR220" i="8"/>
  <c r="AW220" i="8"/>
  <c r="AX220" i="8"/>
  <c r="AZ220" i="8"/>
  <c r="AD230" i="8"/>
  <c r="AI230" i="8"/>
  <c r="AM231" i="8" s="1"/>
  <c r="AL230" i="8"/>
  <c r="AJ230" i="8"/>
  <c r="AZ245" i="8"/>
  <c r="AR245" i="8"/>
  <c r="AW245" i="8"/>
  <c r="AX245" i="8"/>
  <c r="P171" i="8"/>
  <c r="R171" i="8" s="1"/>
  <c r="P219" i="8"/>
  <c r="R219" i="8" s="1"/>
  <c r="V281" i="8"/>
  <c r="T281" i="8"/>
  <c r="U281" i="8" s="1"/>
  <c r="Y282" i="8" s="1"/>
  <c r="AD282" i="8" s="1"/>
  <c r="AZ130" i="8"/>
  <c r="AR130" i="8"/>
  <c r="AW130" i="8"/>
  <c r="AX130" i="8"/>
  <c r="AD140" i="8"/>
  <c r="AL140" i="8"/>
  <c r="AI140" i="8"/>
  <c r="AM141" i="8" s="1"/>
  <c r="AR141" i="8" s="1"/>
  <c r="AT141" i="8" s="1"/>
  <c r="AJ140" i="8"/>
  <c r="P158" i="8"/>
  <c r="R158" i="8" s="1"/>
  <c r="P244" i="8"/>
  <c r="R244" i="8" s="1"/>
  <c r="U300" i="8"/>
  <c r="Y301" i="8" s="1"/>
  <c r="AD301" i="8" s="1"/>
  <c r="AF301" i="8" s="1"/>
  <c r="P300" i="8"/>
  <c r="V300" i="8"/>
  <c r="X300" i="8"/>
  <c r="P271" i="8"/>
  <c r="R271" i="8" s="1"/>
  <c r="P319" i="8"/>
  <c r="R319" i="8" s="1"/>
  <c r="V346" i="8"/>
  <c r="T346" i="8"/>
  <c r="V266" i="8"/>
  <c r="V314" i="8"/>
  <c r="T314" i="8"/>
  <c r="U314" i="8" s="1"/>
  <c r="Y314" i="8" s="1"/>
  <c r="AD314" i="8" s="1"/>
  <c r="P261" i="8"/>
  <c r="R261" i="8" s="1"/>
  <c r="P309" i="8"/>
  <c r="R309" i="8" s="1"/>
  <c r="P312" i="8"/>
  <c r="R312" i="8" s="1"/>
  <c r="AR340" i="8"/>
  <c r="AZ340" i="8"/>
  <c r="AX340" i="8"/>
  <c r="AW340" i="8"/>
  <c r="P364" i="8"/>
  <c r="R364" i="8" s="1"/>
  <c r="V409" i="8"/>
  <c r="T409" i="8"/>
  <c r="X409" i="8" s="1"/>
  <c r="P291" i="8"/>
  <c r="R291" i="8" s="1"/>
  <c r="P339" i="8"/>
  <c r="R339" i="8" s="1"/>
  <c r="P246" i="8"/>
  <c r="R246" i="8" s="1"/>
  <c r="P294" i="8"/>
  <c r="R294" i="8" s="1"/>
  <c r="P53" i="9"/>
  <c r="R53" i="9" s="1"/>
  <c r="AZ400" i="8"/>
  <c r="AR400" i="8"/>
  <c r="AX400" i="8"/>
  <c r="AW400" i="8"/>
  <c r="AL410" i="8"/>
  <c r="AD410" i="8"/>
  <c r="AJ410" i="8"/>
  <c r="AI410" i="8"/>
  <c r="AM411" i="8" s="1"/>
  <c r="AR411" i="8" s="1"/>
  <c r="AT411" i="8" s="1"/>
  <c r="V56" i="9"/>
  <c r="T56" i="9"/>
  <c r="X56" i="9" s="1"/>
  <c r="P391" i="8"/>
  <c r="R391" i="8" s="1"/>
  <c r="X59" i="9"/>
  <c r="V59" i="9"/>
  <c r="T59" i="9"/>
  <c r="U59" i="9" s="1"/>
  <c r="Y59" i="9" s="1"/>
  <c r="AC59" i="9" s="1"/>
  <c r="AD59" i="9" s="1"/>
  <c r="P402" i="8"/>
  <c r="R402" i="8" s="1"/>
  <c r="AK410" i="8"/>
  <c r="P62" i="9"/>
  <c r="R62" i="9" s="1"/>
  <c r="AL355" i="8"/>
  <c r="AD355" i="8"/>
  <c r="AJ355" i="8"/>
  <c r="AI355" i="8"/>
  <c r="AM356" i="8" s="1"/>
  <c r="AR356" i="8" s="1"/>
  <c r="AT356" i="8" s="1"/>
  <c r="P373" i="8"/>
  <c r="R373" i="8" s="1"/>
  <c r="AR401" i="8"/>
  <c r="AT401" i="8" s="1"/>
  <c r="P71" i="9"/>
  <c r="R71" i="9" s="1"/>
  <c r="P355" i="8"/>
  <c r="X355" i="8"/>
  <c r="V355" i="8"/>
  <c r="U355" i="8"/>
  <c r="Y356" i="8" s="1"/>
  <c r="AD356" i="8" s="1"/>
  <c r="AF356" i="8" s="1"/>
  <c r="P411" i="8"/>
  <c r="R411" i="8" s="1"/>
  <c r="P422" i="8"/>
  <c r="R422" i="8" s="1"/>
  <c r="P73" i="9"/>
  <c r="R73" i="9" s="1"/>
  <c r="P84" i="9"/>
  <c r="R84" i="9" s="1"/>
  <c r="P103" i="9"/>
  <c r="R103" i="9" s="1"/>
  <c r="P114" i="9"/>
  <c r="R114" i="9" s="1"/>
  <c r="T88" i="9"/>
  <c r="W88" i="9" s="1"/>
  <c r="X88" i="9"/>
  <c r="V88" i="9"/>
  <c r="V126" i="9"/>
  <c r="T126" i="9"/>
  <c r="U126" i="9" s="1"/>
  <c r="Y127" i="9" s="1"/>
  <c r="AC127" i="9" s="1"/>
  <c r="AD127" i="9" s="1"/>
  <c r="P138" i="9"/>
  <c r="R138" i="9" s="1"/>
  <c r="X157" i="9"/>
  <c r="V157" i="9"/>
  <c r="U157" i="9"/>
  <c r="Y158" i="9" s="1"/>
  <c r="AC158" i="9" s="1"/>
  <c r="AD158" i="9" s="1"/>
  <c r="T157" i="9"/>
  <c r="P176" i="9"/>
  <c r="R176" i="9" s="1"/>
  <c r="P187" i="9"/>
  <c r="R187" i="9" s="1"/>
  <c r="P161" i="9"/>
  <c r="R161" i="9" s="1"/>
  <c r="P172" i="9"/>
  <c r="R172" i="9" s="1"/>
  <c r="X201" i="9"/>
  <c r="V201" i="9"/>
  <c r="U201" i="9"/>
  <c r="Y202" i="9" s="1"/>
  <c r="AC202" i="9" s="1"/>
  <c r="AD202" i="9" s="1"/>
  <c r="T201" i="9"/>
  <c r="P212" i="9"/>
  <c r="R212" i="9" s="1"/>
  <c r="V231" i="9"/>
  <c r="T231" i="9"/>
  <c r="U231" i="9" s="1"/>
  <c r="Y232" i="9" s="1"/>
  <c r="AC232" i="9" s="1"/>
  <c r="AD232" i="9" s="1"/>
  <c r="P242" i="9"/>
  <c r="R242" i="9" s="1"/>
  <c r="P208" i="9"/>
  <c r="R208" i="9" s="1"/>
  <c r="P227" i="9"/>
  <c r="R227" i="9" s="1"/>
  <c r="P307" i="9"/>
  <c r="R307" i="9" s="1"/>
  <c r="P273" i="9"/>
  <c r="R273" i="9" s="1"/>
  <c r="P308" i="9"/>
  <c r="R308" i="9" s="1"/>
  <c r="T274" i="9"/>
  <c r="X274" i="9" s="1"/>
  <c r="V274" i="9"/>
  <c r="P293" i="9"/>
  <c r="R293" i="9" s="1"/>
  <c r="V304" i="9"/>
  <c r="T304" i="9"/>
  <c r="U304" i="9" s="1"/>
  <c r="Y304" i="9" s="1"/>
  <c r="AC304" i="9" s="1"/>
  <c r="AD304" i="9" s="1"/>
  <c r="V398" i="9"/>
  <c r="U398" i="9"/>
  <c r="T398" i="9"/>
  <c r="W398" i="9" s="1"/>
  <c r="P366" i="9"/>
  <c r="R366" i="9" s="1"/>
  <c r="V382" i="9"/>
  <c r="T382" i="9"/>
  <c r="X382" i="9" s="1"/>
  <c r="T322" i="9"/>
  <c r="X322" i="9" s="1"/>
  <c r="V322" i="9"/>
  <c r="P349" i="9"/>
  <c r="R349" i="9" s="1"/>
  <c r="P372" i="9"/>
  <c r="R372" i="9" s="1"/>
  <c r="P391" i="9"/>
  <c r="R391" i="9" s="1"/>
  <c r="V418" i="9"/>
  <c r="T418" i="9"/>
  <c r="W418" i="9" s="1"/>
  <c r="P368" i="9"/>
  <c r="R368" i="9" s="1"/>
  <c r="P379" i="9"/>
  <c r="R379" i="9" s="1"/>
  <c r="V26" i="10"/>
  <c r="T26" i="10"/>
  <c r="P32" i="10"/>
  <c r="R32" i="10" s="1"/>
  <c r="V43" i="10"/>
  <c r="T43" i="10"/>
  <c r="W43" i="10" s="1"/>
  <c r="P33" i="10"/>
  <c r="R33" i="10" s="1"/>
  <c r="P92" i="10"/>
  <c r="R92" i="10" s="1"/>
  <c r="P74" i="10"/>
  <c r="R74" i="10" s="1"/>
  <c r="T96" i="10"/>
  <c r="U96" i="10" s="1"/>
  <c r="Y97" i="10" s="1"/>
  <c r="AC97" i="10" s="1"/>
  <c r="AD97" i="10" s="1"/>
  <c r="X96" i="10"/>
  <c r="V96" i="10"/>
  <c r="V128" i="10"/>
  <c r="T128" i="10"/>
  <c r="W128" i="10" s="1"/>
  <c r="V123" i="10"/>
  <c r="T123" i="10"/>
  <c r="W123" i="10" s="1"/>
  <c r="P134" i="10"/>
  <c r="R134" i="10" s="1"/>
  <c r="P108" i="10"/>
  <c r="R108" i="10" s="1"/>
  <c r="P119" i="10"/>
  <c r="R119" i="10" s="1"/>
  <c r="T122" i="10"/>
  <c r="X122" i="10" s="1"/>
  <c r="V122" i="10"/>
  <c r="P149" i="10"/>
  <c r="R149" i="10" s="1"/>
  <c r="V194" i="10"/>
  <c r="T194" i="10"/>
  <c r="P179" i="10"/>
  <c r="R179" i="10" s="1"/>
  <c r="P208" i="10"/>
  <c r="R208" i="10" s="1"/>
  <c r="P246" i="10"/>
  <c r="R246" i="10" s="1"/>
  <c r="V222" i="10"/>
  <c r="T222" i="10"/>
  <c r="U222" i="10" s="1"/>
  <c r="Y223" i="10" s="1"/>
  <c r="AC223" i="10" s="1"/>
  <c r="AD223" i="10" s="1"/>
  <c r="P243" i="10"/>
  <c r="R243" i="10" s="1"/>
  <c r="T258" i="10"/>
  <c r="W258" i="10" s="1"/>
  <c r="X258" i="10"/>
  <c r="V258" i="10"/>
  <c r="T234" i="10"/>
  <c r="U234" i="10" s="1"/>
  <c r="Y234" i="10" s="1"/>
  <c r="AC234" i="10" s="1"/>
  <c r="AD234" i="10" s="1"/>
  <c r="V234" i="10"/>
  <c r="T257" i="10"/>
  <c r="X257" i="10" s="1"/>
  <c r="V257" i="10"/>
  <c r="P274" i="10"/>
  <c r="R274" i="10" s="1"/>
  <c r="V277" i="10"/>
  <c r="T277" i="10"/>
  <c r="X277" i="10" s="1"/>
  <c r="P278" i="10"/>
  <c r="R278" i="10" s="1"/>
  <c r="P323" i="10"/>
  <c r="R323" i="10" s="1"/>
  <c r="P332" i="10"/>
  <c r="R332" i="10" s="1"/>
  <c r="P306" i="10"/>
  <c r="R306" i="10" s="1"/>
  <c r="P343" i="10"/>
  <c r="R343" i="10" s="1"/>
  <c r="P339" i="10"/>
  <c r="R339" i="10" s="1"/>
  <c r="P359" i="10"/>
  <c r="R359" i="10" s="1"/>
  <c r="P387" i="10"/>
  <c r="R387" i="10" s="1"/>
  <c r="P364" i="10"/>
  <c r="R364" i="10" s="1"/>
  <c r="T381" i="10"/>
  <c r="X381" i="10" s="1"/>
  <c r="V381" i="10"/>
  <c r="P393" i="10"/>
  <c r="R393" i="10" s="1"/>
  <c r="P396" i="10"/>
  <c r="R396" i="10" s="1"/>
  <c r="P406" i="10"/>
  <c r="R406" i="10" s="1"/>
  <c r="P423" i="10"/>
  <c r="R423" i="10" s="1"/>
  <c r="AZ350" i="10"/>
  <c r="AZ135" i="9"/>
  <c r="AI190" i="9"/>
  <c r="AM191" i="9" s="1"/>
  <c r="AQ191" i="9" s="1"/>
  <c r="AR191" i="9" s="1"/>
  <c r="AT191" i="9" s="1"/>
  <c r="AI280" i="10"/>
  <c r="AM281" i="10" s="1"/>
  <c r="AQ281" i="10" s="1"/>
  <c r="AR281" i="10" s="1"/>
  <c r="AX130" i="10"/>
  <c r="AR420" i="10"/>
  <c r="AZ420" i="10"/>
  <c r="AW420" i="10"/>
  <c r="AX420" i="10"/>
  <c r="X325" i="10"/>
  <c r="AR290" i="9"/>
  <c r="U130" i="9"/>
  <c r="Y131" i="9" s="1"/>
  <c r="AC131" i="9" s="1"/>
  <c r="AD131" i="9" s="1"/>
  <c r="AF131" i="9" s="1"/>
  <c r="AK30" i="10"/>
  <c r="AT31" i="10"/>
  <c r="AR240" i="9"/>
  <c r="AR345" i="10"/>
  <c r="P85" i="9"/>
  <c r="AL325" i="9"/>
  <c r="U125" i="10"/>
  <c r="Y126" i="10" s="1"/>
  <c r="AC126" i="10" s="1"/>
  <c r="AD126" i="10" s="1"/>
  <c r="AF126" i="10" s="1"/>
  <c r="AD40" i="9"/>
  <c r="AL145" i="10"/>
  <c r="AL80" i="10"/>
  <c r="AK90" i="10"/>
  <c r="W230" i="10"/>
  <c r="U225" i="10"/>
  <c r="Y226" i="10" s="1"/>
  <c r="AC226" i="10" s="1"/>
  <c r="AD226" i="10" s="1"/>
  <c r="AF226" i="10" s="1"/>
  <c r="U230" i="9"/>
  <c r="Y231" i="9" s="1"/>
  <c r="AC231" i="9" s="1"/>
  <c r="AD231" i="9" s="1"/>
  <c r="AI80" i="10"/>
  <c r="AM81" i="10" s="1"/>
  <c r="AQ81" i="10" s="1"/>
  <c r="AR81" i="10" s="1"/>
  <c r="AT81" i="10" s="1"/>
  <c r="V350" i="9"/>
  <c r="AZ410" i="9"/>
  <c r="AL160" i="9"/>
  <c r="AZ195" i="9"/>
  <c r="AD340" i="9"/>
  <c r="U195" i="9"/>
  <c r="Y196" i="9" s="1"/>
  <c r="AC196" i="9" s="1"/>
  <c r="AD196" i="9" s="1"/>
  <c r="AF196" i="9" s="1"/>
  <c r="W125" i="10"/>
  <c r="X270" i="9"/>
  <c r="AL110" i="10"/>
  <c r="X135" i="9"/>
  <c r="U230" i="10"/>
  <c r="Y231" i="10" s="1"/>
  <c r="AC231" i="10" s="1"/>
  <c r="AD231" i="10" s="1"/>
  <c r="AF231" i="10" s="1"/>
  <c r="U270" i="10"/>
  <c r="Y271" i="10" s="1"/>
  <c r="AC271" i="10" s="1"/>
  <c r="AD271" i="10" s="1"/>
  <c r="AF271" i="10" s="1"/>
  <c r="X385" i="9"/>
  <c r="V190" i="10"/>
  <c r="V45" i="10"/>
  <c r="AI265" i="10"/>
  <c r="AM266" i="10" s="1"/>
  <c r="AQ266" i="10" s="1"/>
  <c r="AR266" i="10" s="1"/>
  <c r="AT266" i="10" s="1"/>
  <c r="AI210" i="9"/>
  <c r="AM211" i="9" s="1"/>
  <c r="AQ211" i="9" s="1"/>
  <c r="AR211" i="9" s="1"/>
  <c r="AT211" i="9" s="1"/>
  <c r="V235" i="10"/>
  <c r="AZ365" i="9"/>
  <c r="AD216" i="9"/>
  <c r="AF216" i="9" s="1"/>
  <c r="W320" i="9"/>
  <c r="AF321" i="9"/>
  <c r="W275" i="9"/>
  <c r="AL415" i="10"/>
  <c r="AI415" i="10"/>
  <c r="AM416" i="10" s="1"/>
  <c r="AQ416" i="10" s="1"/>
  <c r="AR416" i="10" s="1"/>
  <c r="AT416" i="10" s="1"/>
  <c r="AD415" i="10"/>
  <c r="AJ415" i="10"/>
  <c r="AD111" i="9"/>
  <c r="AF111" i="9" s="1"/>
  <c r="X410" i="10"/>
  <c r="AD415" i="9"/>
  <c r="AJ415" i="9"/>
  <c r="AI415" i="9"/>
  <c r="AM416" i="9" s="1"/>
  <c r="AQ416" i="9" s="1"/>
  <c r="AR416" i="9" s="1"/>
  <c r="AL415" i="9"/>
  <c r="AJ330" i="9"/>
  <c r="AZ280" i="9"/>
  <c r="AR175" i="10"/>
  <c r="AJ30" i="9"/>
  <c r="AX250" i="10"/>
  <c r="W335" i="10"/>
  <c r="U250" i="9"/>
  <c r="Y251" i="9" s="1"/>
  <c r="AC251" i="9" s="1"/>
  <c r="AD251" i="9" s="1"/>
  <c r="W65" i="10"/>
  <c r="AF66" i="10"/>
  <c r="AD296" i="10"/>
  <c r="AF296" i="10" s="1"/>
  <c r="V30" i="9"/>
  <c r="AR105" i="9"/>
  <c r="V210" i="10"/>
  <c r="V340" i="9"/>
  <c r="U210" i="9"/>
  <c r="Y211" i="9" s="1"/>
  <c r="AC211" i="9" s="1"/>
  <c r="AD211" i="9" s="1"/>
  <c r="AZ45" i="9"/>
  <c r="AI200" i="9"/>
  <c r="AM201" i="9" s="1"/>
  <c r="AQ201" i="9" s="1"/>
  <c r="AR201" i="9" s="1"/>
  <c r="AT201" i="9" s="1"/>
  <c r="V390" i="9"/>
  <c r="X320" i="9"/>
  <c r="V275" i="9"/>
  <c r="AL380" i="10"/>
  <c r="AD380" i="10"/>
  <c r="AJ380" i="10"/>
  <c r="AI380" i="10"/>
  <c r="AM381" i="10" s="1"/>
  <c r="AQ381" i="10" s="1"/>
  <c r="AR381" i="10" s="1"/>
  <c r="X95" i="10"/>
  <c r="AK245" i="9"/>
  <c r="AD246" i="10"/>
  <c r="AF246" i="10" s="1"/>
  <c r="AZ385" i="9"/>
  <c r="U335" i="10"/>
  <c r="Y336" i="10" s="1"/>
  <c r="AC336" i="10" s="1"/>
  <c r="AD336" i="10" s="1"/>
  <c r="AF336" i="10" s="1"/>
  <c r="AT231" i="9"/>
  <c r="AK230" i="9"/>
  <c r="AD366" i="9"/>
  <c r="AL165" i="9"/>
  <c r="AK215" i="9"/>
  <c r="AD335" i="9"/>
  <c r="AX125" i="10"/>
  <c r="W110" i="10"/>
  <c r="AF111" i="10"/>
  <c r="W390" i="10"/>
  <c r="AF391" i="10"/>
  <c r="AX365" i="10"/>
  <c r="W365" i="10"/>
  <c r="AI245" i="9"/>
  <c r="AM246" i="9" s="1"/>
  <c r="AQ246" i="9" s="1"/>
  <c r="AR246" i="9" s="1"/>
  <c r="AT246" i="9" s="1"/>
  <c r="W330" i="10"/>
  <c r="AT346" i="10"/>
  <c r="AK345" i="10"/>
  <c r="AR271" i="9"/>
  <c r="AT271" i="9" s="1"/>
  <c r="X275" i="10"/>
  <c r="X345" i="9"/>
  <c r="V200" i="10"/>
  <c r="W410" i="9"/>
  <c r="AR115" i="9"/>
  <c r="AL135" i="10"/>
  <c r="U225" i="9"/>
  <c r="Y226" i="9" s="1"/>
  <c r="AC226" i="9" s="1"/>
  <c r="AD226" i="9" s="1"/>
  <c r="AF226" i="9" s="1"/>
  <c r="AI85" i="10"/>
  <c r="AM86" i="10" s="1"/>
  <c r="AQ86" i="10" s="1"/>
  <c r="AR86" i="10" s="1"/>
  <c r="AT86" i="10" s="1"/>
  <c r="U315" i="9"/>
  <c r="Y316" i="9" s="1"/>
  <c r="AC316" i="9" s="1"/>
  <c r="AD316" i="9" s="1"/>
  <c r="AF316" i="9" s="1"/>
  <c r="AJ410" i="10"/>
  <c r="X110" i="10"/>
  <c r="V305" i="10"/>
  <c r="AJ135" i="9"/>
  <c r="AD216" i="10"/>
  <c r="AF216" i="10" s="1"/>
  <c r="X90" i="10"/>
  <c r="AL305" i="9"/>
  <c r="AD170" i="10"/>
  <c r="AI240" i="10"/>
  <c r="AM241" i="10" s="1"/>
  <c r="AQ241" i="10" s="1"/>
  <c r="AR241" i="10" s="1"/>
  <c r="AT241" i="10" s="1"/>
  <c r="AZ235" i="10"/>
  <c r="X255" i="10"/>
  <c r="AD65" i="9"/>
  <c r="AK400" i="10"/>
  <c r="AT401" i="10"/>
  <c r="AZ65" i="10"/>
  <c r="AZ385" i="10"/>
  <c r="X250" i="10"/>
  <c r="U360" i="9"/>
  <c r="Y361" i="9" s="1"/>
  <c r="AC361" i="9" s="1"/>
  <c r="AD361" i="9" s="1"/>
  <c r="AF361" i="9" s="1"/>
  <c r="AW160" i="10"/>
  <c r="AZ55" i="9"/>
  <c r="AZ155" i="9"/>
  <c r="W340" i="10"/>
  <c r="Q140" i="9"/>
  <c r="S140" i="9" s="1"/>
  <c r="P140" i="9"/>
  <c r="AS70" i="10"/>
  <c r="AU70" i="10" s="1"/>
  <c r="AR70" i="10"/>
  <c r="Q220" i="10"/>
  <c r="S220" i="10" s="1"/>
  <c r="P220" i="10"/>
  <c r="AE300" i="10"/>
  <c r="AG300" i="10" s="1"/>
  <c r="AD300" i="10"/>
  <c r="Q70" i="10"/>
  <c r="S70" i="10" s="1"/>
  <c r="P70" i="10"/>
  <c r="Q60" i="9"/>
  <c r="S60" i="9" s="1"/>
  <c r="P60" i="9"/>
  <c r="AE260" i="10"/>
  <c r="AG260" i="10" s="1"/>
  <c r="AD260" i="10"/>
  <c r="AE180" i="10"/>
  <c r="AG180" i="10" s="1"/>
  <c r="AD180" i="10"/>
  <c r="AS50" i="10"/>
  <c r="AU50" i="10" s="1"/>
  <c r="AR50" i="10"/>
  <c r="P51" i="8"/>
  <c r="R51" i="8" s="1"/>
  <c r="P99" i="8"/>
  <c r="R99" i="8" s="1"/>
  <c r="AW50" i="8"/>
  <c r="AZ50" i="8"/>
  <c r="AR50" i="8"/>
  <c r="AX50" i="8"/>
  <c r="AI60" i="8"/>
  <c r="AM61" i="8" s="1"/>
  <c r="AD60" i="8"/>
  <c r="AJ60" i="8"/>
  <c r="AL60" i="8"/>
  <c r="P78" i="8"/>
  <c r="R78" i="8" s="1"/>
  <c r="AR106" i="8"/>
  <c r="AT106" i="8" s="1"/>
  <c r="P57" i="8"/>
  <c r="R57" i="8" s="1"/>
  <c r="W75" i="8"/>
  <c r="AR85" i="8"/>
  <c r="AX85" i="8"/>
  <c r="AW85" i="8"/>
  <c r="AZ85" i="8"/>
  <c r="AD95" i="8"/>
  <c r="AJ95" i="8"/>
  <c r="AI95" i="8"/>
  <c r="AM96" i="8" s="1"/>
  <c r="AL95" i="8"/>
  <c r="P113" i="8"/>
  <c r="R113" i="8" s="1"/>
  <c r="P92" i="8"/>
  <c r="R92" i="8" s="1"/>
  <c r="AR120" i="8"/>
  <c r="AZ120" i="8"/>
  <c r="AW120" i="8"/>
  <c r="AX120" i="8"/>
  <c r="P31" i="8"/>
  <c r="R31" i="8" s="1"/>
  <c r="P79" i="8"/>
  <c r="R79" i="8" s="1"/>
  <c r="P34" i="8"/>
  <c r="R34" i="8" s="1"/>
  <c r="X90" i="8"/>
  <c r="P90" i="8"/>
  <c r="V90" i="8"/>
  <c r="U90" i="8"/>
  <c r="Y91" i="8" s="1"/>
  <c r="P69" i="8"/>
  <c r="R69" i="8" s="1"/>
  <c r="X125" i="8"/>
  <c r="P125" i="8"/>
  <c r="V125" i="8"/>
  <c r="U125" i="8"/>
  <c r="Y126" i="8" s="1"/>
  <c r="P56" i="8"/>
  <c r="R56" i="8" s="1"/>
  <c r="P104" i="8"/>
  <c r="R104" i="8" s="1"/>
  <c r="V185" i="8"/>
  <c r="P185" i="8"/>
  <c r="X185" i="8"/>
  <c r="U185" i="8"/>
  <c r="Y186" i="8" s="1"/>
  <c r="AD186" i="8" s="1"/>
  <c r="AF186" i="8" s="1"/>
  <c r="U180" i="8"/>
  <c r="Y181" i="8" s="1"/>
  <c r="AD181" i="8" s="1"/>
  <c r="AF181" i="8" s="1"/>
  <c r="X180" i="8"/>
  <c r="P180" i="8"/>
  <c r="V180" i="8"/>
  <c r="P236" i="8"/>
  <c r="R236" i="8" s="1"/>
  <c r="AR155" i="8"/>
  <c r="AW155" i="8"/>
  <c r="AZ155" i="8"/>
  <c r="AX155" i="8"/>
  <c r="AL165" i="8"/>
  <c r="AD165" i="8"/>
  <c r="AJ165" i="8"/>
  <c r="AI165" i="8"/>
  <c r="AM166" i="8" s="1"/>
  <c r="T183" i="8"/>
  <c r="W183" i="8" s="1"/>
  <c r="V183" i="8"/>
  <c r="P154" i="8"/>
  <c r="R154" i="8" s="1"/>
  <c r="P210" i="8"/>
  <c r="X210" i="8"/>
  <c r="U210" i="8"/>
  <c r="Y211" i="8" s="1"/>
  <c r="AD211" i="8" s="1"/>
  <c r="AF211" i="8" s="1"/>
  <c r="V210" i="8"/>
  <c r="P141" i="8"/>
  <c r="R141" i="8" s="1"/>
  <c r="P189" i="8"/>
  <c r="R189" i="8" s="1"/>
  <c r="P136" i="8"/>
  <c r="R136" i="8" s="1"/>
  <c r="P184" i="8"/>
  <c r="R184" i="8" s="1"/>
  <c r="AZ135" i="8"/>
  <c r="AR135" i="8"/>
  <c r="AX135" i="8"/>
  <c r="AW135" i="8"/>
  <c r="AL145" i="8"/>
  <c r="AD145" i="8"/>
  <c r="AJ145" i="8"/>
  <c r="AI145" i="8"/>
  <c r="AM146" i="8" s="1"/>
  <c r="AR146" i="8" s="1"/>
  <c r="AT146" i="8" s="1"/>
  <c r="P163" i="8"/>
  <c r="R163" i="8" s="1"/>
  <c r="AD201" i="8"/>
  <c r="AF201" i="8" s="1"/>
  <c r="V150" i="8"/>
  <c r="U150" i="8"/>
  <c r="Y151" i="8" s="1"/>
  <c r="X150" i="8"/>
  <c r="P150" i="8"/>
  <c r="P206" i="8"/>
  <c r="R206" i="8" s="1"/>
  <c r="P292" i="8"/>
  <c r="R292" i="8" s="1"/>
  <c r="W310" i="8"/>
  <c r="AW320" i="8"/>
  <c r="AR320" i="8"/>
  <c r="AX320" i="8"/>
  <c r="AZ320" i="8"/>
  <c r="AI330" i="8"/>
  <c r="AM331" i="8" s="1"/>
  <c r="AL330" i="8"/>
  <c r="AD330" i="8"/>
  <c r="AJ330" i="8"/>
  <c r="AD245" i="8"/>
  <c r="AJ245" i="8"/>
  <c r="AI245" i="8"/>
  <c r="AM246" i="8" s="1"/>
  <c r="AR246" i="8" s="1"/>
  <c r="AT246" i="8" s="1"/>
  <c r="AL245" i="8"/>
  <c r="P263" i="8"/>
  <c r="R263" i="8" s="1"/>
  <c r="V353" i="8"/>
  <c r="T353" i="8"/>
  <c r="W353" i="8" s="1"/>
  <c r="V377" i="8"/>
  <c r="T377" i="8"/>
  <c r="X377" i="8" s="1"/>
  <c r="AL240" i="8"/>
  <c r="AD240" i="8"/>
  <c r="AI240" i="8"/>
  <c r="AM241" i="8" s="1"/>
  <c r="AR241" i="8" s="1"/>
  <c r="AT241" i="8" s="1"/>
  <c r="AJ240" i="8"/>
  <c r="P258" i="8"/>
  <c r="R258" i="8" s="1"/>
  <c r="P253" i="8"/>
  <c r="R253" i="8" s="1"/>
  <c r="P256" i="8"/>
  <c r="R256" i="8" s="1"/>
  <c r="P304" i="8"/>
  <c r="R304" i="8" s="1"/>
  <c r="P369" i="8"/>
  <c r="R369" i="8" s="1"/>
  <c r="W245" i="8"/>
  <c r="AR255" i="8"/>
  <c r="AW255" i="8"/>
  <c r="AZ255" i="8"/>
  <c r="AX255" i="8"/>
  <c r="AL265" i="8"/>
  <c r="AD265" i="8"/>
  <c r="AI265" i="8"/>
  <c r="AM266" i="8" s="1"/>
  <c r="AR266" i="8" s="1"/>
  <c r="AT266" i="8" s="1"/>
  <c r="AJ265" i="8"/>
  <c r="P283" i="8"/>
  <c r="R283" i="8" s="1"/>
  <c r="AR311" i="8"/>
  <c r="AT311" i="8" s="1"/>
  <c r="AD321" i="8"/>
  <c r="AF321" i="8" s="1"/>
  <c r="P342" i="8"/>
  <c r="R342" i="8" s="1"/>
  <c r="P61" i="9"/>
  <c r="R61" i="9" s="1"/>
  <c r="X420" i="8"/>
  <c r="P420" i="8"/>
  <c r="V420" i="8"/>
  <c r="U420" i="8"/>
  <c r="Y421" i="8" s="1"/>
  <c r="AD421" i="8" s="1"/>
  <c r="AF421" i="8" s="1"/>
  <c r="P64" i="9"/>
  <c r="R64" i="9" s="1"/>
  <c r="AR355" i="8"/>
  <c r="AX355" i="8"/>
  <c r="AW355" i="8"/>
  <c r="AZ355" i="8"/>
  <c r="AD365" i="8"/>
  <c r="AJ365" i="8"/>
  <c r="AI365" i="8"/>
  <c r="AM366" i="8" s="1"/>
  <c r="AR366" i="8" s="1"/>
  <c r="AT366" i="8" s="1"/>
  <c r="AL365" i="8"/>
  <c r="P383" i="8"/>
  <c r="R383" i="8" s="1"/>
  <c r="P67" i="9"/>
  <c r="R67" i="9" s="1"/>
  <c r="P394" i="8"/>
  <c r="R394" i="8" s="1"/>
  <c r="P365" i="8"/>
  <c r="V365" i="8"/>
  <c r="U365" i="8"/>
  <c r="Y366" i="8" s="1"/>
  <c r="AD366" i="8" s="1"/>
  <c r="AF366" i="8" s="1"/>
  <c r="X365" i="8"/>
  <c r="P421" i="8"/>
  <c r="R421" i="8" s="1"/>
  <c r="P376" i="8"/>
  <c r="R376" i="8" s="1"/>
  <c r="P424" i="8"/>
  <c r="R424" i="8" s="1"/>
  <c r="P347" i="8"/>
  <c r="R347" i="8" s="1"/>
  <c r="AR375" i="8"/>
  <c r="AZ375" i="8"/>
  <c r="AX375" i="8"/>
  <c r="AW375" i="8"/>
  <c r="AD385" i="8"/>
  <c r="AJ385" i="8"/>
  <c r="AL385" i="8"/>
  <c r="AI385" i="8"/>
  <c r="AM386" i="8" s="1"/>
  <c r="AR386" i="8" s="1"/>
  <c r="AT386" i="8" s="1"/>
  <c r="P403" i="8"/>
  <c r="R403" i="8" s="1"/>
  <c r="P366" i="8"/>
  <c r="R366" i="8" s="1"/>
  <c r="P414" i="8"/>
  <c r="R414" i="8" s="1"/>
  <c r="P81" i="9"/>
  <c r="R81" i="9" s="1"/>
  <c r="P92" i="9"/>
  <c r="R92" i="9" s="1"/>
  <c r="P111" i="9"/>
  <c r="R111" i="9" s="1"/>
  <c r="P122" i="9"/>
  <c r="R122" i="9" s="1"/>
  <c r="T123" i="9"/>
  <c r="W123" i="9" s="1"/>
  <c r="V123" i="9"/>
  <c r="P137" i="9"/>
  <c r="R137" i="9" s="1"/>
  <c r="V146" i="9"/>
  <c r="T146" i="9"/>
  <c r="X146" i="9" s="1"/>
  <c r="V173" i="9"/>
  <c r="T173" i="9"/>
  <c r="W173" i="9" s="1"/>
  <c r="P184" i="9"/>
  <c r="R184" i="9" s="1"/>
  <c r="P134" i="9"/>
  <c r="R134" i="9" s="1"/>
  <c r="P169" i="9"/>
  <c r="R169" i="9" s="1"/>
  <c r="P188" i="9"/>
  <c r="R188" i="9" s="1"/>
  <c r="V209" i="9"/>
  <c r="U209" i="9"/>
  <c r="Y209" i="9" s="1"/>
  <c r="AC209" i="9" s="1"/>
  <c r="AD209" i="9" s="1"/>
  <c r="T209" i="9"/>
  <c r="P228" i="9"/>
  <c r="R228" i="9" s="1"/>
  <c r="P239" i="9"/>
  <c r="R239" i="9" s="1"/>
  <c r="P197" i="9"/>
  <c r="R197" i="9" s="1"/>
  <c r="P216" i="9"/>
  <c r="R216" i="9" s="1"/>
  <c r="V243" i="9"/>
  <c r="T243" i="9"/>
  <c r="W243" i="9" s="1"/>
  <c r="P254" i="9"/>
  <c r="R254" i="9" s="1"/>
  <c r="P281" i="9"/>
  <c r="R281" i="9" s="1"/>
  <c r="P263" i="9"/>
  <c r="R263" i="9" s="1"/>
  <c r="T282" i="9"/>
  <c r="U282" i="9" s="1"/>
  <c r="Y283" i="9" s="1"/>
  <c r="AC283" i="9" s="1"/>
  <c r="AD283" i="9" s="1"/>
  <c r="V282" i="9"/>
  <c r="P301" i="9"/>
  <c r="R301" i="9" s="1"/>
  <c r="P328" i="9"/>
  <c r="R328" i="9" s="1"/>
  <c r="V347" i="9"/>
  <c r="T347" i="9"/>
  <c r="U347" i="9" s="1"/>
  <c r="Y348" i="9" s="1"/>
  <c r="AC348" i="9" s="1"/>
  <c r="AD348" i="9" s="1"/>
  <c r="P406" i="9"/>
  <c r="R406" i="9" s="1"/>
  <c r="P316" i="9"/>
  <c r="R316" i="9" s="1"/>
  <c r="V311" i="9"/>
  <c r="P338" i="9"/>
  <c r="R338" i="9" s="1"/>
  <c r="V357" i="9"/>
  <c r="T357" i="9"/>
  <c r="U357" i="9" s="1"/>
  <c r="Y358" i="9" s="1"/>
  <c r="AC358" i="9" s="1"/>
  <c r="AD358" i="9" s="1"/>
  <c r="P388" i="9"/>
  <c r="R388" i="9" s="1"/>
  <c r="P399" i="9"/>
  <c r="R399" i="9" s="1"/>
  <c r="P31" i="10"/>
  <c r="R31" i="10" s="1"/>
  <c r="P376" i="9"/>
  <c r="R376" i="9" s="1"/>
  <c r="P387" i="9"/>
  <c r="R387" i="9" s="1"/>
  <c r="V34" i="10"/>
  <c r="T34" i="10"/>
  <c r="U34" i="10" s="1"/>
  <c r="Y34" i="10" s="1"/>
  <c r="AC34" i="10" s="1"/>
  <c r="AD34" i="10" s="1"/>
  <c r="P48" i="10"/>
  <c r="R48" i="10" s="1"/>
  <c r="P51" i="10"/>
  <c r="R51" i="10" s="1"/>
  <c r="P41" i="10"/>
  <c r="R41" i="10" s="1"/>
  <c r="V93" i="10"/>
  <c r="T93" i="10"/>
  <c r="W93" i="10" s="1"/>
  <c r="P82" i="10"/>
  <c r="R82" i="10" s="1"/>
  <c r="T59" i="10"/>
  <c r="U59" i="10" s="1"/>
  <c r="Y59" i="10" s="1"/>
  <c r="AC59" i="10" s="1"/>
  <c r="AD59" i="10" s="1"/>
  <c r="X59" i="10"/>
  <c r="V59" i="10"/>
  <c r="V136" i="10"/>
  <c r="T136" i="10"/>
  <c r="U136" i="10" s="1"/>
  <c r="Y137" i="10" s="1"/>
  <c r="AC137" i="10" s="1"/>
  <c r="AD137" i="10" s="1"/>
  <c r="P131" i="10"/>
  <c r="R131" i="10" s="1"/>
  <c r="V142" i="10"/>
  <c r="T142" i="10"/>
  <c r="P116" i="10"/>
  <c r="R116" i="10" s="1"/>
  <c r="P127" i="10"/>
  <c r="R127" i="10" s="1"/>
  <c r="T138" i="10"/>
  <c r="W138" i="10" s="1"/>
  <c r="V138" i="10"/>
  <c r="V157" i="10"/>
  <c r="T157" i="10"/>
  <c r="U157" i="10" s="1"/>
  <c r="Y158" i="10" s="1"/>
  <c r="AC158" i="10" s="1"/>
  <c r="AD158" i="10" s="1"/>
  <c r="P167" i="10"/>
  <c r="R167" i="10" s="1"/>
  <c r="P197" i="10"/>
  <c r="R197" i="10" s="1"/>
  <c r="P192" i="10"/>
  <c r="R192" i="10" s="1"/>
  <c r="P216" i="10"/>
  <c r="R216" i="10" s="1"/>
  <c r="P191" i="10"/>
  <c r="R191" i="10" s="1"/>
  <c r="T209" i="10"/>
  <c r="U209" i="10" s="1"/>
  <c r="Y209" i="10" s="1"/>
  <c r="AC209" i="10" s="1"/>
  <c r="AD209" i="10" s="1"/>
  <c r="V209" i="10"/>
  <c r="V254" i="10"/>
  <c r="U254" i="10"/>
  <c r="Y254" i="10" s="1"/>
  <c r="AC254" i="10" s="1"/>
  <c r="AD254" i="10" s="1"/>
  <c r="T254" i="10"/>
  <c r="X254" i="10" s="1"/>
  <c r="V259" i="10"/>
  <c r="T259" i="10"/>
  <c r="U259" i="10" s="1"/>
  <c r="Y259" i="10" s="1"/>
  <c r="AC259" i="10" s="1"/>
  <c r="AD259" i="10" s="1"/>
  <c r="P242" i="10"/>
  <c r="R242" i="10" s="1"/>
  <c r="V273" i="10"/>
  <c r="T273" i="10"/>
  <c r="W273" i="10" s="1"/>
  <c r="P253" i="10"/>
  <c r="R253" i="10" s="1"/>
  <c r="V293" i="10"/>
  <c r="T293" i="10"/>
  <c r="W293" i="10" s="1"/>
  <c r="P286" i="10"/>
  <c r="R286" i="10" s="1"/>
  <c r="V279" i="10"/>
  <c r="T279" i="10"/>
  <c r="U279" i="10" s="1"/>
  <c r="Y279" i="10" s="1"/>
  <c r="AC279" i="10" s="1"/>
  <c r="AD279" i="10" s="1"/>
  <c r="P308" i="10"/>
  <c r="R308" i="10" s="1"/>
  <c r="P314" i="10"/>
  <c r="R314" i="10" s="1"/>
  <c r="V338" i="10"/>
  <c r="T338" i="10"/>
  <c r="W338" i="10" s="1"/>
  <c r="P334" i="10"/>
  <c r="R334" i="10" s="1"/>
  <c r="P346" i="10"/>
  <c r="R346" i="10" s="1"/>
  <c r="V368" i="10"/>
  <c r="T368" i="10"/>
  <c r="W368" i="10" s="1"/>
  <c r="P373" i="10"/>
  <c r="R373" i="10" s="1"/>
  <c r="V376" i="10"/>
  <c r="T376" i="10"/>
  <c r="X376" i="10" s="1"/>
  <c r="P419" i="10"/>
  <c r="R419" i="10" s="1"/>
  <c r="P399" i="10"/>
  <c r="R399" i="10" s="1"/>
  <c r="P421" i="10"/>
  <c r="R421" i="10" s="1"/>
  <c r="T418" i="10"/>
  <c r="W418" i="10" s="1"/>
  <c r="V418" i="10"/>
  <c r="AJ55" i="9"/>
  <c r="AX135" i="9"/>
  <c r="AL190" i="9"/>
  <c r="AD280" i="10"/>
  <c r="AR130" i="10"/>
  <c r="AZ290" i="9"/>
  <c r="P130" i="9"/>
  <c r="AZ240" i="9"/>
  <c r="AZ345" i="10"/>
  <c r="X85" i="9"/>
  <c r="AI325" i="9"/>
  <c r="AM326" i="9" s="1"/>
  <c r="AQ326" i="9" s="1"/>
  <c r="AR326" i="9" s="1"/>
  <c r="P125" i="10"/>
  <c r="AL40" i="9"/>
  <c r="AD145" i="10"/>
  <c r="AK115" i="10"/>
  <c r="AK240" i="10"/>
  <c r="W375" i="10"/>
  <c r="AF376" i="10"/>
  <c r="AK110" i="10"/>
  <c r="W135" i="9"/>
  <c r="W420" i="10"/>
  <c r="P225" i="10"/>
  <c r="P230" i="9"/>
  <c r="AJ80" i="10"/>
  <c r="P350" i="9"/>
  <c r="AX410" i="9"/>
  <c r="AI90" i="10"/>
  <c r="AM91" i="10" s="1"/>
  <c r="AQ91" i="10" s="1"/>
  <c r="AR91" i="10" s="1"/>
  <c r="AT91" i="10" s="1"/>
  <c r="AW195" i="9"/>
  <c r="AL340" i="9"/>
  <c r="W160" i="9"/>
  <c r="U135" i="9"/>
  <c r="Y136" i="9" s="1"/>
  <c r="AC136" i="9" s="1"/>
  <c r="AD136" i="9" s="1"/>
  <c r="AF136" i="9" s="1"/>
  <c r="AF166" i="10"/>
  <c r="W165" i="10"/>
  <c r="X150" i="10"/>
  <c r="V270" i="10"/>
  <c r="AF206" i="9"/>
  <c r="W205" i="9"/>
  <c r="U45" i="10"/>
  <c r="Y46" i="10" s="1"/>
  <c r="AC46" i="10" s="1"/>
  <c r="AD46" i="10" s="1"/>
  <c r="AF46" i="10" s="1"/>
  <c r="AF251" i="9"/>
  <c r="W250" i="9"/>
  <c r="AD265" i="10"/>
  <c r="AJ210" i="9"/>
  <c r="U235" i="10"/>
  <c r="Y236" i="10" s="1"/>
  <c r="AC236" i="10" s="1"/>
  <c r="AD236" i="10" s="1"/>
  <c r="AF236" i="10" s="1"/>
  <c r="AW365" i="9"/>
  <c r="AK200" i="9"/>
  <c r="W375" i="9"/>
  <c r="W410" i="10"/>
  <c r="P410" i="10"/>
  <c r="AK95" i="10"/>
  <c r="AX280" i="9"/>
  <c r="AL30" i="9"/>
  <c r="AW250" i="10"/>
  <c r="V250" i="9"/>
  <c r="X30" i="9"/>
  <c r="AI250" i="9"/>
  <c r="AM251" i="9" s="1"/>
  <c r="AQ251" i="9" s="1"/>
  <c r="AR251" i="9" s="1"/>
  <c r="AT251" i="9" s="1"/>
  <c r="AW105" i="9"/>
  <c r="U210" i="10"/>
  <c r="Y211" i="10" s="1"/>
  <c r="AC211" i="10" s="1"/>
  <c r="AD211" i="10" s="1"/>
  <c r="AF211" i="10" s="1"/>
  <c r="V210" i="9"/>
  <c r="AK290" i="9"/>
  <c r="AV25" i="9"/>
  <c r="AJ200" i="9"/>
  <c r="P390" i="9"/>
  <c r="V320" i="9"/>
  <c r="U275" i="9"/>
  <c r="Y276" i="9" s="1"/>
  <c r="AC276" i="9" s="1"/>
  <c r="AD276" i="9" s="1"/>
  <c r="AF276" i="9" s="1"/>
  <c r="P95" i="10"/>
  <c r="V335" i="10"/>
  <c r="AT356" i="10"/>
  <c r="AK355" i="10"/>
  <c r="AI165" i="9"/>
  <c r="AM166" i="9" s="1"/>
  <c r="AQ166" i="9" s="1"/>
  <c r="AR166" i="9" s="1"/>
  <c r="AT166" i="9" s="1"/>
  <c r="W200" i="10"/>
  <c r="AX275" i="10"/>
  <c r="AL335" i="9"/>
  <c r="AR125" i="10"/>
  <c r="AX75" i="10"/>
  <c r="AR286" i="10"/>
  <c r="AT286" i="10" s="1"/>
  <c r="AR365" i="10"/>
  <c r="AL245" i="9"/>
  <c r="AL330" i="10"/>
  <c r="AW80" i="10"/>
  <c r="AT316" i="9"/>
  <c r="AK315" i="9"/>
  <c r="AF396" i="10"/>
  <c r="W395" i="10"/>
  <c r="X200" i="10"/>
  <c r="AJ215" i="9"/>
  <c r="AZ115" i="9"/>
  <c r="AI135" i="10"/>
  <c r="AM136" i="10" s="1"/>
  <c r="AQ136" i="10" s="1"/>
  <c r="AR136" i="10" s="1"/>
  <c r="AT136" i="10" s="1"/>
  <c r="P225" i="9"/>
  <c r="AD85" i="10"/>
  <c r="V315" i="9"/>
  <c r="AL410" i="10"/>
  <c r="P110" i="10"/>
  <c r="AK285" i="10"/>
  <c r="AT206" i="10"/>
  <c r="AK205" i="10"/>
  <c r="X305" i="10"/>
  <c r="AD135" i="9"/>
  <c r="AJ235" i="9"/>
  <c r="AJ240" i="10"/>
  <c r="AL115" i="10"/>
  <c r="AW370" i="10"/>
  <c r="AR235" i="10"/>
  <c r="V175" i="10"/>
  <c r="AK105" i="10"/>
  <c r="AR65" i="10"/>
  <c r="U410" i="9"/>
  <c r="Y411" i="9" s="1"/>
  <c r="AC411" i="9" s="1"/>
  <c r="AD411" i="9" s="1"/>
  <c r="AF411" i="9" s="1"/>
  <c r="AW385" i="10"/>
  <c r="P360" i="9"/>
  <c r="AR160" i="10"/>
  <c r="AR55" i="9"/>
  <c r="AD420" i="9"/>
  <c r="AJ420" i="9"/>
  <c r="AI420" i="9"/>
  <c r="AM421" i="9" s="1"/>
  <c r="AQ421" i="9" s="1"/>
  <c r="AR421" i="9" s="1"/>
  <c r="AT421" i="9" s="1"/>
  <c r="AL420" i="9"/>
  <c r="AW155" i="9"/>
  <c r="AI160" i="10"/>
  <c r="AM161" i="10" s="1"/>
  <c r="AQ161" i="10" s="1"/>
  <c r="AR161" i="10" s="1"/>
  <c r="AT161" i="10" s="1"/>
  <c r="AE60" i="10"/>
  <c r="AG60" i="10" s="1"/>
  <c r="AD60" i="10"/>
  <c r="AS140" i="9"/>
  <c r="AU140" i="9" s="1"/>
  <c r="AR140" i="9"/>
  <c r="Q35" i="10"/>
  <c r="S35" i="10" s="1"/>
  <c r="P35" i="10"/>
  <c r="AE140" i="9"/>
  <c r="AG140" i="9" s="1"/>
  <c r="AD140" i="9"/>
  <c r="Q140" i="10"/>
  <c r="S140" i="10" s="1"/>
  <c r="P140" i="10"/>
  <c r="C27" i="7"/>
  <c r="C28" i="7" s="1"/>
  <c r="AJ25" i="8"/>
  <c r="AL25" i="8"/>
  <c r="AD25" i="8"/>
  <c r="AI25" i="8"/>
  <c r="AM26" i="8" s="1"/>
  <c r="V43" i="8"/>
  <c r="T43" i="8"/>
  <c r="W43" i="8" s="1"/>
  <c r="U70" i="8"/>
  <c r="Y71" i="8" s="1"/>
  <c r="AD71" i="8" s="1"/>
  <c r="AF71" i="8" s="1"/>
  <c r="P70" i="8"/>
  <c r="V70" i="8"/>
  <c r="X70" i="8"/>
  <c r="P126" i="8"/>
  <c r="R126" i="8" s="1"/>
  <c r="P49" i="8"/>
  <c r="R49" i="8" s="1"/>
  <c r="P105" i="8"/>
  <c r="V105" i="8"/>
  <c r="U105" i="8"/>
  <c r="Y106" i="8" s="1"/>
  <c r="X105" i="8"/>
  <c r="P36" i="8"/>
  <c r="R36" i="8" s="1"/>
  <c r="P84" i="8"/>
  <c r="R84" i="8" s="1"/>
  <c r="V137" i="8"/>
  <c r="T137" i="8"/>
  <c r="X137" i="8" s="1"/>
  <c r="AD61" i="8"/>
  <c r="AF61" i="8" s="1"/>
  <c r="P127" i="8"/>
  <c r="R127" i="8" s="1"/>
  <c r="P82" i="8"/>
  <c r="R82" i="8" s="1"/>
  <c r="AR110" i="8"/>
  <c r="AX110" i="8"/>
  <c r="AW110" i="8"/>
  <c r="AZ110" i="8"/>
  <c r="AD120" i="8"/>
  <c r="AJ120" i="8"/>
  <c r="AI120" i="8"/>
  <c r="AM121" i="8" s="1"/>
  <c r="AR121" i="8" s="1"/>
  <c r="AT121" i="8" s="1"/>
  <c r="AL120" i="8"/>
  <c r="P117" i="8"/>
  <c r="R117" i="8" s="1"/>
  <c r="AD30" i="8"/>
  <c r="AJ30" i="8"/>
  <c r="AI30" i="8"/>
  <c r="AM31" i="8" s="1"/>
  <c r="AR31" i="8" s="1"/>
  <c r="AT31" i="8" s="1"/>
  <c r="AL30" i="8"/>
  <c r="P48" i="8"/>
  <c r="R48" i="8" s="1"/>
  <c r="AR76" i="8"/>
  <c r="AT76" i="8" s="1"/>
  <c r="P177" i="8"/>
  <c r="R177" i="8" s="1"/>
  <c r="W195" i="8"/>
  <c r="AW205" i="8"/>
  <c r="AR205" i="8"/>
  <c r="AX205" i="8"/>
  <c r="AZ205" i="8"/>
  <c r="AJ215" i="8"/>
  <c r="AI215" i="8"/>
  <c r="AM216" i="8" s="1"/>
  <c r="AR216" i="8" s="1"/>
  <c r="AT216" i="8" s="1"/>
  <c r="AD215" i="8"/>
  <c r="AL215" i="8"/>
  <c r="P233" i="8"/>
  <c r="R233" i="8" s="1"/>
  <c r="P172" i="8"/>
  <c r="R172" i="8" s="1"/>
  <c r="AR200" i="8"/>
  <c r="AX200" i="8"/>
  <c r="AW200" i="8"/>
  <c r="AZ200" i="8"/>
  <c r="AD210" i="8"/>
  <c r="AJ210" i="8"/>
  <c r="AI210" i="8"/>
  <c r="AM211" i="8" s="1"/>
  <c r="AR211" i="8" s="1"/>
  <c r="AT211" i="8" s="1"/>
  <c r="AL210" i="8"/>
  <c r="P228" i="8"/>
  <c r="R228" i="8" s="1"/>
  <c r="AX285" i="8"/>
  <c r="AZ285" i="8"/>
  <c r="AR285" i="8"/>
  <c r="AW285" i="8"/>
  <c r="X175" i="8"/>
  <c r="P175" i="8"/>
  <c r="U175" i="8"/>
  <c r="Y176" i="8" s="1"/>
  <c r="AD176" i="8" s="1"/>
  <c r="AF176" i="8" s="1"/>
  <c r="V175" i="8"/>
  <c r="T231" i="8"/>
  <c r="U231" i="8" s="1"/>
  <c r="Y232" i="8" s="1"/>
  <c r="AD232" i="8" s="1"/>
  <c r="V231" i="8"/>
  <c r="P321" i="8"/>
  <c r="R321" i="8" s="1"/>
  <c r="AD136" i="8"/>
  <c r="P202" i="8"/>
  <c r="R202" i="8" s="1"/>
  <c r="AK210" i="8"/>
  <c r="AR230" i="8"/>
  <c r="AZ230" i="8"/>
  <c r="AX230" i="8"/>
  <c r="AW230" i="8"/>
  <c r="P133" i="8"/>
  <c r="R133" i="8" s="1"/>
  <c r="AR161" i="8"/>
  <c r="AT161" i="8" s="1"/>
  <c r="AD171" i="8"/>
  <c r="AF171" i="8" s="1"/>
  <c r="P237" i="8"/>
  <c r="R237" i="8" s="1"/>
  <c r="V289" i="8"/>
  <c r="T289" i="8"/>
  <c r="X289" i="8" s="1"/>
  <c r="P232" i="8"/>
  <c r="R232" i="8" s="1"/>
  <c r="AX325" i="8"/>
  <c r="AR325" i="8"/>
  <c r="AW325" i="8"/>
  <c r="AZ325" i="8"/>
  <c r="P155" i="8"/>
  <c r="X155" i="8"/>
  <c r="U155" i="8"/>
  <c r="Y156" i="8" s="1"/>
  <c r="AD156" i="8" s="1"/>
  <c r="AF156" i="8" s="1"/>
  <c r="V155" i="8"/>
  <c r="P211" i="8"/>
  <c r="R211" i="8" s="1"/>
  <c r="P142" i="8"/>
  <c r="R142" i="8" s="1"/>
  <c r="W160" i="8"/>
  <c r="AZ170" i="8"/>
  <c r="AR170" i="8"/>
  <c r="AW170" i="8"/>
  <c r="AX170" i="8"/>
  <c r="AL180" i="8"/>
  <c r="AD180" i="8"/>
  <c r="AJ180" i="8"/>
  <c r="AI180" i="8"/>
  <c r="AM181" i="8" s="1"/>
  <c r="AR181" i="8" s="1"/>
  <c r="AT181" i="8" s="1"/>
  <c r="P198" i="8"/>
  <c r="R198" i="8" s="1"/>
  <c r="AD236" i="8"/>
  <c r="AF236" i="8" s="1"/>
  <c r="P284" i="8"/>
  <c r="R284" i="8" s="1"/>
  <c r="U340" i="8"/>
  <c r="Y341" i="8" s="1"/>
  <c r="AD341" i="8" s="1"/>
  <c r="AF341" i="8" s="1"/>
  <c r="P340" i="8"/>
  <c r="V340" i="8"/>
  <c r="X340" i="8"/>
  <c r="X255" i="8"/>
  <c r="P255" i="8"/>
  <c r="V255" i="8"/>
  <c r="U255" i="8"/>
  <c r="Y256" i="8" s="1"/>
  <c r="AD256" i="8" s="1"/>
  <c r="AF256" i="8" s="1"/>
  <c r="P311" i="8"/>
  <c r="R311" i="8" s="1"/>
  <c r="X250" i="8"/>
  <c r="P250" i="8"/>
  <c r="V250" i="8"/>
  <c r="U250" i="8"/>
  <c r="Y251" i="8" s="1"/>
  <c r="AD251" i="8" s="1"/>
  <c r="AF251" i="8" s="1"/>
  <c r="V306" i="8"/>
  <c r="T306" i="8"/>
  <c r="U306" i="8" s="1"/>
  <c r="Y307" i="8" s="1"/>
  <c r="AD307" i="8" s="1"/>
  <c r="P245" i="8"/>
  <c r="X245" i="8"/>
  <c r="U245" i="8"/>
  <c r="Y246" i="8" s="1"/>
  <c r="AD246" i="8" s="1"/>
  <c r="AF246" i="8" s="1"/>
  <c r="V245" i="8"/>
  <c r="P301" i="8"/>
  <c r="R301" i="8" s="1"/>
  <c r="P248" i="8"/>
  <c r="R248" i="8" s="1"/>
  <c r="AL370" i="8"/>
  <c r="AD370" i="8"/>
  <c r="AJ370" i="8"/>
  <c r="AI370" i="8"/>
  <c r="AM371" i="8" s="1"/>
  <c r="AR371" i="8" s="1"/>
  <c r="AT371" i="8" s="1"/>
  <c r="P275" i="8"/>
  <c r="X275" i="8"/>
  <c r="V275" i="8"/>
  <c r="U275" i="8"/>
  <c r="Y276" i="8" s="1"/>
  <c r="AD276" i="8" s="1"/>
  <c r="AF276" i="8" s="1"/>
  <c r="P331" i="8"/>
  <c r="R331" i="8" s="1"/>
  <c r="P286" i="8"/>
  <c r="R286" i="8" s="1"/>
  <c r="P334" i="8"/>
  <c r="R334" i="8" s="1"/>
  <c r="V385" i="8"/>
  <c r="U385" i="8"/>
  <c r="Y386" i="8" s="1"/>
  <c r="AD386" i="8" s="1"/>
  <c r="AF386" i="8" s="1"/>
  <c r="X385" i="8"/>
  <c r="P385" i="8"/>
  <c r="P69" i="9"/>
  <c r="R69" i="9" s="1"/>
  <c r="P412" i="8"/>
  <c r="R412" i="8" s="1"/>
  <c r="P375" i="8"/>
  <c r="V375" i="8"/>
  <c r="U375" i="8"/>
  <c r="Y376" i="8" s="1"/>
  <c r="AD376" i="8" s="1"/>
  <c r="AF376" i="8" s="1"/>
  <c r="X375" i="8"/>
  <c r="P357" i="8"/>
  <c r="R357" i="8" s="1"/>
  <c r="AK365" i="8"/>
  <c r="W375" i="8"/>
  <c r="AZ385" i="8"/>
  <c r="AR385" i="8"/>
  <c r="AW385" i="8"/>
  <c r="AX385" i="8"/>
  <c r="AL395" i="8"/>
  <c r="AD395" i="8"/>
  <c r="AJ395" i="8"/>
  <c r="AI395" i="8"/>
  <c r="AM396" i="8" s="1"/>
  <c r="AR396" i="8" s="1"/>
  <c r="AT396" i="8" s="1"/>
  <c r="P413" i="8"/>
  <c r="R413" i="8" s="1"/>
  <c r="AD350" i="8"/>
  <c r="AJ350" i="8"/>
  <c r="AI350" i="8"/>
  <c r="AM351" i="8" s="1"/>
  <c r="AL350" i="8"/>
  <c r="P368" i="8"/>
  <c r="R368" i="8" s="1"/>
  <c r="P395" i="8"/>
  <c r="U395" i="8"/>
  <c r="Y396" i="8" s="1"/>
  <c r="AD396" i="8" s="1"/>
  <c r="AF396" i="8" s="1"/>
  <c r="X395" i="8"/>
  <c r="V395" i="8"/>
  <c r="P358" i="8"/>
  <c r="R358" i="8" s="1"/>
  <c r="V89" i="9"/>
  <c r="T89" i="9"/>
  <c r="X89" i="9" s="1"/>
  <c r="V108" i="9"/>
  <c r="T108" i="9"/>
  <c r="W108" i="9" s="1"/>
  <c r="P119" i="9"/>
  <c r="R119" i="9" s="1"/>
  <c r="P77" i="9"/>
  <c r="R77" i="9" s="1"/>
  <c r="P104" i="9"/>
  <c r="R104" i="9" s="1"/>
  <c r="T131" i="9"/>
  <c r="U131" i="9" s="1"/>
  <c r="Y132" i="9" s="1"/>
  <c r="AC132" i="9" s="1"/>
  <c r="AD132" i="9" s="1"/>
  <c r="V131" i="9"/>
  <c r="P143" i="9"/>
  <c r="R143" i="9" s="1"/>
  <c r="V154" i="9"/>
  <c r="T154" i="9"/>
  <c r="U154" i="9" s="1"/>
  <c r="Y154" i="9" s="1"/>
  <c r="AC154" i="9" s="1"/>
  <c r="AD154" i="9" s="1"/>
  <c r="V181" i="9"/>
  <c r="T181" i="9"/>
  <c r="P192" i="9"/>
  <c r="R192" i="9" s="1"/>
  <c r="P142" i="9"/>
  <c r="R142" i="9" s="1"/>
  <c r="P177" i="9"/>
  <c r="R177" i="9" s="1"/>
  <c r="X198" i="9"/>
  <c r="V198" i="9"/>
  <c r="T198" i="9"/>
  <c r="W198" i="9" s="1"/>
  <c r="P217" i="9"/>
  <c r="R217" i="9" s="1"/>
  <c r="P236" i="9"/>
  <c r="R236" i="9" s="1"/>
  <c r="P247" i="9"/>
  <c r="R247" i="9" s="1"/>
  <c r="P213" i="9"/>
  <c r="R213" i="9" s="1"/>
  <c r="P224" i="9"/>
  <c r="R224" i="9" s="1"/>
  <c r="P251" i="9"/>
  <c r="R251" i="9" s="1"/>
  <c r="P262" i="9"/>
  <c r="R262" i="9" s="1"/>
  <c r="V289" i="9"/>
  <c r="T289" i="9"/>
  <c r="P271" i="9"/>
  <c r="R271" i="9" s="1"/>
  <c r="T298" i="9"/>
  <c r="W298" i="9" s="1"/>
  <c r="V298" i="9"/>
  <c r="P309" i="9"/>
  <c r="R309" i="9" s="1"/>
  <c r="P336" i="9"/>
  <c r="R336" i="9" s="1"/>
  <c r="P363" i="9"/>
  <c r="R363" i="9" s="1"/>
  <c r="P313" i="9"/>
  <c r="R313" i="9" s="1"/>
  <c r="P324" i="9"/>
  <c r="R324" i="9" s="1"/>
  <c r="P319" i="9"/>
  <c r="R319" i="9" s="1"/>
  <c r="T346" i="9"/>
  <c r="X346" i="9" s="1"/>
  <c r="V346" i="9"/>
  <c r="P369" i="9"/>
  <c r="R369" i="9" s="1"/>
  <c r="P396" i="9"/>
  <c r="R396" i="9" s="1"/>
  <c r="P407" i="9"/>
  <c r="R407" i="9" s="1"/>
  <c r="T373" i="9"/>
  <c r="W373" i="9" s="1"/>
  <c r="V373" i="9"/>
  <c r="P384" i="9"/>
  <c r="R384" i="9" s="1"/>
  <c r="P403" i="9"/>
  <c r="R403" i="9" s="1"/>
  <c r="P42" i="10"/>
  <c r="R42" i="10" s="1"/>
  <c r="V61" i="10"/>
  <c r="T61" i="10"/>
  <c r="X61" i="10" s="1"/>
  <c r="V57" i="10"/>
  <c r="T57" i="10"/>
  <c r="U57" i="10" s="1"/>
  <c r="Y58" i="10" s="1"/>
  <c r="AC58" i="10" s="1"/>
  <c r="AD58" i="10" s="1"/>
  <c r="P49" i="10"/>
  <c r="R49" i="10" s="1"/>
  <c r="P63" i="10"/>
  <c r="R63" i="10" s="1"/>
  <c r="P98" i="10"/>
  <c r="R98" i="10" s="1"/>
  <c r="P67" i="10"/>
  <c r="R67" i="10" s="1"/>
  <c r="P54" i="10"/>
  <c r="R54" i="10" s="1"/>
  <c r="P139" i="10"/>
  <c r="R139" i="10" s="1"/>
  <c r="P158" i="10"/>
  <c r="R158" i="10" s="1"/>
  <c r="P124" i="10"/>
  <c r="R124" i="10" s="1"/>
  <c r="T143" i="10"/>
  <c r="W143" i="10" s="1"/>
  <c r="V143" i="10"/>
  <c r="P146" i="10"/>
  <c r="R146" i="10" s="1"/>
  <c r="V174" i="10"/>
  <c r="T174" i="10"/>
  <c r="X174" i="10" s="1"/>
  <c r="P183" i="10"/>
  <c r="R183" i="10" s="1"/>
  <c r="T168" i="10"/>
  <c r="W168" i="10" s="1"/>
  <c r="V168" i="10"/>
  <c r="P213" i="10"/>
  <c r="R213" i="10" s="1"/>
  <c r="P188" i="10"/>
  <c r="R188" i="10" s="1"/>
  <c r="P199" i="10"/>
  <c r="R199" i="10" s="1"/>
  <c r="V217" i="10"/>
  <c r="T217" i="10"/>
  <c r="X217" i="10" s="1"/>
  <c r="V218" i="10"/>
  <c r="T218" i="10"/>
  <c r="W218" i="10" s="1"/>
  <c r="P236" i="10"/>
  <c r="R236" i="10" s="1"/>
  <c r="P262" i="10"/>
  <c r="R262" i="10" s="1"/>
  <c r="P252" i="10"/>
  <c r="R252" i="10" s="1"/>
  <c r="P261" i="10"/>
  <c r="R261" i="10" s="1"/>
  <c r="P301" i="10"/>
  <c r="R301" i="10" s="1"/>
  <c r="V294" i="10"/>
  <c r="T294" i="10"/>
  <c r="U294" i="10" s="1"/>
  <c r="Y294" i="10" s="1"/>
  <c r="AC294" i="10" s="1"/>
  <c r="AD294" i="10" s="1"/>
  <c r="P287" i="10"/>
  <c r="R287" i="10" s="1"/>
  <c r="P316" i="10"/>
  <c r="R316" i="10" s="1"/>
  <c r="P322" i="10"/>
  <c r="R322" i="10" s="1"/>
  <c r="V358" i="10"/>
  <c r="T358" i="10"/>
  <c r="W358" i="10" s="1"/>
  <c r="T342" i="10"/>
  <c r="X342" i="10" s="1"/>
  <c r="V342" i="10"/>
  <c r="P354" i="10"/>
  <c r="R354" i="10" s="1"/>
  <c r="T369" i="10"/>
  <c r="X369" i="10" s="1"/>
  <c r="V369" i="10"/>
  <c r="P367" i="10"/>
  <c r="R367" i="10" s="1"/>
  <c r="P371" i="10"/>
  <c r="R371" i="10" s="1"/>
  <c r="P407" i="10"/>
  <c r="R407" i="10" s="1"/>
  <c r="P402" i="10"/>
  <c r="R402" i="10" s="1"/>
  <c r="P404" i="10"/>
  <c r="R404" i="10" s="1"/>
  <c r="P424" i="10"/>
  <c r="R424" i="10" s="1"/>
  <c r="AD55" i="9"/>
  <c r="AW135" i="9"/>
  <c r="AD190" i="9"/>
  <c r="AL280" i="10"/>
  <c r="W195" i="10"/>
  <c r="AF196" i="10"/>
  <c r="V130" i="9"/>
  <c r="U75" i="9"/>
  <c r="Y76" i="9" s="1"/>
  <c r="AC76" i="9" s="1"/>
  <c r="AD76" i="9" s="1"/>
  <c r="AX65" i="9"/>
  <c r="AW120" i="10"/>
  <c r="X90" i="9"/>
  <c r="U85" i="9"/>
  <c r="Y86" i="9" s="1"/>
  <c r="AC86" i="9" s="1"/>
  <c r="AD86" i="9" s="1"/>
  <c r="AF86" i="9" s="1"/>
  <c r="AW135" i="10"/>
  <c r="AI105" i="10"/>
  <c r="AM106" i="10" s="1"/>
  <c r="AQ106" i="10" s="1"/>
  <c r="AR106" i="10" s="1"/>
  <c r="AT106" i="10" s="1"/>
  <c r="AI40" i="10"/>
  <c r="AM41" i="10" s="1"/>
  <c r="AQ41" i="10" s="1"/>
  <c r="AR41" i="10" s="1"/>
  <c r="AT41" i="10" s="1"/>
  <c r="AW255" i="10"/>
  <c r="AX295" i="9"/>
  <c r="W25" i="9"/>
  <c r="AH25" i="10"/>
  <c r="W250" i="10"/>
  <c r="X420" i="10"/>
  <c r="V420" i="10"/>
  <c r="P420" i="10"/>
  <c r="U420" i="10"/>
  <c r="Y421" i="10" s="1"/>
  <c r="AC421" i="10" s="1"/>
  <c r="AD421" i="10" s="1"/>
  <c r="AF421" i="10" s="1"/>
  <c r="AR415" i="9"/>
  <c r="AX415" i="9"/>
  <c r="AW415" i="9"/>
  <c r="AZ415" i="9"/>
  <c r="W150" i="10"/>
  <c r="AW410" i="9"/>
  <c r="AK370" i="9"/>
  <c r="AK40" i="9"/>
  <c r="V135" i="9"/>
  <c r="AL25" i="10"/>
  <c r="AJ241" i="10"/>
  <c r="AH241" i="10"/>
  <c r="AI241" i="10" s="1"/>
  <c r="AM242" i="10" s="1"/>
  <c r="AQ242" i="10" s="1"/>
  <c r="AR242" i="10" s="1"/>
  <c r="P415" i="10"/>
  <c r="V415" i="10"/>
  <c r="U415" i="10"/>
  <c r="Y416" i="10" s="1"/>
  <c r="AC416" i="10" s="1"/>
  <c r="AD416" i="10" s="1"/>
  <c r="AF416" i="10" s="1"/>
  <c r="X415" i="10"/>
  <c r="V150" i="10"/>
  <c r="AW325" i="9"/>
  <c r="X270" i="10"/>
  <c r="AX340" i="9"/>
  <c r="P45" i="10"/>
  <c r="AL265" i="10"/>
  <c r="AK80" i="9"/>
  <c r="AD210" i="9"/>
  <c r="AI370" i="9"/>
  <c r="AM371" i="9" s="1"/>
  <c r="AQ371" i="9" s="1"/>
  <c r="AR371" i="9" s="1"/>
  <c r="AT371" i="9" s="1"/>
  <c r="AR365" i="9"/>
  <c r="W390" i="9"/>
  <c r="AF391" i="9"/>
  <c r="AR186" i="10"/>
  <c r="AT186" i="10" s="1"/>
  <c r="AX366" i="9"/>
  <c r="AV366" i="9"/>
  <c r="AY366" i="9" s="1"/>
  <c r="AK415" i="9"/>
  <c r="AT416" i="9"/>
  <c r="AW280" i="9"/>
  <c r="P30" i="9"/>
  <c r="AJ250" i="9"/>
  <c r="AX200" i="9"/>
  <c r="AK335" i="9"/>
  <c r="AT336" i="9"/>
  <c r="P375" i="9"/>
  <c r="AK380" i="10"/>
  <c r="AT381" i="10"/>
  <c r="W380" i="9"/>
  <c r="AI95" i="10"/>
  <c r="AM96" i="10" s="1"/>
  <c r="AQ96" i="10" s="1"/>
  <c r="AR96" i="10" s="1"/>
  <c r="AT96" i="10" s="1"/>
  <c r="AF156" i="9"/>
  <c r="W155" i="9"/>
  <c r="AX85" i="9"/>
  <c r="AJ290" i="9"/>
  <c r="AK85" i="10"/>
  <c r="AZ125" i="10"/>
  <c r="W315" i="9"/>
  <c r="AZ75" i="10"/>
  <c r="W305" i="10"/>
  <c r="AF306" i="10"/>
  <c r="AZ365" i="10"/>
  <c r="AX25" i="10"/>
  <c r="W170" i="9"/>
  <c r="AK200" i="10"/>
  <c r="P200" i="10"/>
  <c r="AR216" i="9"/>
  <c r="AT216" i="9" s="1"/>
  <c r="AJ135" i="10"/>
  <c r="X225" i="9"/>
  <c r="X315" i="9"/>
  <c r="AR411" i="10"/>
  <c r="AT411" i="10" s="1"/>
  <c r="P305" i="10"/>
  <c r="AL135" i="9"/>
  <c r="W380" i="10"/>
  <c r="V170" i="9"/>
  <c r="AD366" i="10"/>
  <c r="AF366" i="10" s="1"/>
  <c r="AD235" i="9"/>
  <c r="AD240" i="10"/>
  <c r="AJ115" i="10"/>
  <c r="W245" i="10"/>
  <c r="AZ370" i="10"/>
  <c r="AT121" i="10"/>
  <c r="AK120" i="10"/>
  <c r="AW235" i="10"/>
  <c r="U175" i="10"/>
  <c r="Y176" i="10" s="1"/>
  <c r="AC176" i="10" s="1"/>
  <c r="AD176" i="10" s="1"/>
  <c r="AF176" i="10" s="1"/>
  <c r="AK40" i="10"/>
  <c r="AF366" i="9"/>
  <c r="W365" i="9"/>
  <c r="AX385" i="10"/>
  <c r="W90" i="10"/>
  <c r="AK305" i="9"/>
  <c r="AT306" i="9"/>
  <c r="W145" i="10"/>
  <c r="AF146" i="10"/>
  <c r="AK190" i="9"/>
  <c r="AJ75" i="10"/>
  <c r="AL160" i="10"/>
  <c r="AS300" i="10"/>
  <c r="AU300" i="10" s="1"/>
  <c r="AR300" i="10"/>
  <c r="Q260" i="10"/>
  <c r="S260" i="10" s="1"/>
  <c r="P260" i="10"/>
  <c r="Q180" i="9"/>
  <c r="S180" i="9" s="1"/>
  <c r="P180" i="9"/>
  <c r="AS100" i="9"/>
  <c r="AU100" i="9" s="1"/>
  <c r="AR100" i="9"/>
  <c r="AS70" i="9"/>
  <c r="AU70" i="9" s="1"/>
  <c r="AR70" i="9"/>
  <c r="V35" i="8"/>
  <c r="X35" i="8"/>
  <c r="P35" i="8"/>
  <c r="U35" i="8"/>
  <c r="Y36" i="8" s="1"/>
  <c r="P91" i="8"/>
  <c r="R91" i="8" s="1"/>
  <c r="P62" i="8"/>
  <c r="R62" i="8" s="1"/>
  <c r="AW90" i="8"/>
  <c r="AR90" i="8"/>
  <c r="AZ90" i="8"/>
  <c r="AX90" i="8"/>
  <c r="AI100" i="8"/>
  <c r="AM101" i="8" s="1"/>
  <c r="AR101" i="8" s="1"/>
  <c r="AT101" i="8" s="1"/>
  <c r="AD100" i="8"/>
  <c r="AL100" i="8"/>
  <c r="AJ100" i="8"/>
  <c r="T118" i="8"/>
  <c r="W118" i="8" s="1"/>
  <c r="V118" i="8"/>
  <c r="AD31" i="8"/>
  <c r="AF31" i="8" s="1"/>
  <c r="P97" i="8"/>
  <c r="R97" i="8" s="1"/>
  <c r="AR125" i="8"/>
  <c r="AW125" i="8"/>
  <c r="AZ125" i="8"/>
  <c r="AX125" i="8"/>
  <c r="V28" i="8"/>
  <c r="T28" i="8"/>
  <c r="W28" i="8" s="1"/>
  <c r="AR56" i="8"/>
  <c r="AT56" i="8" s="1"/>
  <c r="P71" i="8"/>
  <c r="R71" i="8" s="1"/>
  <c r="P26" i="8"/>
  <c r="R26" i="8" s="1"/>
  <c r="P74" i="8"/>
  <c r="R74" i="8" s="1"/>
  <c r="P61" i="8"/>
  <c r="R61" i="8" s="1"/>
  <c r="V109" i="8"/>
  <c r="T109" i="8"/>
  <c r="U109" i="8" s="1"/>
  <c r="Y109" i="8" s="1"/>
  <c r="AD109" i="8" s="1"/>
  <c r="U40" i="8"/>
  <c r="Y41" i="8" s="1"/>
  <c r="AD41" i="8" s="1"/>
  <c r="AF41" i="8" s="1"/>
  <c r="P40" i="8"/>
  <c r="X40" i="8"/>
  <c r="V40" i="8"/>
  <c r="P96" i="8"/>
  <c r="R96" i="8" s="1"/>
  <c r="V169" i="8"/>
  <c r="T169" i="8"/>
  <c r="X169" i="8" s="1"/>
  <c r="V225" i="8"/>
  <c r="U225" i="8"/>
  <c r="Y226" i="8" s="1"/>
  <c r="AD226" i="8" s="1"/>
  <c r="AF226" i="8" s="1"/>
  <c r="X225" i="8"/>
  <c r="P225" i="8"/>
  <c r="P164" i="8"/>
  <c r="R164" i="8" s="1"/>
  <c r="P220" i="8"/>
  <c r="V220" i="8"/>
  <c r="U220" i="8"/>
  <c r="Y221" i="8" s="1"/>
  <c r="AD221" i="8" s="1"/>
  <c r="AF221" i="8" s="1"/>
  <c r="X220" i="8"/>
  <c r="P167" i="8"/>
  <c r="R167" i="8" s="1"/>
  <c r="AZ195" i="8"/>
  <c r="AR195" i="8"/>
  <c r="AW195" i="8"/>
  <c r="AX195" i="8"/>
  <c r="AD205" i="8"/>
  <c r="AI205" i="8"/>
  <c r="AM206" i="8" s="1"/>
  <c r="AR206" i="8" s="1"/>
  <c r="AT206" i="8" s="1"/>
  <c r="AJ205" i="8"/>
  <c r="AL205" i="8"/>
  <c r="T223" i="8"/>
  <c r="W223" i="8" s="1"/>
  <c r="V223" i="8"/>
  <c r="X146" i="8"/>
  <c r="V146" i="8"/>
  <c r="T146" i="8"/>
  <c r="U146" i="8" s="1"/>
  <c r="Y147" i="8" s="1"/>
  <c r="AD147" i="8" s="1"/>
  <c r="P194" i="8"/>
  <c r="R194" i="8" s="1"/>
  <c r="P181" i="8"/>
  <c r="R181" i="8" s="1"/>
  <c r="P229" i="8"/>
  <c r="R229" i="8" s="1"/>
  <c r="V37" i="9"/>
  <c r="T37" i="9"/>
  <c r="U37" i="9" s="1"/>
  <c r="Y38" i="9" s="1"/>
  <c r="AC38" i="9" s="1"/>
  <c r="AD38" i="9" s="1"/>
  <c r="P176" i="8"/>
  <c r="R176" i="8" s="1"/>
  <c r="P224" i="8"/>
  <c r="R224" i="8" s="1"/>
  <c r="P147" i="8"/>
  <c r="R147" i="8" s="1"/>
  <c r="AZ175" i="8"/>
  <c r="AR175" i="8"/>
  <c r="AX175" i="8"/>
  <c r="AW175" i="8"/>
  <c r="AL185" i="8"/>
  <c r="AD185" i="8"/>
  <c r="AJ185" i="8"/>
  <c r="AI185" i="8"/>
  <c r="AM186" i="8" s="1"/>
  <c r="AR186" i="8" s="1"/>
  <c r="AT186" i="8" s="1"/>
  <c r="P203" i="8"/>
  <c r="R203" i="8" s="1"/>
  <c r="AR231" i="8"/>
  <c r="AT231" i="8" s="1"/>
  <c r="AL255" i="8"/>
  <c r="AD255" i="8"/>
  <c r="AI255" i="8"/>
  <c r="AM256" i="8" s="1"/>
  <c r="AR256" i="8" s="1"/>
  <c r="AT256" i="8" s="1"/>
  <c r="AJ255" i="8"/>
  <c r="P134" i="8"/>
  <c r="R134" i="8" s="1"/>
  <c r="X190" i="8"/>
  <c r="P190" i="8"/>
  <c r="U190" i="8"/>
  <c r="Y191" i="8" s="1"/>
  <c r="AD191" i="8" s="1"/>
  <c r="AF191" i="8" s="1"/>
  <c r="V190" i="8"/>
  <c r="P332" i="8"/>
  <c r="R332" i="8" s="1"/>
  <c r="P247" i="8"/>
  <c r="R247" i="8" s="1"/>
  <c r="AK255" i="8"/>
  <c r="AR275" i="8"/>
  <c r="AW275" i="8"/>
  <c r="AZ275" i="8"/>
  <c r="AX275" i="8"/>
  <c r="AL285" i="8"/>
  <c r="AD285" i="8"/>
  <c r="AJ285" i="8"/>
  <c r="AI285" i="8"/>
  <c r="AM286" i="8" s="1"/>
  <c r="AR286" i="8" s="1"/>
  <c r="AT286" i="8" s="1"/>
  <c r="T303" i="8"/>
  <c r="W303" i="8" s="1"/>
  <c r="V303" i="8"/>
  <c r="AR331" i="8"/>
  <c r="AT331" i="8" s="1"/>
  <c r="P242" i="8"/>
  <c r="R242" i="8" s="1"/>
  <c r="AR270" i="8"/>
  <c r="AX270" i="8"/>
  <c r="AW270" i="8"/>
  <c r="AZ270" i="8"/>
  <c r="AD280" i="8"/>
  <c r="AI280" i="8"/>
  <c r="AM281" i="8" s="1"/>
  <c r="AR281" i="8" s="1"/>
  <c r="AT281" i="8" s="1"/>
  <c r="AJ280" i="8"/>
  <c r="AL280" i="8"/>
  <c r="P298" i="8"/>
  <c r="R298" i="8" s="1"/>
  <c r="AR265" i="8"/>
  <c r="AZ265" i="8"/>
  <c r="AW265" i="8"/>
  <c r="AX265" i="8"/>
  <c r="AD275" i="8"/>
  <c r="AJ275" i="8"/>
  <c r="AL275" i="8"/>
  <c r="AI275" i="8"/>
  <c r="AM276" i="8" s="1"/>
  <c r="AR276" i="8" s="1"/>
  <c r="AT276" i="8" s="1"/>
  <c r="P293" i="8"/>
  <c r="R293" i="8" s="1"/>
  <c r="AD331" i="8"/>
  <c r="AF331" i="8" s="1"/>
  <c r="P240" i="8"/>
  <c r="X240" i="8"/>
  <c r="V240" i="8"/>
  <c r="U240" i="8"/>
  <c r="Y241" i="8" s="1"/>
  <c r="P296" i="8"/>
  <c r="R296" i="8" s="1"/>
  <c r="P344" i="8"/>
  <c r="R344" i="8" s="1"/>
  <c r="P267" i="8"/>
  <c r="R267" i="8" s="1"/>
  <c r="AZ295" i="8"/>
  <c r="AR295" i="8"/>
  <c r="AW295" i="8"/>
  <c r="AX295" i="8"/>
  <c r="AL305" i="8"/>
  <c r="AD305" i="8"/>
  <c r="AI305" i="8"/>
  <c r="AM306" i="8" s="1"/>
  <c r="AR306" i="8" s="1"/>
  <c r="AT306" i="8" s="1"/>
  <c r="AJ305" i="8"/>
  <c r="P323" i="8"/>
  <c r="R323" i="8" s="1"/>
  <c r="AZ250" i="8"/>
  <c r="AR250" i="8"/>
  <c r="AW250" i="8"/>
  <c r="AX250" i="8"/>
  <c r="AL260" i="8"/>
  <c r="AD260" i="8"/>
  <c r="AJ260" i="8"/>
  <c r="AI260" i="8"/>
  <c r="AM261" i="8" s="1"/>
  <c r="AR261" i="8" s="1"/>
  <c r="AT261" i="8" s="1"/>
  <c r="P278" i="8"/>
  <c r="R278" i="8" s="1"/>
  <c r="T404" i="8"/>
  <c r="X404" i="8" s="1"/>
  <c r="V404" i="8"/>
  <c r="P367" i="8"/>
  <c r="R367" i="8" s="1"/>
  <c r="AR395" i="8"/>
  <c r="AX395" i="8"/>
  <c r="AW395" i="8"/>
  <c r="AZ395" i="8"/>
  <c r="AD405" i="8"/>
  <c r="AJ405" i="8"/>
  <c r="AI405" i="8"/>
  <c r="AM406" i="8" s="1"/>
  <c r="AL405" i="8"/>
  <c r="P423" i="8"/>
  <c r="R423" i="8" s="1"/>
  <c r="V386" i="8"/>
  <c r="T386" i="8"/>
  <c r="X386" i="8" s="1"/>
  <c r="P349" i="8"/>
  <c r="R349" i="8" s="1"/>
  <c r="X405" i="8"/>
  <c r="P405" i="8"/>
  <c r="V405" i="8"/>
  <c r="U405" i="8"/>
  <c r="Y406" i="8" s="1"/>
  <c r="AD406" i="8" s="1"/>
  <c r="AF406" i="8" s="1"/>
  <c r="P360" i="8"/>
  <c r="X360" i="8"/>
  <c r="V360" i="8"/>
  <c r="U360" i="8"/>
  <c r="Y361" i="8" s="1"/>
  <c r="AD361" i="8" s="1"/>
  <c r="AF361" i="8" s="1"/>
  <c r="P416" i="8"/>
  <c r="R416" i="8" s="1"/>
  <c r="P28" i="9"/>
  <c r="R28" i="9" s="1"/>
  <c r="P387" i="8"/>
  <c r="R387" i="8" s="1"/>
  <c r="W405" i="8"/>
  <c r="AR415" i="8"/>
  <c r="AZ415" i="8"/>
  <c r="AW415" i="8"/>
  <c r="AX415" i="8"/>
  <c r="P31" i="9"/>
  <c r="R31" i="9" s="1"/>
  <c r="U350" i="8"/>
  <c r="Y351" i="8" s="1"/>
  <c r="AD351" i="8" s="1"/>
  <c r="AF351" i="8" s="1"/>
  <c r="X350" i="8"/>
  <c r="P350" i="8"/>
  <c r="V350" i="8"/>
  <c r="P406" i="8"/>
  <c r="R406" i="8" s="1"/>
  <c r="V26" i="9"/>
  <c r="T26" i="9"/>
  <c r="X26" i="9" s="1"/>
  <c r="V97" i="9"/>
  <c r="T97" i="9"/>
  <c r="U97" i="9" s="1"/>
  <c r="Y98" i="9" s="1"/>
  <c r="AC98" i="9" s="1"/>
  <c r="AD98" i="9" s="1"/>
  <c r="P116" i="9"/>
  <c r="R116" i="9" s="1"/>
  <c r="P127" i="9"/>
  <c r="R127" i="9" s="1"/>
  <c r="P93" i="9"/>
  <c r="R93" i="9" s="1"/>
  <c r="P112" i="9"/>
  <c r="R112" i="9" s="1"/>
  <c r="V78" i="9"/>
  <c r="T78" i="9"/>
  <c r="W78" i="9" s="1"/>
  <c r="P151" i="9"/>
  <c r="R151" i="9" s="1"/>
  <c r="V162" i="9"/>
  <c r="T162" i="9"/>
  <c r="U162" i="9" s="1"/>
  <c r="Y163" i="9" s="1"/>
  <c r="AC163" i="9" s="1"/>
  <c r="AD163" i="9" s="1"/>
  <c r="P189" i="9"/>
  <c r="R189" i="9" s="1"/>
  <c r="P139" i="9"/>
  <c r="R139" i="9" s="1"/>
  <c r="P158" i="9"/>
  <c r="R158" i="9" s="1"/>
  <c r="P193" i="9"/>
  <c r="R193" i="9" s="1"/>
  <c r="V206" i="9"/>
  <c r="T206" i="9"/>
  <c r="U206" i="9" s="1"/>
  <c r="Y207" i="9" s="1"/>
  <c r="AC207" i="9" s="1"/>
  <c r="AD207" i="9" s="1"/>
  <c r="V233" i="9"/>
  <c r="T233" i="9"/>
  <c r="W233" i="9" s="1"/>
  <c r="P244" i="9"/>
  <c r="R244" i="9" s="1"/>
  <c r="P194" i="9"/>
  <c r="R194" i="9" s="1"/>
  <c r="T221" i="9"/>
  <c r="X221" i="9" s="1"/>
  <c r="V221" i="9"/>
  <c r="T232" i="9"/>
  <c r="U232" i="9" s="1"/>
  <c r="Y233" i="9" s="1"/>
  <c r="AC233" i="9" s="1"/>
  <c r="AD233" i="9" s="1"/>
  <c r="V232" i="9"/>
  <c r="P259" i="9"/>
  <c r="R259" i="9" s="1"/>
  <c r="P278" i="9"/>
  <c r="R278" i="9" s="1"/>
  <c r="V297" i="9"/>
  <c r="T297" i="9"/>
  <c r="X297" i="9" s="1"/>
  <c r="P279" i="9"/>
  <c r="R279" i="9" s="1"/>
  <c r="T306" i="9"/>
  <c r="V306" i="9"/>
  <c r="T256" i="9"/>
  <c r="V256" i="9"/>
  <c r="P352" i="9"/>
  <c r="R352" i="9" s="1"/>
  <c r="V318" i="9"/>
  <c r="T318" i="9"/>
  <c r="W318" i="9" s="1"/>
  <c r="P321" i="9"/>
  <c r="R321" i="9" s="1"/>
  <c r="P332" i="9"/>
  <c r="R332" i="9" s="1"/>
  <c r="P327" i="9"/>
  <c r="R327" i="9" s="1"/>
  <c r="P354" i="9"/>
  <c r="R354" i="9" s="1"/>
  <c r="P377" i="9"/>
  <c r="R377" i="9" s="1"/>
  <c r="X404" i="9"/>
  <c r="V404" i="9"/>
  <c r="T404" i="9"/>
  <c r="U404" i="9" s="1"/>
  <c r="Y404" i="9" s="1"/>
  <c r="AC404" i="9" s="1"/>
  <c r="AD404" i="9" s="1"/>
  <c r="P423" i="9"/>
  <c r="R423" i="9" s="1"/>
  <c r="P381" i="9"/>
  <c r="R381" i="9" s="1"/>
  <c r="P392" i="9"/>
  <c r="R392" i="9" s="1"/>
  <c r="P411" i="9"/>
  <c r="R411" i="9" s="1"/>
  <c r="P81" i="10"/>
  <c r="R81" i="10" s="1"/>
  <c r="P68" i="10"/>
  <c r="R68" i="10" s="1"/>
  <c r="P89" i="10"/>
  <c r="R89" i="10" s="1"/>
  <c r="P28" i="10"/>
  <c r="R28" i="10" s="1"/>
  <c r="P71" i="10"/>
  <c r="R71" i="10" s="1"/>
  <c r="P144" i="10"/>
  <c r="R144" i="10" s="1"/>
  <c r="P83" i="10"/>
  <c r="R83" i="10" s="1"/>
  <c r="P62" i="10"/>
  <c r="R62" i="10" s="1"/>
  <c r="P147" i="10"/>
  <c r="R147" i="10" s="1"/>
  <c r="V113" i="10"/>
  <c r="T113" i="10"/>
  <c r="W113" i="10" s="1"/>
  <c r="P132" i="10"/>
  <c r="R132" i="10" s="1"/>
  <c r="T151" i="10"/>
  <c r="U151" i="10" s="1"/>
  <c r="Y152" i="10" s="1"/>
  <c r="AC152" i="10" s="1"/>
  <c r="AD152" i="10" s="1"/>
  <c r="V151" i="10"/>
  <c r="P154" i="10"/>
  <c r="R154" i="10" s="1"/>
  <c r="P182" i="10"/>
  <c r="R182" i="10" s="1"/>
  <c r="T187" i="10"/>
  <c r="X187" i="10" s="1"/>
  <c r="T176" i="10"/>
  <c r="X176" i="10" s="1"/>
  <c r="V176" i="10"/>
  <c r="P203" i="10"/>
  <c r="R203" i="10" s="1"/>
  <c r="P196" i="10"/>
  <c r="R196" i="10" s="1"/>
  <c r="P224" i="10"/>
  <c r="R224" i="10" s="1"/>
  <c r="P212" i="10"/>
  <c r="R212" i="10" s="1"/>
  <c r="V226" i="10"/>
  <c r="T226" i="10"/>
  <c r="U226" i="10" s="1"/>
  <c r="Y227" i="10" s="1"/>
  <c r="AC227" i="10" s="1"/>
  <c r="AD227" i="10" s="1"/>
  <c r="P244" i="10"/>
  <c r="R244" i="10" s="1"/>
  <c r="P237" i="10"/>
  <c r="R237" i="10" s="1"/>
  <c r="P268" i="10"/>
  <c r="R268" i="10" s="1"/>
  <c r="P269" i="10"/>
  <c r="R269" i="10" s="1"/>
  <c r="T288" i="10"/>
  <c r="W288" i="10" s="1"/>
  <c r="V288" i="10"/>
  <c r="P302" i="10"/>
  <c r="R302" i="10" s="1"/>
  <c r="V318" i="10"/>
  <c r="U318" i="10"/>
  <c r="T318" i="10"/>
  <c r="W318" i="10" s="1"/>
  <c r="P324" i="10"/>
  <c r="R324" i="10" s="1"/>
  <c r="P309" i="10"/>
  <c r="R309" i="10" s="1"/>
  <c r="P333" i="10"/>
  <c r="R333" i="10" s="1"/>
  <c r="P337" i="10"/>
  <c r="R337" i="10" s="1"/>
  <c r="P349" i="10"/>
  <c r="R349" i="10" s="1"/>
  <c r="P363" i="10"/>
  <c r="R363" i="10" s="1"/>
  <c r="P378" i="10"/>
  <c r="R378" i="10" s="1"/>
  <c r="P379" i="10"/>
  <c r="R379" i="10" s="1"/>
  <c r="P389" i="10"/>
  <c r="R389" i="10" s="1"/>
  <c r="P409" i="10"/>
  <c r="R409" i="10" s="1"/>
  <c r="V416" i="10"/>
  <c r="T416" i="10"/>
  <c r="U416" i="10" s="1"/>
  <c r="Y417" i="10" s="1"/>
  <c r="AC417" i="10" s="1"/>
  <c r="AD417" i="10" s="1"/>
  <c r="AL55" i="9"/>
  <c r="AR135" i="9"/>
  <c r="AJ190" i="9"/>
  <c r="AJ280" i="10"/>
  <c r="X75" i="9"/>
  <c r="AW65" i="9"/>
  <c r="AX120" i="10"/>
  <c r="U90" i="9"/>
  <c r="Y91" i="9" s="1"/>
  <c r="AC91" i="9" s="1"/>
  <c r="AD91" i="9" s="1"/>
  <c r="AF91" i="9" s="1"/>
  <c r="V85" i="9"/>
  <c r="AX135" i="10"/>
  <c r="AJ105" i="10"/>
  <c r="AJ40" i="10"/>
  <c r="AX255" i="10"/>
  <c r="AW295" i="9"/>
  <c r="AK235" i="9"/>
  <c r="AR410" i="9"/>
  <c r="W45" i="10"/>
  <c r="AK265" i="10"/>
  <c r="AT326" i="9"/>
  <c r="AK325" i="9"/>
  <c r="P135" i="9"/>
  <c r="AD25" i="10"/>
  <c r="W415" i="10"/>
  <c r="U150" i="10"/>
  <c r="Y151" i="10" s="1"/>
  <c r="AC151" i="10" s="1"/>
  <c r="AD151" i="10" s="1"/>
  <c r="AF151" i="10" s="1"/>
  <c r="AX325" i="9"/>
  <c r="P270" i="10"/>
  <c r="AZ340" i="9"/>
  <c r="X45" i="10"/>
  <c r="W30" i="9"/>
  <c r="AF31" i="9"/>
  <c r="U160" i="9"/>
  <c r="Y161" i="9" s="1"/>
  <c r="AC161" i="9" s="1"/>
  <c r="AD161" i="9" s="1"/>
  <c r="AF161" i="9" s="1"/>
  <c r="AL210" i="9"/>
  <c r="AL370" i="9"/>
  <c r="AD296" i="9"/>
  <c r="AF296" i="9" s="1"/>
  <c r="AR151" i="10"/>
  <c r="AT151" i="10" s="1"/>
  <c r="AR46" i="9"/>
  <c r="AT46" i="9" s="1"/>
  <c r="AR280" i="9"/>
  <c r="AW80" i="9"/>
  <c r="AI80" i="9"/>
  <c r="AM81" i="9" s="1"/>
  <c r="AQ81" i="9" s="1"/>
  <c r="AR81" i="9" s="1"/>
  <c r="AT81" i="9" s="1"/>
  <c r="AD250" i="9"/>
  <c r="AW200" i="9"/>
  <c r="AF241" i="9"/>
  <c r="W240" i="9"/>
  <c r="X375" i="9"/>
  <c r="AR415" i="10"/>
  <c r="AX415" i="10"/>
  <c r="AZ415" i="10"/>
  <c r="AW415" i="10"/>
  <c r="P380" i="9"/>
  <c r="V380" i="9"/>
  <c r="U380" i="9"/>
  <c r="Y381" i="9" s="1"/>
  <c r="AC381" i="9" s="1"/>
  <c r="AD381" i="9" s="1"/>
  <c r="AF381" i="9" s="1"/>
  <c r="X380" i="9"/>
  <c r="AJ95" i="10"/>
  <c r="AW85" i="9"/>
  <c r="W275" i="10"/>
  <c r="AF276" i="10"/>
  <c r="U405" i="10"/>
  <c r="Y406" i="10" s="1"/>
  <c r="AC406" i="10" s="1"/>
  <c r="AD406" i="10" s="1"/>
  <c r="AF406" i="10" s="1"/>
  <c r="AK135" i="10"/>
  <c r="AL290" i="9"/>
  <c r="AW125" i="10"/>
  <c r="AW75" i="10"/>
  <c r="AK390" i="10"/>
  <c r="AK75" i="10"/>
  <c r="AR26" i="9"/>
  <c r="AT26" i="9" s="1"/>
  <c r="AR131" i="10"/>
  <c r="AT131" i="10" s="1"/>
  <c r="AX226" i="10"/>
  <c r="AV226" i="10"/>
  <c r="AY226" i="10" s="1"/>
  <c r="V155" i="9"/>
  <c r="AI385" i="10"/>
  <c r="AM386" i="10" s="1"/>
  <c r="AQ386" i="10" s="1"/>
  <c r="AR386" i="10" s="1"/>
  <c r="AT386" i="10" s="1"/>
  <c r="AF256" i="10"/>
  <c r="W255" i="10"/>
  <c r="W175" i="10"/>
  <c r="AI250" i="10"/>
  <c r="AM251" i="10" s="1"/>
  <c r="AQ251" i="10" s="1"/>
  <c r="AR251" i="10" s="1"/>
  <c r="AT251" i="10" s="1"/>
  <c r="AX190" i="9"/>
  <c r="P315" i="9"/>
  <c r="W165" i="9"/>
  <c r="AF166" i="9"/>
  <c r="AK45" i="9"/>
  <c r="AK55" i="9"/>
  <c r="P380" i="10"/>
  <c r="V380" i="10"/>
  <c r="U380" i="10"/>
  <c r="Y381" i="10" s="1"/>
  <c r="AC381" i="10" s="1"/>
  <c r="AD381" i="10" s="1"/>
  <c r="AF381" i="10" s="1"/>
  <c r="X380" i="10"/>
  <c r="AR376" i="9"/>
  <c r="AT376" i="9" s="1"/>
  <c r="AF151" i="9"/>
  <c r="W150" i="9"/>
  <c r="U170" i="9"/>
  <c r="Y171" i="9" s="1"/>
  <c r="AC171" i="9" s="1"/>
  <c r="AD171" i="9" s="1"/>
  <c r="AF171" i="9" s="1"/>
  <c r="AL235" i="9"/>
  <c r="AI225" i="9"/>
  <c r="AM226" i="9" s="1"/>
  <c r="AQ226" i="9" s="1"/>
  <c r="AR226" i="9" s="1"/>
  <c r="AT226" i="9" s="1"/>
  <c r="AL240" i="10"/>
  <c r="AI115" i="10"/>
  <c r="AM116" i="10" s="1"/>
  <c r="AQ116" i="10" s="1"/>
  <c r="AR116" i="10" s="1"/>
  <c r="AT116" i="10" s="1"/>
  <c r="AR370" i="10"/>
  <c r="AX235" i="10"/>
  <c r="AZ145" i="10"/>
  <c r="P175" i="10"/>
  <c r="V120" i="9"/>
  <c r="AR385" i="10"/>
  <c r="AJ360" i="10"/>
  <c r="AZ230" i="9"/>
  <c r="AK295" i="9"/>
  <c r="AI75" i="10"/>
  <c r="AM76" i="10" s="1"/>
  <c r="AQ76" i="10" s="1"/>
  <c r="AR76" i="10" s="1"/>
  <c r="AT76" i="10" s="1"/>
  <c r="AD160" i="10"/>
  <c r="AE100" i="10"/>
  <c r="AG100" i="10" s="1"/>
  <c r="AD100" i="10"/>
  <c r="AS180" i="10"/>
  <c r="AU180" i="10" s="1"/>
  <c r="AR180" i="10"/>
  <c r="AE140" i="10"/>
  <c r="AG140" i="10" s="1"/>
  <c r="AD140" i="10"/>
  <c r="Q50" i="10"/>
  <c r="S50" i="10" s="1"/>
  <c r="P50" i="10"/>
  <c r="AS140" i="10"/>
  <c r="AU140" i="10" s="1"/>
  <c r="AR140" i="10"/>
  <c r="AS35" i="10"/>
  <c r="AU35" i="10" s="1"/>
  <c r="AR35" i="10"/>
  <c r="AS35" i="9"/>
  <c r="AU35" i="9" s="1"/>
  <c r="AR35" i="9"/>
  <c r="AE35" i="10"/>
  <c r="AG35" i="10" s="1"/>
  <c r="AD35" i="10"/>
  <c r="AE260" i="9"/>
  <c r="AG260" i="9" s="1"/>
  <c r="AD260" i="9"/>
  <c r="Q35" i="9"/>
  <c r="S35" i="9" s="1"/>
  <c r="P35" i="9"/>
  <c r="AS260" i="10"/>
  <c r="AU260" i="10" s="1"/>
  <c r="AR260" i="10"/>
  <c r="AE50" i="10"/>
  <c r="AG50" i="10" s="1"/>
  <c r="AD50" i="10"/>
  <c r="P27" i="8"/>
  <c r="R27" i="8" s="1"/>
  <c r="AR55" i="8"/>
  <c r="AW55" i="8"/>
  <c r="AX55" i="8"/>
  <c r="AZ55" i="8"/>
  <c r="AJ65" i="8"/>
  <c r="AL65" i="8"/>
  <c r="AD65" i="8"/>
  <c r="AI65" i="8"/>
  <c r="AM66" i="8" s="1"/>
  <c r="AR66" i="8" s="1"/>
  <c r="AT66" i="8" s="1"/>
  <c r="P83" i="8"/>
  <c r="R83" i="8" s="1"/>
  <c r="AR111" i="8"/>
  <c r="AD121" i="8"/>
  <c r="AF121" i="8" s="1"/>
  <c r="AD135" i="8"/>
  <c r="AL135" i="8"/>
  <c r="AI135" i="8"/>
  <c r="AM136" i="8" s="1"/>
  <c r="AR136" i="8" s="1"/>
  <c r="AT136" i="8" s="1"/>
  <c r="AJ135" i="8"/>
  <c r="P54" i="8"/>
  <c r="R54" i="8" s="1"/>
  <c r="U110" i="8"/>
  <c r="Y111" i="8" s="1"/>
  <c r="AD111" i="8" s="1"/>
  <c r="AF111" i="8" s="1"/>
  <c r="P110" i="8"/>
  <c r="V110" i="8"/>
  <c r="X110" i="8"/>
  <c r="P41" i="8"/>
  <c r="R41" i="8" s="1"/>
  <c r="T89" i="8"/>
  <c r="X89" i="8" s="1"/>
  <c r="V89" i="8"/>
  <c r="P76" i="8"/>
  <c r="R76" i="8" s="1"/>
  <c r="P124" i="8"/>
  <c r="R124" i="8" s="1"/>
  <c r="T25" i="8"/>
  <c r="C9" i="8"/>
  <c r="F9" i="8" s="1"/>
  <c r="AR35" i="8"/>
  <c r="AX35" i="8"/>
  <c r="AW35" i="8"/>
  <c r="AZ35" i="8"/>
  <c r="AD45" i="8"/>
  <c r="AI45" i="8"/>
  <c r="AM46" i="8" s="1"/>
  <c r="AR46" i="8" s="1"/>
  <c r="AT46" i="8" s="1"/>
  <c r="AJ45" i="8"/>
  <c r="AL45" i="8"/>
  <c r="P63" i="8"/>
  <c r="R63" i="8" s="1"/>
  <c r="AR91" i="8"/>
  <c r="AT91" i="8" s="1"/>
  <c r="AD101" i="8"/>
  <c r="AF101" i="8" s="1"/>
  <c r="P122" i="8"/>
  <c r="R122" i="8" s="1"/>
  <c r="AR25" i="8"/>
  <c r="AZ25" i="8"/>
  <c r="AW25" i="8"/>
  <c r="AX25" i="8"/>
  <c r="AD35" i="8"/>
  <c r="AI35" i="8"/>
  <c r="AM36" i="8" s="1"/>
  <c r="AR36" i="8" s="1"/>
  <c r="AT36" i="8" s="1"/>
  <c r="AJ35" i="8"/>
  <c r="AL35" i="8"/>
  <c r="P53" i="8"/>
  <c r="R53" i="8" s="1"/>
  <c r="AD91" i="8"/>
  <c r="AF91" i="8" s="1"/>
  <c r="P32" i="8"/>
  <c r="R32" i="8" s="1"/>
  <c r="AK40" i="8"/>
  <c r="AR60" i="8"/>
  <c r="AX60" i="8"/>
  <c r="AZ60" i="8"/>
  <c r="AW60" i="8"/>
  <c r="AJ70" i="8"/>
  <c r="AI70" i="8"/>
  <c r="AM71" i="8" s="1"/>
  <c r="AR71" i="8" s="1"/>
  <c r="AT71" i="8" s="1"/>
  <c r="AL70" i="8"/>
  <c r="AD70" i="8"/>
  <c r="P88" i="8"/>
  <c r="R88" i="8" s="1"/>
  <c r="AR116" i="8"/>
  <c r="AT116" i="8" s="1"/>
  <c r="AD126" i="8"/>
  <c r="AF126" i="8" s="1"/>
  <c r="AD151" i="8"/>
  <c r="AF151" i="8" s="1"/>
  <c r="P217" i="8"/>
  <c r="R217" i="8" s="1"/>
  <c r="AK225" i="8"/>
  <c r="P212" i="8"/>
  <c r="R212" i="8" s="1"/>
  <c r="AD311" i="8"/>
  <c r="AF311" i="8" s="1"/>
  <c r="P159" i="8"/>
  <c r="R159" i="8" s="1"/>
  <c r="P215" i="8"/>
  <c r="U215" i="8"/>
  <c r="Y216" i="8" s="1"/>
  <c r="AD216" i="8" s="1"/>
  <c r="AF216" i="8" s="1"/>
  <c r="V215" i="8"/>
  <c r="X215" i="8"/>
  <c r="AR360" i="8"/>
  <c r="AX360" i="8"/>
  <c r="AW360" i="8"/>
  <c r="AZ360" i="8"/>
  <c r="P138" i="8"/>
  <c r="R138" i="8" s="1"/>
  <c r="AR166" i="8"/>
  <c r="AT166" i="8" s="1"/>
  <c r="AF136" i="8"/>
  <c r="W135" i="8"/>
  <c r="AR145" i="8"/>
  <c r="AW145" i="8"/>
  <c r="AX145" i="8"/>
  <c r="AZ145" i="8"/>
  <c r="AD155" i="8"/>
  <c r="AL155" i="8"/>
  <c r="AI155" i="8"/>
  <c r="AM156" i="8" s="1"/>
  <c r="AR156" i="8" s="1"/>
  <c r="AT156" i="8" s="1"/>
  <c r="AJ155" i="8"/>
  <c r="P173" i="8"/>
  <c r="R173" i="8" s="1"/>
  <c r="AR201" i="8"/>
  <c r="AT201" i="8" s="1"/>
  <c r="T238" i="8"/>
  <c r="W238" i="8" s="1"/>
  <c r="X238" i="8"/>
  <c r="V238" i="8"/>
  <c r="AR140" i="8"/>
  <c r="AZ140" i="8"/>
  <c r="AX140" i="8"/>
  <c r="AW140" i="8"/>
  <c r="AD150" i="8"/>
  <c r="AL150" i="8"/>
  <c r="AJ150" i="8"/>
  <c r="AI150" i="8"/>
  <c r="AM151" i="8" s="1"/>
  <c r="AR151" i="8" s="1"/>
  <c r="AT151" i="8" s="1"/>
  <c r="P168" i="8"/>
  <c r="R168" i="8" s="1"/>
  <c r="AR196" i="8"/>
  <c r="AT196" i="8" s="1"/>
  <c r="AD206" i="8"/>
  <c r="P139" i="8"/>
  <c r="R139" i="8" s="1"/>
  <c r="X195" i="8"/>
  <c r="P195" i="8"/>
  <c r="V195" i="8"/>
  <c r="U195" i="8"/>
  <c r="Y196" i="8" s="1"/>
  <c r="AD196" i="8" s="1"/>
  <c r="AF196" i="8" s="1"/>
  <c r="P265" i="8"/>
  <c r="U265" i="8"/>
  <c r="Y266" i="8" s="1"/>
  <c r="AD266" i="8" s="1"/>
  <c r="AF266" i="8" s="1"/>
  <c r="V265" i="8"/>
  <c r="X265" i="8"/>
  <c r="AK190" i="8"/>
  <c r="AX210" i="8"/>
  <c r="AW210" i="8"/>
  <c r="AZ210" i="8"/>
  <c r="AR210" i="8"/>
  <c r="AJ220" i="8"/>
  <c r="AL220" i="8"/>
  <c r="AD220" i="8"/>
  <c r="AI220" i="8"/>
  <c r="AM221" i="8" s="1"/>
  <c r="AR221" i="8" s="1"/>
  <c r="AT221" i="8" s="1"/>
  <c r="P276" i="8"/>
  <c r="R276" i="8" s="1"/>
  <c r="P324" i="8"/>
  <c r="R324" i="8" s="1"/>
  <c r="P239" i="8"/>
  <c r="R239" i="8" s="1"/>
  <c r="P295" i="8"/>
  <c r="V295" i="8"/>
  <c r="U295" i="8"/>
  <c r="Y296" i="8" s="1"/>
  <c r="AD296" i="8" s="1"/>
  <c r="AF296" i="8" s="1"/>
  <c r="X295" i="8"/>
  <c r="X290" i="8"/>
  <c r="P290" i="8"/>
  <c r="V290" i="8"/>
  <c r="U290" i="8"/>
  <c r="Y291" i="8" s="1"/>
  <c r="AD291" i="8" s="1"/>
  <c r="AF291" i="8" s="1"/>
  <c r="AI415" i="8"/>
  <c r="AM416" i="8" s="1"/>
  <c r="AR416" i="8" s="1"/>
  <c r="AT416" i="8" s="1"/>
  <c r="AL415" i="8"/>
  <c r="AD415" i="8"/>
  <c r="AJ415" i="8"/>
  <c r="P285" i="8"/>
  <c r="V285" i="8"/>
  <c r="X285" i="8"/>
  <c r="U285" i="8"/>
  <c r="Y286" i="8" s="1"/>
  <c r="AD286" i="8" s="1"/>
  <c r="AF286" i="8" s="1"/>
  <c r="P341" i="8"/>
  <c r="R341" i="8" s="1"/>
  <c r="P361" i="8"/>
  <c r="R361" i="8" s="1"/>
  <c r="AK240" i="8"/>
  <c r="AR260" i="8"/>
  <c r="AZ260" i="8"/>
  <c r="AX260" i="8"/>
  <c r="AW260" i="8"/>
  <c r="AD270" i="8"/>
  <c r="AJ270" i="8"/>
  <c r="AI270" i="8"/>
  <c r="AM271" i="8" s="1"/>
  <c r="AR271" i="8" s="1"/>
  <c r="AT271" i="8" s="1"/>
  <c r="AL270" i="8"/>
  <c r="P288" i="8"/>
  <c r="R288" i="8" s="1"/>
  <c r="AD326" i="8"/>
  <c r="AF326" i="8" s="1"/>
  <c r="AI375" i="8"/>
  <c r="AM376" i="8" s="1"/>
  <c r="AR376" i="8" s="1"/>
  <c r="AT376" i="8" s="1"/>
  <c r="AD375" i="8"/>
  <c r="AL375" i="8"/>
  <c r="AJ375" i="8"/>
  <c r="P259" i="8"/>
  <c r="R259" i="8" s="1"/>
  <c r="X315" i="8"/>
  <c r="P315" i="8"/>
  <c r="U315" i="8"/>
  <c r="Y316" i="8" s="1"/>
  <c r="AD316" i="8" s="1"/>
  <c r="AF316" i="8" s="1"/>
  <c r="V315" i="8"/>
  <c r="V270" i="8"/>
  <c r="U270" i="8"/>
  <c r="Y271" i="8" s="1"/>
  <c r="AD271" i="8" s="1"/>
  <c r="AF271" i="8" s="1"/>
  <c r="X270" i="8"/>
  <c r="P270" i="8"/>
  <c r="P326" i="8"/>
  <c r="R326" i="8" s="1"/>
  <c r="P393" i="8"/>
  <c r="R393" i="8" s="1"/>
  <c r="P359" i="8"/>
  <c r="R359" i="8" s="1"/>
  <c r="P415" i="8"/>
  <c r="V415" i="8"/>
  <c r="U415" i="8"/>
  <c r="Y416" i="8" s="1"/>
  <c r="AD416" i="8" s="1"/>
  <c r="AF416" i="8" s="1"/>
  <c r="X415" i="8"/>
  <c r="AR350" i="8"/>
  <c r="AW350" i="8"/>
  <c r="AZ350" i="8"/>
  <c r="AX350" i="8"/>
  <c r="AL360" i="8"/>
  <c r="AD360" i="8"/>
  <c r="AI360" i="8"/>
  <c r="AM361" i="8" s="1"/>
  <c r="AR361" i="8" s="1"/>
  <c r="AT361" i="8" s="1"/>
  <c r="AJ360" i="8"/>
  <c r="P378" i="8"/>
  <c r="R378" i="8" s="1"/>
  <c r="AR406" i="8"/>
  <c r="AT406" i="8" s="1"/>
  <c r="V397" i="8"/>
  <c r="T397" i="8"/>
  <c r="P33" i="9"/>
  <c r="R33" i="9" s="1"/>
  <c r="V352" i="8"/>
  <c r="T352" i="8"/>
  <c r="X352" i="8" s="1"/>
  <c r="AK360" i="8"/>
  <c r="W370" i="8"/>
  <c r="AR380" i="8"/>
  <c r="AX380" i="8"/>
  <c r="AW380" i="8"/>
  <c r="AZ380" i="8"/>
  <c r="AD390" i="8"/>
  <c r="AL390" i="8"/>
  <c r="AJ390" i="8"/>
  <c r="AI390" i="8"/>
  <c r="AM391" i="8" s="1"/>
  <c r="AR391" i="8" s="1"/>
  <c r="AT391" i="8" s="1"/>
  <c r="P408" i="8"/>
  <c r="R408" i="8" s="1"/>
  <c r="P36" i="9"/>
  <c r="R36" i="9" s="1"/>
  <c r="P379" i="8"/>
  <c r="R379" i="8" s="1"/>
  <c r="T39" i="9"/>
  <c r="X39" i="9" s="1"/>
  <c r="V39" i="9"/>
  <c r="W360" i="8"/>
  <c r="AZ370" i="8"/>
  <c r="AR370" i="8"/>
  <c r="AW370" i="8"/>
  <c r="AX370" i="8"/>
  <c r="AL380" i="8"/>
  <c r="AD380" i="8"/>
  <c r="AI380" i="8"/>
  <c r="AM381" i="8" s="1"/>
  <c r="AR381" i="8" s="1"/>
  <c r="AT381" i="8" s="1"/>
  <c r="AJ380" i="8"/>
  <c r="P398" i="8"/>
  <c r="R398" i="8" s="1"/>
  <c r="P34" i="9"/>
  <c r="R34" i="9" s="1"/>
  <c r="P113" i="9"/>
  <c r="R113" i="9" s="1"/>
  <c r="P124" i="9"/>
  <c r="R124" i="9" s="1"/>
  <c r="P74" i="9"/>
  <c r="R74" i="9" s="1"/>
  <c r="P101" i="9"/>
  <c r="R101" i="9" s="1"/>
  <c r="P128" i="9"/>
  <c r="R128" i="9" s="1"/>
  <c r="V86" i="9"/>
  <c r="T86" i="9"/>
  <c r="V159" i="9"/>
  <c r="T159" i="9"/>
  <c r="U159" i="9" s="1"/>
  <c r="Y159" i="9" s="1"/>
  <c r="AC159" i="9" s="1"/>
  <c r="AD159" i="9" s="1"/>
  <c r="V178" i="9"/>
  <c r="T178" i="9"/>
  <c r="W178" i="9" s="1"/>
  <c r="P136" i="9"/>
  <c r="R136" i="9" s="1"/>
  <c r="P147" i="9"/>
  <c r="R147" i="9" s="1"/>
  <c r="P166" i="9"/>
  <c r="R166" i="9" s="1"/>
  <c r="P132" i="9"/>
  <c r="R132" i="9" s="1"/>
  <c r="P214" i="9"/>
  <c r="R214" i="9" s="1"/>
  <c r="P241" i="9"/>
  <c r="R241" i="9" s="1"/>
  <c r="P252" i="9"/>
  <c r="R252" i="9" s="1"/>
  <c r="V202" i="9"/>
  <c r="T202" i="9"/>
  <c r="U202" i="9" s="1"/>
  <c r="Y203" i="9" s="1"/>
  <c r="AC203" i="9" s="1"/>
  <c r="AD203" i="9" s="1"/>
  <c r="P229" i="9"/>
  <c r="R229" i="9" s="1"/>
  <c r="P248" i="9"/>
  <c r="R248" i="9" s="1"/>
  <c r="V267" i="9"/>
  <c r="T267" i="9"/>
  <c r="U267" i="9" s="1"/>
  <c r="Y268" i="9" s="1"/>
  <c r="AC268" i="9" s="1"/>
  <c r="AD268" i="9" s="1"/>
  <c r="V286" i="9"/>
  <c r="T286" i="9"/>
  <c r="X286" i="9" s="1"/>
  <c r="P268" i="9"/>
  <c r="R268" i="9" s="1"/>
  <c r="P287" i="9"/>
  <c r="R287" i="9" s="1"/>
  <c r="P344" i="9"/>
  <c r="R344" i="9" s="1"/>
  <c r="V264" i="9"/>
  <c r="T264" i="9"/>
  <c r="U264" i="9" s="1"/>
  <c r="Y264" i="9" s="1"/>
  <c r="AC264" i="9" s="1"/>
  <c r="AD264" i="9" s="1"/>
  <c r="P414" i="9"/>
  <c r="R414" i="9" s="1"/>
  <c r="P326" i="9"/>
  <c r="R326" i="9" s="1"/>
  <c r="V329" i="9"/>
  <c r="T329" i="9"/>
  <c r="U329" i="9" s="1"/>
  <c r="Y329" i="9" s="1"/>
  <c r="AC329" i="9" s="1"/>
  <c r="AD329" i="9" s="1"/>
  <c r="P348" i="9"/>
  <c r="R348" i="9" s="1"/>
  <c r="P343" i="9"/>
  <c r="R343" i="9" s="1"/>
  <c r="P362" i="9"/>
  <c r="R362" i="9" s="1"/>
  <c r="P393" i="9"/>
  <c r="R393" i="9" s="1"/>
  <c r="V412" i="9"/>
  <c r="T412" i="9"/>
  <c r="U412" i="9" s="1"/>
  <c r="Y413" i="9" s="1"/>
  <c r="AC413" i="9" s="1"/>
  <c r="AD413" i="9" s="1"/>
  <c r="P378" i="9"/>
  <c r="R378" i="9" s="1"/>
  <c r="T389" i="9"/>
  <c r="X389" i="9" s="1"/>
  <c r="V389" i="9"/>
  <c r="P408" i="9"/>
  <c r="R408" i="9" s="1"/>
  <c r="P419" i="9"/>
  <c r="R419" i="9" s="1"/>
  <c r="V97" i="10"/>
  <c r="T97" i="10"/>
  <c r="X97" i="10" s="1"/>
  <c r="P69" i="10"/>
  <c r="R69" i="10" s="1"/>
  <c r="P38" i="10"/>
  <c r="R38" i="10" s="1"/>
  <c r="V36" i="10"/>
  <c r="T36" i="10"/>
  <c r="P152" i="10"/>
  <c r="R152" i="10" s="1"/>
  <c r="T91" i="10"/>
  <c r="X91" i="10" s="1"/>
  <c r="V91" i="10"/>
  <c r="P78" i="10"/>
  <c r="R78" i="10" s="1"/>
  <c r="P161" i="10"/>
  <c r="R161" i="10" s="1"/>
  <c r="P121" i="10"/>
  <c r="R121" i="10" s="1"/>
  <c r="P148" i="10"/>
  <c r="R148" i="10" s="1"/>
  <c r="P159" i="10"/>
  <c r="R159" i="10" s="1"/>
  <c r="V109" i="10"/>
  <c r="T109" i="10"/>
  <c r="U109" i="10" s="1"/>
  <c r="Y109" i="10" s="1"/>
  <c r="AC109" i="10" s="1"/>
  <c r="AD109" i="10" s="1"/>
  <c r="P169" i="10"/>
  <c r="R169" i="10" s="1"/>
  <c r="V162" i="10"/>
  <c r="T162" i="10"/>
  <c r="P184" i="10"/>
  <c r="R184" i="10" s="1"/>
  <c r="V198" i="10"/>
  <c r="T198" i="10"/>
  <c r="W198" i="10" s="1"/>
  <c r="P204" i="10"/>
  <c r="R204" i="10" s="1"/>
  <c r="P211" i="10"/>
  <c r="R211" i="10" s="1"/>
  <c r="P228" i="10"/>
  <c r="R228" i="10" s="1"/>
  <c r="T289" i="10"/>
  <c r="X289" i="10" s="1"/>
  <c r="V289" i="10"/>
  <c r="V231" i="10"/>
  <c r="T231" i="10"/>
  <c r="P307" i="10"/>
  <c r="R307" i="10" s="1"/>
  <c r="V263" i="10"/>
  <c r="U263" i="10"/>
  <c r="T263" i="10"/>
  <c r="W263" i="10" s="1"/>
  <c r="P256" i="10"/>
  <c r="R256" i="10" s="1"/>
  <c r="P296" i="10"/>
  <c r="R296" i="10" s="1"/>
  <c r="P297" i="10"/>
  <c r="R297" i="10" s="1"/>
  <c r="P326" i="10"/>
  <c r="R326" i="10" s="1"/>
  <c r="V303" i="10"/>
  <c r="T303" i="10"/>
  <c r="W303" i="10" s="1"/>
  <c r="P317" i="10"/>
  <c r="R317" i="10" s="1"/>
  <c r="P341" i="10"/>
  <c r="R341" i="10" s="1"/>
  <c r="X353" i="10"/>
  <c r="V353" i="10"/>
  <c r="T353" i="10"/>
  <c r="W353" i="10" s="1"/>
  <c r="P357" i="10"/>
  <c r="R357" i="10" s="1"/>
  <c r="V374" i="10"/>
  <c r="T374" i="10"/>
  <c r="U374" i="10" s="1"/>
  <c r="Y374" i="10" s="1"/>
  <c r="AC374" i="10" s="1"/>
  <c r="AD374" i="10" s="1"/>
  <c r="P372" i="10"/>
  <c r="R372" i="10" s="1"/>
  <c r="P391" i="10"/>
  <c r="R391" i="10" s="1"/>
  <c r="V394" i="10"/>
  <c r="T394" i="10"/>
  <c r="U394" i="10" s="1"/>
  <c r="Y394" i="10" s="1"/>
  <c r="AC394" i="10" s="1"/>
  <c r="AD394" i="10" s="1"/>
  <c r="V413" i="10"/>
  <c r="T413" i="10"/>
  <c r="W413" i="10" s="1"/>
  <c r="P414" i="10"/>
  <c r="R414" i="10" s="1"/>
  <c r="AI55" i="9"/>
  <c r="AM56" i="9" s="1"/>
  <c r="AQ56" i="9" s="1"/>
  <c r="AR56" i="9" s="1"/>
  <c r="AT56" i="9" s="1"/>
  <c r="P415" i="9"/>
  <c r="X415" i="9"/>
  <c r="U415" i="9"/>
  <c r="Y416" i="9" s="1"/>
  <c r="AC416" i="9" s="1"/>
  <c r="AD416" i="9" s="1"/>
  <c r="AF416" i="9" s="1"/>
  <c r="V415" i="9"/>
  <c r="AI295" i="9"/>
  <c r="AM296" i="9" s="1"/>
  <c r="AQ296" i="9" s="1"/>
  <c r="AR296" i="9" s="1"/>
  <c r="AT296" i="9" s="1"/>
  <c r="X340" i="10"/>
  <c r="V75" i="9"/>
  <c r="AR65" i="9"/>
  <c r="AR120" i="10"/>
  <c r="P90" i="9"/>
  <c r="AW335" i="10"/>
  <c r="AZ135" i="10"/>
  <c r="AL105" i="10"/>
  <c r="AL40" i="10"/>
  <c r="AZ255" i="10"/>
  <c r="AR295" i="9"/>
  <c r="AR351" i="9"/>
  <c r="AT351" i="9" s="1"/>
  <c r="AK25" i="9"/>
  <c r="AK80" i="10"/>
  <c r="AR121" i="9"/>
  <c r="AT121" i="9" s="1"/>
  <c r="AK405" i="9"/>
  <c r="AT406" i="9"/>
  <c r="AL380" i="9"/>
  <c r="AD380" i="9"/>
  <c r="AJ380" i="9"/>
  <c r="AI380" i="9"/>
  <c r="AM381" i="9" s="1"/>
  <c r="AQ381" i="9" s="1"/>
  <c r="AR381" i="9" s="1"/>
  <c r="AT381" i="9" s="1"/>
  <c r="AL405" i="9"/>
  <c r="AF76" i="9"/>
  <c r="W75" i="9"/>
  <c r="W230" i="9"/>
  <c r="AF231" i="9"/>
  <c r="W350" i="9"/>
  <c r="AZ350" i="9"/>
  <c r="X30" i="10"/>
  <c r="W270" i="9"/>
  <c r="AF271" i="9"/>
  <c r="U265" i="10"/>
  <c r="Y266" i="10" s="1"/>
  <c r="AC266" i="10" s="1"/>
  <c r="AD266" i="10" s="1"/>
  <c r="AF266" i="10" s="1"/>
  <c r="AZ405" i="10"/>
  <c r="AI370" i="10"/>
  <c r="AM371" i="10" s="1"/>
  <c r="AQ371" i="10" s="1"/>
  <c r="AR371" i="10" s="1"/>
  <c r="AT371" i="10" s="1"/>
  <c r="AJ161" i="10"/>
  <c r="AH161" i="10"/>
  <c r="AI161" i="10" s="1"/>
  <c r="AM162" i="10" s="1"/>
  <c r="AQ162" i="10" s="1"/>
  <c r="AR162" i="10" s="1"/>
  <c r="AD405" i="9"/>
  <c r="W325" i="10"/>
  <c r="W385" i="9"/>
  <c r="AF386" i="9"/>
  <c r="AF191" i="10"/>
  <c r="W190" i="10"/>
  <c r="AW210" i="9"/>
  <c r="AI85" i="9"/>
  <c r="AM86" i="9" s="1"/>
  <c r="AQ86" i="9" s="1"/>
  <c r="AR86" i="9" s="1"/>
  <c r="AT86" i="9" s="1"/>
  <c r="AZ255" i="9"/>
  <c r="AD90" i="10"/>
  <c r="X375" i="10"/>
  <c r="AL235" i="10"/>
  <c r="AK400" i="9"/>
  <c r="P150" i="10"/>
  <c r="AR325" i="9"/>
  <c r="AW340" i="9"/>
  <c r="X160" i="9"/>
  <c r="AJ370" i="9"/>
  <c r="AF341" i="9"/>
  <c r="W340" i="9"/>
  <c r="AF211" i="9"/>
  <c r="W210" i="9"/>
  <c r="AW120" i="9"/>
  <c r="AI400" i="9"/>
  <c r="AM401" i="9" s="1"/>
  <c r="AQ401" i="9" s="1"/>
  <c r="AR401" i="9" s="1"/>
  <c r="AT401" i="9" s="1"/>
  <c r="AF331" i="9"/>
  <c r="W330" i="9"/>
  <c r="U400" i="9"/>
  <c r="Y401" i="9" s="1"/>
  <c r="AC401" i="9" s="1"/>
  <c r="AD401" i="9" s="1"/>
  <c r="AF401" i="9" s="1"/>
  <c r="AR396" i="10"/>
  <c r="AT396" i="10" s="1"/>
  <c r="AR360" i="9"/>
  <c r="AX330" i="9"/>
  <c r="P120" i="10"/>
  <c r="W95" i="10"/>
  <c r="AF96" i="10"/>
  <c r="AX80" i="9"/>
  <c r="AK405" i="10"/>
  <c r="AT281" i="9"/>
  <c r="AK280" i="9"/>
  <c r="AL80" i="9"/>
  <c r="AL250" i="9"/>
  <c r="AR200" i="9"/>
  <c r="W40" i="9"/>
  <c r="AF41" i="9"/>
  <c r="AI390" i="10"/>
  <c r="AM391" i="10" s="1"/>
  <c r="AQ391" i="10" s="1"/>
  <c r="AR391" i="10" s="1"/>
  <c r="AT391" i="10" s="1"/>
  <c r="AW175" i="9"/>
  <c r="U375" i="9"/>
  <c r="Y376" i="9" s="1"/>
  <c r="AC376" i="9" s="1"/>
  <c r="AD376" i="9" s="1"/>
  <c r="AF376" i="9" s="1"/>
  <c r="AD95" i="10"/>
  <c r="AD346" i="10"/>
  <c r="AF346" i="10" s="1"/>
  <c r="AR85" i="9"/>
  <c r="AX250" i="9"/>
  <c r="U115" i="10"/>
  <c r="Y116" i="10" s="1"/>
  <c r="AC116" i="10" s="1"/>
  <c r="AD116" i="10" s="1"/>
  <c r="AF116" i="10" s="1"/>
  <c r="AW370" i="9"/>
  <c r="V65" i="10"/>
  <c r="V405" i="10"/>
  <c r="AR295" i="10"/>
  <c r="AZ275" i="10"/>
  <c r="AI45" i="10"/>
  <c r="AM46" i="10" s="1"/>
  <c r="AQ46" i="10" s="1"/>
  <c r="AR46" i="10" s="1"/>
  <c r="AT46" i="10" s="1"/>
  <c r="AI290" i="9"/>
  <c r="AM291" i="9" s="1"/>
  <c r="AQ291" i="9" s="1"/>
  <c r="AR291" i="9" s="1"/>
  <c r="AT291" i="9" s="1"/>
  <c r="AX290" i="10"/>
  <c r="AX25" i="9"/>
  <c r="X40" i="9"/>
  <c r="AR75" i="10"/>
  <c r="AD136" i="10"/>
  <c r="AF136" i="10" s="1"/>
  <c r="X155" i="9"/>
  <c r="V310" i="10"/>
  <c r="AD330" i="10"/>
  <c r="AL385" i="10"/>
  <c r="AI405" i="10"/>
  <c r="AM406" i="10" s="1"/>
  <c r="AQ406" i="10" s="1"/>
  <c r="AR406" i="10" s="1"/>
  <c r="AT406" i="10" s="1"/>
  <c r="AK90" i="9"/>
  <c r="AR80" i="10"/>
  <c r="AF81" i="10"/>
  <c r="W80" i="10"/>
  <c r="AJ250" i="10"/>
  <c r="P65" i="9"/>
  <c r="AL215" i="9"/>
  <c r="AW190" i="9"/>
  <c r="AR296" i="10"/>
  <c r="AT296" i="10" s="1"/>
  <c r="X420" i="9"/>
  <c r="P420" i="9"/>
  <c r="V420" i="9"/>
  <c r="U420" i="9"/>
  <c r="Y421" i="9" s="1"/>
  <c r="AC421" i="9" s="1"/>
  <c r="AD421" i="9" s="1"/>
  <c r="AF421" i="9" s="1"/>
  <c r="AF401" i="10"/>
  <c r="W400" i="10"/>
  <c r="AF191" i="9"/>
  <c r="W190" i="9"/>
  <c r="AJ305" i="10"/>
  <c r="AW335" i="9"/>
  <c r="P170" i="9"/>
  <c r="X365" i="10"/>
  <c r="AI235" i="9"/>
  <c r="AM236" i="9" s="1"/>
  <c r="AQ236" i="9" s="1"/>
  <c r="AR236" i="9" s="1"/>
  <c r="AT236" i="9" s="1"/>
  <c r="AL225" i="9"/>
  <c r="AD115" i="10"/>
  <c r="U330" i="10"/>
  <c r="Y331" i="10" s="1"/>
  <c r="AC331" i="10" s="1"/>
  <c r="AD331" i="10" s="1"/>
  <c r="AF331" i="10" s="1"/>
  <c r="AX370" i="10"/>
  <c r="AI90" i="9"/>
  <c r="AM91" i="9" s="1"/>
  <c r="AQ91" i="9" s="1"/>
  <c r="AR91" i="9" s="1"/>
  <c r="AT91" i="9" s="1"/>
  <c r="AZ95" i="10"/>
  <c r="W90" i="9"/>
  <c r="AX145" i="10"/>
  <c r="AJ200" i="10"/>
  <c r="X175" i="10"/>
  <c r="P120" i="9"/>
  <c r="P410" i="9"/>
  <c r="AI360" i="10"/>
  <c r="AM361" i="10" s="1"/>
  <c r="AQ361" i="10" s="1"/>
  <c r="AR361" i="10" s="1"/>
  <c r="AT361" i="10" s="1"/>
  <c r="AX230" i="9"/>
  <c r="V165" i="9"/>
  <c r="AK280" i="10"/>
  <c r="AT281" i="10"/>
  <c r="AL75" i="10"/>
  <c r="AJ160" i="10"/>
  <c r="Q100" i="9"/>
  <c r="S100" i="9" s="1"/>
  <c r="P100" i="9"/>
  <c r="Q300" i="10"/>
  <c r="S300" i="10" s="1"/>
  <c r="P300" i="10"/>
  <c r="AS260" i="9"/>
  <c r="AU260" i="9" s="1"/>
  <c r="AR260" i="9"/>
  <c r="Q220" i="9"/>
  <c r="S220" i="9" s="1"/>
  <c r="P220" i="9"/>
  <c r="AE220" i="10"/>
  <c r="AG220" i="10" s="1"/>
  <c r="AD220" i="10"/>
  <c r="AE70" i="9"/>
  <c r="AG70" i="9" s="1"/>
  <c r="AD70" i="9"/>
  <c r="AS100" i="10"/>
  <c r="AU100" i="10" s="1"/>
  <c r="AR100" i="10"/>
  <c r="C15" i="7"/>
  <c r="F23" i="7"/>
  <c r="F21" i="7"/>
  <c r="C14" i="7"/>
  <c r="F22" i="7"/>
  <c r="F20" i="7"/>
  <c r="C9" i="7"/>
  <c r="C8" i="7"/>
  <c r="C13" i="7"/>
  <c r="C12" i="7"/>
  <c r="C11" i="7"/>
  <c r="C10" i="7"/>
  <c r="F13" i="7"/>
  <c r="E9" i="7"/>
  <c r="E14" i="7"/>
  <c r="F11" i="7"/>
  <c r="F14" i="7"/>
  <c r="E12" i="7"/>
  <c r="F9" i="7"/>
  <c r="F12" i="7"/>
  <c r="E10" i="7"/>
  <c r="F10" i="7"/>
  <c r="E8" i="7"/>
  <c r="F8" i="7"/>
  <c r="E15" i="7"/>
  <c r="E13" i="7"/>
  <c r="F15" i="7"/>
  <c r="E11" i="7"/>
  <c r="AS60" i="10"/>
  <c r="AU60" i="10" s="1"/>
  <c r="AR60" i="10"/>
  <c r="AE50" i="9"/>
  <c r="AG50" i="9" s="1"/>
  <c r="AD50" i="9"/>
  <c r="AS300" i="9"/>
  <c r="AU300" i="9" s="1"/>
  <c r="AR300" i="9"/>
  <c r="AS60" i="9"/>
  <c r="AU60" i="9" s="1"/>
  <c r="AR60" i="9"/>
  <c r="V75" i="8"/>
  <c r="X75" i="8"/>
  <c r="P75" i="8"/>
  <c r="U75" i="8"/>
  <c r="Y76" i="8" s="1"/>
  <c r="AD76" i="8" s="1"/>
  <c r="AF76" i="8" s="1"/>
  <c r="P145" i="8"/>
  <c r="U145" i="8"/>
  <c r="Y146" i="8" s="1"/>
  <c r="AD146" i="8" s="1"/>
  <c r="AF146" i="8" s="1"/>
  <c r="V145" i="8"/>
  <c r="X145" i="8"/>
  <c r="AR26" i="8"/>
  <c r="AD36" i="8"/>
  <c r="AF36" i="8" s="1"/>
  <c r="P102" i="8"/>
  <c r="R102" i="8" s="1"/>
  <c r="AK110" i="8"/>
  <c r="AT111" i="8"/>
  <c r="P33" i="8"/>
  <c r="R33" i="8" s="1"/>
  <c r="AR61" i="8"/>
  <c r="AT61" i="8" s="1"/>
  <c r="AR40" i="8"/>
  <c r="AW40" i="8"/>
  <c r="AZ40" i="8"/>
  <c r="AX40" i="8"/>
  <c r="AL50" i="8"/>
  <c r="AD50" i="8"/>
  <c r="AJ50" i="8"/>
  <c r="AI50" i="8"/>
  <c r="AM51" i="8" s="1"/>
  <c r="AR51" i="8" s="1"/>
  <c r="AT51" i="8" s="1"/>
  <c r="P68" i="8"/>
  <c r="R68" i="8" s="1"/>
  <c r="AR96" i="8"/>
  <c r="AT96" i="8" s="1"/>
  <c r="AD106" i="8"/>
  <c r="AF106" i="8" s="1"/>
  <c r="P55" i="8"/>
  <c r="X55" i="8"/>
  <c r="V55" i="8"/>
  <c r="U55" i="8"/>
  <c r="Y56" i="8" s="1"/>
  <c r="AD56" i="8" s="1"/>
  <c r="AF56" i="8" s="1"/>
  <c r="P111" i="8"/>
  <c r="R111" i="8" s="1"/>
  <c r="P130" i="8"/>
  <c r="V130" i="8"/>
  <c r="X130" i="8"/>
  <c r="U130" i="8"/>
  <c r="Y131" i="8" s="1"/>
  <c r="AD131" i="8" s="1"/>
  <c r="AF131" i="8" s="1"/>
  <c r="P66" i="8"/>
  <c r="R66" i="8" s="1"/>
  <c r="P114" i="8"/>
  <c r="R114" i="8" s="1"/>
  <c r="P45" i="8"/>
  <c r="X45" i="8"/>
  <c r="V45" i="8"/>
  <c r="U45" i="8"/>
  <c r="Y46" i="8" s="1"/>
  <c r="AD46" i="8" s="1"/>
  <c r="AF46" i="8" s="1"/>
  <c r="P101" i="8"/>
  <c r="R101" i="8" s="1"/>
  <c r="U80" i="8"/>
  <c r="Y81" i="8" s="1"/>
  <c r="AD81" i="8" s="1"/>
  <c r="AF81" i="8" s="1"/>
  <c r="P80" i="8"/>
  <c r="V80" i="8"/>
  <c r="X80" i="8"/>
  <c r="P161" i="8"/>
  <c r="R161" i="8" s="1"/>
  <c r="V209" i="8"/>
  <c r="T209" i="8"/>
  <c r="X209" i="8" s="1"/>
  <c r="V29" i="9"/>
  <c r="T29" i="9"/>
  <c r="X29" i="9" s="1"/>
  <c r="P156" i="8"/>
  <c r="R156" i="8" s="1"/>
  <c r="P204" i="8"/>
  <c r="R204" i="8" s="1"/>
  <c r="AR131" i="8"/>
  <c r="AT131" i="8" s="1"/>
  <c r="AD141" i="8"/>
  <c r="AF141" i="8" s="1"/>
  <c r="P207" i="8"/>
  <c r="R207" i="8" s="1"/>
  <c r="AK215" i="8"/>
  <c r="AR235" i="8"/>
  <c r="AX235" i="8"/>
  <c r="AW235" i="8"/>
  <c r="AZ235" i="8"/>
  <c r="AJ295" i="8"/>
  <c r="AD295" i="8"/>
  <c r="AL295" i="8"/>
  <c r="AI295" i="8"/>
  <c r="AM296" i="8" s="1"/>
  <c r="AR296" i="8" s="1"/>
  <c r="AT296" i="8" s="1"/>
  <c r="P186" i="8"/>
  <c r="R186" i="8" s="1"/>
  <c r="V234" i="8"/>
  <c r="T234" i="8"/>
  <c r="X234" i="8" s="1"/>
  <c r="P165" i="8"/>
  <c r="V165" i="8"/>
  <c r="U165" i="8"/>
  <c r="Y166" i="8" s="1"/>
  <c r="AD166" i="8" s="1"/>
  <c r="AF166" i="8" s="1"/>
  <c r="X165" i="8"/>
  <c r="P221" i="8"/>
  <c r="R221" i="8" s="1"/>
  <c r="P160" i="8"/>
  <c r="X160" i="8"/>
  <c r="V160" i="8"/>
  <c r="U160" i="8"/>
  <c r="Y161" i="8" s="1"/>
  <c r="AD161" i="8" s="1"/>
  <c r="AF161" i="8" s="1"/>
  <c r="P216" i="8"/>
  <c r="R216" i="8" s="1"/>
  <c r="P187" i="8"/>
  <c r="R187" i="8" s="1"/>
  <c r="W205" i="8"/>
  <c r="AF206" i="8"/>
  <c r="AZ215" i="8"/>
  <c r="AR215" i="8"/>
  <c r="AW215" i="8"/>
  <c r="AX215" i="8"/>
  <c r="AL225" i="8"/>
  <c r="AD225" i="8"/>
  <c r="AI225" i="8"/>
  <c r="AM226" i="8" s="1"/>
  <c r="AR226" i="8" s="1"/>
  <c r="AT226" i="8" s="1"/>
  <c r="AJ225" i="8"/>
  <c r="AJ335" i="8"/>
  <c r="AI335" i="8"/>
  <c r="AM336" i="8" s="1"/>
  <c r="AR336" i="8" s="1"/>
  <c r="AT336" i="8" s="1"/>
  <c r="AL335" i="8"/>
  <c r="AD335" i="8"/>
  <c r="P174" i="8"/>
  <c r="R174" i="8" s="1"/>
  <c r="V230" i="8"/>
  <c r="X230" i="8"/>
  <c r="P230" i="8"/>
  <c r="U230" i="8"/>
  <c r="Y231" i="8" s="1"/>
  <c r="AD231" i="8" s="1"/>
  <c r="AF231" i="8" s="1"/>
  <c r="AR240" i="8"/>
  <c r="AX240" i="8"/>
  <c r="AZ240" i="8"/>
  <c r="AW240" i="8"/>
  <c r="AD250" i="8"/>
  <c r="AJ250" i="8"/>
  <c r="AL250" i="8"/>
  <c r="AI250" i="8"/>
  <c r="AM251" i="8" s="1"/>
  <c r="AR251" i="8" s="1"/>
  <c r="AT251" i="8" s="1"/>
  <c r="P268" i="8"/>
  <c r="R268" i="8" s="1"/>
  <c r="AD306" i="8"/>
  <c r="AF306" i="8" s="1"/>
  <c r="T372" i="8"/>
  <c r="U372" i="8" s="1"/>
  <c r="Y373" i="8" s="1"/>
  <c r="AD373" i="8" s="1"/>
  <c r="V372" i="8"/>
  <c r="P287" i="8"/>
  <c r="R287" i="8" s="1"/>
  <c r="AK295" i="8"/>
  <c r="AZ315" i="8"/>
  <c r="AR315" i="8"/>
  <c r="AX315" i="8"/>
  <c r="AW315" i="8"/>
  <c r="AL325" i="8"/>
  <c r="AD325" i="8"/>
  <c r="AI325" i="8"/>
  <c r="AM326" i="8" s="1"/>
  <c r="AR326" i="8" s="1"/>
  <c r="AT326" i="8" s="1"/>
  <c r="AJ325" i="8"/>
  <c r="P343" i="8"/>
  <c r="R343" i="8" s="1"/>
  <c r="AZ405" i="8"/>
  <c r="AR405" i="8"/>
  <c r="AX405" i="8"/>
  <c r="AW405" i="8"/>
  <c r="P282" i="8"/>
  <c r="R282" i="8" s="1"/>
  <c r="AZ310" i="8"/>
  <c r="AR310" i="8"/>
  <c r="AX310" i="8"/>
  <c r="AW310" i="8"/>
  <c r="AD320" i="8"/>
  <c r="AL320" i="8"/>
  <c r="AJ320" i="8"/>
  <c r="AI320" i="8"/>
  <c r="AM321" i="8" s="1"/>
  <c r="AR321" i="8" s="1"/>
  <c r="AT321" i="8" s="1"/>
  <c r="P338" i="8"/>
  <c r="R338" i="8" s="1"/>
  <c r="P348" i="8"/>
  <c r="R348" i="8" s="1"/>
  <c r="P277" i="8"/>
  <c r="R277" i="8" s="1"/>
  <c r="W295" i="8"/>
  <c r="AR305" i="8"/>
  <c r="AX305" i="8"/>
  <c r="AZ305" i="8"/>
  <c r="AW305" i="8"/>
  <c r="AD315" i="8"/>
  <c r="AI315" i="8"/>
  <c r="AM316" i="8" s="1"/>
  <c r="AR316" i="8" s="1"/>
  <c r="AT316" i="8" s="1"/>
  <c r="AL315" i="8"/>
  <c r="AJ315" i="8"/>
  <c r="P333" i="8"/>
  <c r="R333" i="8" s="1"/>
  <c r="P280" i="8"/>
  <c r="X280" i="8"/>
  <c r="V280" i="8"/>
  <c r="U280" i="8"/>
  <c r="Y281" i="8" s="1"/>
  <c r="AD281" i="8" s="1"/>
  <c r="AF281" i="8" s="1"/>
  <c r="P336" i="8"/>
  <c r="R336" i="8" s="1"/>
  <c r="AD241" i="8"/>
  <c r="AF241" i="8" s="1"/>
  <c r="P307" i="8"/>
  <c r="R307" i="8" s="1"/>
  <c r="AK315" i="8"/>
  <c r="AZ335" i="8"/>
  <c r="AR335" i="8"/>
  <c r="AW335" i="8"/>
  <c r="AX335" i="8"/>
  <c r="AL345" i="8"/>
  <c r="AD345" i="8"/>
  <c r="AJ345" i="8"/>
  <c r="AI345" i="8"/>
  <c r="AM346" i="8" s="1"/>
  <c r="AR346" i="8" s="1"/>
  <c r="AT346" i="8" s="1"/>
  <c r="P262" i="8"/>
  <c r="R262" i="8" s="1"/>
  <c r="AR290" i="8"/>
  <c r="AZ290" i="8"/>
  <c r="AX290" i="8"/>
  <c r="AW290" i="8"/>
  <c r="AL300" i="8"/>
  <c r="AD300" i="8"/>
  <c r="AI300" i="8"/>
  <c r="AM301" i="8" s="1"/>
  <c r="AR301" i="8" s="1"/>
  <c r="AT301" i="8" s="1"/>
  <c r="AJ300" i="8"/>
  <c r="P318" i="8"/>
  <c r="R318" i="8" s="1"/>
  <c r="P396" i="8"/>
  <c r="R396" i="8" s="1"/>
  <c r="P407" i="8"/>
  <c r="R407" i="8" s="1"/>
  <c r="P27" i="9"/>
  <c r="R27" i="9" s="1"/>
  <c r="P370" i="8"/>
  <c r="V370" i="8"/>
  <c r="U370" i="8"/>
  <c r="Y371" i="8" s="1"/>
  <c r="AD371" i="8" s="1"/>
  <c r="AF371" i="8" s="1"/>
  <c r="X370" i="8"/>
  <c r="P38" i="9"/>
  <c r="R38" i="9" s="1"/>
  <c r="P389" i="8"/>
  <c r="R389" i="8" s="1"/>
  <c r="V41" i="9"/>
  <c r="T41" i="9"/>
  <c r="X41" i="9" s="1"/>
  <c r="P400" i="8"/>
  <c r="X400" i="8"/>
  <c r="V400" i="8"/>
  <c r="U400" i="8"/>
  <c r="Y401" i="8" s="1"/>
  <c r="AD401" i="8" s="1"/>
  <c r="AF401" i="8" s="1"/>
  <c r="P44" i="9"/>
  <c r="R44" i="9" s="1"/>
  <c r="AR351" i="8"/>
  <c r="AT351" i="8" s="1"/>
  <c r="P47" i="9"/>
  <c r="R47" i="9" s="1"/>
  <c r="X390" i="8"/>
  <c r="P390" i="8"/>
  <c r="V390" i="8"/>
  <c r="U390" i="8"/>
  <c r="Y391" i="8" s="1"/>
  <c r="AD391" i="8" s="1"/>
  <c r="AF391" i="8" s="1"/>
  <c r="P42" i="9"/>
  <c r="R42" i="9" s="1"/>
  <c r="V121" i="9"/>
  <c r="T121" i="9"/>
  <c r="X121" i="9" s="1"/>
  <c r="P133" i="9"/>
  <c r="R133" i="9" s="1"/>
  <c r="P82" i="9"/>
  <c r="R82" i="9" s="1"/>
  <c r="V109" i="9"/>
  <c r="T109" i="9"/>
  <c r="U109" i="9" s="1"/>
  <c r="Y109" i="9" s="1"/>
  <c r="AC109" i="9" s="1"/>
  <c r="AD109" i="9" s="1"/>
  <c r="X109" i="9"/>
  <c r="T83" i="9"/>
  <c r="W83" i="9" s="1"/>
  <c r="V83" i="9"/>
  <c r="P94" i="9"/>
  <c r="R94" i="9" s="1"/>
  <c r="V167" i="9"/>
  <c r="T167" i="9"/>
  <c r="X167" i="9" s="1"/>
  <c r="P186" i="9"/>
  <c r="R186" i="9" s="1"/>
  <c r="P144" i="9"/>
  <c r="R144" i="9" s="1"/>
  <c r="V163" i="9"/>
  <c r="T163" i="9"/>
  <c r="W163" i="9" s="1"/>
  <c r="P174" i="9"/>
  <c r="R174" i="9" s="1"/>
  <c r="P148" i="9"/>
  <c r="R148" i="9" s="1"/>
  <c r="V222" i="9"/>
  <c r="T222" i="9"/>
  <c r="X222" i="9" s="1"/>
  <c r="P249" i="9"/>
  <c r="R249" i="9" s="1"/>
  <c r="V199" i="9"/>
  <c r="T199" i="9"/>
  <c r="U199" i="9" s="1"/>
  <c r="Y199" i="9" s="1"/>
  <c r="AC199" i="9" s="1"/>
  <c r="AD199" i="9" s="1"/>
  <c r="P218" i="9"/>
  <c r="R218" i="9" s="1"/>
  <c r="P237" i="9"/>
  <c r="R237" i="9" s="1"/>
  <c r="V203" i="9"/>
  <c r="T203" i="9"/>
  <c r="W203" i="9" s="1"/>
  <c r="P283" i="9"/>
  <c r="R283" i="9" s="1"/>
  <c r="V294" i="9"/>
  <c r="T294" i="9"/>
  <c r="X294" i="9" s="1"/>
  <c r="P276" i="9"/>
  <c r="R276" i="9" s="1"/>
  <c r="P303" i="9"/>
  <c r="R303" i="9" s="1"/>
  <c r="P261" i="9"/>
  <c r="R261" i="9" s="1"/>
  <c r="P272" i="9"/>
  <c r="R272" i="9" s="1"/>
  <c r="P422" i="9"/>
  <c r="R422" i="9" s="1"/>
  <c r="V334" i="9"/>
  <c r="T334" i="9"/>
  <c r="U334" i="9" s="1"/>
  <c r="Y334" i="9" s="1"/>
  <c r="AC334" i="9" s="1"/>
  <c r="AD334" i="9" s="1"/>
  <c r="V337" i="9"/>
  <c r="T337" i="9"/>
  <c r="X337" i="9" s="1"/>
  <c r="P356" i="9"/>
  <c r="R356" i="9" s="1"/>
  <c r="P351" i="9"/>
  <c r="R351" i="9" s="1"/>
  <c r="P317" i="9"/>
  <c r="R317" i="9" s="1"/>
  <c r="V401" i="9"/>
  <c r="T401" i="9"/>
  <c r="X401" i="9" s="1"/>
  <c r="P39" i="10"/>
  <c r="R39" i="10" s="1"/>
  <c r="P386" i="9"/>
  <c r="R386" i="9" s="1"/>
  <c r="P397" i="9"/>
  <c r="R397" i="9" s="1"/>
  <c r="P416" i="9"/>
  <c r="R416" i="9" s="1"/>
  <c r="P47" i="10"/>
  <c r="R47" i="10" s="1"/>
  <c r="P29" i="10"/>
  <c r="R29" i="10" s="1"/>
  <c r="V101" i="10"/>
  <c r="T101" i="10"/>
  <c r="P46" i="10"/>
  <c r="R46" i="10" s="1"/>
  <c r="P44" i="10"/>
  <c r="R44" i="10" s="1"/>
  <c r="P87" i="10"/>
  <c r="R87" i="10" s="1"/>
  <c r="P64" i="10"/>
  <c r="R64" i="10" s="1"/>
  <c r="T99" i="10"/>
  <c r="X99" i="10" s="1"/>
  <c r="V99" i="10"/>
  <c r="P86" i="10"/>
  <c r="R86" i="10" s="1"/>
  <c r="P166" i="10"/>
  <c r="R166" i="10" s="1"/>
  <c r="P129" i="10"/>
  <c r="R129" i="10" s="1"/>
  <c r="P156" i="10"/>
  <c r="R156" i="10" s="1"/>
  <c r="V186" i="10"/>
  <c r="T186" i="10"/>
  <c r="U186" i="10" s="1"/>
  <c r="Y187" i="10" s="1"/>
  <c r="AC187" i="10" s="1"/>
  <c r="AD187" i="10" s="1"/>
  <c r="V117" i="10"/>
  <c r="T117" i="10"/>
  <c r="U117" i="10" s="1"/>
  <c r="Y118" i="10" s="1"/>
  <c r="AC118" i="10" s="1"/>
  <c r="AD118" i="10" s="1"/>
  <c r="P177" i="10"/>
  <c r="R177" i="10" s="1"/>
  <c r="P178" i="10"/>
  <c r="R178" i="10" s="1"/>
  <c r="X189" i="10"/>
  <c r="V189" i="10"/>
  <c r="T189" i="10"/>
  <c r="U189" i="10" s="1"/>
  <c r="Y189" i="10" s="1"/>
  <c r="AC189" i="10" s="1"/>
  <c r="AD189" i="10" s="1"/>
  <c r="P206" i="10"/>
  <c r="R206" i="10" s="1"/>
  <c r="V207" i="10"/>
  <c r="T207" i="10"/>
  <c r="X207" i="10" s="1"/>
  <c r="P219" i="10"/>
  <c r="R219" i="10" s="1"/>
  <c r="T281" i="10"/>
  <c r="X281" i="10" s="1"/>
  <c r="V281" i="10"/>
  <c r="P233" i="10"/>
  <c r="R233" i="10" s="1"/>
  <c r="P239" i="10"/>
  <c r="R239" i="10" s="1"/>
  <c r="P232" i="10"/>
  <c r="R232" i="10" s="1"/>
  <c r="V271" i="10"/>
  <c r="T271" i="10"/>
  <c r="X271" i="10" s="1"/>
  <c r="P264" i="10"/>
  <c r="R264" i="10" s="1"/>
  <c r="V283" i="10"/>
  <c r="T283" i="10"/>
  <c r="W283" i="10" s="1"/>
  <c r="P276" i="10"/>
  <c r="R276" i="10" s="1"/>
  <c r="P313" i="10"/>
  <c r="R313" i="10" s="1"/>
  <c r="P311" i="10"/>
  <c r="R311" i="10" s="1"/>
  <c r="P304" i="10"/>
  <c r="R304" i="10" s="1"/>
  <c r="V336" i="10"/>
  <c r="T336" i="10"/>
  <c r="P348" i="10"/>
  <c r="R348" i="10" s="1"/>
  <c r="V362" i="10"/>
  <c r="T362" i="10"/>
  <c r="P366" i="10"/>
  <c r="R366" i="10" s="1"/>
  <c r="T383" i="10"/>
  <c r="W383" i="10" s="1"/>
  <c r="V383" i="10"/>
  <c r="V398" i="10"/>
  <c r="T398" i="10"/>
  <c r="W398" i="10" s="1"/>
  <c r="P384" i="10"/>
  <c r="R384" i="10" s="1"/>
  <c r="T408" i="10"/>
  <c r="W408" i="10" s="1"/>
  <c r="V408" i="10"/>
  <c r="P422" i="10"/>
  <c r="R422" i="10" s="1"/>
  <c r="AD116" i="9"/>
  <c r="AF116" i="9" s="1"/>
  <c r="AW350" i="10"/>
  <c r="AD420" i="10"/>
  <c r="AJ420" i="10"/>
  <c r="AI420" i="10"/>
  <c r="AM421" i="10" s="1"/>
  <c r="AQ421" i="10" s="1"/>
  <c r="AR421" i="10" s="1"/>
  <c r="AT421" i="10" s="1"/>
  <c r="AL420" i="10"/>
  <c r="AJ295" i="9"/>
  <c r="AR156" i="10"/>
  <c r="AT156" i="10" s="1"/>
  <c r="U340" i="10"/>
  <c r="Y341" i="10" s="1"/>
  <c r="AC341" i="10" s="1"/>
  <c r="AD341" i="10" s="1"/>
  <c r="AF341" i="10" s="1"/>
  <c r="U325" i="10"/>
  <c r="Y326" i="10" s="1"/>
  <c r="AC326" i="10" s="1"/>
  <c r="AD326" i="10" s="1"/>
  <c r="AF326" i="10" s="1"/>
  <c r="P75" i="9"/>
  <c r="AZ65" i="9"/>
  <c r="AZ120" i="10"/>
  <c r="V90" i="9"/>
  <c r="AX335" i="10"/>
  <c r="AR135" i="10"/>
  <c r="AD105" i="10"/>
  <c r="AD40" i="10"/>
  <c r="AR255" i="10"/>
  <c r="AZ295" i="9"/>
  <c r="AH215" i="10" l="1"/>
  <c r="AL215" i="10"/>
  <c r="AJ215" i="10"/>
  <c r="AI215" i="10"/>
  <c r="AM216" i="10" s="1"/>
  <c r="AQ216" i="10" s="1"/>
  <c r="AR216" i="10" s="1"/>
  <c r="T79" i="10"/>
  <c r="U79" i="10" s="1"/>
  <c r="Y79" i="10" s="1"/>
  <c r="AC79" i="10" s="1"/>
  <c r="AD79" i="10" s="1"/>
  <c r="T182" i="8"/>
  <c r="X182" i="8" s="1"/>
  <c r="X43" i="8"/>
  <c r="U353" i="8"/>
  <c r="X153" i="10"/>
  <c r="V399" i="8"/>
  <c r="AL106" i="10"/>
  <c r="AW151" i="9"/>
  <c r="AZ191" i="10"/>
  <c r="T355" i="10"/>
  <c r="U355" i="10" s="1"/>
  <c r="Y356" i="10" s="1"/>
  <c r="AC356" i="10" s="1"/>
  <c r="AD356" i="10" s="1"/>
  <c r="X355" i="10"/>
  <c r="V355" i="10"/>
  <c r="AH350" i="10"/>
  <c r="AK350" i="10" s="1"/>
  <c r="AJ350" i="10"/>
  <c r="T185" i="9"/>
  <c r="W185" i="9" s="1"/>
  <c r="V185" i="9"/>
  <c r="AH285" i="9"/>
  <c r="AK285" i="9" s="1"/>
  <c r="AJ285" i="9"/>
  <c r="AV285" i="9"/>
  <c r="AY285" i="9" s="1"/>
  <c r="AZ285" i="9"/>
  <c r="AX285" i="9"/>
  <c r="AH255" i="9"/>
  <c r="AK255" i="9" s="1"/>
  <c r="AJ255" i="9"/>
  <c r="AZ270" i="10"/>
  <c r="AW25" i="10"/>
  <c r="V96" i="9"/>
  <c r="X342" i="9"/>
  <c r="X152" i="8"/>
  <c r="AH375" i="10"/>
  <c r="AI375" i="10"/>
  <c r="AM376" i="10" s="1"/>
  <c r="AQ376" i="10" s="1"/>
  <c r="AR376" i="10" s="1"/>
  <c r="AJ375" i="10"/>
  <c r="AL375" i="10"/>
  <c r="U352" i="8"/>
  <c r="Y353" i="8" s="1"/>
  <c r="AD353" i="8" s="1"/>
  <c r="T119" i="8"/>
  <c r="U119" i="8" s="1"/>
  <c r="Y119" i="8" s="1"/>
  <c r="AD119" i="8" s="1"/>
  <c r="X136" i="10"/>
  <c r="V181" i="10"/>
  <c r="V107" i="9"/>
  <c r="X314" i="8"/>
  <c r="U329" i="8"/>
  <c r="Y329" i="8" s="1"/>
  <c r="AD329" i="8" s="1"/>
  <c r="X296" i="9"/>
  <c r="T29" i="8"/>
  <c r="T356" i="10"/>
  <c r="X356" i="10" s="1"/>
  <c r="X79" i="9"/>
  <c r="AH236" i="9"/>
  <c r="AL236" i="9" s="1"/>
  <c r="AI281" i="9"/>
  <c r="AM282" i="9" s="1"/>
  <c r="AQ282" i="9" s="1"/>
  <c r="AR282" i="9" s="1"/>
  <c r="AZ126" i="10"/>
  <c r="AW191" i="10"/>
  <c r="AH320" i="10"/>
  <c r="AK320" i="10" s="1"/>
  <c r="AL320" i="10"/>
  <c r="AJ320" i="10"/>
  <c r="AH395" i="9"/>
  <c r="AK395" i="9" s="1"/>
  <c r="AJ395" i="9"/>
  <c r="T355" i="9"/>
  <c r="W355" i="9" s="1"/>
  <c r="V355" i="9"/>
  <c r="X355" i="9"/>
  <c r="U200" i="9"/>
  <c r="Y201" i="9" s="1"/>
  <c r="AC201" i="9" s="1"/>
  <c r="AD201" i="9" s="1"/>
  <c r="AF201" i="9" s="1"/>
  <c r="U285" i="9"/>
  <c r="Y286" i="9" s="1"/>
  <c r="AC286" i="9" s="1"/>
  <c r="AD286" i="9" s="1"/>
  <c r="AF286" i="9" s="1"/>
  <c r="AH175" i="10"/>
  <c r="AK175" i="10" s="1"/>
  <c r="AL175" i="10"/>
  <c r="AJ175" i="10"/>
  <c r="X372" i="8"/>
  <c r="U258" i="10"/>
  <c r="T339" i="9"/>
  <c r="X339" i="9" s="1"/>
  <c r="X327" i="10"/>
  <c r="X413" i="9"/>
  <c r="AW400" i="10"/>
  <c r="AZ155" i="10"/>
  <c r="X285" i="9"/>
  <c r="T395" i="9"/>
  <c r="V395" i="9"/>
  <c r="U395" i="9"/>
  <c r="Y396" i="9" s="1"/>
  <c r="AC396" i="9" s="1"/>
  <c r="AD396" i="9" s="1"/>
  <c r="X395" i="9"/>
  <c r="AH110" i="9"/>
  <c r="AK110" i="9" s="1"/>
  <c r="AJ110" i="9"/>
  <c r="AW155" i="10"/>
  <c r="AV390" i="10"/>
  <c r="AY390" i="10" s="1"/>
  <c r="AX390" i="10"/>
  <c r="AZ390" i="10"/>
  <c r="AW390" i="10"/>
  <c r="AH315" i="10"/>
  <c r="AL315" i="10"/>
  <c r="AJ315" i="10"/>
  <c r="AI315" i="10"/>
  <c r="AM316" i="10" s="1"/>
  <c r="AQ316" i="10" s="1"/>
  <c r="AR316" i="10" s="1"/>
  <c r="U286" i="9"/>
  <c r="Y287" i="9" s="1"/>
  <c r="AC287" i="9" s="1"/>
  <c r="AD287" i="9" s="1"/>
  <c r="T417" i="8"/>
  <c r="X417" i="8" s="1"/>
  <c r="U413" i="9"/>
  <c r="X123" i="8"/>
  <c r="AW320" i="9"/>
  <c r="T320" i="10"/>
  <c r="V320" i="10"/>
  <c r="AV225" i="9"/>
  <c r="AY225" i="9" s="1"/>
  <c r="AW225" i="9"/>
  <c r="AZ225" i="9"/>
  <c r="AX225" i="9"/>
  <c r="U283" i="10"/>
  <c r="U89" i="8"/>
  <c r="Y89" i="8" s="1"/>
  <c r="AD89" i="8" s="1"/>
  <c r="X109" i="8"/>
  <c r="X34" i="10"/>
  <c r="U123" i="9"/>
  <c r="X353" i="8"/>
  <c r="X123" i="10"/>
  <c r="AZ151" i="9"/>
  <c r="T55" i="9"/>
  <c r="W55" i="9" s="1"/>
  <c r="X55" i="9"/>
  <c r="V55" i="9"/>
  <c r="AV225" i="10"/>
  <c r="AY225" i="10" s="1"/>
  <c r="AX225" i="10"/>
  <c r="T205" i="10"/>
  <c r="W205" i="10" s="1"/>
  <c r="V205" i="10"/>
  <c r="U137" i="10"/>
  <c r="Y138" i="10" s="1"/>
  <c r="AC138" i="10" s="1"/>
  <c r="AD138" i="10" s="1"/>
  <c r="AZ116" i="9"/>
  <c r="AZ206" i="9"/>
  <c r="AZ166" i="10"/>
  <c r="AZ271" i="10"/>
  <c r="AZ241" i="9"/>
  <c r="AZ56" i="10"/>
  <c r="U337" i="9"/>
  <c r="Y338" i="9" s="1"/>
  <c r="AC338" i="9" s="1"/>
  <c r="AD338" i="9" s="1"/>
  <c r="AZ366" i="9"/>
  <c r="U56" i="9"/>
  <c r="Y57" i="9" s="1"/>
  <c r="AC57" i="9" s="1"/>
  <c r="AD57" i="9" s="1"/>
  <c r="X328" i="10"/>
  <c r="AL311" i="9"/>
  <c r="X264" i="9"/>
  <c r="X159" i="9"/>
  <c r="AW226" i="10"/>
  <c r="U168" i="10"/>
  <c r="X123" i="9"/>
  <c r="U123" i="10"/>
  <c r="X246" i="9"/>
  <c r="X294" i="10"/>
  <c r="X219" i="9"/>
  <c r="X113" i="10"/>
  <c r="X373" i="9"/>
  <c r="U173" i="10"/>
  <c r="U312" i="9"/>
  <c r="Y313" i="9" s="1"/>
  <c r="AC313" i="9" s="1"/>
  <c r="AD313" i="9" s="1"/>
  <c r="AF313" i="9" s="1"/>
  <c r="X264" i="8"/>
  <c r="X377" i="10"/>
  <c r="X106" i="10"/>
  <c r="X323" i="9"/>
  <c r="X399" i="8"/>
  <c r="U123" i="8"/>
  <c r="AW126" i="10"/>
  <c r="U39" i="9"/>
  <c r="Y39" i="9" s="1"/>
  <c r="AC39" i="9" s="1"/>
  <c r="AD39" i="9" s="1"/>
  <c r="U163" i="9"/>
  <c r="U401" i="9"/>
  <c r="Y402" i="9" s="1"/>
  <c r="AC402" i="9" s="1"/>
  <c r="AD402" i="9" s="1"/>
  <c r="U234" i="8"/>
  <c r="Y234" i="8" s="1"/>
  <c r="AD234" i="8" s="1"/>
  <c r="U113" i="10"/>
  <c r="U221" i="9"/>
  <c r="Y222" i="9" s="1"/>
  <c r="AC222" i="9" s="1"/>
  <c r="AD222" i="9" s="1"/>
  <c r="AF222" i="9" s="1"/>
  <c r="U169" i="8"/>
  <c r="Y169" i="8" s="1"/>
  <c r="AD169" i="8" s="1"/>
  <c r="U61" i="10"/>
  <c r="Y62" i="10" s="1"/>
  <c r="AC62" i="10" s="1"/>
  <c r="AD62" i="10" s="1"/>
  <c r="AF62" i="10" s="1"/>
  <c r="U373" i="9"/>
  <c r="AZ66" i="10"/>
  <c r="AW276" i="9"/>
  <c r="AW271" i="10"/>
  <c r="U388" i="10"/>
  <c r="U328" i="10"/>
  <c r="U114" i="10"/>
  <c r="Y114" i="10" s="1"/>
  <c r="AC114" i="10" s="1"/>
  <c r="AD114" i="10" s="1"/>
  <c r="U56" i="10"/>
  <c r="Y57" i="10" s="1"/>
  <c r="AC57" i="10" s="1"/>
  <c r="AD57" i="10" s="1"/>
  <c r="AF57" i="10" s="1"/>
  <c r="U118" i="9"/>
  <c r="X67" i="8"/>
  <c r="AL161" i="10"/>
  <c r="X78" i="9"/>
  <c r="X97" i="9"/>
  <c r="X28" i="8"/>
  <c r="U342" i="10"/>
  <c r="Y343" i="10" s="1"/>
  <c r="AC343" i="10" s="1"/>
  <c r="AD343" i="10" s="1"/>
  <c r="X306" i="8"/>
  <c r="X347" i="9"/>
  <c r="X388" i="10"/>
  <c r="X341" i="9"/>
  <c r="X374" i="9"/>
  <c r="X191" i="9"/>
  <c r="X108" i="8"/>
  <c r="X409" i="9"/>
  <c r="AL256" i="9"/>
  <c r="X283" i="10"/>
  <c r="U222" i="9"/>
  <c r="Y223" i="9" s="1"/>
  <c r="AC223" i="9" s="1"/>
  <c r="AD223" i="9" s="1"/>
  <c r="AF223" i="9" s="1"/>
  <c r="U83" i="9"/>
  <c r="U97" i="10"/>
  <c r="Y98" i="10" s="1"/>
  <c r="AC98" i="10" s="1"/>
  <c r="AD98" i="10" s="1"/>
  <c r="U389" i="9"/>
  <c r="Y389" i="9" s="1"/>
  <c r="AC389" i="9" s="1"/>
  <c r="AD389" i="9" s="1"/>
  <c r="E9" i="10"/>
  <c r="X226" i="10"/>
  <c r="X232" i="9"/>
  <c r="X119" i="8"/>
  <c r="AL241" i="10"/>
  <c r="U346" i="9"/>
  <c r="Y347" i="9" s="1"/>
  <c r="AC347" i="9" s="1"/>
  <c r="AD347" i="9" s="1"/>
  <c r="X154" i="9"/>
  <c r="X311" i="9"/>
  <c r="U173" i="9"/>
  <c r="U377" i="8"/>
  <c r="Y378" i="8" s="1"/>
  <c r="AD378" i="8" s="1"/>
  <c r="U107" i="9"/>
  <c r="Y108" i="9" s="1"/>
  <c r="AC108" i="9" s="1"/>
  <c r="AD108" i="9" s="1"/>
  <c r="AF108" i="9" s="1"/>
  <c r="X281" i="8"/>
  <c r="X72" i="10"/>
  <c r="X129" i="8"/>
  <c r="AW341" i="10"/>
  <c r="AZ411" i="9"/>
  <c r="AZ386" i="9"/>
  <c r="U294" i="9"/>
  <c r="Y294" i="9" s="1"/>
  <c r="AC294" i="9" s="1"/>
  <c r="AD294" i="9" s="1"/>
  <c r="AF294" i="9" s="1"/>
  <c r="X199" i="9"/>
  <c r="X83" i="9"/>
  <c r="C9" i="9"/>
  <c r="U353" i="10"/>
  <c r="U404" i="8"/>
  <c r="Y404" i="8" s="1"/>
  <c r="AD404" i="8" s="1"/>
  <c r="U174" i="10"/>
  <c r="Y174" i="10" s="1"/>
  <c r="AC174" i="10" s="1"/>
  <c r="AD174" i="10" s="1"/>
  <c r="AF174" i="10" s="1"/>
  <c r="C9" i="10"/>
  <c r="U418" i="10"/>
  <c r="U243" i="9"/>
  <c r="U277" i="10"/>
  <c r="Y278" i="10" s="1"/>
  <c r="AC278" i="10" s="1"/>
  <c r="AD278" i="10" s="1"/>
  <c r="AF278" i="10" s="1"/>
  <c r="U266" i="8"/>
  <c r="Y267" i="8" s="1"/>
  <c r="AD267" i="8" s="1"/>
  <c r="U248" i="10"/>
  <c r="U297" i="8"/>
  <c r="Y298" i="8" s="1"/>
  <c r="AD298" i="8" s="1"/>
  <c r="AW346" i="9"/>
  <c r="AW411" i="9"/>
  <c r="AW326" i="10"/>
  <c r="AW266" i="9"/>
  <c r="X202" i="9"/>
  <c r="X318" i="9"/>
  <c r="U386" i="8"/>
  <c r="Y387" i="8" s="1"/>
  <c r="AD387" i="8" s="1"/>
  <c r="U369" i="10"/>
  <c r="Y369" i="10" s="1"/>
  <c r="AC369" i="10" s="1"/>
  <c r="AD369" i="10" s="1"/>
  <c r="U358" i="10"/>
  <c r="U218" i="10"/>
  <c r="X131" i="9"/>
  <c r="U89" i="9"/>
  <c r="Y89" i="9" s="1"/>
  <c r="AC89" i="9" s="1"/>
  <c r="AD89" i="9" s="1"/>
  <c r="X231" i="8"/>
  <c r="U368" i="10"/>
  <c r="X282" i="9"/>
  <c r="U146" i="9"/>
  <c r="Y147" i="9" s="1"/>
  <c r="AC147" i="9" s="1"/>
  <c r="AD147" i="9" s="1"/>
  <c r="X234" i="10"/>
  <c r="X222" i="10"/>
  <c r="X181" i="10"/>
  <c r="X43" i="10"/>
  <c r="X231" i="9"/>
  <c r="U153" i="10"/>
  <c r="X133" i="10"/>
  <c r="U424" i="9"/>
  <c r="Y424" i="9" s="1"/>
  <c r="AC424" i="9" s="1"/>
  <c r="AD424" i="9" s="1"/>
  <c r="X353" i="9"/>
  <c r="X152" i="9"/>
  <c r="U49" i="9"/>
  <c r="Y49" i="9" s="1"/>
  <c r="AC49" i="9" s="1"/>
  <c r="AD49" i="9" s="1"/>
  <c r="AF49" i="9" s="1"/>
  <c r="AW66" i="10"/>
  <c r="AW361" i="9"/>
  <c r="AW156" i="9"/>
  <c r="AW391" i="9"/>
  <c r="AW56" i="10"/>
  <c r="X248" i="10"/>
  <c r="AZ346" i="9"/>
  <c r="AZ266" i="9"/>
  <c r="U271" i="10"/>
  <c r="Y272" i="10" s="1"/>
  <c r="AC272" i="10" s="1"/>
  <c r="AD272" i="10" s="1"/>
  <c r="X163" i="9"/>
  <c r="X374" i="10"/>
  <c r="U78" i="9"/>
  <c r="U28" i="8"/>
  <c r="X358" i="10"/>
  <c r="X218" i="10"/>
  <c r="X368" i="10"/>
  <c r="U93" i="10"/>
  <c r="U43" i="10"/>
  <c r="U418" i="9"/>
  <c r="U191" i="8"/>
  <c r="Y192" i="8" s="1"/>
  <c r="AD192" i="8" s="1"/>
  <c r="U179" i="9"/>
  <c r="Y179" i="9" s="1"/>
  <c r="AC179" i="9" s="1"/>
  <c r="AD179" i="9" s="1"/>
  <c r="U108" i="8"/>
  <c r="U163" i="10"/>
  <c r="U353" i="9"/>
  <c r="AI131" i="10"/>
  <c r="AM132" i="10" s="1"/>
  <c r="AQ132" i="10" s="1"/>
  <c r="AR132" i="10" s="1"/>
  <c r="AW171" i="9"/>
  <c r="AW76" i="9"/>
  <c r="X186" i="10"/>
  <c r="U383" i="10"/>
  <c r="U281" i="10"/>
  <c r="Y282" i="10" s="1"/>
  <c r="AC282" i="10" s="1"/>
  <c r="AD282" i="10" s="1"/>
  <c r="AF282" i="10" s="1"/>
  <c r="U167" i="9"/>
  <c r="Y168" i="9" s="1"/>
  <c r="AC168" i="9" s="1"/>
  <c r="AD168" i="9" s="1"/>
  <c r="U29" i="9"/>
  <c r="Y29" i="9" s="1"/>
  <c r="AC29" i="9" s="1"/>
  <c r="AD29" i="9" s="1"/>
  <c r="AF29" i="9" s="1"/>
  <c r="X413" i="10"/>
  <c r="X263" i="10"/>
  <c r="X168" i="10"/>
  <c r="U43" i="8"/>
  <c r="U376" i="10"/>
  <c r="Y377" i="10" s="1"/>
  <c r="AC377" i="10" s="1"/>
  <c r="AD377" i="10" s="1"/>
  <c r="X291" i="9"/>
  <c r="AW386" i="9"/>
  <c r="AX351" i="8"/>
  <c r="AV351" i="8"/>
  <c r="AY351" i="8" s="1"/>
  <c r="AJ271" i="8"/>
  <c r="AH271" i="8"/>
  <c r="AI271" i="8" s="1"/>
  <c r="AM272" i="8" s="1"/>
  <c r="AR272" i="8" s="1"/>
  <c r="AX316" i="8"/>
  <c r="AV316" i="8"/>
  <c r="AY316" i="8" s="1"/>
  <c r="AV336" i="8"/>
  <c r="AY336" i="8" s="1"/>
  <c r="AX336" i="8"/>
  <c r="AX51" i="8"/>
  <c r="AV51" i="8"/>
  <c r="AY51" i="8" s="1"/>
  <c r="AH71" i="8"/>
  <c r="AL71" i="8" s="1"/>
  <c r="AJ71" i="8"/>
  <c r="AX361" i="10"/>
  <c r="AV361" i="10"/>
  <c r="AY361" i="10" s="1"/>
  <c r="AX291" i="9"/>
  <c r="AV291" i="9"/>
  <c r="AY291" i="9" s="1"/>
  <c r="AZ291" i="9"/>
  <c r="AX361" i="8"/>
  <c r="AV361" i="8"/>
  <c r="AY361" i="8" s="1"/>
  <c r="AJ126" i="8"/>
  <c r="AH126" i="8"/>
  <c r="AI126" i="8" s="1"/>
  <c r="AM127" i="8" s="1"/>
  <c r="AR127" i="8" s="1"/>
  <c r="AH111" i="8"/>
  <c r="AL111" i="8"/>
  <c r="AJ111" i="8"/>
  <c r="AI111" i="8"/>
  <c r="AM112" i="8" s="1"/>
  <c r="AR112" i="8" s="1"/>
  <c r="AX226" i="9"/>
  <c r="AV226" i="9"/>
  <c r="AY226" i="9" s="1"/>
  <c r="AX251" i="10"/>
  <c r="AV251" i="10"/>
  <c r="AY251" i="10" s="1"/>
  <c r="AJ151" i="10"/>
  <c r="AH151" i="10"/>
  <c r="AI151" i="10" s="1"/>
  <c r="AM152" i="10" s="1"/>
  <c r="AQ152" i="10" s="1"/>
  <c r="AR152" i="10" s="1"/>
  <c r="AV331" i="8"/>
  <c r="AY331" i="8" s="1"/>
  <c r="AX331" i="8"/>
  <c r="AH86" i="9"/>
  <c r="AI86" i="9" s="1"/>
  <c r="AM87" i="9" s="1"/>
  <c r="AQ87" i="9" s="1"/>
  <c r="AR87" i="9" s="1"/>
  <c r="AJ86" i="9"/>
  <c r="AJ246" i="8"/>
  <c r="AH246" i="8"/>
  <c r="AI246" i="8" s="1"/>
  <c r="AM247" i="8" s="1"/>
  <c r="AR247" i="8" s="1"/>
  <c r="AH411" i="9"/>
  <c r="AI411" i="9" s="1"/>
  <c r="AM412" i="9" s="1"/>
  <c r="AQ412" i="9" s="1"/>
  <c r="AR412" i="9" s="1"/>
  <c r="AJ411" i="9"/>
  <c r="AJ366" i="8"/>
  <c r="AH366" i="8"/>
  <c r="AI366" i="8" s="1"/>
  <c r="AM367" i="8" s="1"/>
  <c r="AR367" i="8" s="1"/>
  <c r="AH421" i="8"/>
  <c r="AL421" i="8" s="1"/>
  <c r="AJ421" i="8"/>
  <c r="AJ321" i="8"/>
  <c r="AH321" i="8"/>
  <c r="AH221" i="8"/>
  <c r="AL221" i="8" s="1"/>
  <c r="AJ221" i="8"/>
  <c r="AH186" i="8"/>
  <c r="AI186" i="8" s="1"/>
  <c r="AM187" i="8" s="1"/>
  <c r="AR187" i="8" s="1"/>
  <c r="AJ186" i="8"/>
  <c r="AV201" i="9"/>
  <c r="AX201" i="9"/>
  <c r="AV171" i="8"/>
  <c r="AY171" i="8" s="1"/>
  <c r="AX171" i="8"/>
  <c r="AX81" i="8"/>
  <c r="AV81" i="8"/>
  <c r="AV251" i="8"/>
  <c r="AY251" i="8" s="1"/>
  <c r="AX251" i="8"/>
  <c r="AV416" i="8"/>
  <c r="AY416" i="8" s="1"/>
  <c r="AX416" i="8"/>
  <c r="AX116" i="8"/>
  <c r="AV116" i="8"/>
  <c r="AY116" i="8" s="1"/>
  <c r="AV66" i="8"/>
  <c r="AY66" i="8" s="1"/>
  <c r="AX66" i="8"/>
  <c r="AX281" i="8"/>
  <c r="AV281" i="8"/>
  <c r="AJ66" i="8"/>
  <c r="AH66" i="8"/>
  <c r="AL66" i="8" s="1"/>
  <c r="AH416" i="10"/>
  <c r="AJ416" i="10"/>
  <c r="AV371" i="8"/>
  <c r="AY371" i="8" s="1"/>
  <c r="AX371" i="8"/>
  <c r="AV216" i="8"/>
  <c r="AY216" i="8" s="1"/>
  <c r="AX216" i="8"/>
  <c r="AJ86" i="8"/>
  <c r="AH86" i="8"/>
  <c r="AX421" i="9"/>
  <c r="AV421" i="9"/>
  <c r="AY421" i="9" s="1"/>
  <c r="AJ236" i="10"/>
  <c r="AH236" i="10"/>
  <c r="AL236" i="10" s="1"/>
  <c r="AX91" i="10"/>
  <c r="AV91" i="10"/>
  <c r="AY91" i="10" s="1"/>
  <c r="AX311" i="8"/>
  <c r="AV311" i="8"/>
  <c r="AY311" i="8" s="1"/>
  <c r="AX246" i="8"/>
  <c r="AV246" i="8"/>
  <c r="AY246" i="8" s="1"/>
  <c r="AX86" i="10"/>
  <c r="AV86" i="10"/>
  <c r="AY86" i="10" s="1"/>
  <c r="AX416" i="10"/>
  <c r="AV416" i="10"/>
  <c r="AJ196" i="9"/>
  <c r="AH196" i="9"/>
  <c r="AL196" i="9" s="1"/>
  <c r="AH226" i="10"/>
  <c r="AL226" i="10" s="1"/>
  <c r="AJ226" i="10"/>
  <c r="AX356" i="8"/>
  <c r="AV356" i="8"/>
  <c r="AY356" i="8" s="1"/>
  <c r="AJ256" i="8"/>
  <c r="AH256" i="8"/>
  <c r="AX146" i="10"/>
  <c r="AV146" i="10"/>
  <c r="AY146" i="10" s="1"/>
  <c r="AV176" i="8"/>
  <c r="AY176" i="8" s="1"/>
  <c r="AX176" i="8"/>
  <c r="AV56" i="9"/>
  <c r="AY56" i="9" s="1"/>
  <c r="AX56" i="9"/>
  <c r="AL101" i="8"/>
  <c r="AJ101" i="8"/>
  <c r="AI101" i="8"/>
  <c r="AM102" i="8" s="1"/>
  <c r="AR102" i="8" s="1"/>
  <c r="AH101" i="8"/>
  <c r="AJ341" i="10"/>
  <c r="AH341" i="10"/>
  <c r="AL341" i="10" s="1"/>
  <c r="AX231" i="8"/>
  <c r="AV231" i="8"/>
  <c r="AY231" i="8" s="1"/>
  <c r="AX241" i="8"/>
  <c r="AW241" i="8"/>
  <c r="AV241" i="8"/>
  <c r="AY241" i="8" s="1"/>
  <c r="AH116" i="8"/>
  <c r="AI116" i="8" s="1"/>
  <c r="AM117" i="8" s="1"/>
  <c r="AR117" i="8" s="1"/>
  <c r="AJ116" i="8"/>
  <c r="AX141" i="8"/>
  <c r="AV141" i="8"/>
  <c r="AY141" i="8" s="1"/>
  <c r="AX41" i="9"/>
  <c r="AV41" i="9"/>
  <c r="AY41" i="9" s="1"/>
  <c r="AJ401" i="8"/>
  <c r="AH401" i="8"/>
  <c r="AI401" i="8" s="1"/>
  <c r="AM402" i="8" s="1"/>
  <c r="AR402" i="8" s="1"/>
  <c r="AX226" i="8"/>
  <c r="AV226" i="8"/>
  <c r="AY226" i="8" s="1"/>
  <c r="AJ331" i="10"/>
  <c r="AH331" i="10"/>
  <c r="AL331" i="10" s="1"/>
  <c r="AZ391" i="8"/>
  <c r="AX391" i="8"/>
  <c r="AV391" i="8"/>
  <c r="AY391" i="8" s="1"/>
  <c r="AW376" i="8"/>
  <c r="AV376" i="8"/>
  <c r="AY376" i="8" s="1"/>
  <c r="AX376" i="8"/>
  <c r="AX201" i="8"/>
  <c r="AV201" i="8"/>
  <c r="AY201" i="8" s="1"/>
  <c r="AX26" i="9"/>
  <c r="AV26" i="9"/>
  <c r="AY26" i="9" s="1"/>
  <c r="AH406" i="10"/>
  <c r="AL406" i="10" s="1"/>
  <c r="AJ406" i="10"/>
  <c r="AJ406" i="8"/>
  <c r="AH406" i="8"/>
  <c r="AL406" i="8" s="1"/>
  <c r="AX261" i="8"/>
  <c r="AV261" i="8"/>
  <c r="AY261" i="8" s="1"/>
  <c r="AJ331" i="8"/>
  <c r="AH331" i="8"/>
  <c r="AI331" i="8" s="1"/>
  <c r="AM332" i="8" s="1"/>
  <c r="AR332" i="8" s="1"/>
  <c r="AZ286" i="8"/>
  <c r="AX286" i="8"/>
  <c r="AW286" i="8"/>
  <c r="AV286" i="8"/>
  <c r="AY286" i="8" s="1"/>
  <c r="AH226" i="8"/>
  <c r="AI226" i="8" s="1"/>
  <c r="AM227" i="8" s="1"/>
  <c r="AR227" i="8" s="1"/>
  <c r="AJ226" i="8"/>
  <c r="AX331" i="10"/>
  <c r="AV331" i="10"/>
  <c r="AY331" i="10" s="1"/>
  <c r="AH341" i="8"/>
  <c r="AJ341" i="8"/>
  <c r="AJ156" i="8"/>
  <c r="AH156" i="8"/>
  <c r="AL156" i="8" s="1"/>
  <c r="AX121" i="8"/>
  <c r="AV121" i="8"/>
  <c r="AY121" i="8" s="1"/>
  <c r="AX136" i="10"/>
  <c r="AV136" i="10"/>
  <c r="AY136" i="10" s="1"/>
  <c r="AJ201" i="8"/>
  <c r="AH201" i="8"/>
  <c r="AV106" i="8"/>
  <c r="AY106" i="8" s="1"/>
  <c r="AX106" i="8"/>
  <c r="AJ271" i="10"/>
  <c r="AH271" i="10"/>
  <c r="AX401" i="8"/>
  <c r="AV401" i="8"/>
  <c r="AY401" i="8" s="1"/>
  <c r="AX31" i="8"/>
  <c r="AV31" i="8"/>
  <c r="AY31" i="8" s="1"/>
  <c r="AV136" i="9"/>
  <c r="AX136" i="9"/>
  <c r="AJ51" i="8"/>
  <c r="AI51" i="8"/>
  <c r="AM52" i="8" s="1"/>
  <c r="AR52" i="8" s="1"/>
  <c r="AH51" i="8"/>
  <c r="AL51" i="8" s="1"/>
  <c r="AV331" i="9"/>
  <c r="AY331" i="9" s="1"/>
  <c r="AX331" i="9"/>
  <c r="AX326" i="8"/>
  <c r="AW326" i="8"/>
  <c r="AV326" i="8"/>
  <c r="AY326" i="8" s="1"/>
  <c r="AJ286" i="8"/>
  <c r="AH286" i="8"/>
  <c r="AL286" i="8" s="1"/>
  <c r="AJ346" i="10"/>
  <c r="AH346" i="10"/>
  <c r="AL346" i="10" s="1"/>
  <c r="AV101" i="8"/>
  <c r="AY101" i="8" s="1"/>
  <c r="AX101" i="8"/>
  <c r="AH421" i="10"/>
  <c r="AJ421" i="10"/>
  <c r="AX76" i="8"/>
  <c r="AV76" i="8"/>
  <c r="AY76" i="8" s="1"/>
  <c r="AJ411" i="8"/>
  <c r="AI411" i="8"/>
  <c r="AM412" i="8" s="1"/>
  <c r="AR412" i="8" s="1"/>
  <c r="AH411" i="8"/>
  <c r="AL411" i="8" s="1"/>
  <c r="AH371" i="10"/>
  <c r="AI371" i="10" s="1"/>
  <c r="AM372" i="10" s="1"/>
  <c r="AQ372" i="10" s="1"/>
  <c r="AR372" i="10" s="1"/>
  <c r="AJ371" i="10"/>
  <c r="AJ391" i="8"/>
  <c r="AH391" i="8"/>
  <c r="AL391" i="8" s="1"/>
  <c r="AJ371" i="8"/>
  <c r="AH371" i="8"/>
  <c r="AI371" i="8" s="1"/>
  <c r="AM372" i="8" s="1"/>
  <c r="AR372" i="8" s="1"/>
  <c r="AJ166" i="8"/>
  <c r="AH166" i="8"/>
  <c r="AI166" i="8" s="1"/>
  <c r="AM167" i="8" s="1"/>
  <c r="AR167" i="8" s="1"/>
  <c r="AJ81" i="8"/>
  <c r="AH81" i="8"/>
  <c r="AL81" i="8" s="1"/>
  <c r="AJ131" i="8"/>
  <c r="AH131" i="8"/>
  <c r="AL131" i="8" s="1"/>
  <c r="AH76" i="8"/>
  <c r="AI76" i="8" s="1"/>
  <c r="AM77" i="8" s="1"/>
  <c r="AR77" i="8" s="1"/>
  <c r="AJ76" i="8"/>
  <c r="AX406" i="10"/>
  <c r="AV406" i="10"/>
  <c r="AY406" i="10" s="1"/>
  <c r="AJ376" i="9"/>
  <c r="AH376" i="9"/>
  <c r="AL376" i="9" s="1"/>
  <c r="AX381" i="8"/>
  <c r="AV381" i="8"/>
  <c r="AY381" i="8" s="1"/>
  <c r="AJ416" i="8"/>
  <c r="AH416" i="8"/>
  <c r="AL416" i="8" s="1"/>
  <c r="AH386" i="8"/>
  <c r="AI386" i="8" s="1"/>
  <c r="AM387" i="8" s="1"/>
  <c r="AR387" i="8" s="1"/>
  <c r="AL386" i="8"/>
  <c r="AJ386" i="8"/>
  <c r="AJ316" i="8"/>
  <c r="AH316" i="8"/>
  <c r="AL316" i="8" s="1"/>
  <c r="AJ326" i="8"/>
  <c r="AH326" i="8"/>
  <c r="AL326" i="8" s="1"/>
  <c r="AZ386" i="10"/>
  <c r="AV386" i="10"/>
  <c r="AY386" i="10" s="1"/>
  <c r="AX386" i="10"/>
  <c r="AX186" i="8"/>
  <c r="AV186" i="8"/>
  <c r="AY186" i="8" s="1"/>
  <c r="AJ41" i="8"/>
  <c r="AH41" i="8"/>
  <c r="AL41" i="8" s="1"/>
  <c r="AH31" i="8"/>
  <c r="AJ31" i="8"/>
  <c r="AV411" i="10"/>
  <c r="AY411" i="10" s="1"/>
  <c r="AX411" i="10"/>
  <c r="AJ61" i="8"/>
  <c r="AH61" i="8"/>
  <c r="AI61" i="8" s="1"/>
  <c r="AM62" i="8" s="1"/>
  <c r="AR62" i="8" s="1"/>
  <c r="AX251" i="9"/>
  <c r="AV251" i="9"/>
  <c r="AY251" i="9" s="1"/>
  <c r="AX266" i="8"/>
  <c r="AV266" i="8"/>
  <c r="AY266" i="8" s="1"/>
  <c r="AJ336" i="10"/>
  <c r="AH336" i="10"/>
  <c r="AI336" i="10" s="1"/>
  <c r="AM337" i="10" s="1"/>
  <c r="AQ337" i="10" s="1"/>
  <c r="AR337" i="10" s="1"/>
  <c r="AJ231" i="10"/>
  <c r="AH231" i="10"/>
  <c r="AL231" i="10" s="1"/>
  <c r="AJ356" i="8"/>
  <c r="AH356" i="8"/>
  <c r="AL356" i="8" s="1"/>
  <c r="AX236" i="8"/>
  <c r="AV236" i="8"/>
  <c r="AY236" i="8" s="1"/>
  <c r="AH261" i="8"/>
  <c r="AL261" i="8" s="1"/>
  <c r="AJ261" i="8"/>
  <c r="AX151" i="8"/>
  <c r="AV151" i="8"/>
  <c r="AY151" i="8" s="1"/>
  <c r="AJ56" i="8"/>
  <c r="AH56" i="8"/>
  <c r="AL56" i="8" s="1"/>
  <c r="AX46" i="10"/>
  <c r="AV46" i="10"/>
  <c r="AY46" i="10" s="1"/>
  <c r="AH146" i="8"/>
  <c r="AI146" i="8" s="1"/>
  <c r="AM147" i="8" s="1"/>
  <c r="AR147" i="8" s="1"/>
  <c r="AJ146" i="8"/>
  <c r="AX86" i="9"/>
  <c r="AV86" i="9"/>
  <c r="AY86" i="9" s="1"/>
  <c r="AJ211" i="8"/>
  <c r="AH211" i="8"/>
  <c r="AL211" i="8" s="1"/>
  <c r="AJ171" i="9"/>
  <c r="AH171" i="9"/>
  <c r="AX346" i="8"/>
  <c r="AV346" i="8"/>
  <c r="AY346" i="8" s="1"/>
  <c r="AJ106" i="8"/>
  <c r="AH106" i="8"/>
  <c r="AL106" i="8" s="1"/>
  <c r="AX71" i="8"/>
  <c r="AV71" i="8"/>
  <c r="AY71" i="8" s="1"/>
  <c r="AX376" i="9"/>
  <c r="AV376" i="9"/>
  <c r="AY376" i="9" s="1"/>
  <c r="AJ351" i="8"/>
  <c r="AH351" i="8"/>
  <c r="AL351" i="8" s="1"/>
  <c r="AX276" i="8"/>
  <c r="AV276" i="8"/>
  <c r="AY276" i="8" s="1"/>
  <c r="AX206" i="8"/>
  <c r="AV206" i="8"/>
  <c r="AY206" i="8" s="1"/>
  <c r="AJ396" i="8"/>
  <c r="AH396" i="8"/>
  <c r="AL396" i="8" s="1"/>
  <c r="AJ276" i="8"/>
  <c r="AH276" i="8"/>
  <c r="AL276" i="8" s="1"/>
  <c r="AJ236" i="8"/>
  <c r="AH236" i="8"/>
  <c r="AL236" i="8" s="1"/>
  <c r="AJ176" i="8"/>
  <c r="AH176" i="8"/>
  <c r="AV411" i="8"/>
  <c r="AY411" i="8" s="1"/>
  <c r="AX411" i="8"/>
  <c r="AX246" i="9"/>
  <c r="AV246" i="9"/>
  <c r="AY246" i="9" s="1"/>
  <c r="AX126" i="8"/>
  <c r="AV126" i="8"/>
  <c r="AH346" i="8"/>
  <c r="AI346" i="8" s="1"/>
  <c r="AM347" i="8" s="1"/>
  <c r="AR347" i="8" s="1"/>
  <c r="AJ346" i="8"/>
  <c r="AJ411" i="10"/>
  <c r="AH411" i="10"/>
  <c r="AJ281" i="8"/>
  <c r="AH281" i="8"/>
  <c r="AL281" i="8" s="1"/>
  <c r="AV61" i="8"/>
  <c r="AY61" i="8" s="1"/>
  <c r="AX61" i="8"/>
  <c r="AJ266" i="10"/>
  <c r="AH266" i="10"/>
  <c r="AL266" i="10" s="1"/>
  <c r="AX321" i="8"/>
  <c r="AV321" i="8"/>
  <c r="AY321" i="8" s="1"/>
  <c r="AV401" i="9"/>
  <c r="AY401" i="9" s="1"/>
  <c r="AX401" i="9"/>
  <c r="AX36" i="8"/>
  <c r="AV36" i="8"/>
  <c r="AY36" i="8" s="1"/>
  <c r="AX46" i="9"/>
  <c r="AV46" i="9"/>
  <c r="AY46" i="9" s="1"/>
  <c r="AX56" i="8"/>
  <c r="AV56" i="8"/>
  <c r="AY56" i="8" s="1"/>
  <c r="AX301" i="8"/>
  <c r="AV301" i="8"/>
  <c r="AY301" i="8" s="1"/>
  <c r="AX406" i="8"/>
  <c r="AV406" i="8"/>
  <c r="AY406" i="8" s="1"/>
  <c r="AH266" i="8"/>
  <c r="AI266" i="8" s="1"/>
  <c r="AM267" i="8" s="1"/>
  <c r="AR267" i="8" s="1"/>
  <c r="AJ266" i="8"/>
  <c r="AX196" i="8"/>
  <c r="AV196" i="8"/>
  <c r="AY196" i="8" s="1"/>
  <c r="AX306" i="8"/>
  <c r="AV306" i="8"/>
  <c r="AY306" i="8" s="1"/>
  <c r="AX421" i="10"/>
  <c r="AV421" i="10"/>
  <c r="AH306" i="8"/>
  <c r="AI306" i="8" s="1"/>
  <c r="AM307" i="8" s="1"/>
  <c r="AR307" i="8" s="1"/>
  <c r="AJ306" i="8"/>
  <c r="AJ161" i="8"/>
  <c r="AH161" i="8"/>
  <c r="AI161" i="8" s="1"/>
  <c r="AM162" i="8" s="1"/>
  <c r="AR162" i="8" s="1"/>
  <c r="AH141" i="8"/>
  <c r="AJ141" i="8"/>
  <c r="AJ46" i="8"/>
  <c r="AH46" i="8"/>
  <c r="AL46" i="8" s="1"/>
  <c r="AX96" i="8"/>
  <c r="AV96" i="8"/>
  <c r="AY96" i="8" s="1"/>
  <c r="AH36" i="8"/>
  <c r="AI36" i="8" s="1"/>
  <c r="AM37" i="8" s="1"/>
  <c r="AR37" i="8" s="1"/>
  <c r="AJ36" i="8"/>
  <c r="AJ416" i="9"/>
  <c r="AH416" i="9"/>
  <c r="AL416" i="9" s="1"/>
  <c r="AX221" i="8"/>
  <c r="AV221" i="8"/>
  <c r="AY221" i="8" s="1"/>
  <c r="AX156" i="8"/>
  <c r="AV156" i="8"/>
  <c r="AY156" i="8" s="1"/>
  <c r="AJ91" i="8"/>
  <c r="AH91" i="8"/>
  <c r="AI91" i="8" s="1"/>
  <c r="AM92" i="8" s="1"/>
  <c r="AR92" i="8" s="1"/>
  <c r="AX46" i="8"/>
  <c r="AV46" i="8"/>
  <c r="AY46" i="8" s="1"/>
  <c r="AJ121" i="8"/>
  <c r="AH121" i="8"/>
  <c r="AL121" i="8" s="1"/>
  <c r="AX116" i="10"/>
  <c r="AV116" i="10"/>
  <c r="AY116" i="10" s="1"/>
  <c r="AX421" i="8"/>
  <c r="AV421" i="8"/>
  <c r="AY421" i="8" s="1"/>
  <c r="AJ176" i="10"/>
  <c r="AH176" i="10"/>
  <c r="AL176" i="10" s="1"/>
  <c r="AX106" i="10"/>
  <c r="AV106" i="10"/>
  <c r="AY106" i="10" s="1"/>
  <c r="AX386" i="8"/>
  <c r="AV386" i="8"/>
  <c r="AY386" i="8" s="1"/>
  <c r="AJ376" i="8"/>
  <c r="AH376" i="8"/>
  <c r="AI376" i="8" s="1"/>
  <c r="AM377" i="8" s="1"/>
  <c r="AR377" i="8" s="1"/>
  <c r="AJ171" i="8"/>
  <c r="AH171" i="8"/>
  <c r="AL171" i="8" s="1"/>
  <c r="AV211" i="8"/>
  <c r="AY211" i="8" s="1"/>
  <c r="AX211" i="8"/>
  <c r="AV161" i="10"/>
  <c r="AY161" i="10" s="1"/>
  <c r="AX161" i="10"/>
  <c r="AX166" i="9"/>
  <c r="AV166" i="9"/>
  <c r="AV291" i="8"/>
  <c r="AY291" i="8" s="1"/>
  <c r="AX291" i="8"/>
  <c r="AX146" i="8"/>
  <c r="AV146" i="8"/>
  <c r="AY146" i="8" s="1"/>
  <c r="AJ361" i="9"/>
  <c r="AH361" i="9"/>
  <c r="AJ246" i="10"/>
  <c r="AH246" i="10"/>
  <c r="AL246" i="10" s="1"/>
  <c r="AJ111" i="9"/>
  <c r="AH111" i="9"/>
  <c r="AX211" i="9"/>
  <c r="AV211" i="9"/>
  <c r="AY211" i="9" s="1"/>
  <c r="AH381" i="8"/>
  <c r="AJ381" i="8"/>
  <c r="AX341" i="8"/>
  <c r="AV341" i="8"/>
  <c r="AY341" i="8" s="1"/>
  <c r="AJ96" i="8"/>
  <c r="AH96" i="8"/>
  <c r="AI96" i="8" s="1"/>
  <c r="AM97" i="8" s="1"/>
  <c r="AR97" i="8" s="1"/>
  <c r="AJ231" i="8"/>
  <c r="AH231" i="8"/>
  <c r="AL231" i="8" s="1"/>
  <c r="AX91" i="9"/>
  <c r="AV91" i="9"/>
  <c r="AJ291" i="8"/>
  <c r="AH291" i="8"/>
  <c r="AL291" i="8" s="1"/>
  <c r="AJ311" i="8"/>
  <c r="AH311" i="8"/>
  <c r="AL311" i="8" s="1"/>
  <c r="AX91" i="8"/>
  <c r="AV91" i="8"/>
  <c r="AY91" i="8" s="1"/>
  <c r="AJ241" i="8"/>
  <c r="AH241" i="8"/>
  <c r="AL241" i="8" s="1"/>
  <c r="AV296" i="8"/>
  <c r="AX296" i="8"/>
  <c r="AV131" i="8"/>
  <c r="AY131" i="8" s="1"/>
  <c r="AX131" i="8"/>
  <c r="AJ421" i="9"/>
  <c r="AH421" i="9"/>
  <c r="AL421" i="9" s="1"/>
  <c r="AJ116" i="10"/>
  <c r="AH116" i="10"/>
  <c r="AI116" i="10" s="1"/>
  <c r="AM117" i="10" s="1"/>
  <c r="AQ117" i="10" s="1"/>
  <c r="AR117" i="10" s="1"/>
  <c r="AX391" i="10"/>
  <c r="AV391" i="10"/>
  <c r="AY391" i="10" s="1"/>
  <c r="AJ401" i="9"/>
  <c r="AH401" i="9"/>
  <c r="AX371" i="10"/>
  <c r="AV371" i="10"/>
  <c r="AY371" i="10" s="1"/>
  <c r="AX271" i="8"/>
  <c r="AV271" i="8"/>
  <c r="AJ296" i="8"/>
  <c r="AH296" i="8"/>
  <c r="AL296" i="8" s="1"/>
  <c r="AJ196" i="8"/>
  <c r="AH196" i="8"/>
  <c r="AL196" i="8" s="1"/>
  <c r="AX166" i="8"/>
  <c r="AV166" i="8"/>
  <c r="AY166" i="8" s="1"/>
  <c r="AJ216" i="8"/>
  <c r="AH216" i="8"/>
  <c r="AL216" i="8" s="1"/>
  <c r="AJ151" i="8"/>
  <c r="AH151" i="8"/>
  <c r="AL151" i="8" s="1"/>
  <c r="AJ381" i="10"/>
  <c r="AL381" i="10"/>
  <c r="AH381" i="10"/>
  <c r="AI381" i="10" s="1"/>
  <c r="AM382" i="10" s="1"/>
  <c r="AQ382" i="10" s="1"/>
  <c r="AR382" i="10" s="1"/>
  <c r="AX81" i="9"/>
  <c r="AV81" i="9"/>
  <c r="AY81" i="9" s="1"/>
  <c r="AJ161" i="9"/>
  <c r="AH161" i="9"/>
  <c r="AL161" i="9" s="1"/>
  <c r="AJ361" i="8"/>
  <c r="AH361" i="8"/>
  <c r="AJ366" i="10"/>
  <c r="AH366" i="10"/>
  <c r="AX371" i="9"/>
  <c r="AV371" i="9"/>
  <c r="AY371" i="9" s="1"/>
  <c r="AZ371" i="9"/>
  <c r="AX366" i="8"/>
  <c r="AV366" i="8"/>
  <c r="AY366" i="8" s="1"/>
  <c r="AJ251" i="8"/>
  <c r="AH251" i="8"/>
  <c r="AI251" i="8" s="1"/>
  <c r="AM252" i="8" s="1"/>
  <c r="AR252" i="8" s="1"/>
  <c r="AX181" i="8"/>
  <c r="AV181" i="8"/>
  <c r="AY181" i="8" s="1"/>
  <c r="AX161" i="8"/>
  <c r="AV161" i="8"/>
  <c r="AY161" i="8" s="1"/>
  <c r="AX286" i="10"/>
  <c r="AV286" i="10"/>
  <c r="AY286" i="10" s="1"/>
  <c r="AH181" i="8"/>
  <c r="AI181" i="8" s="1"/>
  <c r="AM182" i="8" s="1"/>
  <c r="AR182" i="8" s="1"/>
  <c r="AL181" i="8"/>
  <c r="AJ181" i="8"/>
  <c r="AJ296" i="10"/>
  <c r="AH296" i="10"/>
  <c r="AJ126" i="10"/>
  <c r="AH126" i="10"/>
  <c r="AX31" i="9"/>
  <c r="AV31" i="9"/>
  <c r="AY31" i="9" s="1"/>
  <c r="AJ191" i="8"/>
  <c r="AH191" i="8"/>
  <c r="AL191" i="8" s="1"/>
  <c r="AX86" i="8"/>
  <c r="AV86" i="8"/>
  <c r="AY86" i="8" s="1"/>
  <c r="AX201" i="10"/>
  <c r="AV201" i="10"/>
  <c r="AY201" i="10" s="1"/>
  <c r="W362" i="10"/>
  <c r="V282" i="8"/>
  <c r="T282" i="8"/>
  <c r="AX406" i="9"/>
  <c r="AW406" i="9"/>
  <c r="AV406" i="9"/>
  <c r="AY406" i="9" s="1"/>
  <c r="AZ406" i="9"/>
  <c r="W306" i="9"/>
  <c r="T322" i="10"/>
  <c r="X322" i="10" s="1"/>
  <c r="V322" i="10"/>
  <c r="T422" i="10"/>
  <c r="X422" i="10" s="1"/>
  <c r="V422" i="10"/>
  <c r="U398" i="10"/>
  <c r="U362" i="10"/>
  <c r="Y363" i="10" s="1"/>
  <c r="AC363" i="10" s="1"/>
  <c r="AD363" i="10" s="1"/>
  <c r="AF363" i="10" s="1"/>
  <c r="V384" i="10"/>
  <c r="T384" i="10"/>
  <c r="X384" i="10" s="1"/>
  <c r="W336" i="10"/>
  <c r="V232" i="10"/>
  <c r="T232" i="10"/>
  <c r="X232" i="10" s="1"/>
  <c r="W207" i="10"/>
  <c r="W101" i="10"/>
  <c r="V186" i="9"/>
  <c r="T186" i="9"/>
  <c r="X186" i="9" s="1"/>
  <c r="W121" i="9"/>
  <c r="T396" i="8"/>
  <c r="X396" i="8" s="1"/>
  <c r="V396" i="8"/>
  <c r="V307" i="8"/>
  <c r="T307" i="8"/>
  <c r="X307" i="8" s="1"/>
  <c r="T348" i="8"/>
  <c r="W348" i="8" s="1"/>
  <c r="V348" i="8"/>
  <c r="T343" i="8"/>
  <c r="W343" i="8" s="1"/>
  <c r="V343" i="8"/>
  <c r="T207" i="8"/>
  <c r="V207" i="8"/>
  <c r="V68" i="8"/>
  <c r="T68" i="8"/>
  <c r="W68" i="8" s="1"/>
  <c r="U413" i="10"/>
  <c r="T372" i="10"/>
  <c r="U372" i="10" s="1"/>
  <c r="Y373" i="10" s="1"/>
  <c r="AC373" i="10" s="1"/>
  <c r="AD373" i="10" s="1"/>
  <c r="V372" i="10"/>
  <c r="V326" i="10"/>
  <c r="T326" i="10"/>
  <c r="V307" i="10"/>
  <c r="T307" i="10"/>
  <c r="U289" i="10"/>
  <c r="Y289" i="10" s="1"/>
  <c r="AC289" i="10" s="1"/>
  <c r="AD289" i="10" s="1"/>
  <c r="T184" i="10"/>
  <c r="X184" i="10" s="1"/>
  <c r="V184" i="10"/>
  <c r="W36" i="10"/>
  <c r="V378" i="9"/>
  <c r="T378" i="9"/>
  <c r="W378" i="9" s="1"/>
  <c r="V348" i="9"/>
  <c r="T348" i="9"/>
  <c r="W348" i="9" s="1"/>
  <c r="T166" i="9"/>
  <c r="V166" i="9"/>
  <c r="V101" i="9"/>
  <c r="T101" i="9"/>
  <c r="X101" i="9" s="1"/>
  <c r="T36" i="9"/>
  <c r="U36" i="9" s="1"/>
  <c r="Y37" i="9" s="1"/>
  <c r="AC37" i="9" s="1"/>
  <c r="AD37" i="9" s="1"/>
  <c r="V36" i="9"/>
  <c r="T359" i="8"/>
  <c r="V359" i="8"/>
  <c r="V361" i="8"/>
  <c r="T361" i="8"/>
  <c r="X361" i="8" s="1"/>
  <c r="T276" i="8"/>
  <c r="U276" i="8" s="1"/>
  <c r="Y277" i="8" s="1"/>
  <c r="AD277" i="8" s="1"/>
  <c r="V276" i="8"/>
  <c r="W182" i="8"/>
  <c r="V138" i="8"/>
  <c r="T138" i="8"/>
  <c r="W138" i="8" s="1"/>
  <c r="X53" i="8"/>
  <c r="V53" i="8"/>
  <c r="T53" i="8"/>
  <c r="W53" i="8" s="1"/>
  <c r="AZ226" i="10"/>
  <c r="AJ276" i="10"/>
  <c r="AH276" i="10"/>
  <c r="AI276" i="10" s="1"/>
  <c r="AM277" i="10" s="1"/>
  <c r="AQ277" i="10" s="1"/>
  <c r="AR277" i="10" s="1"/>
  <c r="AX151" i="10"/>
  <c r="AV151" i="10"/>
  <c r="AY151" i="10" s="1"/>
  <c r="T389" i="10"/>
  <c r="V389" i="10"/>
  <c r="V324" i="10"/>
  <c r="T324" i="10"/>
  <c r="U324" i="10" s="1"/>
  <c r="Y324" i="10" s="1"/>
  <c r="AC324" i="10" s="1"/>
  <c r="AD324" i="10" s="1"/>
  <c r="U288" i="10"/>
  <c r="T68" i="10"/>
  <c r="W68" i="10" s="1"/>
  <c r="V68" i="10"/>
  <c r="U318" i="9"/>
  <c r="X233" i="9"/>
  <c r="X189" i="9"/>
  <c r="V189" i="9"/>
  <c r="U189" i="9"/>
  <c r="Y189" i="9" s="1"/>
  <c r="AC189" i="9" s="1"/>
  <c r="AD189" i="9" s="1"/>
  <c r="T189" i="9"/>
  <c r="V323" i="8"/>
  <c r="T323" i="8"/>
  <c r="W323" i="8" s="1"/>
  <c r="X303" i="8"/>
  <c r="V203" i="8"/>
  <c r="T203" i="8"/>
  <c r="W203" i="8" s="1"/>
  <c r="V181" i="8"/>
  <c r="T181" i="8"/>
  <c r="T167" i="8"/>
  <c r="U167" i="8" s="1"/>
  <c r="Y168" i="8" s="1"/>
  <c r="AD168" i="8" s="1"/>
  <c r="V167" i="8"/>
  <c r="T164" i="8"/>
  <c r="X164" i="8" s="1"/>
  <c r="V164" i="8"/>
  <c r="V74" i="8"/>
  <c r="T74" i="8"/>
  <c r="X74" i="8" s="1"/>
  <c r="T97" i="8"/>
  <c r="U97" i="8" s="1"/>
  <c r="Y98" i="8" s="1"/>
  <c r="AD98" i="8" s="1"/>
  <c r="V97" i="8"/>
  <c r="T260" i="10"/>
  <c r="X260" i="10" s="1"/>
  <c r="V260" i="10"/>
  <c r="AX41" i="10"/>
  <c r="AV41" i="10"/>
  <c r="AY41" i="10" s="1"/>
  <c r="AJ306" i="10"/>
  <c r="AH306" i="10"/>
  <c r="AI306" i="10" s="1"/>
  <c r="AM307" i="10" s="1"/>
  <c r="AQ307" i="10" s="1"/>
  <c r="AR307" i="10" s="1"/>
  <c r="AX416" i="9"/>
  <c r="AV416" i="9"/>
  <c r="AY416" i="9" s="1"/>
  <c r="AK241" i="10"/>
  <c r="AT242" i="10"/>
  <c r="AK25" i="10"/>
  <c r="T404" i="10"/>
  <c r="V404" i="10"/>
  <c r="V213" i="10"/>
  <c r="T213" i="10"/>
  <c r="W213" i="10" s="1"/>
  <c r="V158" i="10"/>
  <c r="T158" i="10"/>
  <c r="W158" i="10" s="1"/>
  <c r="X57" i="10"/>
  <c r="V403" i="9"/>
  <c r="T403" i="9"/>
  <c r="W403" i="9" s="1"/>
  <c r="V369" i="9"/>
  <c r="T369" i="9"/>
  <c r="X369" i="9" s="1"/>
  <c r="V363" i="9"/>
  <c r="T363" i="9"/>
  <c r="W363" i="9" s="1"/>
  <c r="W289" i="9"/>
  <c r="V247" i="9"/>
  <c r="T247" i="9"/>
  <c r="X247" i="9" s="1"/>
  <c r="T142" i="9"/>
  <c r="U142" i="9" s="1"/>
  <c r="Y143" i="9" s="1"/>
  <c r="AC143" i="9" s="1"/>
  <c r="AD143" i="9" s="1"/>
  <c r="V142" i="9"/>
  <c r="V77" i="9"/>
  <c r="T77" i="9"/>
  <c r="X77" i="9" s="1"/>
  <c r="V198" i="8"/>
  <c r="T198" i="8"/>
  <c r="W198" i="8" s="1"/>
  <c r="U289" i="8"/>
  <c r="Y289" i="8" s="1"/>
  <c r="AD289" i="8" s="1"/>
  <c r="AF289" i="8" s="1"/>
  <c r="V127" i="8"/>
  <c r="T127" i="8"/>
  <c r="AV140" i="9"/>
  <c r="AY140" i="9" s="1"/>
  <c r="AX140" i="9"/>
  <c r="AW140" i="9"/>
  <c r="AV356" i="10"/>
  <c r="AY356" i="10" s="1"/>
  <c r="AX356" i="10"/>
  <c r="AY25" i="9"/>
  <c r="AZ25" i="9"/>
  <c r="AJ136" i="9"/>
  <c r="AH136" i="9"/>
  <c r="AI136" i="9" s="1"/>
  <c r="AM137" i="9" s="1"/>
  <c r="AQ137" i="9" s="1"/>
  <c r="AR137" i="9" s="1"/>
  <c r="T346" i="10"/>
  <c r="U346" i="10" s="1"/>
  <c r="Y347" i="10" s="1"/>
  <c r="AC347" i="10" s="1"/>
  <c r="AD347" i="10" s="1"/>
  <c r="X346" i="10"/>
  <c r="V346" i="10"/>
  <c r="AF279" i="10"/>
  <c r="W279" i="10"/>
  <c r="X293" i="10"/>
  <c r="X259" i="10"/>
  <c r="AF158" i="10"/>
  <c r="W157" i="10"/>
  <c r="T127" i="10"/>
  <c r="U127" i="10" s="1"/>
  <c r="Y128" i="10" s="1"/>
  <c r="AC128" i="10" s="1"/>
  <c r="AD128" i="10" s="1"/>
  <c r="V127" i="10"/>
  <c r="X93" i="10"/>
  <c r="AF358" i="9"/>
  <c r="W357" i="9"/>
  <c r="AF312" i="9"/>
  <c r="W311" i="9"/>
  <c r="T301" i="9"/>
  <c r="V301" i="9"/>
  <c r="AF209" i="9"/>
  <c r="W209" i="9"/>
  <c r="T137" i="9"/>
  <c r="X137" i="9"/>
  <c r="V137" i="9"/>
  <c r="U96" i="9"/>
  <c r="Y97" i="9" s="1"/>
  <c r="AC97" i="9" s="1"/>
  <c r="AD97" i="9" s="1"/>
  <c r="V366" i="8"/>
  <c r="U366" i="8"/>
  <c r="Y367" i="8" s="1"/>
  <c r="AD367" i="8" s="1"/>
  <c r="T366" i="8"/>
  <c r="X366" i="8"/>
  <c r="T383" i="8"/>
  <c r="W383" i="8" s="1"/>
  <c r="X383" i="8"/>
  <c r="V383" i="8"/>
  <c r="U383" i="8"/>
  <c r="V342" i="8"/>
  <c r="U342" i="8"/>
  <c r="Y343" i="8" s="1"/>
  <c r="AD343" i="8" s="1"/>
  <c r="T342" i="8"/>
  <c r="X342" i="8"/>
  <c r="V304" i="8"/>
  <c r="T304" i="8"/>
  <c r="X304" i="8" s="1"/>
  <c r="V141" i="8"/>
  <c r="T141" i="8"/>
  <c r="T236" i="8"/>
  <c r="V236" i="8"/>
  <c r="V104" i="8"/>
  <c r="U104" i="8"/>
  <c r="Y104" i="8" s="1"/>
  <c r="AD104" i="8" s="1"/>
  <c r="T104" i="8"/>
  <c r="X104" i="8"/>
  <c r="AV50" i="10"/>
  <c r="AY50" i="10" s="1"/>
  <c r="AX50" i="10"/>
  <c r="T70" i="10"/>
  <c r="V70" i="10"/>
  <c r="T140" i="9"/>
  <c r="U140" i="9" s="1"/>
  <c r="Y141" i="9" s="1"/>
  <c r="AC141" i="9" s="1"/>
  <c r="AD141" i="9" s="1"/>
  <c r="V140" i="9"/>
  <c r="V343" i="10"/>
  <c r="T343" i="10"/>
  <c r="W343" i="10" s="1"/>
  <c r="AF234" i="10"/>
  <c r="W234" i="10"/>
  <c r="W222" i="10"/>
  <c r="AF223" i="10"/>
  <c r="AF182" i="10"/>
  <c r="W181" i="10"/>
  <c r="AF97" i="10"/>
  <c r="W96" i="10"/>
  <c r="X418" i="9"/>
  <c r="AF304" i="9"/>
  <c r="W304" i="9"/>
  <c r="U274" i="9"/>
  <c r="Y274" i="9" s="1"/>
  <c r="AC274" i="9" s="1"/>
  <c r="AD274" i="9" s="1"/>
  <c r="AF274" i="9" s="1"/>
  <c r="W231" i="9"/>
  <c r="AF232" i="9"/>
  <c r="V172" i="9"/>
  <c r="T172" i="9"/>
  <c r="V138" i="9"/>
  <c r="T138" i="9"/>
  <c r="W138" i="9" s="1"/>
  <c r="W107" i="9"/>
  <c r="V73" i="9"/>
  <c r="T73" i="9"/>
  <c r="W73" i="9" s="1"/>
  <c r="V53" i="9"/>
  <c r="T53" i="9"/>
  <c r="W53" i="9" s="1"/>
  <c r="T364" i="8"/>
  <c r="U364" i="8" s="1"/>
  <c r="Y364" i="8" s="1"/>
  <c r="AD364" i="8" s="1"/>
  <c r="V364" i="8"/>
  <c r="V309" i="8"/>
  <c r="T309" i="8"/>
  <c r="AF282" i="8"/>
  <c r="W281" i="8"/>
  <c r="AF163" i="8"/>
  <c r="W162" i="8"/>
  <c r="V98" i="8"/>
  <c r="T98" i="8"/>
  <c r="W98" i="8" s="1"/>
  <c r="T86" i="8"/>
  <c r="U86" i="8" s="1"/>
  <c r="Y87" i="8" s="1"/>
  <c r="AD87" i="8" s="1"/>
  <c r="V86" i="8"/>
  <c r="AH35" i="9"/>
  <c r="AI35" i="9" s="1"/>
  <c r="AM36" i="9" s="1"/>
  <c r="AQ36" i="9" s="1"/>
  <c r="AR36" i="9" s="1"/>
  <c r="AJ35" i="9"/>
  <c r="T300" i="9"/>
  <c r="U300" i="9" s="1"/>
  <c r="Y301" i="9" s="1"/>
  <c r="AC301" i="9" s="1"/>
  <c r="AD301" i="9" s="1"/>
  <c r="V300" i="9"/>
  <c r="AX311" i="9"/>
  <c r="AV311" i="9"/>
  <c r="AY311" i="9" s="1"/>
  <c r="U266" i="10"/>
  <c r="Y267" i="10" s="1"/>
  <c r="AC267" i="10" s="1"/>
  <c r="AD267" i="10" s="1"/>
  <c r="AF267" i="10" s="1"/>
  <c r="T201" i="10"/>
  <c r="U201" i="10" s="1"/>
  <c r="Y202" i="10" s="1"/>
  <c r="AC202" i="10" s="1"/>
  <c r="AD202" i="10" s="1"/>
  <c r="V201" i="10"/>
  <c r="V73" i="10"/>
  <c r="T73" i="10"/>
  <c r="W73" i="10" s="1"/>
  <c r="W417" i="9"/>
  <c r="AF418" i="9"/>
  <c r="V361" i="9"/>
  <c r="T361" i="9"/>
  <c r="X361" i="9" s="1"/>
  <c r="T266" i="9"/>
  <c r="X266" i="9" s="1"/>
  <c r="V266" i="9"/>
  <c r="AF149" i="9"/>
  <c r="W149" i="9"/>
  <c r="V76" i="9"/>
  <c r="T76" i="9"/>
  <c r="V363" i="8"/>
  <c r="T363" i="8"/>
  <c r="W363" i="8" s="1"/>
  <c r="T356" i="8"/>
  <c r="U356" i="8" s="1"/>
  <c r="Y357" i="8" s="1"/>
  <c r="AD357" i="8" s="1"/>
  <c r="V356" i="8"/>
  <c r="V322" i="8"/>
  <c r="T322" i="8"/>
  <c r="X322" i="8" s="1"/>
  <c r="T252" i="8"/>
  <c r="U252" i="8" s="1"/>
  <c r="Y253" i="8" s="1"/>
  <c r="AD253" i="8" s="1"/>
  <c r="V252" i="8"/>
  <c r="T143" i="8"/>
  <c r="W143" i="8" s="1"/>
  <c r="V143" i="8"/>
  <c r="AT26" i="8"/>
  <c r="AK25" i="8"/>
  <c r="W291" i="10"/>
  <c r="V247" i="10"/>
  <c r="T247" i="10"/>
  <c r="X247" i="10" s="1"/>
  <c r="U193" i="10"/>
  <c r="U133" i="10"/>
  <c r="U58" i="10"/>
  <c r="V333" i="9"/>
  <c r="T333" i="9"/>
  <c r="W333" i="9" s="1"/>
  <c r="T269" i="9"/>
  <c r="X269" i="9"/>
  <c r="V269" i="9"/>
  <c r="U269" i="9"/>
  <c r="Y269" i="9" s="1"/>
  <c r="AC269" i="9" s="1"/>
  <c r="AD269" i="9" s="1"/>
  <c r="V238" i="9"/>
  <c r="T238" i="9"/>
  <c r="W238" i="9" s="1"/>
  <c r="W152" i="9"/>
  <c r="AF153" i="9"/>
  <c r="AF129" i="9"/>
  <c r="W129" i="9"/>
  <c r="V418" i="8"/>
  <c r="T418" i="8"/>
  <c r="W418" i="8" s="1"/>
  <c r="V328" i="8"/>
  <c r="T328" i="8"/>
  <c r="W328" i="8" s="1"/>
  <c r="T94" i="8"/>
  <c r="X94" i="8" s="1"/>
  <c r="V94" i="8"/>
  <c r="AX306" i="10"/>
  <c r="AV306" i="10"/>
  <c r="AY306" i="10" s="1"/>
  <c r="AZ321" i="9"/>
  <c r="AZ231" i="10"/>
  <c r="AW246" i="10"/>
  <c r="AW186" i="9"/>
  <c r="AI171" i="10"/>
  <c r="AM172" i="10" s="1"/>
  <c r="AQ172" i="10" s="1"/>
  <c r="AR172" i="10" s="1"/>
  <c r="AW126" i="9"/>
  <c r="AK291" i="10"/>
  <c r="C16" i="7"/>
  <c r="D15" i="7" s="1"/>
  <c r="V296" i="10"/>
  <c r="T296" i="10"/>
  <c r="W231" i="10"/>
  <c r="W162" i="10"/>
  <c r="V62" i="10"/>
  <c r="T62" i="10"/>
  <c r="X62" i="10" s="1"/>
  <c r="V264" i="10"/>
  <c r="T264" i="10"/>
  <c r="X264" i="10" s="1"/>
  <c r="V39" i="10"/>
  <c r="T39" i="10"/>
  <c r="V422" i="9"/>
  <c r="T422" i="9"/>
  <c r="X398" i="10"/>
  <c r="V366" i="10"/>
  <c r="T366" i="10"/>
  <c r="X366" i="10" s="1"/>
  <c r="U336" i="10"/>
  <c r="Y337" i="10" s="1"/>
  <c r="AC337" i="10" s="1"/>
  <c r="AD337" i="10" s="1"/>
  <c r="AF337" i="10" s="1"/>
  <c r="V239" i="10"/>
  <c r="U239" i="10"/>
  <c r="Y239" i="10" s="1"/>
  <c r="AC239" i="10" s="1"/>
  <c r="AD239" i="10" s="1"/>
  <c r="T239" i="10"/>
  <c r="X239" i="10"/>
  <c r="U207" i="10"/>
  <c r="Y208" i="10" s="1"/>
  <c r="AC208" i="10" s="1"/>
  <c r="AD208" i="10" s="1"/>
  <c r="AF208" i="10" s="1"/>
  <c r="V178" i="10"/>
  <c r="T178" i="10"/>
  <c r="W178" i="10" s="1"/>
  <c r="U101" i="10"/>
  <c r="Y102" i="10" s="1"/>
  <c r="AC102" i="10" s="1"/>
  <c r="AD102" i="10" s="1"/>
  <c r="AF102" i="10" s="1"/>
  <c r="W401" i="9"/>
  <c r="AF402" i="9"/>
  <c r="W337" i="9"/>
  <c r="AF338" i="9"/>
  <c r="V272" i="9"/>
  <c r="T272" i="9"/>
  <c r="V283" i="9"/>
  <c r="T283" i="9"/>
  <c r="W283" i="9" s="1"/>
  <c r="W199" i="9"/>
  <c r="AF199" i="9"/>
  <c r="V148" i="9"/>
  <c r="T148" i="9"/>
  <c r="W148" i="9" s="1"/>
  <c r="W167" i="9"/>
  <c r="AF168" i="9"/>
  <c r="U121" i="9"/>
  <c r="Y122" i="9" s="1"/>
  <c r="AC122" i="9" s="1"/>
  <c r="AD122" i="9" s="1"/>
  <c r="AF122" i="9" s="1"/>
  <c r="V389" i="8"/>
  <c r="T389" i="8"/>
  <c r="X389" i="8" s="1"/>
  <c r="V338" i="8"/>
  <c r="T338" i="8"/>
  <c r="W338" i="8" s="1"/>
  <c r="AJ206" i="8"/>
  <c r="AH206" i="8"/>
  <c r="AL206" i="8" s="1"/>
  <c r="W29" i="9"/>
  <c r="AV300" i="9"/>
  <c r="AY300" i="9" s="1"/>
  <c r="AX300" i="9"/>
  <c r="AZ300" i="9"/>
  <c r="T220" i="9"/>
  <c r="X220" i="9" s="1"/>
  <c r="V220" i="9"/>
  <c r="AV296" i="10"/>
  <c r="AX296" i="10"/>
  <c r="AH136" i="10"/>
  <c r="AL136" i="10" s="1"/>
  <c r="AJ136" i="10"/>
  <c r="AJ96" i="10"/>
  <c r="AH96" i="10"/>
  <c r="AJ331" i="9"/>
  <c r="AH331" i="9"/>
  <c r="AL331" i="9" s="1"/>
  <c r="AJ231" i="9"/>
  <c r="AH231" i="9"/>
  <c r="AF374" i="10"/>
  <c r="W374" i="10"/>
  <c r="U297" i="10"/>
  <c r="Y298" i="10" s="1"/>
  <c r="AC298" i="10" s="1"/>
  <c r="AD298" i="10" s="1"/>
  <c r="T297" i="10"/>
  <c r="X297" i="10" s="1"/>
  <c r="V297" i="10"/>
  <c r="X231" i="10"/>
  <c r="T228" i="10"/>
  <c r="W228" i="10" s="1"/>
  <c r="V228" i="10"/>
  <c r="X162" i="10"/>
  <c r="X109" i="10"/>
  <c r="U36" i="10"/>
  <c r="Y37" i="10" s="1"/>
  <c r="AC37" i="10" s="1"/>
  <c r="AD37" i="10" s="1"/>
  <c r="AF37" i="10" s="1"/>
  <c r="W412" i="9"/>
  <c r="AF413" i="9"/>
  <c r="X329" i="9"/>
  <c r="AF203" i="9"/>
  <c r="W202" i="9"/>
  <c r="V147" i="9"/>
  <c r="T147" i="9"/>
  <c r="X147" i="9" s="1"/>
  <c r="V74" i="9"/>
  <c r="T74" i="9"/>
  <c r="U74" i="9" s="1"/>
  <c r="Y74" i="9" s="1"/>
  <c r="AC74" i="9" s="1"/>
  <c r="AD74" i="9" s="1"/>
  <c r="X74" i="9"/>
  <c r="V408" i="8"/>
  <c r="T408" i="8"/>
  <c r="W408" i="8" s="1"/>
  <c r="V341" i="8"/>
  <c r="T341" i="8"/>
  <c r="U182" i="8"/>
  <c r="Y183" i="8" s="1"/>
  <c r="AD183" i="8" s="1"/>
  <c r="AF183" i="8" s="1"/>
  <c r="V122" i="8"/>
  <c r="T122" i="8"/>
  <c r="X122" i="8" s="1"/>
  <c r="W25" i="8"/>
  <c r="AH50" i="10"/>
  <c r="AI50" i="10" s="1"/>
  <c r="AM51" i="10" s="1"/>
  <c r="AQ51" i="10" s="1"/>
  <c r="AR51" i="10" s="1"/>
  <c r="AJ50" i="10"/>
  <c r="AH35" i="10"/>
  <c r="AI35" i="10" s="1"/>
  <c r="AM36" i="10" s="1"/>
  <c r="AQ36" i="10" s="1"/>
  <c r="AR36" i="10" s="1"/>
  <c r="AJ35" i="10"/>
  <c r="T50" i="10"/>
  <c r="U50" i="10" s="1"/>
  <c r="Y51" i="10" s="1"/>
  <c r="AC51" i="10" s="1"/>
  <c r="AD51" i="10" s="1"/>
  <c r="V50" i="10"/>
  <c r="AJ241" i="9"/>
  <c r="AH241" i="9"/>
  <c r="AL241" i="9" s="1"/>
  <c r="AH296" i="9"/>
  <c r="AL296" i="9" s="1"/>
  <c r="AJ296" i="9"/>
  <c r="V379" i="10"/>
  <c r="T379" i="10"/>
  <c r="U379" i="10" s="1"/>
  <c r="Y379" i="10" s="1"/>
  <c r="AC379" i="10" s="1"/>
  <c r="AD379" i="10" s="1"/>
  <c r="X288" i="10"/>
  <c r="W176" i="10"/>
  <c r="X151" i="10"/>
  <c r="X147" i="10"/>
  <c r="V147" i="10"/>
  <c r="T147" i="10"/>
  <c r="V81" i="10"/>
  <c r="T81" i="10"/>
  <c r="X81" i="10" s="1"/>
  <c r="X306" i="9"/>
  <c r="V278" i="9"/>
  <c r="T278" i="9"/>
  <c r="W278" i="9" s="1"/>
  <c r="W221" i="9"/>
  <c r="W206" i="9"/>
  <c r="AF207" i="9"/>
  <c r="W162" i="9"/>
  <c r="AF163" i="9"/>
  <c r="AF404" i="8"/>
  <c r="W404" i="8"/>
  <c r="V267" i="8"/>
  <c r="T267" i="8"/>
  <c r="X267" i="8" s="1"/>
  <c r="V134" i="8"/>
  <c r="T134" i="8"/>
  <c r="X134" i="8" s="1"/>
  <c r="V147" i="8"/>
  <c r="T147" i="8"/>
  <c r="X147" i="8" s="1"/>
  <c r="W37" i="9"/>
  <c r="AF38" i="9"/>
  <c r="AF169" i="8"/>
  <c r="W169" i="8"/>
  <c r="AX306" i="9"/>
  <c r="AV306" i="9"/>
  <c r="AY306" i="9" s="1"/>
  <c r="D9" i="10"/>
  <c r="F9" i="10" s="1"/>
  <c r="AJ196" i="10"/>
  <c r="AH196" i="10"/>
  <c r="AL196" i="10" s="1"/>
  <c r="V402" i="10"/>
  <c r="X402" i="10"/>
  <c r="T402" i="10"/>
  <c r="V354" i="10"/>
  <c r="T354" i="10"/>
  <c r="X354" i="10" s="1"/>
  <c r="V301" i="10"/>
  <c r="T301" i="10"/>
  <c r="X301" i="10" s="1"/>
  <c r="V139" i="10"/>
  <c r="T139" i="10"/>
  <c r="T384" i="9"/>
  <c r="V384" i="9"/>
  <c r="V336" i="9"/>
  <c r="T336" i="9"/>
  <c r="U289" i="9"/>
  <c r="Y289" i="9" s="1"/>
  <c r="AC289" i="9" s="1"/>
  <c r="AD289" i="9" s="1"/>
  <c r="AF289" i="9" s="1"/>
  <c r="V236" i="9"/>
  <c r="T236" i="9"/>
  <c r="V192" i="9"/>
  <c r="T192" i="9"/>
  <c r="X192" i="9" s="1"/>
  <c r="V119" i="9"/>
  <c r="T119" i="9"/>
  <c r="V334" i="8"/>
  <c r="T334" i="8"/>
  <c r="X334" i="8" s="1"/>
  <c r="V301" i="8"/>
  <c r="T301" i="8"/>
  <c r="V321" i="8"/>
  <c r="T321" i="8"/>
  <c r="X321" i="8" s="1"/>
  <c r="V177" i="8"/>
  <c r="T177" i="8"/>
  <c r="X177" i="8" s="1"/>
  <c r="V84" i="8"/>
  <c r="T84" i="8"/>
  <c r="U84" i="8" s="1"/>
  <c r="Y84" i="8" s="1"/>
  <c r="AD84" i="8" s="1"/>
  <c r="AX316" i="9"/>
  <c r="AV316" i="9"/>
  <c r="AY316" i="9" s="1"/>
  <c r="AH166" i="10"/>
  <c r="AL166" i="10" s="1"/>
  <c r="AJ166" i="10"/>
  <c r="AF377" i="10"/>
  <c r="W376" i="10"/>
  <c r="T334" i="10"/>
  <c r="V334" i="10"/>
  <c r="T253" i="10"/>
  <c r="W253" i="10" s="1"/>
  <c r="V253" i="10"/>
  <c r="V116" i="10"/>
  <c r="T116" i="10"/>
  <c r="X116" i="10" s="1"/>
  <c r="V316" i="9"/>
  <c r="U316" i="9"/>
  <c r="Y317" i="9" s="1"/>
  <c r="AC317" i="9" s="1"/>
  <c r="AD317" i="9" s="1"/>
  <c r="T316" i="9"/>
  <c r="X316" i="9" s="1"/>
  <c r="V122" i="9"/>
  <c r="T122" i="9"/>
  <c r="X122" i="9" s="1"/>
  <c r="V64" i="9"/>
  <c r="T64" i="9"/>
  <c r="X64" i="9" s="1"/>
  <c r="V253" i="8"/>
  <c r="T253" i="8"/>
  <c r="W253" i="8" s="1"/>
  <c r="T78" i="8"/>
  <c r="W78" i="8" s="1"/>
  <c r="V78" i="8"/>
  <c r="AJ286" i="9"/>
  <c r="AH286" i="9"/>
  <c r="AJ276" i="9"/>
  <c r="AH276" i="9"/>
  <c r="AL276" i="9" s="1"/>
  <c r="T306" i="10"/>
  <c r="V306" i="10"/>
  <c r="T274" i="10"/>
  <c r="X274" i="10" s="1"/>
  <c r="V274" i="10"/>
  <c r="V32" i="10"/>
  <c r="T32" i="10"/>
  <c r="U32" i="10" s="1"/>
  <c r="Y33" i="10" s="1"/>
  <c r="AC33" i="10" s="1"/>
  <c r="AD33" i="10" s="1"/>
  <c r="V308" i="9"/>
  <c r="T308" i="9"/>
  <c r="T161" i="9"/>
  <c r="X161" i="9" s="1"/>
  <c r="V161" i="9"/>
  <c r="AF127" i="9"/>
  <c r="W126" i="9"/>
  <c r="V422" i="8"/>
  <c r="T422" i="8"/>
  <c r="X422" i="8" s="1"/>
  <c r="T391" i="8"/>
  <c r="X391" i="8" s="1"/>
  <c r="V391" i="8"/>
  <c r="U391" i="8"/>
  <c r="Y392" i="8" s="1"/>
  <c r="AD392" i="8" s="1"/>
  <c r="V291" i="8"/>
  <c r="T291" i="8"/>
  <c r="U291" i="8" s="1"/>
  <c r="Y292" i="8" s="1"/>
  <c r="AD292" i="8" s="1"/>
  <c r="T271" i="8"/>
  <c r="X271" i="8" s="1"/>
  <c r="V271" i="8"/>
  <c r="AF329" i="8"/>
  <c r="W329" i="8"/>
  <c r="V112" i="8"/>
  <c r="T112" i="8"/>
  <c r="U112" i="8" s="1"/>
  <c r="Y113" i="8" s="1"/>
  <c r="AD113" i="8" s="1"/>
  <c r="V42" i="8"/>
  <c r="T42" i="8"/>
  <c r="AX161" i="9"/>
  <c r="AV161" i="9"/>
  <c r="AY161" i="9" s="1"/>
  <c r="T397" i="10"/>
  <c r="X397" i="10" s="1"/>
  <c r="V397" i="10"/>
  <c r="W267" i="10"/>
  <c r="AF268" i="10"/>
  <c r="AF249" i="10"/>
  <c r="W249" i="10"/>
  <c r="V171" i="10"/>
  <c r="T171" i="10"/>
  <c r="W126" i="10"/>
  <c r="AF127" i="10"/>
  <c r="V112" i="10"/>
  <c r="T112" i="10"/>
  <c r="V27" i="10"/>
  <c r="T27" i="10"/>
  <c r="X27" i="10" s="1"/>
  <c r="V358" i="9"/>
  <c r="T358" i="9"/>
  <c r="W358" i="9" s="1"/>
  <c r="V292" i="9"/>
  <c r="T292" i="9"/>
  <c r="X292" i="9" s="1"/>
  <c r="AF179" i="9"/>
  <c r="W179" i="9"/>
  <c r="V66" i="9"/>
  <c r="T66" i="9"/>
  <c r="T68" i="9"/>
  <c r="W68" i="9" s="1"/>
  <c r="V68" i="9"/>
  <c r="V381" i="8"/>
  <c r="T381" i="8"/>
  <c r="V48" i="9"/>
  <c r="T48" i="9"/>
  <c r="W48" i="9" s="1"/>
  <c r="V214" i="8"/>
  <c r="T214" i="8"/>
  <c r="X214" i="8" s="1"/>
  <c r="V144" i="8"/>
  <c r="T144" i="8"/>
  <c r="X144" i="8" s="1"/>
  <c r="T100" i="10"/>
  <c r="X100" i="10" s="1"/>
  <c r="V100" i="10"/>
  <c r="AX171" i="10"/>
  <c r="AV171" i="10"/>
  <c r="AY171" i="10" s="1"/>
  <c r="AX291" i="10"/>
  <c r="AV291" i="10"/>
  <c r="AY291" i="10" s="1"/>
  <c r="V344" i="10"/>
  <c r="T344" i="10"/>
  <c r="U344" i="10" s="1"/>
  <c r="Y344" i="10" s="1"/>
  <c r="AC344" i="10" s="1"/>
  <c r="AD344" i="10" s="1"/>
  <c r="V241" i="10"/>
  <c r="T241" i="10"/>
  <c r="W137" i="10"/>
  <c r="AF138" i="10"/>
  <c r="V104" i="10"/>
  <c r="T104" i="10"/>
  <c r="T76" i="10"/>
  <c r="V76" i="10"/>
  <c r="T359" i="9"/>
  <c r="X359" i="9" s="1"/>
  <c r="V359" i="9"/>
  <c r="T258" i="9"/>
  <c r="W258" i="9" s="1"/>
  <c r="V258" i="9"/>
  <c r="V156" i="9"/>
  <c r="T156" i="9"/>
  <c r="T91" i="9"/>
  <c r="V91" i="9"/>
  <c r="T63" i="9"/>
  <c r="W63" i="9" s="1"/>
  <c r="V63" i="9"/>
  <c r="W49" i="9"/>
  <c r="V362" i="8"/>
  <c r="T362" i="8"/>
  <c r="X362" i="8" s="1"/>
  <c r="T351" i="8"/>
  <c r="X351" i="8" s="1"/>
  <c r="V351" i="8"/>
  <c r="AF298" i="8"/>
  <c r="W297" i="8"/>
  <c r="V93" i="8"/>
  <c r="T93" i="8"/>
  <c r="W93" i="8" s="1"/>
  <c r="V47" i="8"/>
  <c r="T47" i="8"/>
  <c r="U47" i="8" s="1"/>
  <c r="Y48" i="8" s="1"/>
  <c r="AD48" i="8" s="1"/>
  <c r="T81" i="8"/>
  <c r="V81" i="8"/>
  <c r="T70" i="9"/>
  <c r="V70" i="9"/>
  <c r="AV180" i="9"/>
  <c r="AX180" i="9"/>
  <c r="AJ326" i="9"/>
  <c r="AH326" i="9"/>
  <c r="AI326" i="9" s="1"/>
  <c r="AM327" i="9" s="1"/>
  <c r="AQ327" i="9" s="1"/>
  <c r="AR327" i="9" s="1"/>
  <c r="AJ96" i="9"/>
  <c r="AH96" i="9"/>
  <c r="AH86" i="10"/>
  <c r="AL86" i="10" s="1"/>
  <c r="AJ86" i="10"/>
  <c r="AW96" i="9"/>
  <c r="AT107" i="10"/>
  <c r="AK106" i="10"/>
  <c r="AZ171" i="9"/>
  <c r="AT147" i="9"/>
  <c r="AK146" i="9"/>
  <c r="AW241" i="9"/>
  <c r="AI291" i="10"/>
  <c r="AM292" i="10" s="1"/>
  <c r="AQ292" i="10" s="1"/>
  <c r="AR292" i="10" s="1"/>
  <c r="AT292" i="10" s="1"/>
  <c r="AZ391" i="9"/>
  <c r="AT312" i="9"/>
  <c r="AK311" i="9"/>
  <c r="AX281" i="10"/>
  <c r="AV281" i="10"/>
  <c r="AY281" i="10" s="1"/>
  <c r="T159" i="10"/>
  <c r="X159" i="10" s="1"/>
  <c r="V159" i="10"/>
  <c r="V33" i="9"/>
  <c r="T33" i="9"/>
  <c r="W33" i="9" s="1"/>
  <c r="X33" i="9"/>
  <c r="T159" i="8"/>
  <c r="X159" i="8" s="1"/>
  <c r="V159" i="8"/>
  <c r="V124" i="8"/>
  <c r="T124" i="8"/>
  <c r="X124" i="8" s="1"/>
  <c r="AX296" i="9"/>
  <c r="AV296" i="9"/>
  <c r="T269" i="10"/>
  <c r="X269" i="10" s="1"/>
  <c r="V269" i="10"/>
  <c r="V377" i="9"/>
  <c r="T377" i="9"/>
  <c r="V71" i="8"/>
  <c r="T71" i="8"/>
  <c r="X71" i="8" s="1"/>
  <c r="V91" i="8"/>
  <c r="T91" i="8"/>
  <c r="X91" i="8" s="1"/>
  <c r="AV70" i="9"/>
  <c r="AY70" i="9" s="1"/>
  <c r="AX70" i="9"/>
  <c r="AV300" i="10"/>
  <c r="AY300" i="10" s="1"/>
  <c r="AX300" i="10"/>
  <c r="AX336" i="9"/>
  <c r="AV336" i="9"/>
  <c r="AY336" i="9" s="1"/>
  <c r="V407" i="10"/>
  <c r="T407" i="10"/>
  <c r="U407" i="10" s="1"/>
  <c r="Y408" i="10" s="1"/>
  <c r="AC408" i="10" s="1"/>
  <c r="AD408" i="10" s="1"/>
  <c r="T261" i="10"/>
  <c r="V261" i="10"/>
  <c r="T146" i="10"/>
  <c r="X146" i="10" s="1"/>
  <c r="V146" i="10"/>
  <c r="V54" i="10"/>
  <c r="T54" i="10"/>
  <c r="X54" i="10" s="1"/>
  <c r="U54" i="10"/>
  <c r="Y54" i="10" s="1"/>
  <c r="AC54" i="10" s="1"/>
  <c r="AD54" i="10" s="1"/>
  <c r="T309" i="9"/>
  <c r="X309" i="9" s="1"/>
  <c r="V309" i="9"/>
  <c r="V217" i="9"/>
  <c r="T217" i="9"/>
  <c r="U217" i="9" s="1"/>
  <c r="Y218" i="9" s="1"/>
  <c r="AC218" i="9" s="1"/>
  <c r="AD218" i="9" s="1"/>
  <c r="W181" i="9"/>
  <c r="V143" i="9"/>
  <c r="T143" i="9"/>
  <c r="V413" i="8"/>
  <c r="T413" i="8"/>
  <c r="T412" i="8"/>
  <c r="U412" i="8" s="1"/>
  <c r="Y413" i="8" s="1"/>
  <c r="AD413" i="8" s="1"/>
  <c r="V412" i="8"/>
  <c r="U284" i="8"/>
  <c r="Y284" i="8" s="1"/>
  <c r="AD284" i="8" s="1"/>
  <c r="T284" i="8"/>
  <c r="X284" i="8" s="1"/>
  <c r="V284" i="8"/>
  <c r="V232" i="8"/>
  <c r="U232" i="8"/>
  <c r="Y233" i="8" s="1"/>
  <c r="AD233" i="8" s="1"/>
  <c r="T232" i="8"/>
  <c r="X232" i="8" s="1"/>
  <c r="V237" i="8"/>
  <c r="T237" i="8"/>
  <c r="X237" i="8" s="1"/>
  <c r="X117" i="8"/>
  <c r="V117" i="8"/>
  <c r="T117" i="8"/>
  <c r="U117" i="8" s="1"/>
  <c r="Y118" i="8" s="1"/>
  <c r="AD118" i="8" s="1"/>
  <c r="T49" i="8"/>
  <c r="X49" i="8" s="1"/>
  <c r="V49" i="8"/>
  <c r="T140" i="10"/>
  <c r="X140" i="10" s="1"/>
  <c r="V140" i="10"/>
  <c r="AH60" i="10"/>
  <c r="AL60" i="10" s="1"/>
  <c r="AJ60" i="10"/>
  <c r="AX206" i="10"/>
  <c r="AV206" i="10"/>
  <c r="AH251" i="9"/>
  <c r="AI251" i="9" s="1"/>
  <c r="AM252" i="9" s="1"/>
  <c r="AQ252" i="9" s="1"/>
  <c r="AR252" i="9" s="1"/>
  <c r="AJ251" i="9"/>
  <c r="AX111" i="10"/>
  <c r="AV111" i="10"/>
  <c r="AF209" i="10"/>
  <c r="W209" i="10"/>
  <c r="W142" i="10"/>
  <c r="V406" i="9"/>
  <c r="T406" i="9"/>
  <c r="V111" i="9"/>
  <c r="T111" i="9"/>
  <c r="X111" i="9" s="1"/>
  <c r="X403" i="8"/>
  <c r="V403" i="8"/>
  <c r="T403" i="8"/>
  <c r="W403" i="8" s="1"/>
  <c r="V421" i="8"/>
  <c r="T421" i="8"/>
  <c r="X421" i="8" s="1"/>
  <c r="V394" i="8"/>
  <c r="T394" i="8"/>
  <c r="U394" i="8" s="1"/>
  <c r="Y394" i="8" s="1"/>
  <c r="AD394" i="8" s="1"/>
  <c r="V206" i="8"/>
  <c r="T206" i="8"/>
  <c r="X206" i="8" s="1"/>
  <c r="V136" i="8"/>
  <c r="U136" i="8"/>
  <c r="Y137" i="8" s="1"/>
  <c r="AD137" i="8" s="1"/>
  <c r="T136" i="8"/>
  <c r="X136" i="8" s="1"/>
  <c r="V31" i="8"/>
  <c r="T31" i="8"/>
  <c r="X31" i="8" s="1"/>
  <c r="T113" i="8"/>
  <c r="W113" i="8" s="1"/>
  <c r="V113" i="8"/>
  <c r="V99" i="8"/>
  <c r="T99" i="8"/>
  <c r="X99" i="8" s="1"/>
  <c r="AH180" i="10"/>
  <c r="AL180" i="10" s="1"/>
  <c r="AJ180" i="10"/>
  <c r="AH300" i="10"/>
  <c r="AL300" i="10" s="1"/>
  <c r="AJ300" i="10"/>
  <c r="AX216" i="9"/>
  <c r="AV216" i="9"/>
  <c r="AY216" i="9" s="1"/>
  <c r="W381" i="10"/>
  <c r="T332" i="10"/>
  <c r="V332" i="10"/>
  <c r="W194" i="10"/>
  <c r="W122" i="10"/>
  <c r="V74" i="10"/>
  <c r="T74" i="10"/>
  <c r="X74" i="10" s="1"/>
  <c r="W26" i="10"/>
  <c r="W322" i="9"/>
  <c r="V273" i="9"/>
  <c r="T273" i="9"/>
  <c r="V187" i="9"/>
  <c r="T187" i="9"/>
  <c r="X187" i="9" s="1"/>
  <c r="V373" i="8"/>
  <c r="U373" i="8"/>
  <c r="T373" i="8"/>
  <c r="W373" i="8" s="1"/>
  <c r="V402" i="8"/>
  <c r="T402" i="8"/>
  <c r="X402" i="8" s="1"/>
  <c r="V294" i="8"/>
  <c r="T294" i="8"/>
  <c r="X294" i="8" s="1"/>
  <c r="W346" i="8"/>
  <c r="AH300" i="9"/>
  <c r="AL300" i="9" s="1"/>
  <c r="AJ300" i="9"/>
  <c r="T60" i="10"/>
  <c r="U60" i="10" s="1"/>
  <c r="Y61" i="10" s="1"/>
  <c r="AC61" i="10" s="1"/>
  <c r="AD61" i="10" s="1"/>
  <c r="V60" i="10"/>
  <c r="AX336" i="10"/>
  <c r="AV336" i="10"/>
  <c r="AJ211" i="10"/>
  <c r="AH211" i="10"/>
  <c r="AK126" i="9"/>
  <c r="T412" i="10"/>
  <c r="X412" i="10" s="1"/>
  <c r="V412" i="10"/>
  <c r="T382" i="10"/>
  <c r="V382" i="10"/>
  <c r="T292" i="10"/>
  <c r="U292" i="10" s="1"/>
  <c r="Y293" i="10" s="1"/>
  <c r="AC293" i="10" s="1"/>
  <c r="AD293" i="10" s="1"/>
  <c r="V292" i="10"/>
  <c r="T88" i="10"/>
  <c r="V88" i="10"/>
  <c r="T84" i="10"/>
  <c r="V84" i="10"/>
  <c r="V331" i="9"/>
  <c r="T331" i="9"/>
  <c r="U331" i="9" s="1"/>
  <c r="Y332" i="9" s="1"/>
  <c r="AC332" i="9" s="1"/>
  <c r="AD332" i="9" s="1"/>
  <c r="W354" i="8"/>
  <c r="V302" i="8"/>
  <c r="T302" i="8"/>
  <c r="AL336" i="8"/>
  <c r="AJ336" i="8"/>
  <c r="AH336" i="8"/>
  <c r="V149" i="8"/>
  <c r="T149" i="8"/>
  <c r="V249" i="8"/>
  <c r="T249" i="8"/>
  <c r="X249" i="8" s="1"/>
  <c r="W29" i="8"/>
  <c r="X52" i="8"/>
  <c r="V52" i="8"/>
  <c r="T52" i="8"/>
  <c r="U52" i="8" s="1"/>
  <c r="Y53" i="8" s="1"/>
  <c r="AD53" i="8" s="1"/>
  <c r="V59" i="8"/>
  <c r="T59" i="8"/>
  <c r="X59" i="8" s="1"/>
  <c r="AJ311" i="10"/>
  <c r="AI311" i="10"/>
  <c r="AM312" i="10" s="1"/>
  <c r="AQ312" i="10" s="1"/>
  <c r="AR312" i="10" s="1"/>
  <c r="AH311" i="10"/>
  <c r="AL311" i="10" s="1"/>
  <c r="AX236" i="10"/>
  <c r="AV236" i="10"/>
  <c r="U386" i="10"/>
  <c r="Y387" i="10" s="1"/>
  <c r="AC387" i="10" s="1"/>
  <c r="AD387" i="10" s="1"/>
  <c r="T386" i="10"/>
  <c r="X386" i="10" s="1"/>
  <c r="V386" i="10"/>
  <c r="V312" i="10"/>
  <c r="U312" i="10"/>
  <c r="Y313" i="10" s="1"/>
  <c r="AC313" i="10" s="1"/>
  <c r="AD313" i="10" s="1"/>
  <c r="T312" i="10"/>
  <c r="V272" i="10"/>
  <c r="T272" i="10"/>
  <c r="X272" i="10" s="1"/>
  <c r="T223" i="10"/>
  <c r="V223" i="10"/>
  <c r="V52" i="10"/>
  <c r="T52" i="10"/>
  <c r="U52" i="10" s="1"/>
  <c r="Y53" i="10" s="1"/>
  <c r="AC53" i="10" s="1"/>
  <c r="AD53" i="10" s="1"/>
  <c r="V394" i="9"/>
  <c r="T394" i="9"/>
  <c r="X394" i="9" s="1"/>
  <c r="V364" i="9"/>
  <c r="T364" i="9"/>
  <c r="X364" i="9" s="1"/>
  <c r="V284" i="9"/>
  <c r="T284" i="9"/>
  <c r="X284" i="9" s="1"/>
  <c r="T182" i="9"/>
  <c r="U182" i="9" s="1"/>
  <c r="Y183" i="9" s="1"/>
  <c r="AC183" i="9" s="1"/>
  <c r="AD183" i="9" s="1"/>
  <c r="V182" i="9"/>
  <c r="V117" i="9"/>
  <c r="T117" i="9"/>
  <c r="X117" i="9" s="1"/>
  <c r="X419" i="8"/>
  <c r="V419" i="8"/>
  <c r="T419" i="8"/>
  <c r="U419" i="8" s="1"/>
  <c r="Y419" i="8" s="1"/>
  <c r="AD419" i="8" s="1"/>
  <c r="V43" i="9"/>
  <c r="T43" i="9"/>
  <c r="V32" i="9"/>
  <c r="T32" i="9"/>
  <c r="X32" i="9" s="1"/>
  <c r="W279" i="8"/>
  <c r="T151" i="8"/>
  <c r="X151" i="8" s="1"/>
  <c r="V151" i="8"/>
  <c r="V37" i="8"/>
  <c r="T37" i="8"/>
  <c r="X37" i="8" s="1"/>
  <c r="AJ226" i="9"/>
  <c r="AH226" i="9"/>
  <c r="AI226" i="9" s="1"/>
  <c r="AM227" i="9" s="1"/>
  <c r="AQ227" i="9" s="1"/>
  <c r="AR227" i="9" s="1"/>
  <c r="AH31" i="10"/>
  <c r="AL31" i="10" s="1"/>
  <c r="AJ31" i="10"/>
  <c r="AX381" i="9"/>
  <c r="AV381" i="9"/>
  <c r="AY381" i="9" s="1"/>
  <c r="AK316" i="10"/>
  <c r="AK246" i="9"/>
  <c r="AK56" i="10"/>
  <c r="AK176" i="9"/>
  <c r="AZ396" i="8"/>
  <c r="AX396" i="8"/>
  <c r="AW396" i="8"/>
  <c r="AV396" i="8"/>
  <c r="AY396" i="8" s="1"/>
  <c r="AK76" i="10"/>
  <c r="AK371" i="9"/>
  <c r="AH301" i="8"/>
  <c r="AL301" i="8" s="1"/>
  <c r="AJ301" i="8"/>
  <c r="AV136" i="8"/>
  <c r="AY136" i="8" s="1"/>
  <c r="AX136" i="8"/>
  <c r="AK156" i="10"/>
  <c r="D9" i="7"/>
  <c r="AV100" i="10"/>
  <c r="AW100" i="10" s="1"/>
  <c r="AX100" i="10"/>
  <c r="AV260" i="9"/>
  <c r="AZ260" i="9" s="1"/>
  <c r="AX260" i="9"/>
  <c r="AJ271" i="9"/>
  <c r="AH271" i="9"/>
  <c r="AX351" i="9"/>
  <c r="AV351" i="9"/>
  <c r="AY351" i="9" s="1"/>
  <c r="AF394" i="10"/>
  <c r="W394" i="10"/>
  <c r="T317" i="10"/>
  <c r="X317" i="10" s="1"/>
  <c r="V317" i="10"/>
  <c r="V256" i="10"/>
  <c r="T256" i="10"/>
  <c r="X256" i="10" s="1"/>
  <c r="U231" i="10"/>
  <c r="Y232" i="10" s="1"/>
  <c r="AC232" i="10" s="1"/>
  <c r="AD232" i="10" s="1"/>
  <c r="AF232" i="10" s="1"/>
  <c r="T204" i="10"/>
  <c r="X204" i="10" s="1"/>
  <c r="V204" i="10"/>
  <c r="U162" i="10"/>
  <c r="Y163" i="10" s="1"/>
  <c r="AC163" i="10" s="1"/>
  <c r="AD163" i="10" s="1"/>
  <c r="AF163" i="10" s="1"/>
  <c r="V148" i="10"/>
  <c r="T148" i="10"/>
  <c r="V152" i="10"/>
  <c r="T152" i="10"/>
  <c r="X152" i="10" s="1"/>
  <c r="X36" i="10"/>
  <c r="T408" i="9"/>
  <c r="W408" i="9" s="1"/>
  <c r="V408" i="9"/>
  <c r="V344" i="9"/>
  <c r="T344" i="9"/>
  <c r="W86" i="9"/>
  <c r="V113" i="9"/>
  <c r="T113" i="9"/>
  <c r="W113" i="9" s="1"/>
  <c r="AF39" i="9"/>
  <c r="W39" i="9"/>
  <c r="W397" i="8"/>
  <c r="V168" i="8"/>
  <c r="T168" i="8"/>
  <c r="AX41" i="8"/>
  <c r="AV41" i="8"/>
  <c r="AZ41" i="8" s="1"/>
  <c r="AV260" i="10"/>
  <c r="AY260" i="10" s="1"/>
  <c r="AX260" i="10"/>
  <c r="AV35" i="9"/>
  <c r="AY35" i="9" s="1"/>
  <c r="AX35" i="9"/>
  <c r="AH140" i="10"/>
  <c r="AL140" i="10" s="1"/>
  <c r="AJ140" i="10"/>
  <c r="AV326" i="9"/>
  <c r="AY326" i="9" s="1"/>
  <c r="AX326" i="9"/>
  <c r="W416" i="10"/>
  <c r="AF417" i="10"/>
  <c r="V363" i="10"/>
  <c r="T363" i="10"/>
  <c r="W363" i="10" s="1"/>
  <c r="V268" i="10"/>
  <c r="T268" i="10"/>
  <c r="X224" i="10"/>
  <c r="V224" i="10"/>
  <c r="T224" i="10"/>
  <c r="U224" i="10" s="1"/>
  <c r="Y224" i="10" s="1"/>
  <c r="AC224" i="10" s="1"/>
  <c r="AD224" i="10" s="1"/>
  <c r="W187" i="10"/>
  <c r="T83" i="10"/>
  <c r="U83" i="10" s="1"/>
  <c r="V83" i="10"/>
  <c r="T392" i="9"/>
  <c r="V392" i="9"/>
  <c r="T354" i="9"/>
  <c r="U354" i="9" s="1"/>
  <c r="Y354" i="9" s="1"/>
  <c r="AC354" i="9" s="1"/>
  <c r="AD354" i="9" s="1"/>
  <c r="V354" i="9"/>
  <c r="V352" i="9"/>
  <c r="T352" i="9"/>
  <c r="X352" i="9" s="1"/>
  <c r="U306" i="9"/>
  <c r="Y307" i="9" s="1"/>
  <c r="AC307" i="9" s="1"/>
  <c r="AD307" i="9" s="1"/>
  <c r="AF307" i="9" s="1"/>
  <c r="V194" i="9"/>
  <c r="T194" i="9"/>
  <c r="V93" i="9"/>
  <c r="T93" i="9"/>
  <c r="U26" i="9"/>
  <c r="Y27" i="9" s="1"/>
  <c r="AC27" i="9" s="1"/>
  <c r="AD27" i="9" s="1"/>
  <c r="X349" i="8"/>
  <c r="V349" i="8"/>
  <c r="T349" i="8"/>
  <c r="U349" i="8" s="1"/>
  <c r="Y349" i="8" s="1"/>
  <c r="AD349" i="8" s="1"/>
  <c r="V344" i="8"/>
  <c r="T344" i="8"/>
  <c r="X344" i="8" s="1"/>
  <c r="V242" i="8"/>
  <c r="U242" i="8"/>
  <c r="Y243" i="8" s="1"/>
  <c r="AD243" i="8" s="1"/>
  <c r="T242" i="8"/>
  <c r="X242" i="8" s="1"/>
  <c r="AV256" i="8"/>
  <c r="AY256" i="8" s="1"/>
  <c r="AX256" i="8"/>
  <c r="V224" i="8"/>
  <c r="U224" i="8"/>
  <c r="Y224" i="8" s="1"/>
  <c r="AD224" i="8" s="1"/>
  <c r="T224" i="8"/>
  <c r="X224" i="8" s="1"/>
  <c r="X26" i="8"/>
  <c r="V26" i="8"/>
  <c r="T26" i="8"/>
  <c r="AJ91" i="10"/>
  <c r="AH91" i="10"/>
  <c r="AI91" i="10" s="1"/>
  <c r="AM92" i="10" s="1"/>
  <c r="AQ92" i="10" s="1"/>
  <c r="AR92" i="10" s="1"/>
  <c r="AJ316" i="9"/>
  <c r="AH316" i="9"/>
  <c r="AL316" i="9" s="1"/>
  <c r="AH156" i="9"/>
  <c r="AL156" i="9" s="1"/>
  <c r="AJ156" i="9"/>
  <c r="V371" i="10"/>
  <c r="T371" i="10"/>
  <c r="X371" i="10" s="1"/>
  <c r="U371" i="10"/>
  <c r="Y372" i="10" s="1"/>
  <c r="AC372" i="10" s="1"/>
  <c r="AD372" i="10" s="1"/>
  <c r="V316" i="10"/>
  <c r="T316" i="10"/>
  <c r="U316" i="10" s="1"/>
  <c r="Y317" i="10" s="1"/>
  <c r="AC317" i="10" s="1"/>
  <c r="AD317" i="10" s="1"/>
  <c r="V252" i="10"/>
  <c r="T252" i="10"/>
  <c r="X252" i="10" s="1"/>
  <c r="W217" i="10"/>
  <c r="T67" i="10"/>
  <c r="X67" i="10" s="1"/>
  <c r="V67" i="10"/>
  <c r="W61" i="10"/>
  <c r="X289" i="9"/>
  <c r="U181" i="9"/>
  <c r="Y182" i="9" s="1"/>
  <c r="AC182" i="9" s="1"/>
  <c r="AD182" i="9" s="1"/>
  <c r="AF182" i="9" s="1"/>
  <c r="U108" i="9"/>
  <c r="AF307" i="8"/>
  <c r="W306" i="8"/>
  <c r="V142" i="8"/>
  <c r="T142" i="8"/>
  <c r="X142" i="8" s="1"/>
  <c r="T228" i="8"/>
  <c r="W228" i="8" s="1"/>
  <c r="V228" i="8"/>
  <c r="X418" i="10"/>
  <c r="T373" i="10"/>
  <c r="W373" i="10" s="1"/>
  <c r="V373" i="10"/>
  <c r="U338" i="10"/>
  <c r="X279" i="10"/>
  <c r="U273" i="10"/>
  <c r="AF254" i="10"/>
  <c r="W254" i="10"/>
  <c r="V191" i="10"/>
  <c r="T191" i="10"/>
  <c r="X191" i="10" s="1"/>
  <c r="X157" i="10"/>
  <c r="U142" i="10"/>
  <c r="Y143" i="10" s="1"/>
  <c r="AC143" i="10" s="1"/>
  <c r="AD143" i="10" s="1"/>
  <c r="AF143" i="10" s="1"/>
  <c r="V387" i="9"/>
  <c r="U387" i="9"/>
  <c r="Y388" i="9" s="1"/>
  <c r="AC388" i="9" s="1"/>
  <c r="AD388" i="9" s="1"/>
  <c r="T387" i="9"/>
  <c r="X357" i="9"/>
  <c r="W347" i="9"/>
  <c r="AF348" i="9"/>
  <c r="AF283" i="9"/>
  <c r="W282" i="9"/>
  <c r="X243" i="9"/>
  <c r="X209" i="9"/>
  <c r="X173" i="9"/>
  <c r="X92" i="9"/>
  <c r="V92" i="9"/>
  <c r="U92" i="9"/>
  <c r="Y93" i="9" s="1"/>
  <c r="AC93" i="9" s="1"/>
  <c r="AD93" i="9" s="1"/>
  <c r="T92" i="9"/>
  <c r="V347" i="8"/>
  <c r="T347" i="8"/>
  <c r="U347" i="8" s="1"/>
  <c r="Y348" i="8" s="1"/>
  <c r="AD348" i="8" s="1"/>
  <c r="V283" i="8"/>
  <c r="T283" i="8"/>
  <c r="W283" i="8" s="1"/>
  <c r="V256" i="8"/>
  <c r="U256" i="8"/>
  <c r="Y257" i="8" s="1"/>
  <c r="AD257" i="8" s="1"/>
  <c r="T256" i="8"/>
  <c r="V56" i="8"/>
  <c r="T56" i="8"/>
  <c r="X56" i="8" s="1"/>
  <c r="V69" i="8"/>
  <c r="T69" i="8"/>
  <c r="U69" i="8" s="1"/>
  <c r="Y69" i="8" s="1"/>
  <c r="AD69" i="8" s="1"/>
  <c r="AV401" i="10"/>
  <c r="AY401" i="10" s="1"/>
  <c r="AX401" i="10"/>
  <c r="AX271" i="9"/>
  <c r="AV271" i="9"/>
  <c r="AY271" i="9" s="1"/>
  <c r="AJ321" i="9"/>
  <c r="AH321" i="9"/>
  <c r="AL321" i="9" s="1"/>
  <c r="AI25" i="10"/>
  <c r="AM26" i="10" s="1"/>
  <c r="AQ26" i="10" s="1"/>
  <c r="AR26" i="10" s="1"/>
  <c r="AT26" i="10" s="1"/>
  <c r="U381" i="10"/>
  <c r="Y382" i="10" s="1"/>
  <c r="AC382" i="10" s="1"/>
  <c r="AD382" i="10" s="1"/>
  <c r="AF382" i="10" s="1"/>
  <c r="V323" i="10"/>
  <c r="T323" i="10"/>
  <c r="W323" i="10" s="1"/>
  <c r="W257" i="10"/>
  <c r="V246" i="10"/>
  <c r="T246" i="10"/>
  <c r="U246" i="10" s="1"/>
  <c r="Y247" i="10" s="1"/>
  <c r="AC247" i="10" s="1"/>
  <c r="AD247" i="10" s="1"/>
  <c r="U194" i="10"/>
  <c r="Y194" i="10" s="1"/>
  <c r="AC194" i="10" s="1"/>
  <c r="AD194" i="10" s="1"/>
  <c r="AF194" i="10" s="1"/>
  <c r="T119" i="10"/>
  <c r="X119" i="10" s="1"/>
  <c r="V119" i="10"/>
  <c r="U128" i="10"/>
  <c r="T92" i="10"/>
  <c r="V92" i="10"/>
  <c r="U26" i="10"/>
  <c r="Y27" i="10" s="1"/>
  <c r="AC27" i="10" s="1"/>
  <c r="AD27" i="10" s="1"/>
  <c r="AF27" i="10" s="1"/>
  <c r="W382" i="9"/>
  <c r="X398" i="9"/>
  <c r="X304" i="9"/>
  <c r="V307" i="9"/>
  <c r="T307" i="9"/>
  <c r="X307" i="9" s="1"/>
  <c r="V212" i="9"/>
  <c r="T212" i="9"/>
  <c r="V176" i="9"/>
  <c r="T176" i="9"/>
  <c r="U176" i="9" s="1"/>
  <c r="Y177" i="9" s="1"/>
  <c r="AC177" i="9" s="1"/>
  <c r="AD177" i="9" s="1"/>
  <c r="V261" i="8"/>
  <c r="T261" i="8"/>
  <c r="U346" i="8"/>
  <c r="Y347" i="8" s="1"/>
  <c r="AD347" i="8" s="1"/>
  <c r="AF347" i="8" s="1"/>
  <c r="T244" i="8"/>
  <c r="X244" i="8" s="1"/>
  <c r="V244" i="8"/>
  <c r="V219" i="8"/>
  <c r="T219" i="8"/>
  <c r="U219" i="8" s="1"/>
  <c r="Y219" i="8" s="1"/>
  <c r="AD219" i="8" s="1"/>
  <c r="X162" i="8"/>
  <c r="V337" i="8"/>
  <c r="T337" i="8"/>
  <c r="X337" i="8" s="1"/>
  <c r="W25" i="10"/>
  <c r="X25" i="10"/>
  <c r="U25" i="10"/>
  <c r="Y26" i="10" s="1"/>
  <c r="AC26" i="10" s="1"/>
  <c r="AD26" i="10" s="1"/>
  <c r="AF26" i="10" s="1"/>
  <c r="AX66" i="9"/>
  <c r="AV66" i="9"/>
  <c r="AY66" i="9" s="1"/>
  <c r="AW276" i="10"/>
  <c r="AX276" i="10"/>
  <c r="AV276" i="10"/>
  <c r="AY276" i="10" s="1"/>
  <c r="AH121" i="9"/>
  <c r="AL121" i="9" s="1"/>
  <c r="AJ121" i="9"/>
  <c r="AI126" i="9"/>
  <c r="AM127" i="9" s="1"/>
  <c r="AQ127" i="9" s="1"/>
  <c r="AR127" i="9" s="1"/>
  <c r="AT127" i="9" s="1"/>
  <c r="V403" i="10"/>
  <c r="T403" i="10"/>
  <c r="W403" i="10" s="1"/>
  <c r="V347" i="10"/>
  <c r="T347" i="10"/>
  <c r="AF328" i="10"/>
  <c r="W327" i="10"/>
  <c r="V299" i="10"/>
  <c r="T299" i="10"/>
  <c r="X299" i="10" s="1"/>
  <c r="X173" i="10"/>
  <c r="AF114" i="10"/>
  <c r="W114" i="10"/>
  <c r="V66" i="10"/>
  <c r="T66" i="10"/>
  <c r="U66" i="10" s="1"/>
  <c r="Y67" i="10" s="1"/>
  <c r="AC67" i="10" s="1"/>
  <c r="AD67" i="10" s="1"/>
  <c r="V77" i="10"/>
  <c r="T77" i="10"/>
  <c r="X77" i="10" s="1"/>
  <c r="X417" i="9"/>
  <c r="AF314" i="9"/>
  <c r="W314" i="9"/>
  <c r="AF297" i="9"/>
  <c r="W296" i="9"/>
  <c r="W312" i="9"/>
  <c r="V257" i="9"/>
  <c r="T257" i="9"/>
  <c r="X257" i="9" s="1"/>
  <c r="V164" i="9"/>
  <c r="T164" i="9"/>
  <c r="X149" i="9"/>
  <c r="X118" i="9"/>
  <c r="V374" i="8"/>
  <c r="T374" i="8"/>
  <c r="X374" i="8" s="1"/>
  <c r="X384" i="8"/>
  <c r="V384" i="8"/>
  <c r="U384" i="8"/>
  <c r="Y384" i="8" s="1"/>
  <c r="AD384" i="8" s="1"/>
  <c r="T384" i="8"/>
  <c r="U354" i="8"/>
  <c r="Y354" i="8" s="1"/>
  <c r="AD354" i="8" s="1"/>
  <c r="AF354" i="8" s="1"/>
  <c r="V317" i="8"/>
  <c r="T317" i="8"/>
  <c r="T196" i="8"/>
  <c r="U196" i="8" s="1"/>
  <c r="Y197" i="8" s="1"/>
  <c r="AD197" i="8" s="1"/>
  <c r="V196" i="8"/>
  <c r="U29" i="8"/>
  <c r="Y29" i="8" s="1"/>
  <c r="AD29" i="8" s="1"/>
  <c r="AF29" i="8" s="1"/>
  <c r="V417" i="10"/>
  <c r="T417" i="10"/>
  <c r="X417" i="10" s="1"/>
  <c r="U417" i="10"/>
  <c r="Y418" i="10" s="1"/>
  <c r="AC418" i="10" s="1"/>
  <c r="AD418" i="10" s="1"/>
  <c r="T361" i="10"/>
  <c r="U361" i="10" s="1"/>
  <c r="Y362" i="10" s="1"/>
  <c r="AC362" i="10" s="1"/>
  <c r="AD362" i="10" s="1"/>
  <c r="V361" i="10"/>
  <c r="V319" i="10"/>
  <c r="T319" i="10"/>
  <c r="X319" i="10" s="1"/>
  <c r="V282" i="10"/>
  <c r="T282" i="10"/>
  <c r="X282" i="10" s="1"/>
  <c r="V227" i="10"/>
  <c r="T227" i="10"/>
  <c r="V53" i="10"/>
  <c r="X53" i="10"/>
  <c r="T53" i="10"/>
  <c r="W53" i="10" s="1"/>
  <c r="V367" i="9"/>
  <c r="T367" i="9"/>
  <c r="X367" i="9"/>
  <c r="W302" i="9"/>
  <c r="V211" i="9"/>
  <c r="T211" i="9"/>
  <c r="X211" i="9" s="1"/>
  <c r="V141" i="9"/>
  <c r="T141" i="9"/>
  <c r="X141" i="9" s="1"/>
  <c r="V98" i="9"/>
  <c r="T98" i="9"/>
  <c r="W98" i="9" s="1"/>
  <c r="X129" i="9"/>
  <c r="V299" i="8"/>
  <c r="T299" i="8"/>
  <c r="X299" i="8" s="1"/>
  <c r="V272" i="8"/>
  <c r="T272" i="8"/>
  <c r="W269" i="8"/>
  <c r="T148" i="8"/>
  <c r="W148" i="8" s="1"/>
  <c r="V148" i="8"/>
  <c r="V116" i="8"/>
  <c r="T116" i="8"/>
  <c r="T46" i="8"/>
  <c r="X46" i="8" s="1"/>
  <c r="V46" i="8"/>
  <c r="AV220" i="10"/>
  <c r="AY220" i="10" s="1"/>
  <c r="AX220" i="10"/>
  <c r="AH100" i="9"/>
  <c r="AL100" i="9" s="1"/>
  <c r="AJ100" i="9"/>
  <c r="AX176" i="9"/>
  <c r="AV176" i="9"/>
  <c r="AY176" i="9" s="1"/>
  <c r="AX356" i="9"/>
  <c r="AV356" i="9"/>
  <c r="AY356" i="9" s="1"/>
  <c r="AH336" i="9"/>
  <c r="AL336" i="9" s="1"/>
  <c r="AJ336" i="9"/>
  <c r="AY25" i="10"/>
  <c r="AI316" i="10"/>
  <c r="AM317" i="10" s="1"/>
  <c r="AQ317" i="10" s="1"/>
  <c r="AR317" i="10" s="1"/>
  <c r="AT317" i="10" s="1"/>
  <c r="AI56" i="10"/>
  <c r="AM57" i="10" s="1"/>
  <c r="AQ57" i="10" s="1"/>
  <c r="AR57" i="10" s="1"/>
  <c r="AT57" i="10" s="1"/>
  <c r="AZ96" i="9"/>
  <c r="AI176" i="9"/>
  <c r="AM177" i="9" s="1"/>
  <c r="AQ177" i="9" s="1"/>
  <c r="AR177" i="9" s="1"/>
  <c r="AT177" i="9" s="1"/>
  <c r="AI76" i="10"/>
  <c r="AM77" i="10" s="1"/>
  <c r="AQ77" i="10" s="1"/>
  <c r="AR77" i="10" s="1"/>
  <c r="AT77" i="10" s="1"/>
  <c r="AI371" i="9"/>
  <c r="AM372" i="9" s="1"/>
  <c r="AQ372" i="9" s="1"/>
  <c r="AR372" i="9" s="1"/>
  <c r="AT372" i="9" s="1"/>
  <c r="AI156" i="10"/>
  <c r="AM157" i="10" s="1"/>
  <c r="AQ157" i="10" s="1"/>
  <c r="AR157" i="10" s="1"/>
  <c r="AT157" i="10" s="1"/>
  <c r="AT42" i="10"/>
  <c r="AK41" i="10"/>
  <c r="AL291" i="10"/>
  <c r="AZ76" i="9"/>
  <c r="AT82" i="9"/>
  <c r="AK81" i="9"/>
  <c r="X408" i="10"/>
  <c r="V311" i="10"/>
  <c r="T311" i="10"/>
  <c r="U311" i="10" s="1"/>
  <c r="Y312" i="10" s="1"/>
  <c r="AC312" i="10" s="1"/>
  <c r="AD312" i="10" s="1"/>
  <c r="V206" i="10"/>
  <c r="T206" i="10"/>
  <c r="U206" i="10" s="1"/>
  <c r="Y207" i="10" s="1"/>
  <c r="AC207" i="10" s="1"/>
  <c r="AD207" i="10" s="1"/>
  <c r="V129" i="10"/>
  <c r="T129" i="10"/>
  <c r="V87" i="10"/>
  <c r="T87" i="10"/>
  <c r="U87" i="10" s="1"/>
  <c r="Y88" i="10" s="1"/>
  <c r="AC88" i="10" s="1"/>
  <c r="AD88" i="10" s="1"/>
  <c r="V47" i="10"/>
  <c r="T47" i="10"/>
  <c r="X47" i="10" s="1"/>
  <c r="AF334" i="9"/>
  <c r="W334" i="9"/>
  <c r="V276" i="9"/>
  <c r="T276" i="9"/>
  <c r="X276" i="9" s="1"/>
  <c r="V249" i="9"/>
  <c r="T249" i="9"/>
  <c r="X249" i="9" s="1"/>
  <c r="V42" i="9"/>
  <c r="T42" i="9"/>
  <c r="V38" i="9"/>
  <c r="T38" i="9"/>
  <c r="W38" i="9" s="1"/>
  <c r="V27" i="9"/>
  <c r="T27" i="9"/>
  <c r="T204" i="8"/>
  <c r="X204" i="8" s="1"/>
  <c r="V204" i="8"/>
  <c r="V101" i="8"/>
  <c r="T101" i="8"/>
  <c r="V114" i="8"/>
  <c r="T114" i="8"/>
  <c r="X114" i="8" s="1"/>
  <c r="T33" i="8"/>
  <c r="W33" i="8" s="1"/>
  <c r="V33" i="8"/>
  <c r="AJ91" i="9"/>
  <c r="AH91" i="9"/>
  <c r="AL91" i="9" s="1"/>
  <c r="AJ401" i="10"/>
  <c r="AH401" i="10"/>
  <c r="AT162" i="10"/>
  <c r="AK161" i="10"/>
  <c r="AJ76" i="9"/>
  <c r="AH76" i="9"/>
  <c r="AL76" i="9" s="1"/>
  <c r="AX121" i="9"/>
  <c r="AV121" i="9"/>
  <c r="AY121" i="9" s="1"/>
  <c r="X394" i="10"/>
  <c r="X303" i="10"/>
  <c r="X198" i="10"/>
  <c r="V121" i="10"/>
  <c r="T121" i="10"/>
  <c r="X121" i="10" s="1"/>
  <c r="T38" i="10"/>
  <c r="W38" i="10" s="1"/>
  <c r="V38" i="10"/>
  <c r="X412" i="9"/>
  <c r="V287" i="9"/>
  <c r="T287" i="9"/>
  <c r="V252" i="9"/>
  <c r="T252" i="9"/>
  <c r="X252" i="9" s="1"/>
  <c r="U178" i="9"/>
  <c r="U86" i="9"/>
  <c r="Y87" i="9" s="1"/>
  <c r="AC87" i="9" s="1"/>
  <c r="AD87" i="9" s="1"/>
  <c r="AF87" i="9" s="1"/>
  <c r="V34" i="9"/>
  <c r="T34" i="9"/>
  <c r="U34" i="9" s="1"/>
  <c r="Y34" i="9" s="1"/>
  <c r="AC34" i="9" s="1"/>
  <c r="AD34" i="9" s="1"/>
  <c r="U397" i="8"/>
  <c r="Y398" i="8" s="1"/>
  <c r="AD398" i="8" s="1"/>
  <c r="AF398" i="8" s="1"/>
  <c r="V393" i="8"/>
  <c r="T393" i="8"/>
  <c r="W393" i="8" s="1"/>
  <c r="V259" i="8"/>
  <c r="T259" i="8"/>
  <c r="U259" i="8" s="1"/>
  <c r="Y259" i="8" s="1"/>
  <c r="AD259" i="8" s="1"/>
  <c r="T239" i="8"/>
  <c r="U239" i="8" s="1"/>
  <c r="Y239" i="8" s="1"/>
  <c r="AD239" i="8" s="1"/>
  <c r="V239" i="8"/>
  <c r="AJ136" i="8"/>
  <c r="AH136" i="8"/>
  <c r="AI136" i="8" s="1"/>
  <c r="AM137" i="8" s="1"/>
  <c r="AR137" i="8" s="1"/>
  <c r="AF89" i="8"/>
  <c r="W89" i="8"/>
  <c r="AJ166" i="9"/>
  <c r="AI166" i="9"/>
  <c r="AM167" i="9" s="1"/>
  <c r="AQ167" i="9" s="1"/>
  <c r="AR167" i="9" s="1"/>
  <c r="AH166" i="9"/>
  <c r="AL166" i="9" s="1"/>
  <c r="AH256" i="10"/>
  <c r="AL256" i="10" s="1"/>
  <c r="AJ256" i="10"/>
  <c r="AV131" i="10"/>
  <c r="AY131" i="10" s="1"/>
  <c r="AX131" i="10"/>
  <c r="AX266" i="10"/>
  <c r="AV266" i="10"/>
  <c r="AY266" i="10" s="1"/>
  <c r="X416" i="10"/>
  <c r="T349" i="10"/>
  <c r="X349" i="10" s="1"/>
  <c r="V349" i="10"/>
  <c r="X318" i="10"/>
  <c r="T237" i="10"/>
  <c r="X237" i="10" s="1"/>
  <c r="V237" i="10"/>
  <c r="T196" i="10"/>
  <c r="X196" i="10" s="1"/>
  <c r="V196" i="10"/>
  <c r="U196" i="10"/>
  <c r="Y197" i="10" s="1"/>
  <c r="AC197" i="10" s="1"/>
  <c r="AD197" i="10" s="1"/>
  <c r="U187" i="10"/>
  <c r="Y188" i="10" s="1"/>
  <c r="AC188" i="10" s="1"/>
  <c r="AD188" i="10" s="1"/>
  <c r="AF188" i="10" s="1"/>
  <c r="V132" i="10"/>
  <c r="T132" i="10"/>
  <c r="U132" i="10" s="1"/>
  <c r="Y133" i="10" s="1"/>
  <c r="AC133" i="10" s="1"/>
  <c r="AD133" i="10" s="1"/>
  <c r="V144" i="10"/>
  <c r="T144" i="10"/>
  <c r="X144" i="10" s="1"/>
  <c r="T381" i="9"/>
  <c r="X381" i="9" s="1"/>
  <c r="V381" i="9"/>
  <c r="T327" i="9"/>
  <c r="X327" i="9" s="1"/>
  <c r="V327" i="9"/>
  <c r="V279" i="9"/>
  <c r="T279" i="9"/>
  <c r="X279" i="9" s="1"/>
  <c r="V244" i="9"/>
  <c r="T244" i="9"/>
  <c r="X244" i="9" s="1"/>
  <c r="X206" i="9"/>
  <c r="X162" i="9"/>
  <c r="V127" i="9"/>
  <c r="T127" i="9"/>
  <c r="V387" i="8"/>
  <c r="T387" i="8"/>
  <c r="X387" i="8" s="1"/>
  <c r="T423" i="8"/>
  <c r="W423" i="8" s="1"/>
  <c r="V423" i="8"/>
  <c r="T247" i="8"/>
  <c r="V247" i="8"/>
  <c r="X37" i="9"/>
  <c r="V194" i="8"/>
  <c r="T194" i="8"/>
  <c r="U194" i="8" s="1"/>
  <c r="Y194" i="8" s="1"/>
  <c r="AD194" i="8" s="1"/>
  <c r="U223" i="8"/>
  <c r="V61" i="8"/>
  <c r="T61" i="8"/>
  <c r="X61" i="8" s="1"/>
  <c r="AF119" i="8"/>
  <c r="W119" i="8"/>
  <c r="X118" i="8"/>
  <c r="AV100" i="9"/>
  <c r="AY100" i="9" s="1"/>
  <c r="AX100" i="9"/>
  <c r="AW366" i="9"/>
  <c r="V367" i="10"/>
  <c r="T367" i="10"/>
  <c r="X367" i="10" s="1"/>
  <c r="V287" i="10"/>
  <c r="T287" i="10"/>
  <c r="V262" i="10"/>
  <c r="T262" i="10"/>
  <c r="X262" i="10" s="1"/>
  <c r="U217" i="10"/>
  <c r="Y218" i="10" s="1"/>
  <c r="AC218" i="10" s="1"/>
  <c r="AD218" i="10" s="1"/>
  <c r="AF218" i="10" s="1"/>
  <c r="X143" i="10"/>
  <c r="V98" i="10"/>
  <c r="T98" i="10"/>
  <c r="W98" i="10" s="1"/>
  <c r="AF347" i="9"/>
  <c r="W346" i="9"/>
  <c r="X298" i="9"/>
  <c r="V262" i="9"/>
  <c r="T262" i="9"/>
  <c r="U198" i="9"/>
  <c r="V358" i="8"/>
  <c r="T358" i="8"/>
  <c r="W358" i="8" s="1"/>
  <c r="V69" i="9"/>
  <c r="T69" i="9"/>
  <c r="U69" i="9" s="1"/>
  <c r="Y69" i="9" s="1"/>
  <c r="AC69" i="9" s="1"/>
  <c r="AD69" i="9" s="1"/>
  <c r="V286" i="8"/>
  <c r="T286" i="8"/>
  <c r="X286" i="8" s="1"/>
  <c r="T172" i="8"/>
  <c r="X172" i="8" s="1"/>
  <c r="V172" i="8"/>
  <c r="V36" i="8"/>
  <c r="T36" i="8"/>
  <c r="U36" i="8" s="1"/>
  <c r="Y37" i="8" s="1"/>
  <c r="AD37" i="8" s="1"/>
  <c r="AH140" i="9"/>
  <c r="AI140" i="9" s="1"/>
  <c r="AM141" i="9" s="1"/>
  <c r="AQ141" i="9" s="1"/>
  <c r="AR141" i="9" s="1"/>
  <c r="AJ140" i="9"/>
  <c r="AJ201" i="10"/>
  <c r="AH201" i="10"/>
  <c r="AL201" i="10" s="1"/>
  <c r="AJ376" i="10"/>
  <c r="AH376" i="10"/>
  <c r="AI376" i="10" s="1"/>
  <c r="AM377" i="10" s="1"/>
  <c r="AQ377" i="10" s="1"/>
  <c r="AR377" i="10" s="1"/>
  <c r="V421" i="10"/>
  <c r="U421" i="10"/>
  <c r="Y422" i="10" s="1"/>
  <c r="AC422" i="10" s="1"/>
  <c r="AD422" i="10" s="1"/>
  <c r="T421" i="10"/>
  <c r="V286" i="10"/>
  <c r="T286" i="10"/>
  <c r="X286" i="10" s="1"/>
  <c r="V216" i="10"/>
  <c r="T216" i="10"/>
  <c r="U216" i="10" s="1"/>
  <c r="Y217" i="10" s="1"/>
  <c r="AC217" i="10" s="1"/>
  <c r="AD217" i="10" s="1"/>
  <c r="U138" i="10"/>
  <c r="T41" i="10"/>
  <c r="X41" i="10" s="1"/>
  <c r="V41" i="10"/>
  <c r="T376" i="9"/>
  <c r="X376" i="9" s="1"/>
  <c r="V376" i="9"/>
  <c r="T338" i="9"/>
  <c r="W338" i="9" s="1"/>
  <c r="V338" i="9"/>
  <c r="T216" i="9"/>
  <c r="X216" i="9" s="1"/>
  <c r="V216" i="9"/>
  <c r="V188" i="9"/>
  <c r="T188" i="9"/>
  <c r="W188" i="9" s="1"/>
  <c r="W146" i="9"/>
  <c r="AF147" i="9"/>
  <c r="V81" i="9"/>
  <c r="T81" i="9"/>
  <c r="V424" i="8"/>
  <c r="T424" i="8"/>
  <c r="X424" i="8" s="1"/>
  <c r="AF378" i="8"/>
  <c r="W377" i="8"/>
  <c r="V163" i="8"/>
  <c r="U163" i="8"/>
  <c r="T163" i="8"/>
  <c r="W163" i="8" s="1"/>
  <c r="U183" i="8"/>
  <c r="AH260" i="10"/>
  <c r="AL260" i="10" s="1"/>
  <c r="AJ260" i="10"/>
  <c r="T220" i="10"/>
  <c r="U220" i="10" s="1"/>
  <c r="Y221" i="10" s="1"/>
  <c r="AC221" i="10" s="1"/>
  <c r="AD221" i="10" s="1"/>
  <c r="V220" i="10"/>
  <c r="AJ216" i="10"/>
  <c r="AH216" i="10"/>
  <c r="AH391" i="10"/>
  <c r="AL391" i="10" s="1"/>
  <c r="AJ391" i="10"/>
  <c r="T423" i="10"/>
  <c r="W423" i="10" s="1"/>
  <c r="V423" i="10"/>
  <c r="T364" i="10"/>
  <c r="X364" i="10" s="1"/>
  <c r="V364" i="10"/>
  <c r="V278" i="10"/>
  <c r="T278" i="10"/>
  <c r="W278" i="10" s="1"/>
  <c r="U257" i="10"/>
  <c r="Y258" i="10" s="1"/>
  <c r="AC258" i="10" s="1"/>
  <c r="AD258" i="10" s="1"/>
  <c r="AF258" i="10" s="1"/>
  <c r="V208" i="10"/>
  <c r="T208" i="10"/>
  <c r="W208" i="10" s="1"/>
  <c r="V108" i="10"/>
  <c r="T108" i="10"/>
  <c r="W108" i="10" s="1"/>
  <c r="T33" i="10"/>
  <c r="W33" i="10" s="1"/>
  <c r="V33" i="10"/>
  <c r="V391" i="9"/>
  <c r="T391" i="9"/>
  <c r="X391" i="9" s="1"/>
  <c r="U382" i="9"/>
  <c r="Y383" i="9" s="1"/>
  <c r="AC383" i="9" s="1"/>
  <c r="AD383" i="9" s="1"/>
  <c r="AF383" i="9" s="1"/>
  <c r="W339" i="9"/>
  <c r="T293" i="9"/>
  <c r="W293" i="9" s="1"/>
  <c r="V293" i="9"/>
  <c r="V227" i="9"/>
  <c r="T227" i="9"/>
  <c r="X227" i="9" s="1"/>
  <c r="W201" i="9"/>
  <c r="AF202" i="9"/>
  <c r="W157" i="9"/>
  <c r="AF158" i="9"/>
  <c r="X126" i="9"/>
  <c r="U88" i="9"/>
  <c r="V71" i="9"/>
  <c r="T71" i="9"/>
  <c r="U71" i="9" s="1"/>
  <c r="Y72" i="9" s="1"/>
  <c r="AC72" i="9" s="1"/>
  <c r="AD72" i="9" s="1"/>
  <c r="AF59" i="9"/>
  <c r="W59" i="9"/>
  <c r="W56" i="9"/>
  <c r="AF57" i="9"/>
  <c r="AF267" i="8"/>
  <c r="W266" i="8"/>
  <c r="V197" i="8"/>
  <c r="T197" i="8"/>
  <c r="AF192" i="8"/>
  <c r="W191" i="8"/>
  <c r="V87" i="8"/>
  <c r="T87" i="8"/>
  <c r="X87" i="8" s="1"/>
  <c r="V44" i="8"/>
  <c r="T44" i="8"/>
  <c r="U44" i="8" s="1"/>
  <c r="Y44" i="8" s="1"/>
  <c r="AD44" i="8" s="1"/>
  <c r="T50" i="9"/>
  <c r="V50" i="9"/>
  <c r="AH180" i="9"/>
  <c r="AL180" i="9" s="1"/>
  <c r="AI180" i="9"/>
  <c r="AM181" i="9" s="1"/>
  <c r="AQ181" i="9" s="1"/>
  <c r="AR181" i="9" s="1"/>
  <c r="AJ180" i="9"/>
  <c r="T260" i="9"/>
  <c r="V260" i="9"/>
  <c r="AH186" i="10"/>
  <c r="AL186" i="10" s="1"/>
  <c r="AJ186" i="10"/>
  <c r="T401" i="10"/>
  <c r="V401" i="10"/>
  <c r="V351" i="10"/>
  <c r="T351" i="10"/>
  <c r="X351" i="10" s="1"/>
  <c r="V298" i="10"/>
  <c r="T298" i="10"/>
  <c r="W298" i="10" s="1"/>
  <c r="X267" i="10"/>
  <c r="X249" i="10"/>
  <c r="T111" i="10"/>
  <c r="U111" i="10" s="1"/>
  <c r="Y112" i="10" s="1"/>
  <c r="AC112" i="10" s="1"/>
  <c r="AD112" i="10" s="1"/>
  <c r="V111" i="10"/>
  <c r="X126" i="10"/>
  <c r="V371" i="9"/>
  <c r="T371" i="9"/>
  <c r="AF342" i="9"/>
  <c r="W341" i="9"/>
  <c r="AF374" i="9"/>
  <c r="W374" i="9"/>
  <c r="V234" i="9"/>
  <c r="T234" i="9"/>
  <c r="X234" i="9" s="1"/>
  <c r="U153" i="9"/>
  <c r="X168" i="9"/>
  <c r="W191" i="9"/>
  <c r="AF192" i="9"/>
  <c r="T99" i="9"/>
  <c r="X99" i="9" s="1"/>
  <c r="V99" i="9"/>
  <c r="V54" i="9"/>
  <c r="T54" i="9"/>
  <c r="X54" i="9" s="1"/>
  <c r="V166" i="8"/>
  <c r="T166" i="8"/>
  <c r="X166" i="8" s="1"/>
  <c r="V39" i="8"/>
  <c r="U39" i="8"/>
  <c r="Y39" i="8" s="1"/>
  <c r="AD39" i="8" s="1"/>
  <c r="T39" i="8"/>
  <c r="X39" i="8" s="1"/>
  <c r="T38" i="8"/>
  <c r="W38" i="8" s="1"/>
  <c r="V38" i="8"/>
  <c r="AX366" i="10"/>
  <c r="AV366" i="10"/>
  <c r="AY366" i="10" s="1"/>
  <c r="T411" i="10"/>
  <c r="U411" i="10" s="1"/>
  <c r="Y412" i="10" s="1"/>
  <c r="AC412" i="10" s="1"/>
  <c r="AD412" i="10" s="1"/>
  <c r="V411" i="10"/>
  <c r="T352" i="10"/>
  <c r="X352" i="10" s="1"/>
  <c r="V352" i="10"/>
  <c r="V321" i="10"/>
  <c r="T321" i="10"/>
  <c r="V221" i="10"/>
  <c r="T221" i="10"/>
  <c r="X221" i="10" s="1"/>
  <c r="X163" i="10"/>
  <c r="V118" i="10"/>
  <c r="T118" i="10"/>
  <c r="W118" i="10" s="1"/>
  <c r="AF73" i="10"/>
  <c r="W72" i="10"/>
  <c r="V107" i="10"/>
  <c r="T107" i="10"/>
  <c r="AF409" i="9"/>
  <c r="W409" i="9"/>
  <c r="U323" i="9"/>
  <c r="U302" i="9"/>
  <c r="Y303" i="9" s="1"/>
  <c r="AC303" i="9" s="1"/>
  <c r="AD303" i="9" s="1"/>
  <c r="AF303" i="9" s="1"/>
  <c r="U253" i="9"/>
  <c r="T253" i="9"/>
  <c r="W253" i="9" s="1"/>
  <c r="V253" i="9"/>
  <c r="AF172" i="9"/>
  <c r="W171" i="9"/>
  <c r="V183" i="9"/>
  <c r="U183" i="9"/>
  <c r="T183" i="9"/>
  <c r="W183" i="9" s="1"/>
  <c r="AF79" i="9"/>
  <c r="W79" i="9"/>
  <c r="V58" i="9"/>
  <c r="T58" i="9"/>
  <c r="W58" i="9" s="1"/>
  <c r="T388" i="8"/>
  <c r="W388" i="8" s="1"/>
  <c r="V388" i="8"/>
  <c r="U269" i="8"/>
  <c r="Y269" i="8" s="1"/>
  <c r="AD269" i="8" s="1"/>
  <c r="AF269" i="8" s="1"/>
  <c r="V179" i="8"/>
  <c r="T179" i="8"/>
  <c r="U179" i="8" s="1"/>
  <c r="Y179" i="8" s="1"/>
  <c r="AD179" i="8" s="1"/>
  <c r="V213" i="8"/>
  <c r="T213" i="8"/>
  <c r="W213" i="8" s="1"/>
  <c r="V153" i="8"/>
  <c r="T153" i="8"/>
  <c r="W153" i="8" s="1"/>
  <c r="X25" i="8"/>
  <c r="AF68" i="8"/>
  <c r="W67" i="8"/>
  <c r="AW131" i="9"/>
  <c r="AW116" i="9"/>
  <c r="AL56" i="10"/>
  <c r="AY25" i="8"/>
  <c r="AL76" i="10"/>
  <c r="AW206" i="9"/>
  <c r="AZ341" i="10"/>
  <c r="AL146" i="9"/>
  <c r="AZ276" i="9"/>
  <c r="AZ361" i="9"/>
  <c r="AT257" i="9"/>
  <c r="AK256" i="9"/>
  <c r="AK106" i="9"/>
  <c r="AT107" i="9"/>
  <c r="AK281" i="9"/>
  <c r="AT282" i="9"/>
  <c r="AJ116" i="9"/>
  <c r="AH116" i="9"/>
  <c r="AL116" i="9" s="1"/>
  <c r="V177" i="10"/>
  <c r="T177" i="10"/>
  <c r="X177" i="10" s="1"/>
  <c r="W99" i="10"/>
  <c r="T261" i="9"/>
  <c r="X261" i="9" s="1"/>
  <c r="V261" i="9"/>
  <c r="V318" i="8"/>
  <c r="T318" i="8"/>
  <c r="W318" i="8" s="1"/>
  <c r="AJ326" i="10"/>
  <c r="AI326" i="10"/>
  <c r="AM327" i="10" s="1"/>
  <c r="AQ327" i="10" s="1"/>
  <c r="AR327" i="10" s="1"/>
  <c r="AH326" i="10"/>
  <c r="AL326" i="10" s="1"/>
  <c r="V211" i="10"/>
  <c r="T211" i="10"/>
  <c r="X211" i="10" s="1"/>
  <c r="W91" i="10"/>
  <c r="W329" i="9"/>
  <c r="AF329" i="9"/>
  <c r="W267" i="9"/>
  <c r="AF268" i="9"/>
  <c r="V124" i="9"/>
  <c r="T124" i="9"/>
  <c r="U124" i="9" s="1"/>
  <c r="Y124" i="9" s="1"/>
  <c r="AC124" i="9" s="1"/>
  <c r="AD124" i="9" s="1"/>
  <c r="V173" i="8"/>
  <c r="T173" i="8"/>
  <c r="W173" i="8" s="1"/>
  <c r="AV236" i="9"/>
  <c r="AY236" i="9" s="1"/>
  <c r="AX236" i="9"/>
  <c r="T212" i="10"/>
  <c r="X212" i="10" s="1"/>
  <c r="V212" i="10"/>
  <c r="AF152" i="10"/>
  <c r="W151" i="10"/>
  <c r="X362" i="10"/>
  <c r="X313" i="10"/>
  <c r="V313" i="10"/>
  <c r="U313" i="10"/>
  <c r="T313" i="10"/>
  <c r="W313" i="10" s="1"/>
  <c r="AF272" i="10"/>
  <c r="W271" i="10"/>
  <c r="W281" i="10"/>
  <c r="X166" i="10"/>
  <c r="V166" i="10"/>
  <c r="U166" i="10"/>
  <c r="Y167" i="10" s="1"/>
  <c r="AC167" i="10" s="1"/>
  <c r="AD167" i="10" s="1"/>
  <c r="T166" i="10"/>
  <c r="V44" i="10"/>
  <c r="T44" i="10"/>
  <c r="X44" i="10" s="1"/>
  <c r="T416" i="9"/>
  <c r="V416" i="9"/>
  <c r="V317" i="9"/>
  <c r="T317" i="9"/>
  <c r="U317" i="9" s="1"/>
  <c r="Y318" i="9" s="1"/>
  <c r="AC318" i="9" s="1"/>
  <c r="AD318" i="9" s="1"/>
  <c r="W294" i="9"/>
  <c r="X203" i="9"/>
  <c r="W222" i="9"/>
  <c r="V94" i="9"/>
  <c r="T94" i="9"/>
  <c r="T407" i="8"/>
  <c r="X407" i="8" s="1"/>
  <c r="V407" i="8"/>
  <c r="V216" i="8"/>
  <c r="T216" i="8"/>
  <c r="V221" i="8"/>
  <c r="T221" i="8"/>
  <c r="X221" i="8" s="1"/>
  <c r="AF234" i="8"/>
  <c r="W234" i="8"/>
  <c r="AX111" i="8"/>
  <c r="AV111" i="8"/>
  <c r="AY111" i="8" s="1"/>
  <c r="AV60" i="10"/>
  <c r="AY60" i="10" s="1"/>
  <c r="AX60" i="10"/>
  <c r="AZ60" i="10"/>
  <c r="AH70" i="9"/>
  <c r="AL70" i="9" s="1"/>
  <c r="AJ70" i="9"/>
  <c r="T300" i="10"/>
  <c r="X300" i="10" s="1"/>
  <c r="V300" i="10"/>
  <c r="AV281" i="9"/>
  <c r="AY281" i="9" s="1"/>
  <c r="AX281" i="9"/>
  <c r="AH211" i="9"/>
  <c r="AL211" i="9" s="1"/>
  <c r="AJ211" i="9"/>
  <c r="AX81" i="10"/>
  <c r="AV81" i="10"/>
  <c r="AY81" i="10" s="1"/>
  <c r="T357" i="10"/>
  <c r="X357" i="10" s="1"/>
  <c r="V357" i="10"/>
  <c r="V169" i="10"/>
  <c r="T169" i="10"/>
  <c r="U169" i="10" s="1"/>
  <c r="Y169" i="10" s="1"/>
  <c r="AC169" i="10" s="1"/>
  <c r="AD169" i="10" s="1"/>
  <c r="T161" i="10"/>
  <c r="X161" i="10" s="1"/>
  <c r="V161" i="10"/>
  <c r="AF79" i="10"/>
  <c r="W79" i="10"/>
  <c r="V69" i="10"/>
  <c r="T69" i="10"/>
  <c r="X69" i="10" s="1"/>
  <c r="V393" i="9"/>
  <c r="U393" i="9"/>
  <c r="T393" i="9"/>
  <c r="W393" i="9" s="1"/>
  <c r="V326" i="9"/>
  <c r="T326" i="9"/>
  <c r="V268" i="9"/>
  <c r="T268" i="9"/>
  <c r="W268" i="9" s="1"/>
  <c r="X267" i="9"/>
  <c r="V241" i="9"/>
  <c r="T241" i="9"/>
  <c r="U241" i="9" s="1"/>
  <c r="Y242" i="9" s="1"/>
  <c r="AC242" i="9" s="1"/>
  <c r="AD242" i="9" s="1"/>
  <c r="V398" i="8"/>
  <c r="U398" i="8"/>
  <c r="T398" i="8"/>
  <c r="W398" i="8" s="1"/>
  <c r="V379" i="8"/>
  <c r="T379" i="8"/>
  <c r="U379" i="8" s="1"/>
  <c r="Y379" i="8" s="1"/>
  <c r="AD379" i="8" s="1"/>
  <c r="V326" i="8"/>
  <c r="T326" i="8"/>
  <c r="X326" i="8" s="1"/>
  <c r="V288" i="8"/>
  <c r="T288" i="8"/>
  <c r="W288" i="8" s="1"/>
  <c r="T324" i="8"/>
  <c r="V324" i="8"/>
  <c r="AX191" i="8"/>
  <c r="AV191" i="8"/>
  <c r="AY191" i="8" s="1"/>
  <c r="V217" i="8"/>
  <c r="T217" i="8"/>
  <c r="X217" i="8" s="1"/>
  <c r="V32" i="8"/>
  <c r="T32" i="8"/>
  <c r="X32" i="8" s="1"/>
  <c r="V76" i="8"/>
  <c r="T76" i="8"/>
  <c r="X76" i="8" s="1"/>
  <c r="T54" i="8"/>
  <c r="X54" i="8" s="1"/>
  <c r="V54" i="8"/>
  <c r="T35" i="9"/>
  <c r="V35" i="9"/>
  <c r="AV35" i="10"/>
  <c r="AY35" i="10" s="1"/>
  <c r="AX35" i="10"/>
  <c r="AV180" i="10"/>
  <c r="AY180" i="10" s="1"/>
  <c r="AX180" i="10"/>
  <c r="AJ31" i="9"/>
  <c r="AH31" i="9"/>
  <c r="AI31" i="9" s="1"/>
  <c r="AM32" i="9" s="1"/>
  <c r="AQ32" i="9" s="1"/>
  <c r="AR32" i="9" s="1"/>
  <c r="V337" i="10"/>
  <c r="U337" i="10"/>
  <c r="Y338" i="10" s="1"/>
  <c r="AC338" i="10" s="1"/>
  <c r="AD338" i="10" s="1"/>
  <c r="T337" i="10"/>
  <c r="X337" i="10" s="1"/>
  <c r="T302" i="10"/>
  <c r="X302" i="10" s="1"/>
  <c r="V302" i="10"/>
  <c r="V244" i="10"/>
  <c r="T244" i="10"/>
  <c r="X244" i="10" s="1"/>
  <c r="V203" i="10"/>
  <c r="T203" i="10"/>
  <c r="W203" i="10" s="1"/>
  <c r="V71" i="10"/>
  <c r="T71" i="10"/>
  <c r="U71" i="10" s="1"/>
  <c r="Y72" i="10" s="1"/>
  <c r="AC72" i="10" s="1"/>
  <c r="AD72" i="10" s="1"/>
  <c r="V423" i="9"/>
  <c r="T423" i="9"/>
  <c r="W423" i="9" s="1"/>
  <c r="V332" i="9"/>
  <c r="U332" i="9"/>
  <c r="Y333" i="9" s="1"/>
  <c r="AC333" i="9" s="1"/>
  <c r="AD333" i="9" s="1"/>
  <c r="T332" i="9"/>
  <c r="X332" i="9" s="1"/>
  <c r="W256" i="9"/>
  <c r="W297" i="9"/>
  <c r="T193" i="9"/>
  <c r="W193" i="9" s="1"/>
  <c r="V193" i="9"/>
  <c r="V151" i="9"/>
  <c r="T151" i="9"/>
  <c r="V116" i="9"/>
  <c r="T116" i="9"/>
  <c r="X116" i="9" s="1"/>
  <c r="T31" i="9"/>
  <c r="X31" i="9" s="1"/>
  <c r="V31" i="9"/>
  <c r="U31" i="9"/>
  <c r="Y32" i="9" s="1"/>
  <c r="AC32" i="9" s="1"/>
  <c r="AD32" i="9" s="1"/>
  <c r="T367" i="8"/>
  <c r="V367" i="8"/>
  <c r="V229" i="8"/>
  <c r="T229" i="8"/>
  <c r="AX191" i="9"/>
  <c r="AW191" i="9"/>
  <c r="AV191" i="9"/>
  <c r="AY191" i="9" s="1"/>
  <c r="AX121" i="10"/>
  <c r="AV121" i="10"/>
  <c r="AY121" i="10" s="1"/>
  <c r="AJ381" i="9"/>
  <c r="AH381" i="9"/>
  <c r="AI381" i="9" s="1"/>
  <c r="AM382" i="9" s="1"/>
  <c r="AQ382" i="9" s="1"/>
  <c r="AR382" i="9" s="1"/>
  <c r="AH26" i="9"/>
  <c r="AL26" i="9" s="1"/>
  <c r="AJ26" i="9"/>
  <c r="AF343" i="10"/>
  <c r="W342" i="10"/>
  <c r="V236" i="10"/>
  <c r="T236" i="10"/>
  <c r="U236" i="10" s="1"/>
  <c r="Y237" i="10" s="1"/>
  <c r="AC237" i="10" s="1"/>
  <c r="AD237" i="10" s="1"/>
  <c r="V183" i="10"/>
  <c r="T183" i="10"/>
  <c r="W183" i="10" s="1"/>
  <c r="V63" i="10"/>
  <c r="T63" i="10"/>
  <c r="W63" i="10" s="1"/>
  <c r="T319" i="9"/>
  <c r="X319" i="9" s="1"/>
  <c r="V319" i="9"/>
  <c r="V251" i="9"/>
  <c r="T251" i="9"/>
  <c r="X181" i="9"/>
  <c r="X108" i="9"/>
  <c r="V368" i="8"/>
  <c r="T368" i="8"/>
  <c r="W368" i="8" s="1"/>
  <c r="V211" i="8"/>
  <c r="T211" i="8"/>
  <c r="X211" i="8" s="1"/>
  <c r="V48" i="8"/>
  <c r="T48" i="8"/>
  <c r="W48" i="8" s="1"/>
  <c r="W137" i="8"/>
  <c r="T126" i="8"/>
  <c r="X126" i="8" s="1"/>
  <c r="V126" i="8"/>
  <c r="AV96" i="10"/>
  <c r="AY96" i="10" s="1"/>
  <c r="AX96" i="10"/>
  <c r="AH206" i="9"/>
  <c r="AI206" i="9" s="1"/>
  <c r="AM207" i="9" s="1"/>
  <c r="AQ207" i="9" s="1"/>
  <c r="AR207" i="9" s="1"/>
  <c r="AJ206" i="9"/>
  <c r="V399" i="10"/>
  <c r="T399" i="10"/>
  <c r="X399" i="10" s="1"/>
  <c r="U399" i="10"/>
  <c r="Y399" i="10" s="1"/>
  <c r="AC399" i="10" s="1"/>
  <c r="AD399" i="10" s="1"/>
  <c r="X338" i="10"/>
  <c r="X273" i="10"/>
  <c r="V192" i="10"/>
  <c r="T192" i="10"/>
  <c r="X142" i="10"/>
  <c r="V51" i="10"/>
  <c r="T51" i="10"/>
  <c r="X51" i="10" s="1"/>
  <c r="V31" i="10"/>
  <c r="T31" i="10"/>
  <c r="U31" i="10" s="1"/>
  <c r="Y32" i="10" s="1"/>
  <c r="AC32" i="10" s="1"/>
  <c r="AD32" i="10" s="1"/>
  <c r="V263" i="9"/>
  <c r="T263" i="9"/>
  <c r="W263" i="9" s="1"/>
  <c r="T197" i="9"/>
  <c r="X197" i="9" s="1"/>
  <c r="V197" i="9"/>
  <c r="T169" i="9"/>
  <c r="X169" i="9" s="1"/>
  <c r="V169" i="9"/>
  <c r="V414" i="8"/>
  <c r="T414" i="8"/>
  <c r="X414" i="8" s="1"/>
  <c r="V67" i="9"/>
  <c r="T67" i="9"/>
  <c r="X67" i="9" s="1"/>
  <c r="W417" i="8"/>
  <c r="T263" i="8"/>
  <c r="W263" i="8" s="1"/>
  <c r="V263" i="8"/>
  <c r="V189" i="8"/>
  <c r="T189" i="8"/>
  <c r="U189" i="8" s="1"/>
  <c r="Y189" i="8" s="1"/>
  <c r="AD189" i="8" s="1"/>
  <c r="V34" i="8"/>
  <c r="T34" i="8"/>
  <c r="T57" i="8"/>
  <c r="X57" i="8" s="1"/>
  <c r="V57" i="8"/>
  <c r="V51" i="8"/>
  <c r="T51" i="8"/>
  <c r="X51" i="8" s="1"/>
  <c r="AX346" i="10"/>
  <c r="AV346" i="10"/>
  <c r="AY346" i="10" s="1"/>
  <c r="AH66" i="10"/>
  <c r="AJ66" i="10"/>
  <c r="U406" i="10"/>
  <c r="Y407" i="10" s="1"/>
  <c r="AC407" i="10" s="1"/>
  <c r="AD407" i="10" s="1"/>
  <c r="T406" i="10"/>
  <c r="X406" i="10" s="1"/>
  <c r="V406" i="10"/>
  <c r="V387" i="10"/>
  <c r="T387" i="10"/>
  <c r="V179" i="10"/>
  <c r="T179" i="10"/>
  <c r="U179" i="10" s="1"/>
  <c r="Y179" i="10" s="1"/>
  <c r="AC179" i="10" s="1"/>
  <c r="AD179" i="10" s="1"/>
  <c r="X194" i="10"/>
  <c r="V134" i="10"/>
  <c r="T134" i="10"/>
  <c r="X134" i="10" s="1"/>
  <c r="X128" i="10"/>
  <c r="X26" i="10"/>
  <c r="V372" i="9"/>
  <c r="T372" i="9"/>
  <c r="T208" i="9"/>
  <c r="W208" i="9" s="1"/>
  <c r="V208" i="9"/>
  <c r="V114" i="9"/>
  <c r="T114" i="9"/>
  <c r="U114" i="9" s="1"/>
  <c r="Y114" i="9" s="1"/>
  <c r="AC114" i="9" s="1"/>
  <c r="AD114" i="9" s="1"/>
  <c r="V411" i="8"/>
  <c r="T411" i="8"/>
  <c r="X411" i="8" s="1"/>
  <c r="V246" i="8"/>
  <c r="T246" i="8"/>
  <c r="U246" i="8" s="1"/>
  <c r="Y247" i="8" s="1"/>
  <c r="AD247" i="8" s="1"/>
  <c r="W409" i="8"/>
  <c r="V312" i="8"/>
  <c r="T312" i="8"/>
  <c r="X346" i="8"/>
  <c r="V313" i="8"/>
  <c r="T313" i="8"/>
  <c r="W313" i="8" s="1"/>
  <c r="V77" i="8"/>
  <c r="T77" i="8"/>
  <c r="U77" i="8" s="1"/>
  <c r="Y78" i="8" s="1"/>
  <c r="AD78" i="8" s="1"/>
  <c r="AH291" i="9"/>
  <c r="AL291" i="9" s="1"/>
  <c r="AJ291" i="9"/>
  <c r="AH66" i="9"/>
  <c r="AI66" i="9" s="1"/>
  <c r="AM67" i="9" s="1"/>
  <c r="AQ67" i="9" s="1"/>
  <c r="AR67" i="9" s="1"/>
  <c r="AJ66" i="9"/>
  <c r="AX311" i="10"/>
  <c r="AV311" i="10"/>
  <c r="AY311" i="10" s="1"/>
  <c r="AV196" i="9"/>
  <c r="AY196" i="9" s="1"/>
  <c r="AX196" i="9"/>
  <c r="AJ121" i="10"/>
  <c r="AH121" i="10"/>
  <c r="AI121" i="10" s="1"/>
  <c r="AM122" i="10" s="1"/>
  <c r="AQ122" i="10" s="1"/>
  <c r="AR122" i="10" s="1"/>
  <c r="AX341" i="9"/>
  <c r="AV341" i="9"/>
  <c r="AY341" i="9" s="1"/>
  <c r="T331" i="10"/>
  <c r="U331" i="10" s="1"/>
  <c r="Y332" i="10" s="1"/>
  <c r="AC332" i="10" s="1"/>
  <c r="AD332" i="10" s="1"/>
  <c r="V331" i="10"/>
  <c r="AF252" i="10"/>
  <c r="W251" i="10"/>
  <c r="V238" i="10"/>
  <c r="T238" i="10"/>
  <c r="W238" i="10" s="1"/>
  <c r="W102" i="10"/>
  <c r="T421" i="9"/>
  <c r="U421" i="9" s="1"/>
  <c r="Y422" i="9" s="1"/>
  <c r="AC422" i="9" s="1"/>
  <c r="AD422" i="9" s="1"/>
  <c r="V421" i="9"/>
  <c r="V223" i="9"/>
  <c r="U223" i="9"/>
  <c r="T223" i="9"/>
  <c r="W223" i="9" s="1"/>
  <c r="T72" i="9"/>
  <c r="U72" i="9" s="1"/>
  <c r="Y73" i="9" s="1"/>
  <c r="AC73" i="9" s="1"/>
  <c r="AD73" i="9" s="1"/>
  <c r="V72" i="9"/>
  <c r="X354" i="8"/>
  <c r="T308" i="8"/>
  <c r="W308" i="8" s="1"/>
  <c r="V308" i="8"/>
  <c r="V226" i="8"/>
  <c r="T226" i="8"/>
  <c r="X226" i="8" s="1"/>
  <c r="W201" i="8"/>
  <c r="X29" i="8"/>
  <c r="AV146" i="9"/>
  <c r="AY146" i="9" s="1"/>
  <c r="AX146" i="9"/>
  <c r="AK306" i="9"/>
  <c r="V392" i="10"/>
  <c r="T392" i="10"/>
  <c r="X392" i="10" s="1"/>
  <c r="W356" i="10"/>
  <c r="T284" i="10"/>
  <c r="X284" i="10"/>
  <c r="V284" i="10"/>
  <c r="V202" i="10"/>
  <c r="T202" i="10"/>
  <c r="W94" i="10"/>
  <c r="W37" i="10"/>
  <c r="AF424" i="9"/>
  <c r="W424" i="9"/>
  <c r="V226" i="9"/>
  <c r="T226" i="9"/>
  <c r="X226" i="9" s="1"/>
  <c r="W102" i="9"/>
  <c r="V371" i="8"/>
  <c r="T371" i="8"/>
  <c r="U371" i="8" s="1"/>
  <c r="Y372" i="8" s="1"/>
  <c r="AD372" i="8" s="1"/>
  <c r="V401" i="8"/>
  <c r="T401" i="8"/>
  <c r="X401" i="8" s="1"/>
  <c r="V208" i="8"/>
  <c r="T208" i="8"/>
  <c r="W208" i="8" s="1"/>
  <c r="W257" i="8"/>
  <c r="V128" i="8"/>
  <c r="T128" i="8"/>
  <c r="W128" i="8" s="1"/>
  <c r="V58" i="8"/>
  <c r="T58" i="8"/>
  <c r="W58" i="8" s="1"/>
  <c r="U25" i="8"/>
  <c r="Y26" i="8" s="1"/>
  <c r="AD26" i="8" s="1"/>
  <c r="AF26" i="8" s="1"/>
  <c r="AV220" i="9"/>
  <c r="AY220" i="9" s="1"/>
  <c r="AX220" i="9"/>
  <c r="AH60" i="9"/>
  <c r="AL60" i="9" s="1"/>
  <c r="AJ60" i="9"/>
  <c r="AL316" i="10"/>
  <c r="AK266" i="9"/>
  <c r="AW25" i="9"/>
  <c r="AL176" i="9"/>
  <c r="AK361" i="10"/>
  <c r="AL281" i="10"/>
  <c r="AK351" i="10"/>
  <c r="AL156" i="10"/>
  <c r="AK286" i="10"/>
  <c r="AT287" i="10"/>
  <c r="AZ326" i="10"/>
  <c r="V233" i="10"/>
  <c r="T233" i="10"/>
  <c r="W233" i="10" s="1"/>
  <c r="T174" i="9"/>
  <c r="U174" i="9" s="1"/>
  <c r="Y174" i="9" s="1"/>
  <c r="AC174" i="9" s="1"/>
  <c r="AD174" i="9" s="1"/>
  <c r="V174" i="9"/>
  <c r="V174" i="8"/>
  <c r="T174" i="8"/>
  <c r="X174" i="8" s="1"/>
  <c r="D10" i="7"/>
  <c r="D14" i="7"/>
  <c r="AV396" i="10"/>
  <c r="AY396" i="10" s="1"/>
  <c r="AX396" i="10"/>
  <c r="AH191" i="10"/>
  <c r="AL191" i="10" s="1"/>
  <c r="AJ191" i="10"/>
  <c r="T414" i="10"/>
  <c r="V414" i="10"/>
  <c r="U303" i="10"/>
  <c r="U198" i="10"/>
  <c r="V78" i="10"/>
  <c r="T78" i="10"/>
  <c r="W78" i="10" s="1"/>
  <c r="W97" i="10"/>
  <c r="AF98" i="10"/>
  <c r="AF389" i="9"/>
  <c r="W389" i="9"/>
  <c r="T362" i="9"/>
  <c r="U362" i="9" s="1"/>
  <c r="Y363" i="9" s="1"/>
  <c r="AC363" i="9" s="1"/>
  <c r="AD363" i="9" s="1"/>
  <c r="V362" i="9"/>
  <c r="V414" i="9"/>
  <c r="U414" i="9"/>
  <c r="Y414" i="9" s="1"/>
  <c r="AC414" i="9" s="1"/>
  <c r="AD414" i="9" s="1"/>
  <c r="T414" i="9"/>
  <c r="X414" i="9" s="1"/>
  <c r="W286" i="9"/>
  <c r="AF287" i="9"/>
  <c r="T248" i="9"/>
  <c r="W248" i="9" s="1"/>
  <c r="V248" i="9"/>
  <c r="V214" i="9"/>
  <c r="T214" i="9"/>
  <c r="U214" i="9" s="1"/>
  <c r="Y214" i="9" s="1"/>
  <c r="AC214" i="9" s="1"/>
  <c r="AD214" i="9" s="1"/>
  <c r="X178" i="9"/>
  <c r="X86" i="9"/>
  <c r="W352" i="8"/>
  <c r="AF353" i="8"/>
  <c r="X397" i="8"/>
  <c r="U238" i="8"/>
  <c r="T212" i="8"/>
  <c r="U212" i="8" s="1"/>
  <c r="Y213" i="8" s="1"/>
  <c r="AD213" i="8" s="1"/>
  <c r="V212" i="8"/>
  <c r="V83" i="8"/>
  <c r="T83" i="8"/>
  <c r="W83" i="8" s="1"/>
  <c r="AJ46" i="10"/>
  <c r="AH46" i="10"/>
  <c r="AI46" i="10" s="1"/>
  <c r="AM47" i="10" s="1"/>
  <c r="AQ47" i="10" s="1"/>
  <c r="AR47" i="10" s="1"/>
  <c r="V333" i="10"/>
  <c r="T333" i="10"/>
  <c r="W333" i="10" s="1"/>
  <c r="AF227" i="10"/>
  <c r="W226" i="10"/>
  <c r="U176" i="10"/>
  <c r="Y177" i="10" s="1"/>
  <c r="AC177" i="10" s="1"/>
  <c r="AD177" i="10" s="1"/>
  <c r="AF177" i="10" s="1"/>
  <c r="V182" i="10"/>
  <c r="T182" i="10"/>
  <c r="U182" i="10" s="1"/>
  <c r="Y183" i="10" s="1"/>
  <c r="AC183" i="10" s="1"/>
  <c r="AD183" i="10" s="1"/>
  <c r="V28" i="10"/>
  <c r="T28" i="10"/>
  <c r="W28" i="10" s="1"/>
  <c r="AF404" i="9"/>
  <c r="W404" i="9"/>
  <c r="V321" i="9"/>
  <c r="T321" i="9"/>
  <c r="U256" i="9"/>
  <c r="Y257" i="9" s="1"/>
  <c r="AC257" i="9" s="1"/>
  <c r="AD257" i="9" s="1"/>
  <c r="AF257" i="9" s="1"/>
  <c r="U297" i="9"/>
  <c r="Y298" i="9" s="1"/>
  <c r="AC298" i="9" s="1"/>
  <c r="AD298" i="9" s="1"/>
  <c r="AF298" i="9" s="1"/>
  <c r="AF233" i="9"/>
  <c r="W232" i="9"/>
  <c r="U233" i="9"/>
  <c r="T158" i="9"/>
  <c r="W158" i="9" s="1"/>
  <c r="V158" i="9"/>
  <c r="W97" i="9"/>
  <c r="AF98" i="9"/>
  <c r="V406" i="8"/>
  <c r="T406" i="8"/>
  <c r="U406" i="8" s="1"/>
  <c r="Y407" i="8" s="1"/>
  <c r="AD407" i="8" s="1"/>
  <c r="X406" i="8"/>
  <c r="T28" i="9"/>
  <c r="W28" i="9" s="1"/>
  <c r="V28" i="9"/>
  <c r="AF387" i="8"/>
  <c r="W386" i="8"/>
  <c r="V296" i="8"/>
  <c r="T296" i="8"/>
  <c r="X296" i="8" s="1"/>
  <c r="U303" i="8"/>
  <c r="T332" i="8"/>
  <c r="U332" i="8" s="1"/>
  <c r="Y333" i="8" s="1"/>
  <c r="AD333" i="8" s="1"/>
  <c r="V332" i="8"/>
  <c r="V176" i="8"/>
  <c r="T176" i="8"/>
  <c r="X176" i="8" s="1"/>
  <c r="X223" i="8"/>
  <c r="AF109" i="8"/>
  <c r="W109" i="8"/>
  <c r="U118" i="8"/>
  <c r="T180" i="9"/>
  <c r="V180" i="9"/>
  <c r="AV186" i="10"/>
  <c r="AY186" i="10" s="1"/>
  <c r="AX186" i="10"/>
  <c r="AF294" i="10"/>
  <c r="W294" i="10"/>
  <c r="V199" i="10"/>
  <c r="T199" i="10"/>
  <c r="W174" i="10"/>
  <c r="U143" i="10"/>
  <c r="T49" i="10"/>
  <c r="X49" i="10" s="1"/>
  <c r="V49" i="10"/>
  <c r="V407" i="9"/>
  <c r="T407" i="9"/>
  <c r="X407" i="9"/>
  <c r="V324" i="9"/>
  <c r="T324" i="9"/>
  <c r="X324" i="9" s="1"/>
  <c r="U298" i="9"/>
  <c r="T224" i="9"/>
  <c r="X224" i="9" s="1"/>
  <c r="V224" i="9"/>
  <c r="AF154" i="9"/>
  <c r="W154" i="9"/>
  <c r="AF132" i="9"/>
  <c r="W131" i="9"/>
  <c r="AF89" i="9"/>
  <c r="W89" i="9"/>
  <c r="V248" i="8"/>
  <c r="T248" i="8"/>
  <c r="W248" i="8" s="1"/>
  <c r="T311" i="8"/>
  <c r="X311" i="8" s="1"/>
  <c r="V311" i="8"/>
  <c r="V133" i="8"/>
  <c r="T133" i="8"/>
  <c r="W133" i="8" s="1"/>
  <c r="V202" i="8"/>
  <c r="T202" i="8"/>
  <c r="U202" i="8" s="1"/>
  <c r="Y203" i="8" s="1"/>
  <c r="AD203" i="8" s="1"/>
  <c r="AF232" i="8"/>
  <c r="W231" i="8"/>
  <c r="V233" i="8"/>
  <c r="T233" i="8"/>
  <c r="W233" i="8" s="1"/>
  <c r="V82" i="8"/>
  <c r="T82" i="8"/>
  <c r="X82" i="8" s="1"/>
  <c r="U137" i="8"/>
  <c r="Y138" i="8" s="1"/>
  <c r="AD138" i="8" s="1"/>
  <c r="AF138" i="8" s="1"/>
  <c r="T35" i="10"/>
  <c r="U35" i="10" s="1"/>
  <c r="Y36" i="10" s="1"/>
  <c r="AC36" i="10" s="1"/>
  <c r="AD36" i="10" s="1"/>
  <c r="X35" i="10"/>
  <c r="V35" i="10"/>
  <c r="V419" i="10"/>
  <c r="T419" i="10"/>
  <c r="X419" i="10" s="1"/>
  <c r="T314" i="10"/>
  <c r="U314" i="10" s="1"/>
  <c r="Y314" i="10" s="1"/>
  <c r="AC314" i="10" s="1"/>
  <c r="AD314" i="10" s="1"/>
  <c r="V314" i="10"/>
  <c r="U293" i="10"/>
  <c r="T242" i="10"/>
  <c r="X242" i="10" s="1"/>
  <c r="V242" i="10"/>
  <c r="V197" i="10"/>
  <c r="T197" i="10"/>
  <c r="X197" i="10" s="1"/>
  <c r="X138" i="10"/>
  <c r="V131" i="10"/>
  <c r="T131" i="10"/>
  <c r="U131" i="10" s="1"/>
  <c r="Y132" i="10" s="1"/>
  <c r="AC132" i="10" s="1"/>
  <c r="AD132" i="10" s="1"/>
  <c r="AF59" i="10"/>
  <c r="W59" i="10"/>
  <c r="V48" i="10"/>
  <c r="T48" i="10"/>
  <c r="W48" i="10" s="1"/>
  <c r="V399" i="9"/>
  <c r="T399" i="9"/>
  <c r="X399" i="9" s="1"/>
  <c r="V281" i="9"/>
  <c r="T281" i="9"/>
  <c r="X281" i="9" s="1"/>
  <c r="V239" i="9"/>
  <c r="T239" i="9"/>
  <c r="X239" i="9" s="1"/>
  <c r="V134" i="9"/>
  <c r="T134" i="9"/>
  <c r="X134" i="9" s="1"/>
  <c r="U417" i="8"/>
  <c r="Y418" i="8" s="1"/>
  <c r="AD418" i="8" s="1"/>
  <c r="AF418" i="8" s="1"/>
  <c r="V369" i="8"/>
  <c r="T369" i="8"/>
  <c r="U369" i="8" s="1"/>
  <c r="Y369" i="8" s="1"/>
  <c r="AD369" i="8" s="1"/>
  <c r="V258" i="8"/>
  <c r="T258" i="8"/>
  <c r="W258" i="8" s="1"/>
  <c r="T292" i="8"/>
  <c r="X292" i="8" s="1"/>
  <c r="V292" i="8"/>
  <c r="X183" i="8"/>
  <c r="T60" i="9"/>
  <c r="U60" i="9" s="1"/>
  <c r="Y61" i="9" s="1"/>
  <c r="AC61" i="9" s="1"/>
  <c r="AD61" i="9" s="1"/>
  <c r="V60" i="9"/>
  <c r="AV70" i="10"/>
  <c r="AY70" i="10" s="1"/>
  <c r="AX70" i="10"/>
  <c r="AJ111" i="10"/>
  <c r="AH111" i="10"/>
  <c r="AL111" i="10" s="1"/>
  <c r="AX31" i="10"/>
  <c r="AV31" i="10"/>
  <c r="AY31" i="10" s="1"/>
  <c r="T396" i="10"/>
  <c r="U396" i="10" s="1"/>
  <c r="Y397" i="10" s="1"/>
  <c r="AC397" i="10" s="1"/>
  <c r="AD397" i="10" s="1"/>
  <c r="V396" i="10"/>
  <c r="V359" i="10"/>
  <c r="T359" i="10"/>
  <c r="X359" i="10" s="1"/>
  <c r="W277" i="10"/>
  <c r="V243" i="10"/>
  <c r="T243" i="10"/>
  <c r="W243" i="10" s="1"/>
  <c r="V149" i="10"/>
  <c r="T149" i="10"/>
  <c r="X149" i="10" s="1"/>
  <c r="V379" i="9"/>
  <c r="T379" i="9"/>
  <c r="X379" i="9" s="1"/>
  <c r="V349" i="9"/>
  <c r="T349" i="9"/>
  <c r="V242" i="9"/>
  <c r="T242" i="9"/>
  <c r="X242" i="9" s="1"/>
  <c r="V103" i="9"/>
  <c r="T103" i="9"/>
  <c r="W103" i="9" s="1"/>
  <c r="V339" i="8"/>
  <c r="T339" i="8"/>
  <c r="X339" i="8" s="1"/>
  <c r="U409" i="8"/>
  <c r="Y409" i="8" s="1"/>
  <c r="AD409" i="8" s="1"/>
  <c r="AF409" i="8" s="1"/>
  <c r="AF314" i="8"/>
  <c r="W314" i="8"/>
  <c r="T319" i="8"/>
  <c r="X319" i="8" s="1"/>
  <c r="V319" i="8"/>
  <c r="V158" i="8"/>
  <c r="T158" i="8"/>
  <c r="W158" i="8" s="1"/>
  <c r="V171" i="8"/>
  <c r="T171" i="8"/>
  <c r="X171" i="8" s="1"/>
  <c r="V241" i="8"/>
  <c r="T241" i="8"/>
  <c r="U241" i="8" s="1"/>
  <c r="Y242" i="8" s="1"/>
  <c r="AD242" i="8" s="1"/>
  <c r="T188" i="8"/>
  <c r="W188" i="8" s="1"/>
  <c r="V188" i="8"/>
  <c r="V193" i="8"/>
  <c r="T193" i="8"/>
  <c r="W193" i="8" s="1"/>
  <c r="T121" i="8"/>
  <c r="X121" i="8" s="1"/>
  <c r="V121" i="8"/>
  <c r="AV50" i="9"/>
  <c r="AY50" i="9" s="1"/>
  <c r="AX50" i="9"/>
  <c r="AH220" i="9"/>
  <c r="AJ220" i="9"/>
  <c r="AX196" i="10"/>
  <c r="AV196" i="10"/>
  <c r="AY196" i="10" s="1"/>
  <c r="AJ386" i="10"/>
  <c r="AI386" i="10"/>
  <c r="AM387" i="10" s="1"/>
  <c r="AQ387" i="10" s="1"/>
  <c r="AR387" i="10" s="1"/>
  <c r="AH386" i="10"/>
  <c r="AL386" i="10" s="1"/>
  <c r="AF329" i="10"/>
  <c r="W329" i="10"/>
  <c r="X251" i="10"/>
  <c r="V214" i="10"/>
  <c r="T214" i="10"/>
  <c r="X172" i="10"/>
  <c r="V172" i="10"/>
  <c r="T172" i="10"/>
  <c r="U102" i="10"/>
  <c r="Y103" i="10" s="1"/>
  <c r="AC103" i="10" s="1"/>
  <c r="AD103" i="10" s="1"/>
  <c r="AF103" i="10" s="1"/>
  <c r="W56" i="10"/>
  <c r="V402" i="9"/>
  <c r="U402" i="9"/>
  <c r="Y403" i="9" s="1"/>
  <c r="AC403" i="9" s="1"/>
  <c r="AD403" i="9" s="1"/>
  <c r="T402" i="9"/>
  <c r="X402" i="9"/>
  <c r="V299" i="9"/>
  <c r="T299" i="9"/>
  <c r="X299" i="9" s="1"/>
  <c r="V204" i="9"/>
  <c r="T204" i="9"/>
  <c r="X204" i="9" s="1"/>
  <c r="X153" i="9"/>
  <c r="U168" i="9"/>
  <c r="V106" i="9"/>
  <c r="T106" i="9"/>
  <c r="X106" i="9" s="1"/>
  <c r="V57" i="9"/>
  <c r="T57" i="9"/>
  <c r="U57" i="9" s="1"/>
  <c r="Y58" i="9" s="1"/>
  <c r="AC58" i="9" s="1"/>
  <c r="AD58" i="9" s="1"/>
  <c r="V51" i="9"/>
  <c r="U51" i="9"/>
  <c r="Y52" i="9" s="1"/>
  <c r="AC52" i="9" s="1"/>
  <c r="AD52" i="9" s="1"/>
  <c r="T51" i="9"/>
  <c r="X51" i="9" s="1"/>
  <c r="AF264" i="8"/>
  <c r="W264" i="8"/>
  <c r="U201" i="8"/>
  <c r="Y202" i="8" s="1"/>
  <c r="AD202" i="8" s="1"/>
  <c r="AF202" i="8" s="1"/>
  <c r="V106" i="8"/>
  <c r="T106" i="8"/>
  <c r="X106" i="8" s="1"/>
  <c r="T73" i="8"/>
  <c r="W73" i="8" s="1"/>
  <c r="V73" i="8"/>
  <c r="T180" i="10"/>
  <c r="U180" i="10" s="1"/>
  <c r="Y181" i="10" s="1"/>
  <c r="AC181" i="10" s="1"/>
  <c r="AD181" i="10" s="1"/>
  <c r="V180" i="10"/>
  <c r="AI306" i="9"/>
  <c r="AM307" i="9" s="1"/>
  <c r="AQ307" i="9" s="1"/>
  <c r="AR307" i="9" s="1"/>
  <c r="AT307" i="9" s="1"/>
  <c r="U356" i="10"/>
  <c r="Y357" i="10" s="1"/>
  <c r="AC357" i="10" s="1"/>
  <c r="AD357" i="10" s="1"/>
  <c r="AF357" i="10" s="1"/>
  <c r="U291" i="10"/>
  <c r="Y292" i="10" s="1"/>
  <c r="AC292" i="10" s="1"/>
  <c r="AD292" i="10" s="1"/>
  <c r="AF292" i="10" s="1"/>
  <c r="X193" i="10"/>
  <c r="V164" i="10"/>
  <c r="U164" i="10"/>
  <c r="Y164" i="10" s="1"/>
  <c r="AC164" i="10" s="1"/>
  <c r="AD164" i="10" s="1"/>
  <c r="T164" i="10"/>
  <c r="X164" i="10" s="1"/>
  <c r="AF107" i="10"/>
  <c r="W106" i="10"/>
  <c r="U94" i="10"/>
  <c r="Y94" i="10" s="1"/>
  <c r="AC94" i="10" s="1"/>
  <c r="AD94" i="10" s="1"/>
  <c r="AF94" i="10" s="1"/>
  <c r="X58" i="10"/>
  <c r="U37" i="10"/>
  <c r="Y38" i="10" s="1"/>
  <c r="AC38" i="10" s="1"/>
  <c r="AD38" i="10" s="1"/>
  <c r="AF38" i="10" s="1"/>
  <c r="V207" i="9"/>
  <c r="U207" i="9"/>
  <c r="Y208" i="9" s="1"/>
  <c r="AC208" i="9" s="1"/>
  <c r="AD208" i="9" s="1"/>
  <c r="T207" i="9"/>
  <c r="X207" i="9" s="1"/>
  <c r="U102" i="9"/>
  <c r="Y103" i="9" s="1"/>
  <c r="AC103" i="9" s="1"/>
  <c r="AD103" i="9" s="1"/>
  <c r="AF103" i="9" s="1"/>
  <c r="V392" i="8"/>
  <c r="T392" i="8"/>
  <c r="AF399" i="8"/>
  <c r="W399" i="8"/>
  <c r="W254" i="8"/>
  <c r="AF254" i="8"/>
  <c r="V251" i="8"/>
  <c r="T251" i="8"/>
  <c r="V274" i="8"/>
  <c r="U274" i="8"/>
  <c r="Y274" i="8" s="1"/>
  <c r="AD274" i="8" s="1"/>
  <c r="T274" i="8"/>
  <c r="X274" i="8" s="1"/>
  <c r="T316" i="8"/>
  <c r="U316" i="8" s="1"/>
  <c r="Y317" i="8" s="1"/>
  <c r="AD317" i="8" s="1"/>
  <c r="V316" i="8"/>
  <c r="V222" i="8"/>
  <c r="U222" i="8"/>
  <c r="Y223" i="8" s="1"/>
  <c r="AD223" i="8" s="1"/>
  <c r="T222" i="8"/>
  <c r="X222" i="8" s="1"/>
  <c r="V273" i="8"/>
  <c r="T273" i="8"/>
  <c r="W273" i="8" s="1"/>
  <c r="W152" i="8"/>
  <c r="AF153" i="8"/>
  <c r="U257" i="8"/>
  <c r="Y258" i="8" s="1"/>
  <c r="AD258" i="8" s="1"/>
  <c r="AF258" i="8" s="1"/>
  <c r="V72" i="8"/>
  <c r="T72" i="8"/>
  <c r="X72" i="8" s="1"/>
  <c r="V103" i="8"/>
  <c r="T103" i="8"/>
  <c r="W103" i="8" s="1"/>
  <c r="AF129" i="8"/>
  <c r="W129" i="8"/>
  <c r="AV211" i="10"/>
  <c r="AY211" i="10" s="1"/>
  <c r="AX211" i="10"/>
  <c r="AH406" i="9"/>
  <c r="AL406" i="9" s="1"/>
  <c r="AJ406" i="9"/>
  <c r="AI266" i="9"/>
  <c r="AM267" i="9" s="1"/>
  <c r="AQ267" i="9" s="1"/>
  <c r="AR267" i="9" s="1"/>
  <c r="AT267" i="9" s="1"/>
  <c r="AW321" i="9"/>
  <c r="AT132" i="10"/>
  <c r="AK131" i="10"/>
  <c r="AI361" i="10"/>
  <c r="AM362" i="10" s="1"/>
  <c r="AQ362" i="10" s="1"/>
  <c r="AR362" i="10" s="1"/>
  <c r="AT362" i="10" s="1"/>
  <c r="D9" i="9"/>
  <c r="AW231" i="10"/>
  <c r="AZ246" i="10"/>
  <c r="AI351" i="10"/>
  <c r="AM352" i="10" s="1"/>
  <c r="AQ352" i="10" s="1"/>
  <c r="AR352" i="10" s="1"/>
  <c r="AT352" i="10" s="1"/>
  <c r="AZ186" i="9"/>
  <c r="AZ126" i="9"/>
  <c r="AK236" i="9"/>
  <c r="AH191" i="9"/>
  <c r="AL191" i="9" s="1"/>
  <c r="AJ191" i="9"/>
  <c r="V341" i="10"/>
  <c r="T341" i="10"/>
  <c r="U341" i="10" s="1"/>
  <c r="Y342" i="10" s="1"/>
  <c r="AC342" i="10" s="1"/>
  <c r="AD342" i="10" s="1"/>
  <c r="V419" i="9"/>
  <c r="T419" i="9"/>
  <c r="X419" i="9" s="1"/>
  <c r="T136" i="9"/>
  <c r="X136" i="9" s="1"/>
  <c r="V136" i="9"/>
  <c r="V378" i="8"/>
  <c r="T378" i="8"/>
  <c r="W378" i="8" s="1"/>
  <c r="V88" i="8"/>
  <c r="T88" i="8"/>
  <c r="W88" i="8" s="1"/>
  <c r="AH151" i="9"/>
  <c r="AL151" i="9" s="1"/>
  <c r="AJ151" i="9"/>
  <c r="V378" i="10"/>
  <c r="T378" i="10"/>
  <c r="W378" i="10" s="1"/>
  <c r="V411" i="9"/>
  <c r="T411" i="9"/>
  <c r="V259" i="9"/>
  <c r="T259" i="9"/>
  <c r="U259" i="9" s="1"/>
  <c r="Y259" i="9" s="1"/>
  <c r="AC259" i="9" s="1"/>
  <c r="AD259" i="9" s="1"/>
  <c r="T112" i="9"/>
  <c r="X112" i="9" s="1"/>
  <c r="V112" i="9"/>
  <c r="AF27" i="9"/>
  <c r="W26" i="9"/>
  <c r="V298" i="8"/>
  <c r="T298" i="8"/>
  <c r="W298" i="8" s="1"/>
  <c r="AX156" i="10"/>
  <c r="AV156" i="10"/>
  <c r="AY156" i="10" s="1"/>
  <c r="V304" i="10"/>
  <c r="T304" i="10"/>
  <c r="AF118" i="10"/>
  <c r="W117" i="10"/>
  <c r="V156" i="10"/>
  <c r="T156" i="10"/>
  <c r="U156" i="10" s="1"/>
  <c r="Y157" i="10" s="1"/>
  <c r="AC157" i="10" s="1"/>
  <c r="AD157" i="10" s="1"/>
  <c r="T64" i="10"/>
  <c r="U64" i="10" s="1"/>
  <c r="Y64" i="10" s="1"/>
  <c r="AC64" i="10" s="1"/>
  <c r="AD64" i="10" s="1"/>
  <c r="V64" i="10"/>
  <c r="V29" i="10"/>
  <c r="T29" i="10"/>
  <c r="X29" i="10" s="1"/>
  <c r="V303" i="9"/>
  <c r="T303" i="9"/>
  <c r="W303" i="9" s="1"/>
  <c r="U203" i="9"/>
  <c r="AF109" i="9"/>
  <c r="W109" i="9"/>
  <c r="T47" i="9"/>
  <c r="X47" i="9" s="1"/>
  <c r="V47" i="9"/>
  <c r="V262" i="8"/>
  <c r="T262" i="8"/>
  <c r="X262" i="8" s="1"/>
  <c r="V336" i="8"/>
  <c r="T336" i="8"/>
  <c r="U336" i="8" s="1"/>
  <c r="Y337" i="8" s="1"/>
  <c r="AD337" i="8" s="1"/>
  <c r="V333" i="8"/>
  <c r="T333" i="8"/>
  <c r="W333" i="8" s="1"/>
  <c r="T287" i="8"/>
  <c r="X287" i="8" s="1"/>
  <c r="V287" i="8"/>
  <c r="T268" i="8"/>
  <c r="W268" i="8" s="1"/>
  <c r="V268" i="8"/>
  <c r="V187" i="8"/>
  <c r="T187" i="8"/>
  <c r="U187" i="8" s="1"/>
  <c r="Y188" i="8" s="1"/>
  <c r="AD188" i="8" s="1"/>
  <c r="V186" i="8"/>
  <c r="T186" i="8"/>
  <c r="U186" i="8" s="1"/>
  <c r="Y187" i="8" s="1"/>
  <c r="AD187" i="8" s="1"/>
  <c r="V161" i="8"/>
  <c r="T161" i="8"/>
  <c r="X161" i="8" s="1"/>
  <c r="AH50" i="9"/>
  <c r="AI50" i="9" s="1"/>
  <c r="AM51" i="9" s="1"/>
  <c r="AQ51" i="9" s="1"/>
  <c r="AR51" i="9" s="1"/>
  <c r="AJ50" i="9"/>
  <c r="V348" i="10"/>
  <c r="T348" i="10"/>
  <c r="W348" i="10" s="1"/>
  <c r="T276" i="10"/>
  <c r="V276" i="10"/>
  <c r="AF189" i="10"/>
  <c r="W189" i="10"/>
  <c r="X117" i="10"/>
  <c r="V86" i="10"/>
  <c r="T86" i="10"/>
  <c r="U86" i="10" s="1"/>
  <c r="Y87" i="10" s="1"/>
  <c r="AC87" i="10" s="1"/>
  <c r="AD87" i="10" s="1"/>
  <c r="T46" i="10"/>
  <c r="X46" i="10" s="1"/>
  <c r="V46" i="10"/>
  <c r="T397" i="9"/>
  <c r="V397" i="9"/>
  <c r="T351" i="9"/>
  <c r="X351" i="9" s="1"/>
  <c r="V351" i="9"/>
  <c r="T237" i="9"/>
  <c r="V237" i="9"/>
  <c r="V82" i="9"/>
  <c r="T82" i="9"/>
  <c r="U82" i="9" s="1"/>
  <c r="Y83" i="9" s="1"/>
  <c r="AC83" i="9" s="1"/>
  <c r="AD83" i="9" s="1"/>
  <c r="W41" i="9"/>
  <c r="X277" i="8"/>
  <c r="V277" i="8"/>
  <c r="T277" i="8"/>
  <c r="W209" i="8"/>
  <c r="V111" i="8"/>
  <c r="U111" i="8"/>
  <c r="Y112" i="8" s="1"/>
  <c r="AD112" i="8" s="1"/>
  <c r="T111" i="8"/>
  <c r="X111" i="8" s="1"/>
  <c r="U408" i="10"/>
  <c r="X383" i="10"/>
  <c r="X336" i="10"/>
  <c r="V219" i="10"/>
  <c r="T219" i="10"/>
  <c r="X219" i="10" s="1"/>
  <c r="AF187" i="10"/>
  <c r="W186" i="10"/>
  <c r="U99" i="10"/>
  <c r="Y99" i="10" s="1"/>
  <c r="AC99" i="10" s="1"/>
  <c r="AD99" i="10" s="1"/>
  <c r="AF99" i="10" s="1"/>
  <c r="X101" i="10"/>
  <c r="V386" i="9"/>
  <c r="T386" i="9"/>
  <c r="V356" i="9"/>
  <c r="T356" i="9"/>
  <c r="X356" i="9" s="1"/>
  <c r="X334" i="9"/>
  <c r="V218" i="9"/>
  <c r="T218" i="9"/>
  <c r="W218" i="9" s="1"/>
  <c r="V144" i="9"/>
  <c r="T144" i="9"/>
  <c r="U144" i="9" s="1"/>
  <c r="Y144" i="9" s="1"/>
  <c r="AC144" i="9" s="1"/>
  <c r="AD144" i="9" s="1"/>
  <c r="V133" i="9"/>
  <c r="T133" i="9"/>
  <c r="W133" i="9" s="1"/>
  <c r="T44" i="9"/>
  <c r="X44" i="9" s="1"/>
  <c r="V44" i="9"/>
  <c r="U41" i="9"/>
  <c r="Y42" i="9" s="1"/>
  <c r="AC42" i="9" s="1"/>
  <c r="AD42" i="9" s="1"/>
  <c r="AF42" i="9" s="1"/>
  <c r="AF373" i="8"/>
  <c r="W372" i="8"/>
  <c r="T156" i="8"/>
  <c r="U156" i="8" s="1"/>
  <c r="Y157" i="8" s="1"/>
  <c r="AD157" i="8" s="1"/>
  <c r="V156" i="8"/>
  <c r="U209" i="8"/>
  <c r="Y209" i="8" s="1"/>
  <c r="AD209" i="8" s="1"/>
  <c r="AF209" i="8" s="1"/>
  <c r="V66" i="8"/>
  <c r="T66" i="8"/>
  <c r="X66" i="8" s="1"/>
  <c r="T102" i="8"/>
  <c r="X102" i="8" s="1"/>
  <c r="V102" i="8"/>
  <c r="AV60" i="9"/>
  <c r="AY60" i="9" s="1"/>
  <c r="AX60" i="9"/>
  <c r="D11" i="7"/>
  <c r="AH220" i="10"/>
  <c r="AI220" i="10" s="1"/>
  <c r="AM221" i="10" s="1"/>
  <c r="AQ221" i="10" s="1"/>
  <c r="AR221" i="10" s="1"/>
  <c r="AJ220" i="10"/>
  <c r="T100" i="9"/>
  <c r="U100" i="9" s="1"/>
  <c r="Y101" i="9" s="1"/>
  <c r="AC101" i="9" s="1"/>
  <c r="AD101" i="9" s="1"/>
  <c r="V100" i="9"/>
  <c r="AH81" i="10"/>
  <c r="AL81" i="10" s="1"/>
  <c r="AJ81" i="10"/>
  <c r="AJ41" i="9"/>
  <c r="AH41" i="9"/>
  <c r="AL41" i="9" s="1"/>
  <c r="AH341" i="9"/>
  <c r="AI341" i="9" s="1"/>
  <c r="AM342" i="9" s="1"/>
  <c r="AQ342" i="9" s="1"/>
  <c r="AR342" i="9" s="1"/>
  <c r="AJ341" i="9"/>
  <c r="AJ386" i="9"/>
  <c r="AH386" i="9"/>
  <c r="AI386" i="9" s="1"/>
  <c r="AM387" i="9" s="1"/>
  <c r="AQ387" i="9" s="1"/>
  <c r="AR387" i="9" s="1"/>
  <c r="AJ351" i="9"/>
  <c r="AH351" i="9"/>
  <c r="AL351" i="9" s="1"/>
  <c r="V391" i="10"/>
  <c r="U391" i="10"/>
  <c r="Y392" i="10" s="1"/>
  <c r="AC392" i="10" s="1"/>
  <c r="AD392" i="10" s="1"/>
  <c r="X391" i="10"/>
  <c r="T391" i="10"/>
  <c r="AF289" i="10"/>
  <c r="W289" i="10"/>
  <c r="AF109" i="10"/>
  <c r="W109" i="10"/>
  <c r="U91" i="10"/>
  <c r="Y92" i="10" s="1"/>
  <c r="AC92" i="10" s="1"/>
  <c r="AD92" i="10" s="1"/>
  <c r="AF92" i="10" s="1"/>
  <c r="X79" i="10"/>
  <c r="U343" i="9"/>
  <c r="T343" i="9"/>
  <c r="W343" i="9" s="1"/>
  <c r="V343" i="9"/>
  <c r="AF264" i="9"/>
  <c r="W264" i="9"/>
  <c r="T229" i="9"/>
  <c r="X229" i="9" s="1"/>
  <c r="V229" i="9"/>
  <c r="T132" i="9"/>
  <c r="X132" i="9" s="1"/>
  <c r="V132" i="9"/>
  <c r="AF159" i="9"/>
  <c r="W159" i="9"/>
  <c r="T128" i="9"/>
  <c r="W128" i="9" s="1"/>
  <c r="V128" i="9"/>
  <c r="V139" i="8"/>
  <c r="T139" i="8"/>
  <c r="X139" i="8" s="1"/>
  <c r="V63" i="8"/>
  <c r="T63" i="8"/>
  <c r="W63" i="8" s="1"/>
  <c r="T41" i="8"/>
  <c r="X41" i="8" s="1"/>
  <c r="V41" i="8"/>
  <c r="V27" i="8"/>
  <c r="T27" i="8"/>
  <c r="X27" i="8"/>
  <c r="AH260" i="9"/>
  <c r="AL260" i="9" s="1"/>
  <c r="AJ260" i="9"/>
  <c r="AV140" i="10"/>
  <c r="AY140" i="10" s="1"/>
  <c r="AX140" i="10"/>
  <c r="AH100" i="10"/>
  <c r="AL100" i="10" s="1"/>
  <c r="AJ100" i="10"/>
  <c r="AV76" i="10"/>
  <c r="AY76" i="10" s="1"/>
  <c r="AX76" i="10"/>
  <c r="T409" i="10"/>
  <c r="X409" i="10" s="1"/>
  <c r="V409" i="10"/>
  <c r="T309" i="10"/>
  <c r="X309" i="10"/>
  <c r="V309" i="10"/>
  <c r="U309" i="10"/>
  <c r="Y309" i="10" s="1"/>
  <c r="AC309" i="10" s="1"/>
  <c r="AD309" i="10" s="1"/>
  <c r="T154" i="10"/>
  <c r="X154" i="10" s="1"/>
  <c r="V154" i="10"/>
  <c r="V89" i="10"/>
  <c r="T89" i="10"/>
  <c r="X256" i="9"/>
  <c r="V139" i="9"/>
  <c r="T139" i="9"/>
  <c r="X139" i="9" s="1"/>
  <c r="V416" i="8"/>
  <c r="T416" i="8"/>
  <c r="X416" i="8" s="1"/>
  <c r="V278" i="8"/>
  <c r="T278" i="8"/>
  <c r="W278" i="8" s="1"/>
  <c r="V293" i="8"/>
  <c r="T293" i="8"/>
  <c r="W293" i="8" s="1"/>
  <c r="AF147" i="8"/>
  <c r="W146" i="8"/>
  <c r="V96" i="8"/>
  <c r="T96" i="8"/>
  <c r="X96" i="8" s="1"/>
  <c r="T62" i="8"/>
  <c r="U62" i="8" s="1"/>
  <c r="Y63" i="8" s="1"/>
  <c r="AD63" i="8" s="1"/>
  <c r="V62" i="8"/>
  <c r="AJ146" i="10"/>
  <c r="AH146" i="10"/>
  <c r="AL146" i="10" s="1"/>
  <c r="AH366" i="9"/>
  <c r="AL366" i="9" s="1"/>
  <c r="AJ366" i="9"/>
  <c r="AV381" i="10"/>
  <c r="AY381" i="10" s="1"/>
  <c r="AX381" i="10"/>
  <c r="AJ391" i="9"/>
  <c r="AH391" i="9"/>
  <c r="AL391" i="9" s="1"/>
  <c r="AH251" i="10"/>
  <c r="AL251" i="10" s="1"/>
  <c r="AJ251" i="10"/>
  <c r="T424" i="10"/>
  <c r="X424" i="10" s="1"/>
  <c r="V424" i="10"/>
  <c r="AF369" i="10"/>
  <c r="W369" i="10"/>
  <c r="T188" i="10"/>
  <c r="W188" i="10" s="1"/>
  <c r="V188" i="10"/>
  <c r="U188" i="10"/>
  <c r="V124" i="10"/>
  <c r="T124" i="10"/>
  <c r="X124" i="10" s="1"/>
  <c r="AF58" i="10"/>
  <c r="W57" i="10"/>
  <c r="V42" i="10"/>
  <c r="T42" i="10"/>
  <c r="X42" i="10" s="1"/>
  <c r="V396" i="9"/>
  <c r="T396" i="9"/>
  <c r="X396" i="9" s="1"/>
  <c r="V313" i="9"/>
  <c r="T313" i="9"/>
  <c r="W313" i="9" s="1"/>
  <c r="V271" i="9"/>
  <c r="T271" i="9"/>
  <c r="X271" i="9" s="1"/>
  <c r="T213" i="9"/>
  <c r="W213" i="9" s="1"/>
  <c r="V213" i="9"/>
  <c r="T177" i="9"/>
  <c r="X177" i="9" s="1"/>
  <c r="V177" i="9"/>
  <c r="T104" i="9"/>
  <c r="U104" i="9" s="1"/>
  <c r="Y104" i="9" s="1"/>
  <c r="AC104" i="9" s="1"/>
  <c r="AD104" i="9" s="1"/>
  <c r="V104" i="9"/>
  <c r="V357" i="8"/>
  <c r="T357" i="8"/>
  <c r="U357" i="8" s="1"/>
  <c r="Y358" i="8" s="1"/>
  <c r="AD358" i="8" s="1"/>
  <c r="V331" i="8"/>
  <c r="T331" i="8"/>
  <c r="X331" i="8" s="1"/>
  <c r="W289" i="8"/>
  <c r="AJ396" i="10"/>
  <c r="AH396" i="10"/>
  <c r="AL396" i="10" s="1"/>
  <c r="E9" i="9"/>
  <c r="AV241" i="10"/>
  <c r="AY241" i="10" s="1"/>
  <c r="AX241" i="10"/>
  <c r="V308" i="10"/>
  <c r="T308" i="10"/>
  <c r="W308" i="10" s="1"/>
  <c r="W259" i="10"/>
  <c r="AF259" i="10"/>
  <c r="X209" i="10"/>
  <c r="V167" i="10"/>
  <c r="T167" i="10"/>
  <c r="X167" i="10" s="1"/>
  <c r="W136" i="10"/>
  <c r="AF137" i="10"/>
  <c r="V82" i="10"/>
  <c r="T82" i="10"/>
  <c r="AF34" i="10"/>
  <c r="W34" i="10"/>
  <c r="V388" i="9"/>
  <c r="T388" i="9"/>
  <c r="W388" i="9" s="1"/>
  <c r="V328" i="9"/>
  <c r="T328" i="9"/>
  <c r="W328" i="9" s="1"/>
  <c r="V254" i="9"/>
  <c r="T254" i="9"/>
  <c r="U254" i="9" s="1"/>
  <c r="Y254" i="9" s="1"/>
  <c r="AC254" i="9" s="1"/>
  <c r="AD254" i="9" s="1"/>
  <c r="V228" i="9"/>
  <c r="T228" i="9"/>
  <c r="W228" i="9" s="1"/>
  <c r="V184" i="9"/>
  <c r="U184" i="9"/>
  <c r="Y184" i="9" s="1"/>
  <c r="AC184" i="9" s="1"/>
  <c r="AD184" i="9" s="1"/>
  <c r="T184" i="9"/>
  <c r="X184" i="9" s="1"/>
  <c r="AF97" i="9"/>
  <c r="W96" i="9"/>
  <c r="V376" i="8"/>
  <c r="T376" i="8"/>
  <c r="X376" i="8" s="1"/>
  <c r="V61" i="9"/>
  <c r="T61" i="9"/>
  <c r="V184" i="8"/>
  <c r="T184" i="8"/>
  <c r="X184" i="8" s="1"/>
  <c r="V154" i="8"/>
  <c r="T154" i="8"/>
  <c r="U154" i="8" s="1"/>
  <c r="Y154" i="8" s="1"/>
  <c r="AD154" i="8" s="1"/>
  <c r="V79" i="8"/>
  <c r="T79" i="8"/>
  <c r="U79" i="8" s="1"/>
  <c r="Y79" i="8" s="1"/>
  <c r="AD79" i="8" s="1"/>
  <c r="V92" i="8"/>
  <c r="T92" i="8"/>
  <c r="AX231" i="9"/>
  <c r="AV231" i="9"/>
  <c r="AY231" i="9" s="1"/>
  <c r="AJ216" i="9"/>
  <c r="AH216" i="9"/>
  <c r="AL216" i="9"/>
  <c r="V393" i="10"/>
  <c r="T393" i="10"/>
  <c r="W393" i="10" s="1"/>
  <c r="T339" i="10"/>
  <c r="X339" i="10" s="1"/>
  <c r="V339" i="10"/>
  <c r="U122" i="10"/>
  <c r="Y123" i="10" s="1"/>
  <c r="AC123" i="10" s="1"/>
  <c r="AD123" i="10" s="1"/>
  <c r="AF123" i="10" s="1"/>
  <c r="T368" i="9"/>
  <c r="W368" i="9" s="1"/>
  <c r="V368" i="9"/>
  <c r="U322" i="9"/>
  <c r="Y323" i="9" s="1"/>
  <c r="AC323" i="9" s="1"/>
  <c r="AD323" i="9" s="1"/>
  <c r="AF323" i="9" s="1"/>
  <c r="T366" i="9"/>
  <c r="V366" i="9"/>
  <c r="W274" i="9"/>
  <c r="V84" i="9"/>
  <c r="T84" i="9"/>
  <c r="V62" i="9"/>
  <c r="T62" i="9"/>
  <c r="X62" i="9" s="1"/>
  <c r="V192" i="8"/>
  <c r="T192" i="8"/>
  <c r="V218" i="8"/>
  <c r="T218" i="8"/>
  <c r="W218" i="8" s="1"/>
  <c r="T132" i="8"/>
  <c r="X132" i="8" s="1"/>
  <c r="V132" i="8"/>
  <c r="V107" i="8"/>
  <c r="T107" i="8"/>
  <c r="X107" i="8" s="1"/>
  <c r="AJ131" i="9"/>
  <c r="AH131" i="9"/>
  <c r="AJ346" i="9"/>
  <c r="AH346" i="9"/>
  <c r="AL346" i="9" s="1"/>
  <c r="AX256" i="10"/>
  <c r="AV256" i="10"/>
  <c r="AY256" i="10" s="1"/>
  <c r="AJ46" i="9"/>
  <c r="AH46" i="9"/>
  <c r="AI46" i="9" s="1"/>
  <c r="AM47" i="9" s="1"/>
  <c r="AQ47" i="9" s="1"/>
  <c r="AR47" i="9" s="1"/>
  <c r="W266" i="10"/>
  <c r="V229" i="10"/>
  <c r="T229" i="10"/>
  <c r="X229" i="10" s="1"/>
  <c r="V141" i="10"/>
  <c r="T141" i="10"/>
  <c r="X141" i="10" s="1"/>
  <c r="V383" i="9"/>
  <c r="T383" i="9"/>
  <c r="W383" i="9" s="1"/>
  <c r="T277" i="9"/>
  <c r="X277" i="9" s="1"/>
  <c r="V277" i="9"/>
  <c r="AF219" i="9"/>
  <c r="W219" i="9"/>
  <c r="W246" i="9"/>
  <c r="AF247" i="9"/>
  <c r="V87" i="9"/>
  <c r="T87" i="9"/>
  <c r="X87" i="9" s="1"/>
  <c r="V243" i="8"/>
  <c r="T243" i="8"/>
  <c r="W243" i="8" s="1"/>
  <c r="T327" i="8"/>
  <c r="X327" i="8" s="1"/>
  <c r="V327" i="8"/>
  <c r="V227" i="8"/>
  <c r="T227" i="8"/>
  <c r="X227" i="8" s="1"/>
  <c r="V64" i="8"/>
  <c r="T64" i="8"/>
  <c r="X64" i="8" s="1"/>
  <c r="AF378" i="10"/>
  <c r="W377" i="10"/>
  <c r="T103" i="10"/>
  <c r="W103" i="10" s="1"/>
  <c r="V103" i="10"/>
  <c r="X94" i="10"/>
  <c r="W342" i="9"/>
  <c r="AF343" i="9"/>
  <c r="V288" i="9"/>
  <c r="T288" i="9"/>
  <c r="W288" i="9" s="1"/>
  <c r="W291" i="9"/>
  <c r="AF292" i="9"/>
  <c r="V196" i="9"/>
  <c r="T196" i="9"/>
  <c r="X196" i="9" s="1"/>
  <c r="V382" i="8"/>
  <c r="U382" i="8"/>
  <c r="Y383" i="8" s="1"/>
  <c r="AD383" i="8" s="1"/>
  <c r="T382" i="8"/>
  <c r="X382" i="8" s="1"/>
  <c r="T52" i="9"/>
  <c r="U52" i="9" s="1"/>
  <c r="Y53" i="9" s="1"/>
  <c r="AC53" i="9" s="1"/>
  <c r="AD53" i="9" s="1"/>
  <c r="V52" i="9"/>
  <c r="V46" i="9"/>
  <c r="U46" i="9"/>
  <c r="Y47" i="9" s="1"/>
  <c r="AC47" i="9" s="1"/>
  <c r="AD47" i="9" s="1"/>
  <c r="T46" i="9"/>
  <c r="X46" i="9" s="1"/>
  <c r="U279" i="8"/>
  <c r="Y279" i="8" s="1"/>
  <c r="AD279" i="8" s="1"/>
  <c r="AF279" i="8" s="1"/>
  <c r="V131" i="8"/>
  <c r="T131" i="8"/>
  <c r="X131" i="8" s="1"/>
  <c r="X157" i="8"/>
  <c r="V157" i="8"/>
  <c r="T157" i="8"/>
  <c r="V178" i="8"/>
  <c r="T178" i="8"/>
  <c r="W178" i="8" s="1"/>
  <c r="T199" i="8"/>
  <c r="X199" i="8" s="1"/>
  <c r="V199" i="8"/>
  <c r="AH70" i="10"/>
  <c r="AL70" i="10" s="1"/>
  <c r="AJ70" i="10"/>
  <c r="AX106" i="9"/>
  <c r="AV106" i="9"/>
  <c r="AY106" i="9" s="1"/>
  <c r="AZ131" i="9"/>
  <c r="AI246" i="9"/>
  <c r="AM247" i="9" s="1"/>
  <c r="AQ247" i="9" s="1"/>
  <c r="AR247" i="9" s="1"/>
  <c r="AT247" i="9" s="1"/>
  <c r="AK281" i="10"/>
  <c r="AT282" i="10"/>
  <c r="AT172" i="10"/>
  <c r="AK171" i="10"/>
  <c r="AI70" i="10" l="1"/>
  <c r="AM71" i="10" s="1"/>
  <c r="AQ71" i="10" s="1"/>
  <c r="AR71" i="10" s="1"/>
  <c r="X52" i="9"/>
  <c r="AI81" i="10"/>
  <c r="AM82" i="10" s="1"/>
  <c r="AQ82" i="10" s="1"/>
  <c r="AR82" i="10" s="1"/>
  <c r="X186" i="8"/>
  <c r="AW156" i="10"/>
  <c r="X316" i="8"/>
  <c r="U233" i="8"/>
  <c r="AZ311" i="10"/>
  <c r="U411" i="8"/>
  <c r="Y412" i="8" s="1"/>
  <c r="AD412" i="8" s="1"/>
  <c r="U319" i="9"/>
  <c r="Y319" i="9" s="1"/>
  <c r="AC319" i="9" s="1"/>
  <c r="AD319" i="9" s="1"/>
  <c r="AW60" i="10"/>
  <c r="U58" i="9"/>
  <c r="U221" i="10"/>
  <c r="Y222" i="10" s="1"/>
  <c r="AC222" i="10" s="1"/>
  <c r="AD222" i="10" s="1"/>
  <c r="X182" i="9"/>
  <c r="X344" i="10"/>
  <c r="U177" i="8"/>
  <c r="Y178" i="8" s="1"/>
  <c r="AD178" i="8" s="1"/>
  <c r="U81" i="10"/>
  <c r="Y82" i="10" s="1"/>
  <c r="AC82" i="10" s="1"/>
  <c r="AD82" i="10" s="1"/>
  <c r="AW356" i="10"/>
  <c r="AI286" i="8"/>
  <c r="AM287" i="8" s="1"/>
  <c r="AR287" i="8" s="1"/>
  <c r="AW231" i="8"/>
  <c r="AI71" i="8"/>
  <c r="AM72" i="8" s="1"/>
  <c r="AR72" i="8" s="1"/>
  <c r="AI236" i="9"/>
  <c r="AM237" i="9" s="1"/>
  <c r="AQ237" i="9" s="1"/>
  <c r="AR237" i="9" s="1"/>
  <c r="AT237" i="9" s="1"/>
  <c r="X205" i="10"/>
  <c r="U55" i="9"/>
  <c r="Y56" i="9" s="1"/>
  <c r="AC56" i="9" s="1"/>
  <c r="AD56" i="9" s="1"/>
  <c r="AF56" i="9" s="1"/>
  <c r="AI320" i="10"/>
  <c r="AM321" i="10" s="1"/>
  <c r="AQ321" i="10" s="1"/>
  <c r="AR321" i="10" s="1"/>
  <c r="AT321" i="10" s="1"/>
  <c r="AT376" i="10"/>
  <c r="AK375" i="10"/>
  <c r="U185" i="9"/>
  <c r="Y186" i="9" s="1"/>
  <c r="AC186" i="9" s="1"/>
  <c r="AD186" i="9" s="1"/>
  <c r="AF186" i="9" s="1"/>
  <c r="AT216" i="10"/>
  <c r="AK215" i="10"/>
  <c r="AZ331" i="10"/>
  <c r="U288" i="9"/>
  <c r="X133" i="9"/>
  <c r="X303" i="9"/>
  <c r="X259" i="9"/>
  <c r="U281" i="9"/>
  <c r="Y282" i="9" s="1"/>
  <c r="AC282" i="9" s="1"/>
  <c r="AD282" i="9" s="1"/>
  <c r="X248" i="9"/>
  <c r="X362" i="9"/>
  <c r="AL121" i="10"/>
  <c r="X114" i="9"/>
  <c r="U217" i="8"/>
  <c r="Y218" i="8" s="1"/>
  <c r="AD218" i="8" s="1"/>
  <c r="U381" i="9"/>
  <c r="Y382" i="9" s="1"/>
  <c r="AC382" i="9" s="1"/>
  <c r="AD382" i="9" s="1"/>
  <c r="X361" i="10"/>
  <c r="AI121" i="9"/>
  <c r="AM122" i="9" s="1"/>
  <c r="AQ122" i="9" s="1"/>
  <c r="AR122" i="9" s="1"/>
  <c r="AI321" i="9"/>
  <c r="AM322" i="9" s="1"/>
  <c r="AQ322" i="9" s="1"/>
  <c r="AR322" i="9" s="1"/>
  <c r="AZ256" i="8"/>
  <c r="AZ381" i="9"/>
  <c r="X52" i="10"/>
  <c r="X292" i="10"/>
  <c r="X300" i="9"/>
  <c r="AZ356" i="10"/>
  <c r="U260" i="10"/>
  <c r="Y261" i="10" s="1"/>
  <c r="AC261" i="10" s="1"/>
  <c r="AD261" i="10" s="1"/>
  <c r="AZ181" i="8"/>
  <c r="AL371" i="10"/>
  <c r="AL331" i="8"/>
  <c r="AL116" i="8"/>
  <c r="AZ231" i="8"/>
  <c r="AL151" i="10"/>
  <c r="AL271" i="8"/>
  <c r="AT316" i="10"/>
  <c r="AK315" i="10"/>
  <c r="AF396" i="9"/>
  <c r="W395" i="9"/>
  <c r="AI175" i="10"/>
  <c r="AM176" i="10" s="1"/>
  <c r="AQ176" i="10" s="1"/>
  <c r="AR176" i="10" s="1"/>
  <c r="AT176" i="10" s="1"/>
  <c r="AW285" i="9"/>
  <c r="X185" i="9"/>
  <c r="X258" i="8"/>
  <c r="X169" i="10"/>
  <c r="X323" i="8"/>
  <c r="X138" i="8"/>
  <c r="AL166" i="8"/>
  <c r="AL401" i="8"/>
  <c r="AW225" i="10"/>
  <c r="AL110" i="9"/>
  <c r="AL395" i="9"/>
  <c r="W355" i="10"/>
  <c r="AF356" i="10"/>
  <c r="U64" i="8"/>
  <c r="Y64" i="8" s="1"/>
  <c r="AD64" i="8" s="1"/>
  <c r="U278" i="8"/>
  <c r="AL341" i="9"/>
  <c r="U176" i="8"/>
  <c r="Y177" i="8" s="1"/>
  <c r="AD177" i="8" s="1"/>
  <c r="AF177" i="8" s="1"/>
  <c r="X421" i="9"/>
  <c r="U134" i="10"/>
  <c r="Y134" i="10" s="1"/>
  <c r="AC134" i="10" s="1"/>
  <c r="AD134" i="10" s="1"/>
  <c r="U183" i="10"/>
  <c r="U244" i="10"/>
  <c r="Y244" i="10" s="1"/>
  <c r="AC244" i="10" s="1"/>
  <c r="AD244" i="10" s="1"/>
  <c r="AI201" i="10"/>
  <c r="AM202" i="10" s="1"/>
  <c r="AQ202" i="10" s="1"/>
  <c r="AR202" i="10" s="1"/>
  <c r="U279" i="9"/>
  <c r="Y279" i="9" s="1"/>
  <c r="AC279" i="9" s="1"/>
  <c r="AD279" i="9" s="1"/>
  <c r="U144" i="10"/>
  <c r="Y144" i="10" s="1"/>
  <c r="AC144" i="10" s="1"/>
  <c r="AD144" i="10" s="1"/>
  <c r="U204" i="8"/>
  <c r="Y204" i="8" s="1"/>
  <c r="AD204" i="8" s="1"/>
  <c r="U249" i="9"/>
  <c r="Y249" i="9" s="1"/>
  <c r="AC249" i="9" s="1"/>
  <c r="AD249" i="9" s="1"/>
  <c r="U352" i="9"/>
  <c r="Y353" i="9" s="1"/>
  <c r="AC353" i="9" s="1"/>
  <c r="AD353" i="9" s="1"/>
  <c r="X201" i="10"/>
  <c r="AI131" i="8"/>
  <c r="AM132" i="8" s="1"/>
  <c r="AR132" i="8" s="1"/>
  <c r="AI341" i="10"/>
  <c r="AM342" i="10" s="1"/>
  <c r="AQ342" i="10" s="1"/>
  <c r="AR342" i="10" s="1"/>
  <c r="U339" i="9"/>
  <c r="Y339" i="9" s="1"/>
  <c r="AC339" i="9" s="1"/>
  <c r="AD339" i="9" s="1"/>
  <c r="AF339" i="9" s="1"/>
  <c r="AZ225" i="10"/>
  <c r="U320" i="10"/>
  <c r="Y321" i="10" s="1"/>
  <c r="AC321" i="10" s="1"/>
  <c r="AD321" i="10" s="1"/>
  <c r="AF321" i="10" s="1"/>
  <c r="X320" i="10"/>
  <c r="W320" i="10"/>
  <c r="AI110" i="9"/>
  <c r="AM111" i="9" s="1"/>
  <c r="AQ111" i="9" s="1"/>
  <c r="AR111" i="9" s="1"/>
  <c r="AT111" i="9" s="1"/>
  <c r="AI395" i="9"/>
  <c r="AM396" i="9" s="1"/>
  <c r="AQ396" i="9" s="1"/>
  <c r="AR396" i="9" s="1"/>
  <c r="AT396" i="9" s="1"/>
  <c r="AL255" i="9"/>
  <c r="AL285" i="9"/>
  <c r="AI350" i="10"/>
  <c r="AM351" i="10" s="1"/>
  <c r="AQ351" i="10" s="1"/>
  <c r="AR351" i="10" s="1"/>
  <c r="AT351" i="10" s="1"/>
  <c r="AI366" i="9"/>
  <c r="AM367" i="9" s="1"/>
  <c r="AQ367" i="9" s="1"/>
  <c r="AR367" i="9" s="1"/>
  <c r="AT367" i="9" s="1"/>
  <c r="AZ260" i="10"/>
  <c r="U204" i="10"/>
  <c r="Y204" i="10" s="1"/>
  <c r="AC204" i="10" s="1"/>
  <c r="AD204" i="10" s="1"/>
  <c r="AJ201" i="9"/>
  <c r="AH201" i="9"/>
  <c r="AI285" i="9"/>
  <c r="AM286" i="9" s="1"/>
  <c r="AQ286" i="9" s="1"/>
  <c r="AR286" i="9" s="1"/>
  <c r="AT286" i="9" s="1"/>
  <c r="AL46" i="9"/>
  <c r="X79" i="8"/>
  <c r="U376" i="8"/>
  <c r="Y377" i="8" s="1"/>
  <c r="AD377" i="8" s="1"/>
  <c r="U229" i="9"/>
  <c r="Y229" i="9" s="1"/>
  <c r="AC229" i="9" s="1"/>
  <c r="AD229" i="9" s="1"/>
  <c r="AF229" i="9" s="1"/>
  <c r="U66" i="8"/>
  <c r="Y67" i="8" s="1"/>
  <c r="AD67" i="8" s="1"/>
  <c r="U218" i="9"/>
  <c r="U339" i="8"/>
  <c r="Y339" i="8" s="1"/>
  <c r="AD339" i="8" s="1"/>
  <c r="U419" i="10"/>
  <c r="Y419" i="10" s="1"/>
  <c r="AC419" i="10" s="1"/>
  <c r="AD419" i="10" s="1"/>
  <c r="X233" i="8"/>
  <c r="AW311" i="10"/>
  <c r="U67" i="9"/>
  <c r="Y68" i="9" s="1"/>
  <c r="AC68" i="9" s="1"/>
  <c r="AD68" i="9" s="1"/>
  <c r="U211" i="8"/>
  <c r="Y212" i="8" s="1"/>
  <c r="AD212" i="8" s="1"/>
  <c r="AF212" i="8" s="1"/>
  <c r="U153" i="8"/>
  <c r="U114" i="8"/>
  <c r="Y114" i="8" s="1"/>
  <c r="AD114" i="8" s="1"/>
  <c r="U337" i="8"/>
  <c r="Y338" i="8" s="1"/>
  <c r="AD338" i="8" s="1"/>
  <c r="U244" i="8"/>
  <c r="Y244" i="8" s="1"/>
  <c r="AD244" i="8" s="1"/>
  <c r="AI156" i="9"/>
  <c r="AM157" i="9" s="1"/>
  <c r="AQ157" i="9" s="1"/>
  <c r="AR157" i="9" s="1"/>
  <c r="U272" i="10"/>
  <c r="Y273" i="10" s="1"/>
  <c r="AC273" i="10" s="1"/>
  <c r="AD273" i="10" s="1"/>
  <c r="U402" i="8"/>
  <c r="Y403" i="8" s="1"/>
  <c r="AD403" i="8" s="1"/>
  <c r="U159" i="8"/>
  <c r="Y159" i="8" s="1"/>
  <c r="AD159" i="8" s="1"/>
  <c r="AF159" i="8" s="1"/>
  <c r="AW171" i="10"/>
  <c r="U301" i="10"/>
  <c r="Y302" i="10" s="1"/>
  <c r="AC302" i="10" s="1"/>
  <c r="AD302" i="10" s="1"/>
  <c r="U122" i="8"/>
  <c r="Y123" i="8" s="1"/>
  <c r="AD123" i="8" s="1"/>
  <c r="AW300" i="9"/>
  <c r="AL35" i="9"/>
  <c r="AW286" i="10"/>
  <c r="AL371" i="8"/>
  <c r="AZ331" i="9"/>
  <c r="AI406" i="8"/>
  <c r="AM407" i="8" s="1"/>
  <c r="AR407" i="8" s="1"/>
  <c r="AZ201" i="8"/>
  <c r="AZ41" i="9"/>
  <c r="AZ251" i="10"/>
  <c r="AL201" i="9"/>
  <c r="U205" i="10"/>
  <c r="Y206" i="10" s="1"/>
  <c r="AC206" i="10" s="1"/>
  <c r="AD206" i="10" s="1"/>
  <c r="AF206" i="10" s="1"/>
  <c r="U355" i="9"/>
  <c r="Y356" i="9" s="1"/>
  <c r="AC356" i="9" s="1"/>
  <c r="AD356" i="9" s="1"/>
  <c r="AF356" i="9" s="1"/>
  <c r="AI255" i="9"/>
  <c r="AM256" i="9" s="1"/>
  <c r="AQ256" i="9" s="1"/>
  <c r="AR256" i="9" s="1"/>
  <c r="AT256" i="9" s="1"/>
  <c r="AL350" i="10"/>
  <c r="AZ231" i="9"/>
  <c r="X357" i="8"/>
  <c r="X188" i="10"/>
  <c r="X57" i="9"/>
  <c r="AL46" i="10"/>
  <c r="AZ341" i="9"/>
  <c r="X179" i="10"/>
  <c r="X176" i="9"/>
  <c r="AZ136" i="8"/>
  <c r="AL251" i="9"/>
  <c r="X412" i="8"/>
  <c r="AZ336" i="9"/>
  <c r="X178" i="10"/>
  <c r="U363" i="8"/>
  <c r="X97" i="8"/>
  <c r="X167" i="8"/>
  <c r="U323" i="8"/>
  <c r="AZ371" i="10"/>
  <c r="AI326" i="8"/>
  <c r="AM327" i="8" s="1"/>
  <c r="AR327" i="8" s="1"/>
  <c r="AT327" i="8" s="1"/>
  <c r="AL226" i="8"/>
  <c r="AW251" i="10"/>
  <c r="AL126" i="8"/>
  <c r="AW291" i="9"/>
  <c r="X34" i="9"/>
  <c r="X323" i="10"/>
  <c r="AL386" i="9"/>
  <c r="AZ256" i="10"/>
  <c r="U62" i="9"/>
  <c r="Y63" i="9" s="1"/>
  <c r="AC63" i="9" s="1"/>
  <c r="AD63" i="9" s="1"/>
  <c r="U393" i="10"/>
  <c r="U184" i="8"/>
  <c r="Y184" i="8" s="1"/>
  <c r="AD184" i="8" s="1"/>
  <c r="U219" i="10"/>
  <c r="Y219" i="10" s="1"/>
  <c r="AC219" i="10" s="1"/>
  <c r="AD219" i="10" s="1"/>
  <c r="AI191" i="9"/>
  <c r="AM192" i="9" s="1"/>
  <c r="AQ192" i="9" s="1"/>
  <c r="AR192" i="9" s="1"/>
  <c r="X180" i="10"/>
  <c r="AZ50" i="9"/>
  <c r="U134" i="9"/>
  <c r="Y134" i="9" s="1"/>
  <c r="AC134" i="9" s="1"/>
  <c r="AD134" i="9" s="1"/>
  <c r="X314" i="10"/>
  <c r="U224" i="9"/>
  <c r="Y224" i="9" s="1"/>
  <c r="AC224" i="9" s="1"/>
  <c r="AD224" i="9" s="1"/>
  <c r="U28" i="9"/>
  <c r="U401" i="8"/>
  <c r="Y402" i="8" s="1"/>
  <c r="AD402" i="8" s="1"/>
  <c r="X189" i="8"/>
  <c r="X71" i="10"/>
  <c r="U300" i="10"/>
  <c r="Y301" i="10" s="1"/>
  <c r="AC301" i="10" s="1"/>
  <c r="AD301" i="10" s="1"/>
  <c r="U424" i="8"/>
  <c r="Y424" i="8" s="1"/>
  <c r="AD424" i="8" s="1"/>
  <c r="AF424" i="8" s="1"/>
  <c r="U188" i="9"/>
  <c r="AI256" i="10"/>
  <c r="AM257" i="10" s="1"/>
  <c r="AQ257" i="10" s="1"/>
  <c r="AR257" i="10" s="1"/>
  <c r="X393" i="8"/>
  <c r="X206" i="10"/>
  <c r="AW220" i="10"/>
  <c r="AI140" i="10"/>
  <c r="AM141" i="10" s="1"/>
  <c r="AQ141" i="10" s="1"/>
  <c r="AR141" i="10" s="1"/>
  <c r="AW260" i="10"/>
  <c r="AW136" i="8"/>
  <c r="AW216" i="9"/>
  <c r="X217" i="9"/>
  <c r="AW336" i="9"/>
  <c r="U253" i="10"/>
  <c r="AI331" i="9"/>
  <c r="AM332" i="9" s="1"/>
  <c r="AQ332" i="9" s="1"/>
  <c r="AR332" i="9" s="1"/>
  <c r="AI296" i="8"/>
  <c r="AM297" i="8" s="1"/>
  <c r="AR297" i="8" s="1"/>
  <c r="AI416" i="8"/>
  <c r="AM417" i="8" s="1"/>
  <c r="AR417" i="8" s="1"/>
  <c r="AZ406" i="10"/>
  <c r="U263" i="8"/>
  <c r="AW35" i="10"/>
  <c r="X183" i="9"/>
  <c r="X316" i="10"/>
  <c r="AW256" i="8"/>
  <c r="U403" i="8"/>
  <c r="U33" i="9"/>
  <c r="U100" i="10"/>
  <c r="Y101" i="10" s="1"/>
  <c r="AC101" i="10" s="1"/>
  <c r="AD101" i="10" s="1"/>
  <c r="AF101" i="10" s="1"/>
  <c r="U271" i="8"/>
  <c r="Y272" i="8" s="1"/>
  <c r="AD272" i="8" s="1"/>
  <c r="U322" i="8"/>
  <c r="Y323" i="8" s="1"/>
  <c r="AD323" i="8" s="1"/>
  <c r="AZ140" i="9"/>
  <c r="U138" i="8"/>
  <c r="AZ286" i="10"/>
  <c r="AW181" i="8"/>
  <c r="AW371" i="9"/>
  <c r="AW331" i="9"/>
  <c r="AI406" i="10"/>
  <c r="AM407" i="10" s="1"/>
  <c r="AQ407" i="10" s="1"/>
  <c r="AR407" i="10" s="1"/>
  <c r="AZ376" i="8"/>
  <c r="AW41" i="9"/>
  <c r="U124" i="10"/>
  <c r="Y124" i="10" s="1"/>
  <c r="AC124" i="10" s="1"/>
  <c r="AD124" i="10" s="1"/>
  <c r="AZ381" i="10"/>
  <c r="X62" i="8"/>
  <c r="AZ140" i="10"/>
  <c r="U128" i="9"/>
  <c r="U103" i="8"/>
  <c r="X273" i="8"/>
  <c r="U296" i="8"/>
  <c r="Y297" i="8" s="1"/>
  <c r="AD297" i="8" s="1"/>
  <c r="AI60" i="9"/>
  <c r="AM61" i="9" s="1"/>
  <c r="AQ61" i="9" s="1"/>
  <c r="AR61" i="9" s="1"/>
  <c r="U313" i="8"/>
  <c r="X188" i="9"/>
  <c r="AL140" i="9"/>
  <c r="X403" i="10"/>
  <c r="AZ216" i="9"/>
  <c r="X423" i="9"/>
  <c r="AL31" i="9"/>
  <c r="X318" i="8"/>
  <c r="X132" i="10"/>
  <c r="X239" i="8"/>
  <c r="AZ300" i="10"/>
  <c r="X112" i="8"/>
  <c r="X32" i="10"/>
  <c r="X142" i="9"/>
  <c r="AL306" i="10"/>
  <c r="AL76" i="8"/>
  <c r="AZ56" i="9"/>
  <c r="AW91" i="10"/>
  <c r="AL86" i="9"/>
  <c r="U42" i="10"/>
  <c r="Y43" i="10" s="1"/>
  <c r="AC43" i="10" s="1"/>
  <c r="AD43" i="10" s="1"/>
  <c r="AF43" i="10" s="1"/>
  <c r="X82" i="9"/>
  <c r="U262" i="8"/>
  <c r="Y263" i="8" s="1"/>
  <c r="AD263" i="8" s="1"/>
  <c r="AZ156" i="10"/>
  <c r="U106" i="8"/>
  <c r="Y107" i="8" s="1"/>
  <c r="AD107" i="8" s="1"/>
  <c r="X193" i="8"/>
  <c r="U242" i="10"/>
  <c r="Y243" i="10" s="1"/>
  <c r="AC243" i="10" s="1"/>
  <c r="AD243" i="10" s="1"/>
  <c r="U324" i="9"/>
  <c r="Y324" i="9" s="1"/>
  <c r="AC324" i="9" s="1"/>
  <c r="AD324" i="9" s="1"/>
  <c r="U248" i="9"/>
  <c r="U51" i="10"/>
  <c r="Y52" i="10" s="1"/>
  <c r="AC52" i="10" s="1"/>
  <c r="AD52" i="10" s="1"/>
  <c r="U63" i="10"/>
  <c r="X173" i="8"/>
  <c r="X179" i="8"/>
  <c r="X253" i="9"/>
  <c r="X87" i="10"/>
  <c r="U323" i="10"/>
  <c r="AZ171" i="10"/>
  <c r="AW50" i="10"/>
  <c r="U53" i="8"/>
  <c r="AI191" i="8"/>
  <c r="AM192" i="8" s="1"/>
  <c r="AR192" i="8" s="1"/>
  <c r="AW371" i="10"/>
  <c r="AZ326" i="8"/>
  <c r="AW201" i="8"/>
  <c r="AW391" i="8"/>
  <c r="AZ241" i="8"/>
  <c r="AW56" i="9"/>
  <c r="AW86" i="10"/>
  <c r="AL201" i="8"/>
  <c r="AI201" i="8"/>
  <c r="AM202" i="8" s="1"/>
  <c r="AR202" i="8" s="1"/>
  <c r="AL321" i="8"/>
  <c r="AI321" i="8"/>
  <c r="AM322" i="8" s="1"/>
  <c r="AR322" i="8" s="1"/>
  <c r="AW256" i="10"/>
  <c r="U218" i="8"/>
  <c r="X393" i="10"/>
  <c r="U331" i="8"/>
  <c r="Y332" i="8" s="1"/>
  <c r="AD332" i="8" s="1"/>
  <c r="X144" i="9"/>
  <c r="U333" i="8"/>
  <c r="U47" i="9"/>
  <c r="Y48" i="9" s="1"/>
  <c r="AC48" i="9" s="1"/>
  <c r="AD48" i="9" s="1"/>
  <c r="X156" i="10"/>
  <c r="X88" i="8"/>
  <c r="U136" i="9"/>
  <c r="Y137" i="9" s="1"/>
  <c r="AC137" i="9" s="1"/>
  <c r="AD137" i="9" s="1"/>
  <c r="U243" i="10"/>
  <c r="X369" i="8"/>
  <c r="U133" i="8"/>
  <c r="U248" i="8"/>
  <c r="U28" i="10"/>
  <c r="X333" i="10"/>
  <c r="U233" i="10"/>
  <c r="X72" i="9"/>
  <c r="AW196" i="9"/>
  <c r="AL66" i="9"/>
  <c r="X246" i="8"/>
  <c r="AW346" i="10"/>
  <c r="X263" i="8"/>
  <c r="U197" i="9"/>
  <c r="Y198" i="9" s="1"/>
  <c r="AC198" i="9" s="1"/>
  <c r="AD198" i="9" s="1"/>
  <c r="U126" i="8"/>
  <c r="Y127" i="8" s="1"/>
  <c r="AD127" i="8" s="1"/>
  <c r="AF127" i="8" s="1"/>
  <c r="X236" i="10"/>
  <c r="AL381" i="9"/>
  <c r="AZ35" i="10"/>
  <c r="U76" i="8"/>
  <c r="Y77" i="8" s="1"/>
  <c r="AD77" i="8" s="1"/>
  <c r="U326" i="8"/>
  <c r="Y327" i="8" s="1"/>
  <c r="AD327" i="8" s="1"/>
  <c r="AW81" i="10"/>
  <c r="X388" i="8"/>
  <c r="U54" i="9"/>
  <c r="Y54" i="9" s="1"/>
  <c r="AC54" i="9" s="1"/>
  <c r="AD54" i="9" s="1"/>
  <c r="AF54" i="9" s="1"/>
  <c r="U87" i="8"/>
  <c r="Y88" i="8" s="1"/>
  <c r="AD88" i="8" s="1"/>
  <c r="U293" i="9"/>
  <c r="X423" i="10"/>
  <c r="U358" i="8"/>
  <c r="U387" i="8"/>
  <c r="Y388" i="8" s="1"/>
  <c r="AD388" i="8" s="1"/>
  <c r="U244" i="9"/>
  <c r="Y244" i="9" s="1"/>
  <c r="AC244" i="9" s="1"/>
  <c r="AD244" i="9" s="1"/>
  <c r="U47" i="10"/>
  <c r="Y48" i="10" s="1"/>
  <c r="AC48" i="10" s="1"/>
  <c r="AD48" i="10" s="1"/>
  <c r="AF48" i="10" s="1"/>
  <c r="AZ220" i="10"/>
  <c r="U257" i="9"/>
  <c r="Y258" i="9" s="1"/>
  <c r="AC258" i="9" s="1"/>
  <c r="AD258" i="9" s="1"/>
  <c r="AZ401" i="10"/>
  <c r="U228" i="8"/>
  <c r="U317" i="10"/>
  <c r="Y318" i="10" s="1"/>
  <c r="AC318" i="10" s="1"/>
  <c r="AD318" i="10" s="1"/>
  <c r="AI211" i="10"/>
  <c r="AM212" i="10" s="1"/>
  <c r="AQ212" i="10" s="1"/>
  <c r="AR212" i="10" s="1"/>
  <c r="AL211" i="10"/>
  <c r="X394" i="8"/>
  <c r="W143" i="9"/>
  <c r="X143" i="9"/>
  <c r="U143" i="9"/>
  <c r="AI96" i="10"/>
  <c r="AM97" i="10" s="1"/>
  <c r="AQ97" i="10" s="1"/>
  <c r="AR97" i="10" s="1"/>
  <c r="AL96" i="10"/>
  <c r="AY126" i="8"/>
  <c r="AZ126" i="8"/>
  <c r="AW126" i="8"/>
  <c r="AZ106" i="9"/>
  <c r="C11" i="8"/>
  <c r="X163" i="8"/>
  <c r="C11" i="9"/>
  <c r="W93" i="9"/>
  <c r="X93" i="9"/>
  <c r="W268" i="10"/>
  <c r="X268" i="10"/>
  <c r="X331" i="9"/>
  <c r="AY271" i="8"/>
  <c r="AZ271" i="8"/>
  <c r="AW271" i="8"/>
  <c r="AY166" i="9"/>
  <c r="AZ166" i="9"/>
  <c r="AW166" i="9"/>
  <c r="AY416" i="10"/>
  <c r="AZ416" i="10"/>
  <c r="AW416" i="10"/>
  <c r="X344" i="9"/>
  <c r="U344" i="9"/>
  <c r="Y344" i="9" s="1"/>
  <c r="AC344" i="9" s="1"/>
  <c r="AD344" i="9" s="1"/>
  <c r="AY236" i="10"/>
  <c r="AW236" i="10"/>
  <c r="X149" i="8"/>
  <c r="U149" i="8"/>
  <c r="Y149" i="8" s="1"/>
  <c r="AD149" i="8" s="1"/>
  <c r="AL401" i="9"/>
  <c r="AI401" i="9"/>
  <c r="AM402" i="9" s="1"/>
  <c r="AQ402" i="9" s="1"/>
  <c r="AR402" i="9" s="1"/>
  <c r="X383" i="9"/>
  <c r="U107" i="8"/>
  <c r="Y108" i="8" s="1"/>
  <c r="AD108" i="8" s="1"/>
  <c r="X218" i="8"/>
  <c r="AI391" i="9"/>
  <c r="AM392" i="9" s="1"/>
  <c r="AQ392" i="9" s="1"/>
  <c r="AR392" i="9" s="1"/>
  <c r="AW140" i="10"/>
  <c r="U139" i="8"/>
  <c r="Y139" i="8" s="1"/>
  <c r="AD139" i="8" s="1"/>
  <c r="AF139" i="8" s="1"/>
  <c r="X343" i="9"/>
  <c r="AI41" i="9"/>
  <c r="AM42" i="9" s="1"/>
  <c r="AQ42" i="9" s="1"/>
  <c r="AR42" i="9" s="1"/>
  <c r="U268" i="8"/>
  <c r="X333" i="8"/>
  <c r="U88" i="8"/>
  <c r="U171" i="8"/>
  <c r="Y172" i="8" s="1"/>
  <c r="AD172" i="8" s="1"/>
  <c r="U379" i="9"/>
  <c r="Y379" i="9" s="1"/>
  <c r="AC379" i="9" s="1"/>
  <c r="AD379" i="9" s="1"/>
  <c r="X243" i="10"/>
  <c r="X133" i="8"/>
  <c r="X248" i="8"/>
  <c r="X28" i="10"/>
  <c r="AI191" i="10"/>
  <c r="AM192" i="10" s="1"/>
  <c r="AQ192" i="10" s="1"/>
  <c r="AR192" i="10" s="1"/>
  <c r="U174" i="8"/>
  <c r="Y174" i="8" s="1"/>
  <c r="AD174" i="8" s="1"/>
  <c r="X233" i="10"/>
  <c r="U128" i="8"/>
  <c r="AZ346" i="10"/>
  <c r="U263" i="9"/>
  <c r="U116" i="9"/>
  <c r="Y117" i="9" s="1"/>
  <c r="AC117" i="9" s="1"/>
  <c r="AD117" i="9" s="1"/>
  <c r="U388" i="8"/>
  <c r="AW366" i="10"/>
  <c r="U99" i="9"/>
  <c r="Y99" i="9" s="1"/>
  <c r="AC99" i="9" s="1"/>
  <c r="AD99" i="9" s="1"/>
  <c r="U298" i="10"/>
  <c r="U423" i="10"/>
  <c r="AI260" i="10"/>
  <c r="AM261" i="10" s="1"/>
  <c r="AQ261" i="10" s="1"/>
  <c r="AR261" i="10" s="1"/>
  <c r="AT261" i="10" s="1"/>
  <c r="U237" i="10"/>
  <c r="Y238" i="10" s="1"/>
  <c r="AC238" i="10" s="1"/>
  <c r="AD238" i="10" s="1"/>
  <c r="U33" i="8"/>
  <c r="AI336" i="9"/>
  <c r="AM337" i="9" s="1"/>
  <c r="AQ337" i="9" s="1"/>
  <c r="AR337" i="9" s="1"/>
  <c r="AT337" i="9" s="1"/>
  <c r="AI100" i="9"/>
  <c r="AM101" i="9" s="1"/>
  <c r="AQ101" i="9" s="1"/>
  <c r="AR101" i="9" s="1"/>
  <c r="U141" i="9"/>
  <c r="Y142" i="9" s="1"/>
  <c r="AC142" i="9" s="1"/>
  <c r="AD142" i="9" s="1"/>
  <c r="U283" i="8"/>
  <c r="U191" i="10"/>
  <c r="Y192" i="10" s="1"/>
  <c r="AC192" i="10" s="1"/>
  <c r="AD192" i="10" s="1"/>
  <c r="U67" i="10"/>
  <c r="Y68" i="10" s="1"/>
  <c r="AC68" i="10" s="1"/>
  <c r="AD68" i="10" s="1"/>
  <c r="AF68" i="10" s="1"/>
  <c r="U93" i="9"/>
  <c r="W83" i="10"/>
  <c r="X83" i="10"/>
  <c r="AY336" i="10"/>
  <c r="AZ336" i="10"/>
  <c r="X406" i="9"/>
  <c r="U406" i="9"/>
  <c r="Y407" i="9" s="1"/>
  <c r="AC407" i="9" s="1"/>
  <c r="AD407" i="9" s="1"/>
  <c r="AY180" i="9"/>
  <c r="AZ180" i="9"/>
  <c r="AW180" i="9"/>
  <c r="X334" i="10"/>
  <c r="U334" i="10"/>
  <c r="Y334" i="10" s="1"/>
  <c r="AC334" i="10" s="1"/>
  <c r="AD334" i="10" s="1"/>
  <c r="AY296" i="8"/>
  <c r="AZ296" i="8"/>
  <c r="AW296" i="8"/>
  <c r="AY201" i="9"/>
  <c r="AZ201" i="9"/>
  <c r="AW201" i="9"/>
  <c r="W308" i="9"/>
  <c r="X308" i="9"/>
  <c r="X166" i="9"/>
  <c r="U166" i="9"/>
  <c r="Y167" i="9" s="1"/>
  <c r="AC167" i="9" s="1"/>
  <c r="AD167" i="9" s="1"/>
  <c r="X388" i="9"/>
  <c r="X213" i="9"/>
  <c r="U424" i="10"/>
  <c r="Y424" i="10" s="1"/>
  <c r="AC424" i="10" s="1"/>
  <c r="AD424" i="10" s="1"/>
  <c r="X156" i="8"/>
  <c r="U287" i="8"/>
  <c r="Y288" i="8" s="1"/>
  <c r="AD288" i="8" s="1"/>
  <c r="AF288" i="8" s="1"/>
  <c r="X378" i="10"/>
  <c r="X341" i="10"/>
  <c r="F9" i="9"/>
  <c r="X103" i="8"/>
  <c r="U106" i="9"/>
  <c r="Y107" i="9" s="1"/>
  <c r="AC107" i="9" s="1"/>
  <c r="AD107" i="9" s="1"/>
  <c r="AF107" i="9" s="1"/>
  <c r="AW50" i="9"/>
  <c r="AZ31" i="10"/>
  <c r="AW70" i="10"/>
  <c r="U48" i="10"/>
  <c r="U311" i="8"/>
  <c r="Y312" i="8" s="1"/>
  <c r="AD312" i="8" s="1"/>
  <c r="X332" i="8"/>
  <c r="U83" i="8"/>
  <c r="AW396" i="10"/>
  <c r="AZ220" i="9"/>
  <c r="AZ146" i="9"/>
  <c r="X48" i="8"/>
  <c r="AW111" i="8"/>
  <c r="X108" i="10"/>
  <c r="U364" i="10"/>
  <c r="Y364" i="10" s="1"/>
  <c r="AC364" i="10" s="1"/>
  <c r="AD364" i="10" s="1"/>
  <c r="X338" i="9"/>
  <c r="U286" i="8"/>
  <c r="Y287" i="8" s="1"/>
  <c r="AD287" i="8" s="1"/>
  <c r="AF287" i="8" s="1"/>
  <c r="U423" i="8"/>
  <c r="AW271" i="9"/>
  <c r="AY41" i="8"/>
  <c r="AW41" i="8"/>
  <c r="AY260" i="9"/>
  <c r="AW260" i="9"/>
  <c r="AL226" i="9"/>
  <c r="U32" i="9"/>
  <c r="Y33" i="9" s="1"/>
  <c r="AC33" i="9" s="1"/>
  <c r="AD33" i="9" s="1"/>
  <c r="AF33" i="9" s="1"/>
  <c r="AL231" i="9"/>
  <c r="AI231" i="9"/>
  <c r="AM232" i="9" s="1"/>
  <c r="AQ232" i="9" s="1"/>
  <c r="AR232" i="9" s="1"/>
  <c r="U70" i="10"/>
  <c r="Y71" i="10" s="1"/>
  <c r="AC71" i="10" s="1"/>
  <c r="AD71" i="10" s="1"/>
  <c r="X70" i="10"/>
  <c r="AY91" i="9"/>
  <c r="AZ91" i="9"/>
  <c r="AW91" i="9"/>
  <c r="AL361" i="9"/>
  <c r="AI361" i="9"/>
  <c r="AM362" i="9" s="1"/>
  <c r="AQ362" i="9" s="1"/>
  <c r="AR362" i="9" s="1"/>
  <c r="AL411" i="10"/>
  <c r="AI411" i="10"/>
  <c r="AM412" i="10" s="1"/>
  <c r="AQ412" i="10" s="1"/>
  <c r="AR412" i="10" s="1"/>
  <c r="AL171" i="9"/>
  <c r="AI171" i="9"/>
  <c r="AM172" i="9" s="1"/>
  <c r="AQ172" i="9" s="1"/>
  <c r="AR172" i="9" s="1"/>
  <c r="AL271" i="10"/>
  <c r="AI271" i="10"/>
  <c r="AM272" i="10" s="1"/>
  <c r="AQ272" i="10" s="1"/>
  <c r="AR272" i="10" s="1"/>
  <c r="AY281" i="8"/>
  <c r="AZ281" i="8"/>
  <c r="AW281" i="8"/>
  <c r="AL220" i="10"/>
  <c r="AI151" i="9"/>
  <c r="AM152" i="9" s="1"/>
  <c r="AQ152" i="9" s="1"/>
  <c r="AR152" i="9" s="1"/>
  <c r="AW236" i="9"/>
  <c r="AZ366" i="10"/>
  <c r="X298" i="10"/>
  <c r="AZ100" i="9"/>
  <c r="X33" i="8"/>
  <c r="X283" i="8"/>
  <c r="X194" i="9"/>
  <c r="U194" i="9"/>
  <c r="Y194" i="9" s="1"/>
  <c r="AC194" i="9" s="1"/>
  <c r="AD194" i="9" s="1"/>
  <c r="X354" i="9"/>
  <c r="U113" i="9"/>
  <c r="W223" i="10"/>
  <c r="U223" i="10"/>
  <c r="X223" i="10"/>
  <c r="AY206" i="10"/>
  <c r="AZ206" i="10"/>
  <c r="AW206" i="10"/>
  <c r="U70" i="9"/>
  <c r="Y71" i="9" s="1"/>
  <c r="AC71" i="9" s="1"/>
  <c r="AD71" i="9" s="1"/>
  <c r="X70" i="9"/>
  <c r="X404" i="10"/>
  <c r="U404" i="10"/>
  <c r="Y404" i="10" s="1"/>
  <c r="AC404" i="10" s="1"/>
  <c r="AD404" i="10" s="1"/>
  <c r="AF404" i="10" s="1"/>
  <c r="X389" i="10"/>
  <c r="U389" i="10"/>
  <c r="Y389" i="10" s="1"/>
  <c r="AC389" i="10" s="1"/>
  <c r="AD389" i="10" s="1"/>
  <c r="X207" i="8"/>
  <c r="U207" i="8"/>
  <c r="Y208" i="8" s="1"/>
  <c r="AD208" i="8" s="1"/>
  <c r="AY111" i="10"/>
  <c r="AZ111" i="10"/>
  <c r="AW111" i="10"/>
  <c r="AL111" i="9"/>
  <c r="AI111" i="9"/>
  <c r="AM112" i="9" s="1"/>
  <c r="AQ112" i="9" s="1"/>
  <c r="AR112" i="9" s="1"/>
  <c r="AI346" i="9"/>
  <c r="AM347" i="9" s="1"/>
  <c r="AQ347" i="9" s="1"/>
  <c r="AR347" i="9" s="1"/>
  <c r="AW231" i="9"/>
  <c r="AZ76" i="10"/>
  <c r="X128" i="9"/>
  <c r="U133" i="9"/>
  <c r="X158" i="8"/>
  <c r="U242" i="9"/>
  <c r="Y243" i="9" s="1"/>
  <c r="AC243" i="9" s="1"/>
  <c r="AD243" i="9" s="1"/>
  <c r="AZ70" i="10"/>
  <c r="U82" i="8"/>
  <c r="Y83" i="8" s="1"/>
  <c r="AD83" i="8" s="1"/>
  <c r="AZ396" i="10"/>
  <c r="X174" i="9"/>
  <c r="AW146" i="9"/>
  <c r="U308" i="8"/>
  <c r="X203" i="10"/>
  <c r="X111" i="10"/>
  <c r="AW100" i="9"/>
  <c r="X423" i="8"/>
  <c r="AZ66" i="9"/>
  <c r="W43" i="9"/>
  <c r="U43" i="9"/>
  <c r="W88" i="10"/>
  <c r="U88" i="10"/>
  <c r="X88" i="10"/>
  <c r="W273" i="9"/>
  <c r="U273" i="9"/>
  <c r="AY296" i="9"/>
  <c r="AZ296" i="9"/>
  <c r="AI96" i="9"/>
  <c r="AM97" i="9" s="1"/>
  <c r="AQ97" i="9" s="1"/>
  <c r="AR97" i="9" s="1"/>
  <c r="AL96" i="9"/>
  <c r="AY296" i="10"/>
  <c r="AZ296" i="10"/>
  <c r="AY421" i="10"/>
  <c r="AW421" i="10"/>
  <c r="AZ421" i="10"/>
  <c r="AL176" i="8"/>
  <c r="AI176" i="8"/>
  <c r="AM177" i="8" s="1"/>
  <c r="AR177" i="8" s="1"/>
  <c r="AY81" i="8"/>
  <c r="AZ81" i="8"/>
  <c r="AW81" i="8"/>
  <c r="X104" i="9"/>
  <c r="X64" i="10"/>
  <c r="X241" i="8"/>
  <c r="AZ186" i="10"/>
  <c r="X212" i="8"/>
  <c r="AZ236" i="9"/>
  <c r="X38" i="8"/>
  <c r="X98" i="9"/>
  <c r="AW401" i="10"/>
  <c r="X228" i="8"/>
  <c r="W168" i="8"/>
  <c r="U168" i="8"/>
  <c r="W148" i="10"/>
  <c r="U148" i="10"/>
  <c r="X148" i="10"/>
  <c r="AY100" i="10"/>
  <c r="AZ100" i="10"/>
  <c r="W413" i="8"/>
  <c r="X413" i="8"/>
  <c r="U81" i="8"/>
  <c r="Y82" i="8" s="1"/>
  <c r="AD82" i="8" s="1"/>
  <c r="X81" i="8"/>
  <c r="X91" i="9"/>
  <c r="U91" i="9"/>
  <c r="Y92" i="9" s="1"/>
  <c r="AC92" i="9" s="1"/>
  <c r="AD92" i="9" s="1"/>
  <c r="AY136" i="9"/>
  <c r="AZ136" i="9"/>
  <c r="U309" i="9"/>
  <c r="Y309" i="9" s="1"/>
  <c r="AC309" i="9" s="1"/>
  <c r="AD309" i="9" s="1"/>
  <c r="U146" i="10"/>
  <c r="Y147" i="10" s="1"/>
  <c r="AC147" i="10" s="1"/>
  <c r="AD147" i="10" s="1"/>
  <c r="U351" i="8"/>
  <c r="Y352" i="8" s="1"/>
  <c r="AD352" i="8" s="1"/>
  <c r="U63" i="9"/>
  <c r="X338" i="8"/>
  <c r="X252" i="8"/>
  <c r="X356" i="8"/>
  <c r="X363" i="9"/>
  <c r="X403" i="9"/>
  <c r="X324" i="10"/>
  <c r="X276" i="8"/>
  <c r="X36" i="9"/>
  <c r="U343" i="8"/>
  <c r="AZ166" i="8"/>
  <c r="AL116" i="10"/>
  <c r="AZ91" i="8"/>
  <c r="AL96" i="8"/>
  <c r="AL376" i="8"/>
  <c r="AL91" i="8"/>
  <c r="AZ96" i="8"/>
  <c r="AL161" i="8"/>
  <c r="AL266" i="8"/>
  <c r="AZ56" i="8"/>
  <c r="AZ401" i="9"/>
  <c r="AZ276" i="8"/>
  <c r="AZ46" i="10"/>
  <c r="AZ151" i="8"/>
  <c r="AL336" i="10"/>
  <c r="AL61" i="8"/>
  <c r="AW406" i="10"/>
  <c r="AZ121" i="8"/>
  <c r="AL366" i="8"/>
  <c r="AW70" i="9"/>
  <c r="X63" i="9"/>
  <c r="X258" i="9"/>
  <c r="U161" i="9"/>
  <c r="Y162" i="9" s="1"/>
  <c r="AC162" i="9" s="1"/>
  <c r="AD162" i="9" s="1"/>
  <c r="AF162" i="9" s="1"/>
  <c r="X253" i="10"/>
  <c r="AI166" i="10"/>
  <c r="AM167" i="10" s="1"/>
  <c r="AQ167" i="10" s="1"/>
  <c r="AR167" i="10" s="1"/>
  <c r="D13" i="7"/>
  <c r="AI206" i="8"/>
  <c r="AM207" i="8" s="1"/>
  <c r="AR207" i="8" s="1"/>
  <c r="U389" i="8"/>
  <c r="Y389" i="8" s="1"/>
  <c r="AD389" i="8" s="1"/>
  <c r="U369" i="9"/>
  <c r="Y369" i="9" s="1"/>
  <c r="AC369" i="9" s="1"/>
  <c r="AD369" i="9" s="1"/>
  <c r="X343" i="8"/>
  <c r="AI216" i="8"/>
  <c r="AM217" i="8" s="1"/>
  <c r="AR217" i="8" s="1"/>
  <c r="AT217" i="8" s="1"/>
  <c r="AI241" i="8"/>
  <c r="AM242" i="8" s="1"/>
  <c r="AR242" i="8" s="1"/>
  <c r="AI171" i="8"/>
  <c r="AM172" i="8" s="1"/>
  <c r="AR172" i="8" s="1"/>
  <c r="AW46" i="8"/>
  <c r="AW156" i="8"/>
  <c r="AL36" i="8"/>
  <c r="AL306" i="8"/>
  <c r="AW46" i="9"/>
  <c r="AW401" i="9"/>
  <c r="AW206" i="8"/>
  <c r="AI106" i="8"/>
  <c r="AM107" i="8" s="1"/>
  <c r="AR107" i="8" s="1"/>
  <c r="AL146" i="8"/>
  <c r="AI56" i="8"/>
  <c r="AM57" i="8" s="1"/>
  <c r="AR57" i="8" s="1"/>
  <c r="AT57" i="8" s="1"/>
  <c r="AI231" i="10"/>
  <c r="AM232" i="10" s="1"/>
  <c r="AQ232" i="10" s="1"/>
  <c r="AR232" i="10" s="1"/>
  <c r="AZ416" i="8"/>
  <c r="AL186" i="8"/>
  <c r="AL411" i="9"/>
  <c r="U384" i="10"/>
  <c r="Y384" i="10" s="1"/>
  <c r="AC384" i="10" s="1"/>
  <c r="AD384" i="10" s="1"/>
  <c r="AI291" i="8"/>
  <c r="AM292" i="8" s="1"/>
  <c r="AR292" i="8" s="1"/>
  <c r="AI246" i="10"/>
  <c r="AM247" i="10" s="1"/>
  <c r="AQ247" i="10" s="1"/>
  <c r="AR247" i="10" s="1"/>
  <c r="AT247" i="10" s="1"/>
  <c r="AZ161" i="10"/>
  <c r="AW106" i="10"/>
  <c r="AW116" i="10"/>
  <c r="AZ46" i="8"/>
  <c r="AZ156" i="8"/>
  <c r="AW196" i="8"/>
  <c r="AW406" i="8"/>
  <c r="AZ46" i="9"/>
  <c r="AW321" i="8"/>
  <c r="AI281" i="8"/>
  <c r="AM282" i="8" s="1"/>
  <c r="AR282" i="8" s="1"/>
  <c r="AL346" i="8"/>
  <c r="AZ206" i="8"/>
  <c r="AW376" i="9"/>
  <c r="AI211" i="8"/>
  <c r="AM212" i="8" s="1"/>
  <c r="AR212" i="8" s="1"/>
  <c r="AW236" i="8"/>
  <c r="AW401" i="8"/>
  <c r="AZ106" i="8"/>
  <c r="AZ91" i="10"/>
  <c r="AZ216" i="8"/>
  <c r="AI66" i="8"/>
  <c r="AM67" i="8" s="1"/>
  <c r="AR67" i="8" s="1"/>
  <c r="AZ66" i="8"/>
  <c r="AW416" i="8"/>
  <c r="AW331" i="8"/>
  <c r="AW300" i="10"/>
  <c r="U338" i="8"/>
  <c r="X363" i="8"/>
  <c r="U138" i="9"/>
  <c r="U363" i="9"/>
  <c r="U403" i="9"/>
  <c r="X68" i="10"/>
  <c r="AW166" i="8"/>
  <c r="AW91" i="8"/>
  <c r="AW161" i="10"/>
  <c r="AZ106" i="10"/>
  <c r="AZ116" i="10"/>
  <c r="AW96" i="8"/>
  <c r="AZ196" i="8"/>
  <c r="AZ406" i="8"/>
  <c r="AW56" i="8"/>
  <c r="AZ321" i="8"/>
  <c r="AW276" i="8"/>
  <c r="AZ376" i="9"/>
  <c r="AW46" i="10"/>
  <c r="AW151" i="8"/>
  <c r="AZ236" i="8"/>
  <c r="AZ401" i="8"/>
  <c r="AW106" i="8"/>
  <c r="AW121" i="8"/>
  <c r="AW216" i="8"/>
  <c r="AW66" i="8"/>
  <c r="AJ103" i="10"/>
  <c r="AH103" i="10"/>
  <c r="AK103" i="10" s="1"/>
  <c r="AJ257" i="9"/>
  <c r="AH257" i="9"/>
  <c r="AI257" i="9" s="1"/>
  <c r="AM258" i="9" s="1"/>
  <c r="AQ258" i="9" s="1"/>
  <c r="AR258" i="9" s="1"/>
  <c r="AJ303" i="9"/>
  <c r="AH303" i="9"/>
  <c r="AK303" i="9" s="1"/>
  <c r="AJ398" i="8"/>
  <c r="AH398" i="8"/>
  <c r="AK398" i="8" s="1"/>
  <c r="AJ183" i="8"/>
  <c r="AH183" i="8"/>
  <c r="AK183" i="8" s="1"/>
  <c r="AJ38" i="10"/>
  <c r="AH38" i="10"/>
  <c r="AK38" i="10" s="1"/>
  <c r="AH418" i="8"/>
  <c r="AK418" i="8" s="1"/>
  <c r="AJ418" i="8"/>
  <c r="AH218" i="10"/>
  <c r="AK218" i="10" s="1"/>
  <c r="AJ218" i="10"/>
  <c r="AH354" i="8"/>
  <c r="AL354" i="8" s="1"/>
  <c r="AJ354" i="8"/>
  <c r="AH194" i="10"/>
  <c r="AI194" i="10" s="1"/>
  <c r="AM194" i="10" s="1"/>
  <c r="AQ194" i="10" s="1"/>
  <c r="AR194" i="10" s="1"/>
  <c r="AJ194" i="10"/>
  <c r="AV292" i="10"/>
  <c r="AY292" i="10" s="1"/>
  <c r="AX292" i="10"/>
  <c r="AJ37" i="10"/>
  <c r="AH37" i="10"/>
  <c r="AJ209" i="8"/>
  <c r="AH209" i="8"/>
  <c r="AJ292" i="10"/>
  <c r="AH292" i="10"/>
  <c r="AX77" i="10"/>
  <c r="AV77" i="10"/>
  <c r="AY77" i="10" s="1"/>
  <c r="AJ382" i="10"/>
  <c r="AH382" i="10"/>
  <c r="AL382" i="10"/>
  <c r="AI382" i="10"/>
  <c r="AM383" i="10" s="1"/>
  <c r="AQ383" i="10" s="1"/>
  <c r="AR383" i="10" s="1"/>
  <c r="AH163" i="10"/>
  <c r="AK163" i="10" s="1"/>
  <c r="AJ163" i="10"/>
  <c r="AJ102" i="10"/>
  <c r="AH102" i="10"/>
  <c r="AI102" i="10" s="1"/>
  <c r="AM103" i="10" s="1"/>
  <c r="AQ103" i="10" s="1"/>
  <c r="AR103" i="10" s="1"/>
  <c r="AJ99" i="10"/>
  <c r="AH99" i="10"/>
  <c r="AL99" i="10"/>
  <c r="AJ177" i="10"/>
  <c r="AH177" i="10"/>
  <c r="AL177" i="10" s="1"/>
  <c r="AJ383" i="9"/>
  <c r="AH383" i="9"/>
  <c r="AK383" i="9" s="1"/>
  <c r="AX177" i="9"/>
  <c r="AV177" i="9"/>
  <c r="AY177" i="9" s="1"/>
  <c r="AV127" i="9"/>
  <c r="AY127" i="9" s="1"/>
  <c r="AZ127" i="9"/>
  <c r="AX127" i="9"/>
  <c r="AJ27" i="10"/>
  <c r="AH27" i="10"/>
  <c r="AI27" i="10" s="1"/>
  <c r="AM28" i="10" s="1"/>
  <c r="AQ28" i="10" s="1"/>
  <c r="AR28" i="10" s="1"/>
  <c r="AV26" i="10"/>
  <c r="AZ26" i="10" s="1"/>
  <c r="AX26" i="10"/>
  <c r="AJ289" i="9"/>
  <c r="AH289" i="9"/>
  <c r="AH337" i="10"/>
  <c r="AL337" i="10" s="1"/>
  <c r="AJ337" i="10"/>
  <c r="AJ123" i="10"/>
  <c r="AH123" i="10"/>
  <c r="AK123" i="10" s="1"/>
  <c r="AH307" i="9"/>
  <c r="AL307" i="9" s="1"/>
  <c r="AJ307" i="9"/>
  <c r="AH232" i="10"/>
  <c r="AL232" i="10" s="1"/>
  <c r="AJ232" i="10"/>
  <c r="AJ289" i="8"/>
  <c r="AH289" i="8"/>
  <c r="AJ323" i="9"/>
  <c r="AH323" i="9"/>
  <c r="AK323" i="9" s="1"/>
  <c r="AJ92" i="10"/>
  <c r="AH92" i="10"/>
  <c r="AL92" i="10" s="1"/>
  <c r="AJ26" i="8"/>
  <c r="AI26" i="8"/>
  <c r="AM27" i="8" s="1"/>
  <c r="AR27" i="8" s="1"/>
  <c r="AH26" i="8"/>
  <c r="AL26" i="8" s="1"/>
  <c r="AH269" i="8"/>
  <c r="AL269" i="8" s="1"/>
  <c r="AJ269" i="8"/>
  <c r="AJ182" i="9"/>
  <c r="AH182" i="9"/>
  <c r="AI182" i="9" s="1"/>
  <c r="AM183" i="9" s="1"/>
  <c r="AQ183" i="9" s="1"/>
  <c r="AR183" i="9" s="1"/>
  <c r="AV372" i="9"/>
  <c r="AY372" i="9" s="1"/>
  <c r="AX372" i="9"/>
  <c r="AJ279" i="8"/>
  <c r="AH279" i="8"/>
  <c r="AI279" i="8" s="1"/>
  <c r="AM279" i="8" s="1"/>
  <c r="AR279" i="8" s="1"/>
  <c r="AJ87" i="9"/>
  <c r="AH87" i="9"/>
  <c r="AI87" i="9" s="1"/>
  <c r="AM88" i="9" s="1"/>
  <c r="AQ88" i="9" s="1"/>
  <c r="AR88" i="9" s="1"/>
  <c r="AX157" i="10"/>
  <c r="AV157" i="10"/>
  <c r="AY157" i="10" s="1"/>
  <c r="AX57" i="10"/>
  <c r="AV57" i="10"/>
  <c r="AY57" i="10" s="1"/>
  <c r="AH42" i="9"/>
  <c r="AL42" i="9" s="1"/>
  <c r="AJ42" i="9"/>
  <c r="AX352" i="10"/>
  <c r="AV352" i="10"/>
  <c r="AY352" i="10" s="1"/>
  <c r="AX267" i="9"/>
  <c r="AV267" i="9"/>
  <c r="AY267" i="9" s="1"/>
  <c r="AJ258" i="10"/>
  <c r="AH258" i="10"/>
  <c r="AK258" i="10" s="1"/>
  <c r="AJ26" i="10"/>
  <c r="AH26" i="10"/>
  <c r="AL26" i="10" s="1"/>
  <c r="AX282" i="10"/>
  <c r="AV282" i="10"/>
  <c r="AY282" i="10" s="1"/>
  <c r="AH159" i="9"/>
  <c r="AL159" i="9" s="1"/>
  <c r="AJ159" i="9"/>
  <c r="AX307" i="9"/>
  <c r="AV307" i="9"/>
  <c r="AY307" i="9" s="1"/>
  <c r="W34" i="8"/>
  <c r="AH73" i="10"/>
  <c r="AK73" i="10" s="1"/>
  <c r="AJ73" i="10"/>
  <c r="W50" i="9"/>
  <c r="U227" i="8"/>
  <c r="Y228" i="8" s="1"/>
  <c r="AD228" i="8" s="1"/>
  <c r="W366" i="9"/>
  <c r="U228" i="9"/>
  <c r="AK396" i="10"/>
  <c r="U313" i="9"/>
  <c r="AK100" i="10"/>
  <c r="W41" i="8"/>
  <c r="W392" i="8"/>
  <c r="W414" i="10"/>
  <c r="AI116" i="9"/>
  <c r="AM117" i="9" s="1"/>
  <c r="AQ117" i="9" s="1"/>
  <c r="AR117" i="9" s="1"/>
  <c r="W247" i="8"/>
  <c r="W92" i="10"/>
  <c r="W302" i="8"/>
  <c r="W384" i="9"/>
  <c r="W272" i="9"/>
  <c r="W422" i="9"/>
  <c r="W296" i="10"/>
  <c r="AH304" i="9"/>
  <c r="AL304" i="9" s="1"/>
  <c r="AJ304" i="9"/>
  <c r="W236" i="8"/>
  <c r="AK126" i="10"/>
  <c r="AK361" i="8"/>
  <c r="AK31" i="8"/>
  <c r="AK341" i="8"/>
  <c r="AK86" i="8"/>
  <c r="W397" i="9"/>
  <c r="W276" i="10"/>
  <c r="W411" i="9"/>
  <c r="AJ232" i="8"/>
  <c r="AH232" i="8"/>
  <c r="AI232" i="8" s="1"/>
  <c r="AM233" i="8" s="1"/>
  <c r="AR233" i="8" s="1"/>
  <c r="W321" i="9"/>
  <c r="AX362" i="10"/>
  <c r="AV362" i="10"/>
  <c r="AY362" i="10" s="1"/>
  <c r="AH94" i="10"/>
  <c r="AL94" i="10" s="1"/>
  <c r="AJ94" i="10"/>
  <c r="AJ79" i="10"/>
  <c r="AH79" i="10"/>
  <c r="AJ294" i="9"/>
  <c r="AH294" i="9"/>
  <c r="AL294" i="9" s="1"/>
  <c r="W260" i="9"/>
  <c r="U178" i="8"/>
  <c r="W167" i="10"/>
  <c r="W154" i="10"/>
  <c r="U411" i="9"/>
  <c r="Y412" i="9" s="1"/>
  <c r="AC412" i="9" s="1"/>
  <c r="AD412" i="9" s="1"/>
  <c r="AF412" i="9" s="1"/>
  <c r="W251" i="8"/>
  <c r="U299" i="9"/>
  <c r="Y299" i="9" s="1"/>
  <c r="AC299" i="9" s="1"/>
  <c r="AD299" i="9" s="1"/>
  <c r="U188" i="8"/>
  <c r="W349" i="9"/>
  <c r="W396" i="10"/>
  <c r="AF397" i="10"/>
  <c r="W407" i="9"/>
  <c r="U158" i="9"/>
  <c r="U58" i="8"/>
  <c r="W226" i="9"/>
  <c r="W372" i="9"/>
  <c r="AK66" i="10"/>
  <c r="W51" i="8"/>
  <c r="W169" i="9"/>
  <c r="W251" i="9"/>
  <c r="W229" i="8"/>
  <c r="W151" i="9"/>
  <c r="U268" i="9"/>
  <c r="AH282" i="10"/>
  <c r="AL282" i="10" s="1"/>
  <c r="AJ282" i="10"/>
  <c r="AJ342" i="9"/>
  <c r="AH342" i="9"/>
  <c r="AI342" i="9" s="1"/>
  <c r="AM343" i="9" s="1"/>
  <c r="AQ343" i="9" s="1"/>
  <c r="AR343" i="9" s="1"/>
  <c r="AJ57" i="9"/>
  <c r="AH57" i="9"/>
  <c r="AL57" i="9" s="1"/>
  <c r="W287" i="9"/>
  <c r="W129" i="10"/>
  <c r="W116" i="8"/>
  <c r="AJ347" i="8"/>
  <c r="AH347" i="8"/>
  <c r="AL347" i="8" s="1"/>
  <c r="W306" i="10"/>
  <c r="W172" i="9"/>
  <c r="W326" i="10"/>
  <c r="X288" i="9"/>
  <c r="AK131" i="9"/>
  <c r="W84" i="9"/>
  <c r="W92" i="8"/>
  <c r="U213" i="9"/>
  <c r="AK366" i="9"/>
  <c r="U293" i="8"/>
  <c r="AH264" i="9"/>
  <c r="AJ264" i="9"/>
  <c r="U348" i="10"/>
  <c r="U303" i="9"/>
  <c r="U251" i="8"/>
  <c r="Y252" i="8" s="1"/>
  <c r="AD252" i="8" s="1"/>
  <c r="AF252" i="8" s="1"/>
  <c r="U392" i="8"/>
  <c r="Y393" i="8" s="1"/>
  <c r="AD393" i="8" s="1"/>
  <c r="AF393" i="8" s="1"/>
  <c r="U349" i="9"/>
  <c r="Y349" i="9" s="1"/>
  <c r="AC349" i="9" s="1"/>
  <c r="AD349" i="9" s="1"/>
  <c r="AF349" i="9" s="1"/>
  <c r="AJ59" i="10"/>
  <c r="AH59" i="10"/>
  <c r="X58" i="9"/>
  <c r="AH172" i="9"/>
  <c r="AI172" i="9" s="1"/>
  <c r="AM173" i="9" s="1"/>
  <c r="AQ173" i="9" s="1"/>
  <c r="AR173" i="9" s="1"/>
  <c r="AJ172" i="9"/>
  <c r="AJ409" i="9"/>
  <c r="AH409" i="9"/>
  <c r="U118" i="10"/>
  <c r="W321" i="10"/>
  <c r="W371" i="9"/>
  <c r="W351" i="10"/>
  <c r="AJ192" i="8"/>
  <c r="AH192" i="8"/>
  <c r="AF364" i="10"/>
  <c r="W364" i="10"/>
  <c r="AF221" i="10"/>
  <c r="W220" i="10"/>
  <c r="W81" i="9"/>
  <c r="W262" i="9"/>
  <c r="X98" i="10"/>
  <c r="W127" i="9"/>
  <c r="W327" i="9"/>
  <c r="AZ266" i="10"/>
  <c r="AW131" i="10"/>
  <c r="U287" i="9"/>
  <c r="Y288" i="9" s="1"/>
  <c r="AC288" i="9" s="1"/>
  <c r="AD288" i="9" s="1"/>
  <c r="AF288" i="9" s="1"/>
  <c r="W121" i="10"/>
  <c r="AW121" i="9"/>
  <c r="AK401" i="10"/>
  <c r="W101" i="8"/>
  <c r="W27" i="9"/>
  <c r="W42" i="9"/>
  <c r="U129" i="10"/>
  <c r="Y129" i="10" s="1"/>
  <c r="AC129" i="10" s="1"/>
  <c r="AD129" i="10" s="1"/>
  <c r="AF129" i="10" s="1"/>
  <c r="AW42" i="10"/>
  <c r="AV42" i="10"/>
  <c r="AY42" i="10" s="1"/>
  <c r="AX42" i="10"/>
  <c r="AW176" i="9"/>
  <c r="U116" i="8"/>
  <c r="Y117" i="8" s="1"/>
  <c r="AD117" i="8" s="1"/>
  <c r="AF117" i="8" s="1"/>
  <c r="W227" i="10"/>
  <c r="W164" i="9"/>
  <c r="AL313" i="9"/>
  <c r="AJ313" i="9"/>
  <c r="AH313" i="9"/>
  <c r="AK313" i="9" s="1"/>
  <c r="W77" i="10"/>
  <c r="AJ114" i="10"/>
  <c r="AH114" i="10"/>
  <c r="AI114" i="10" s="1"/>
  <c r="AM114" i="10" s="1"/>
  <c r="AQ114" i="10" s="1"/>
  <c r="AR114" i="10" s="1"/>
  <c r="W347" i="10"/>
  <c r="AZ276" i="10"/>
  <c r="C18" i="10"/>
  <c r="E23" i="11" s="1"/>
  <c r="AF219" i="8"/>
  <c r="W219" i="8"/>
  <c r="U92" i="10"/>
  <c r="Y93" i="10" s="1"/>
  <c r="AC93" i="10" s="1"/>
  <c r="AD93" i="10" s="1"/>
  <c r="AF93" i="10" s="1"/>
  <c r="W246" i="10"/>
  <c r="AF247" i="10"/>
  <c r="AF69" i="8"/>
  <c r="W69" i="8"/>
  <c r="W256" i="8"/>
  <c r="AF257" i="8"/>
  <c r="W347" i="8"/>
  <c r="AF348" i="8"/>
  <c r="AF388" i="9"/>
  <c r="W387" i="9"/>
  <c r="X373" i="10"/>
  <c r="AT157" i="9"/>
  <c r="AK156" i="9"/>
  <c r="U363" i="10"/>
  <c r="U152" i="10"/>
  <c r="Y153" i="10" s="1"/>
  <c r="AC153" i="10" s="1"/>
  <c r="AD153" i="10" s="1"/>
  <c r="AW351" i="9"/>
  <c r="AZ317" i="10"/>
  <c r="AX317" i="10"/>
  <c r="AV317" i="10"/>
  <c r="AY317" i="10" s="1"/>
  <c r="AF313" i="10"/>
  <c r="W312" i="10"/>
  <c r="U302" i="8"/>
  <c r="Y303" i="8" s="1"/>
  <c r="AD303" i="8" s="1"/>
  <c r="AF303" i="8" s="1"/>
  <c r="W74" i="10"/>
  <c r="X113" i="8"/>
  <c r="AF413" i="8"/>
  <c r="W412" i="8"/>
  <c r="W407" i="10"/>
  <c r="AF408" i="10"/>
  <c r="W269" i="10"/>
  <c r="AZ281" i="10"/>
  <c r="AX147" i="9"/>
  <c r="AV147" i="9"/>
  <c r="AY147" i="9" s="1"/>
  <c r="AH298" i="8"/>
  <c r="AK298" i="8" s="1"/>
  <c r="AJ298" i="8"/>
  <c r="W76" i="10"/>
  <c r="X48" i="9"/>
  <c r="U68" i="9"/>
  <c r="W292" i="9"/>
  <c r="W27" i="10"/>
  <c r="AZ161" i="9"/>
  <c r="W422" i="8"/>
  <c r="W161" i="9"/>
  <c r="U306" i="10"/>
  <c r="Y307" i="10" s="1"/>
  <c r="AC307" i="10" s="1"/>
  <c r="AD307" i="10" s="1"/>
  <c r="AF307" i="10" s="1"/>
  <c r="U78" i="8"/>
  <c r="W321" i="8"/>
  <c r="W334" i="8"/>
  <c r="W192" i="9"/>
  <c r="W336" i="9"/>
  <c r="W139" i="10"/>
  <c r="AZ306" i="9"/>
  <c r="AH222" i="9"/>
  <c r="AI222" i="9" s="1"/>
  <c r="AM223" i="9" s="1"/>
  <c r="AQ223" i="9" s="1"/>
  <c r="AR223" i="9" s="1"/>
  <c r="AJ222" i="9"/>
  <c r="AK296" i="9"/>
  <c r="U408" i="8"/>
  <c r="W147" i="9"/>
  <c r="X148" i="9"/>
  <c r="U272" i="9"/>
  <c r="Y273" i="9" s="1"/>
  <c r="AC273" i="9" s="1"/>
  <c r="AD273" i="9" s="1"/>
  <c r="AF273" i="9" s="1"/>
  <c r="U422" i="9"/>
  <c r="Y423" i="9" s="1"/>
  <c r="AC423" i="9" s="1"/>
  <c r="AD423" i="9" s="1"/>
  <c r="AF423" i="9" s="1"/>
  <c r="U264" i="10"/>
  <c r="Y264" i="10" s="1"/>
  <c r="AC264" i="10" s="1"/>
  <c r="AD264" i="10" s="1"/>
  <c r="U296" i="10"/>
  <c r="Y297" i="10" s="1"/>
  <c r="AC297" i="10" s="1"/>
  <c r="AD297" i="10" s="1"/>
  <c r="AF297" i="10" s="1"/>
  <c r="AW306" i="10"/>
  <c r="U328" i="8"/>
  <c r="AH129" i="9"/>
  <c r="AL129" i="9" s="1"/>
  <c r="AJ129" i="9"/>
  <c r="W76" i="9"/>
  <c r="W266" i="9"/>
  <c r="W300" i="9"/>
  <c r="AF301" i="9"/>
  <c r="AH282" i="8"/>
  <c r="AL282" i="8" s="1"/>
  <c r="AJ282" i="8"/>
  <c r="X73" i="9"/>
  <c r="U172" i="9"/>
  <c r="Y173" i="9" s="1"/>
  <c r="AC173" i="9" s="1"/>
  <c r="AD173" i="9" s="1"/>
  <c r="AF173" i="9" s="1"/>
  <c r="AJ234" i="10"/>
  <c r="AH234" i="10"/>
  <c r="AI234" i="10" s="1"/>
  <c r="AM234" i="10" s="1"/>
  <c r="AQ234" i="10" s="1"/>
  <c r="AR234" i="10" s="1"/>
  <c r="AL234" i="10"/>
  <c r="AF141" i="9"/>
  <c r="W140" i="9"/>
  <c r="U236" i="8"/>
  <c r="Y237" i="8" s="1"/>
  <c r="AD237" i="8" s="1"/>
  <c r="AF237" i="8" s="1"/>
  <c r="X198" i="8"/>
  <c r="U158" i="10"/>
  <c r="W404" i="10"/>
  <c r="W260" i="10"/>
  <c r="AF261" i="10"/>
  <c r="AF168" i="8"/>
  <c r="W167" i="8"/>
  <c r="X203" i="8"/>
  <c r="AF389" i="10"/>
  <c r="W389" i="10"/>
  <c r="X378" i="9"/>
  <c r="U326" i="10"/>
  <c r="Y327" i="10" s="1"/>
  <c r="AC327" i="10" s="1"/>
  <c r="AD327" i="10" s="1"/>
  <c r="AF327" i="10" s="1"/>
  <c r="X68" i="8"/>
  <c r="U186" i="9"/>
  <c r="Y187" i="9" s="1"/>
  <c r="AC187" i="9" s="1"/>
  <c r="AD187" i="9" s="1"/>
  <c r="U232" i="10"/>
  <c r="Y233" i="10" s="1"/>
  <c r="AC233" i="10" s="1"/>
  <c r="AD233" i="10" s="1"/>
  <c r="AW201" i="10"/>
  <c r="AT192" i="8"/>
  <c r="AK191" i="8"/>
  <c r="AI126" i="10"/>
  <c r="AM127" i="10" s="1"/>
  <c r="AQ127" i="10" s="1"/>
  <c r="AR127" i="10" s="1"/>
  <c r="AT127" i="10" s="1"/>
  <c r="AW161" i="8"/>
  <c r="AI361" i="8"/>
  <c r="AM362" i="8" s="1"/>
  <c r="AR362" i="8" s="1"/>
  <c r="AT362" i="8" s="1"/>
  <c r="AZ81" i="9"/>
  <c r="AT297" i="8"/>
  <c r="AK296" i="8"/>
  <c r="AZ391" i="10"/>
  <c r="AK291" i="8"/>
  <c r="AT292" i="8"/>
  <c r="AZ341" i="8"/>
  <c r="AZ211" i="9"/>
  <c r="AK246" i="10"/>
  <c r="AZ146" i="8"/>
  <c r="AW211" i="8"/>
  <c r="AT377" i="8"/>
  <c r="AK376" i="8"/>
  <c r="AZ421" i="8"/>
  <c r="AK91" i="8"/>
  <c r="AT92" i="8"/>
  <c r="AZ221" i="8"/>
  <c r="AK161" i="8"/>
  <c r="AT162" i="8"/>
  <c r="AZ301" i="8"/>
  <c r="AK281" i="8"/>
  <c r="AT282" i="8"/>
  <c r="AZ246" i="9"/>
  <c r="AT177" i="8"/>
  <c r="AK176" i="8"/>
  <c r="AZ71" i="8"/>
  <c r="AZ346" i="8"/>
  <c r="AK211" i="8"/>
  <c r="AT212" i="8"/>
  <c r="AK56" i="8"/>
  <c r="AI261" i="8"/>
  <c r="AM262" i="8" s="1"/>
  <c r="AR262" i="8" s="1"/>
  <c r="AK336" i="10"/>
  <c r="AT337" i="10"/>
  <c r="AZ251" i="9"/>
  <c r="AW411" i="10"/>
  <c r="AT417" i="8"/>
  <c r="AK416" i="8"/>
  <c r="AK371" i="8"/>
  <c r="AT372" i="8"/>
  <c r="AZ76" i="8"/>
  <c r="AW101" i="8"/>
  <c r="AK286" i="8"/>
  <c r="AT287" i="8"/>
  <c r="AZ136" i="10"/>
  <c r="AW331" i="10"/>
  <c r="AZ261" i="8"/>
  <c r="AZ226" i="8"/>
  <c r="AK101" i="8"/>
  <c r="AT102" i="8"/>
  <c r="AZ146" i="10"/>
  <c r="AZ356" i="8"/>
  <c r="AZ311" i="8"/>
  <c r="AI86" i="8"/>
  <c r="AM87" i="8" s="1"/>
  <c r="AR87" i="8" s="1"/>
  <c r="AT87" i="8" s="1"/>
  <c r="AZ371" i="8"/>
  <c r="AT412" i="9"/>
  <c r="AK411" i="9"/>
  <c r="AT87" i="9"/>
  <c r="AK86" i="9"/>
  <c r="AK151" i="10"/>
  <c r="AT152" i="10"/>
  <c r="AW226" i="9"/>
  <c r="AK126" i="8"/>
  <c r="AT127" i="8"/>
  <c r="AZ336" i="8"/>
  <c r="AT272" i="8"/>
  <c r="AK271" i="8"/>
  <c r="AJ247" i="9"/>
  <c r="AH247" i="9"/>
  <c r="AL247" i="9" s="1"/>
  <c r="AH373" i="8"/>
  <c r="AK373" i="8" s="1"/>
  <c r="AJ373" i="8"/>
  <c r="W237" i="9"/>
  <c r="W387" i="10"/>
  <c r="W35" i="9"/>
  <c r="W324" i="8"/>
  <c r="W216" i="8"/>
  <c r="W94" i="9"/>
  <c r="AF124" i="9"/>
  <c r="W124" i="9"/>
  <c r="U328" i="9"/>
  <c r="U397" i="9"/>
  <c r="Y398" i="9" s="1"/>
  <c r="AC398" i="9" s="1"/>
  <c r="AD398" i="9" s="1"/>
  <c r="AF398" i="9" s="1"/>
  <c r="W187" i="8"/>
  <c r="AF188" i="8"/>
  <c r="AK220" i="9"/>
  <c r="W369" i="8"/>
  <c r="AF369" i="8"/>
  <c r="AF203" i="8"/>
  <c r="W202" i="8"/>
  <c r="W284" i="10"/>
  <c r="U238" i="10"/>
  <c r="AK291" i="9"/>
  <c r="AJ298" i="9"/>
  <c r="AI298" i="9"/>
  <c r="AH298" i="9"/>
  <c r="AK298" i="9" s="1"/>
  <c r="AK70" i="9"/>
  <c r="AV257" i="9"/>
  <c r="AY257" i="9" s="1"/>
  <c r="AX257" i="9"/>
  <c r="AF112" i="10"/>
  <c r="W111" i="10"/>
  <c r="AF44" i="8"/>
  <c r="W44" i="8"/>
  <c r="AK391" i="10"/>
  <c r="W286" i="10"/>
  <c r="AT377" i="10"/>
  <c r="AK376" i="10"/>
  <c r="AX162" i="10"/>
  <c r="AV162" i="10"/>
  <c r="AY162" i="10" s="1"/>
  <c r="AK326" i="9"/>
  <c r="AT327" i="9"/>
  <c r="W47" i="8"/>
  <c r="AF48" i="8"/>
  <c r="AJ138" i="10"/>
  <c r="AH138" i="10"/>
  <c r="AK138" i="10" s="1"/>
  <c r="W291" i="8"/>
  <c r="AF292" i="8"/>
  <c r="AF84" i="8"/>
  <c r="W84" i="8"/>
  <c r="U196" i="9"/>
  <c r="Y197" i="9" s="1"/>
  <c r="AC197" i="9" s="1"/>
  <c r="AD197" i="9" s="1"/>
  <c r="U383" i="9"/>
  <c r="U167" i="10"/>
  <c r="Y168" i="10" s="1"/>
  <c r="AC168" i="10" s="1"/>
  <c r="AD168" i="10" s="1"/>
  <c r="AF168" i="10" s="1"/>
  <c r="AF424" i="10"/>
  <c r="W424" i="10"/>
  <c r="W89" i="10"/>
  <c r="AZ211" i="10"/>
  <c r="X396" i="10"/>
  <c r="W239" i="9"/>
  <c r="AT152" i="9"/>
  <c r="AK151" i="9"/>
  <c r="AW196" i="10"/>
  <c r="W312" i="8"/>
  <c r="AL66" i="10"/>
  <c r="X34" i="8"/>
  <c r="W414" i="8"/>
  <c r="W192" i="10"/>
  <c r="W399" i="10"/>
  <c r="AF399" i="10"/>
  <c r="AW96" i="10"/>
  <c r="U423" i="9"/>
  <c r="U203" i="10"/>
  <c r="U302" i="10"/>
  <c r="Y303" i="10" s="1"/>
  <c r="AC303" i="10" s="1"/>
  <c r="AD303" i="10" s="1"/>
  <c r="AF303" i="10" s="1"/>
  <c r="W54" i="8"/>
  <c r="W32" i="8"/>
  <c r="AW191" i="8"/>
  <c r="U288" i="8"/>
  <c r="W326" i="9"/>
  <c r="U161" i="10"/>
  <c r="Y162" i="10" s="1"/>
  <c r="AC162" i="10" s="1"/>
  <c r="AD162" i="10" s="1"/>
  <c r="AF162" i="10" s="1"/>
  <c r="W357" i="10"/>
  <c r="AK211" i="9"/>
  <c r="AH234" i="8"/>
  <c r="AI234" i="8" s="1"/>
  <c r="AM234" i="8" s="1"/>
  <c r="AR234" i="8" s="1"/>
  <c r="AJ234" i="8"/>
  <c r="X216" i="8"/>
  <c r="X94" i="9"/>
  <c r="AH152" i="10"/>
  <c r="AL152" i="10" s="1"/>
  <c r="AJ152" i="10"/>
  <c r="X124" i="9"/>
  <c r="W211" i="10"/>
  <c r="U213" i="8"/>
  <c r="W107" i="10"/>
  <c r="U321" i="10"/>
  <c r="Y322" i="10" s="1"/>
  <c r="AC322" i="10" s="1"/>
  <c r="AD322" i="10" s="1"/>
  <c r="AF322" i="10" s="1"/>
  <c r="W166" i="8"/>
  <c r="W234" i="9"/>
  <c r="U371" i="9"/>
  <c r="Y372" i="9" s="1"/>
  <c r="AC372" i="9" s="1"/>
  <c r="AD372" i="9" s="1"/>
  <c r="AF372" i="9" s="1"/>
  <c r="U351" i="10"/>
  <c r="Y352" i="10" s="1"/>
  <c r="AC352" i="10" s="1"/>
  <c r="AD352" i="10" s="1"/>
  <c r="AF352" i="10" s="1"/>
  <c r="AK186" i="10"/>
  <c r="W197" i="8"/>
  <c r="AJ158" i="9"/>
  <c r="AH158" i="9"/>
  <c r="AK158" i="9" s="1"/>
  <c r="W391" i="9"/>
  <c r="AK216" i="10"/>
  <c r="U81" i="9"/>
  <c r="Y82" i="9" s="1"/>
  <c r="AC82" i="9" s="1"/>
  <c r="AD82" i="9" s="1"/>
  <c r="AF82" i="9" s="1"/>
  <c r="W41" i="10"/>
  <c r="U286" i="10"/>
  <c r="Y287" i="10" s="1"/>
  <c r="AC287" i="10" s="1"/>
  <c r="AD287" i="10" s="1"/>
  <c r="AF287" i="10" s="1"/>
  <c r="W172" i="8"/>
  <c r="U262" i="9"/>
  <c r="Y263" i="9" s="1"/>
  <c r="AC263" i="9" s="1"/>
  <c r="AD263" i="9" s="1"/>
  <c r="AF263" i="9" s="1"/>
  <c r="U98" i="10"/>
  <c r="W287" i="10"/>
  <c r="C8" i="9"/>
  <c r="C10" i="9" s="1"/>
  <c r="AH119" i="8"/>
  <c r="AL119" i="8" s="1"/>
  <c r="AJ119" i="8"/>
  <c r="U127" i="9"/>
  <c r="Y128" i="9" s="1"/>
  <c r="AC128" i="9" s="1"/>
  <c r="AD128" i="9" s="1"/>
  <c r="AF128" i="9" s="1"/>
  <c r="U327" i="9"/>
  <c r="Y328" i="9" s="1"/>
  <c r="AC328" i="9" s="1"/>
  <c r="AD328" i="9" s="1"/>
  <c r="AF328" i="9" s="1"/>
  <c r="U393" i="8"/>
  <c r="U121" i="10"/>
  <c r="Y122" i="10" s="1"/>
  <c r="AC122" i="10" s="1"/>
  <c r="AD122" i="10" s="1"/>
  <c r="AF122" i="10" s="1"/>
  <c r="AI401" i="10"/>
  <c r="AM402" i="10" s="1"/>
  <c r="AQ402" i="10" s="1"/>
  <c r="AR402" i="10" s="1"/>
  <c r="AT402" i="10" s="1"/>
  <c r="U101" i="8"/>
  <c r="Y102" i="8" s="1"/>
  <c r="AD102" i="8" s="1"/>
  <c r="AF102" i="8" s="1"/>
  <c r="U27" i="9"/>
  <c r="Y28" i="9" s="1"/>
  <c r="AC28" i="9" s="1"/>
  <c r="AD28" i="9" s="1"/>
  <c r="AF28" i="9" s="1"/>
  <c r="U42" i="9"/>
  <c r="Y43" i="9" s="1"/>
  <c r="AC43" i="9" s="1"/>
  <c r="AD43" i="9" s="1"/>
  <c r="AF43" i="9" s="1"/>
  <c r="W276" i="9"/>
  <c r="W272" i="8"/>
  <c r="W367" i="9"/>
  <c r="U227" i="10"/>
  <c r="Y228" i="10" s="1"/>
  <c r="AC228" i="10" s="1"/>
  <c r="AD228" i="10" s="1"/>
  <c r="AF228" i="10" s="1"/>
  <c r="W319" i="10"/>
  <c r="W317" i="8"/>
  <c r="U164" i="9"/>
  <c r="Y164" i="9" s="1"/>
  <c r="AC164" i="9" s="1"/>
  <c r="AD164" i="9" s="1"/>
  <c r="AF164" i="9" s="1"/>
  <c r="U77" i="10"/>
  <c r="Y78" i="10" s="1"/>
  <c r="AC78" i="10" s="1"/>
  <c r="AD78" i="10" s="1"/>
  <c r="AF78" i="10" s="1"/>
  <c r="U347" i="10"/>
  <c r="Y348" i="10" s="1"/>
  <c r="AC348" i="10" s="1"/>
  <c r="AD348" i="10" s="1"/>
  <c r="AF348" i="10" s="1"/>
  <c r="W261" i="8"/>
  <c r="W212" i="9"/>
  <c r="X92" i="10"/>
  <c r="W142" i="8"/>
  <c r="AF194" i="9"/>
  <c r="W194" i="9"/>
  <c r="AK301" i="8"/>
  <c r="AK31" i="10"/>
  <c r="W151" i="8"/>
  <c r="W117" i="9"/>
  <c r="W284" i="9"/>
  <c r="W394" i="9"/>
  <c r="W59" i="8"/>
  <c r="AJ29" i="8"/>
  <c r="AH29" i="8"/>
  <c r="AL29" i="8" s="1"/>
  <c r="W84" i="10"/>
  <c r="AF61" i="10"/>
  <c r="W60" i="10"/>
  <c r="W294" i="8"/>
  <c r="W332" i="10"/>
  <c r="AK180" i="10"/>
  <c r="W140" i="10"/>
  <c r="W377" i="9"/>
  <c r="AK86" i="10"/>
  <c r="U76" i="10"/>
  <c r="Y77" i="10" s="1"/>
  <c r="AC77" i="10" s="1"/>
  <c r="AD77" i="10" s="1"/>
  <c r="AF77" i="10" s="1"/>
  <c r="W241" i="10"/>
  <c r="W381" i="8"/>
  <c r="W66" i="9"/>
  <c r="U292" i="9"/>
  <c r="Y293" i="9" s="1"/>
  <c r="AC293" i="9" s="1"/>
  <c r="AD293" i="9" s="1"/>
  <c r="AF293" i="9" s="1"/>
  <c r="U27" i="10"/>
  <c r="Y28" i="10" s="1"/>
  <c r="AC28" i="10" s="1"/>
  <c r="AD28" i="10" s="1"/>
  <c r="AF28" i="10" s="1"/>
  <c r="W171" i="10"/>
  <c r="W42" i="8"/>
  <c r="U422" i="8"/>
  <c r="Y423" i="8" s="1"/>
  <c r="AD423" i="8" s="1"/>
  <c r="AF423" i="8" s="1"/>
  <c r="AK286" i="9"/>
  <c r="U321" i="8"/>
  <c r="Y322" i="8" s="1"/>
  <c r="AD322" i="8" s="1"/>
  <c r="AF322" i="8" s="1"/>
  <c r="U334" i="8"/>
  <c r="Y334" i="8" s="1"/>
  <c r="AD334" i="8" s="1"/>
  <c r="AF334" i="8" s="1"/>
  <c r="U192" i="9"/>
  <c r="Y193" i="9" s="1"/>
  <c r="AC193" i="9" s="1"/>
  <c r="AD193" i="9" s="1"/>
  <c r="AF193" i="9" s="1"/>
  <c r="U336" i="9"/>
  <c r="Y337" i="9" s="1"/>
  <c r="AC337" i="9" s="1"/>
  <c r="AD337" i="9" s="1"/>
  <c r="AF337" i="9" s="1"/>
  <c r="U139" i="10"/>
  <c r="Y139" i="10" s="1"/>
  <c r="AC139" i="10" s="1"/>
  <c r="AD139" i="10" s="1"/>
  <c r="AF139" i="10" s="1"/>
  <c r="W354" i="10"/>
  <c r="AK196" i="10"/>
  <c r="AI296" i="9"/>
  <c r="AM297" i="9" s="1"/>
  <c r="AQ297" i="9" s="1"/>
  <c r="AR297" i="9" s="1"/>
  <c r="AT297" i="9" s="1"/>
  <c r="W50" i="10"/>
  <c r="AF51" i="10"/>
  <c r="AT51" i="10"/>
  <c r="AK50" i="10"/>
  <c r="U147" i="9"/>
  <c r="Y148" i="9" s="1"/>
  <c r="AC148" i="9" s="1"/>
  <c r="AD148" i="9" s="1"/>
  <c r="AF148" i="9" s="1"/>
  <c r="AJ199" i="9"/>
  <c r="AH199" i="9"/>
  <c r="AI199" i="9" s="1"/>
  <c r="AM199" i="9" s="1"/>
  <c r="AQ199" i="9" s="1"/>
  <c r="AR199" i="9" s="1"/>
  <c r="D8" i="7"/>
  <c r="AJ153" i="9"/>
  <c r="AI153" i="9"/>
  <c r="AH153" i="9"/>
  <c r="AK153" i="9" s="1"/>
  <c r="AL153" i="9"/>
  <c r="U76" i="9"/>
  <c r="Y77" i="9" s="1"/>
  <c r="AC77" i="9" s="1"/>
  <c r="AD77" i="9" s="1"/>
  <c r="AF77" i="9" s="1"/>
  <c r="U266" i="9"/>
  <c r="Y267" i="9" s="1"/>
  <c r="AC267" i="9" s="1"/>
  <c r="AD267" i="9" s="1"/>
  <c r="AF267" i="9" s="1"/>
  <c r="U73" i="10"/>
  <c r="W309" i="8"/>
  <c r="W141" i="8"/>
  <c r="W137" i="9"/>
  <c r="AH312" i="9"/>
  <c r="AL312" i="9" s="1"/>
  <c r="AJ312" i="9"/>
  <c r="W181" i="8"/>
  <c r="W361" i="8"/>
  <c r="W184" i="10"/>
  <c r="W322" i="10"/>
  <c r="W282" i="8"/>
  <c r="AK151" i="8"/>
  <c r="AK421" i="9"/>
  <c r="AK231" i="8"/>
  <c r="AK121" i="8"/>
  <c r="AK46" i="8"/>
  <c r="AK266" i="10"/>
  <c r="AK276" i="8"/>
  <c r="AK351" i="8"/>
  <c r="AK356" i="8"/>
  <c r="AK41" i="8"/>
  <c r="AK316" i="8"/>
  <c r="AK376" i="9"/>
  <c r="AK81" i="8"/>
  <c r="AK156" i="8"/>
  <c r="AK256" i="8"/>
  <c r="AK221" i="8"/>
  <c r="AK421" i="8"/>
  <c r="W386" i="9"/>
  <c r="W214" i="10"/>
  <c r="AH202" i="8"/>
  <c r="AL202" i="8" s="1"/>
  <c r="AJ202" i="8"/>
  <c r="AF332" i="10"/>
  <c r="W331" i="10"/>
  <c r="AL409" i="8"/>
  <c r="AJ409" i="8"/>
  <c r="AH409" i="8"/>
  <c r="W416" i="9"/>
  <c r="AT117" i="9"/>
  <c r="AK116" i="9"/>
  <c r="U131" i="8"/>
  <c r="Y132" i="8" s="1"/>
  <c r="AD132" i="8" s="1"/>
  <c r="AF132" i="8" s="1"/>
  <c r="AJ34" i="10"/>
  <c r="AH34" i="10"/>
  <c r="AI34" i="10" s="1"/>
  <c r="AM34" i="10" s="1"/>
  <c r="AQ34" i="10" s="1"/>
  <c r="AR34" i="10" s="1"/>
  <c r="AF104" i="9"/>
  <c r="W104" i="9"/>
  <c r="AF63" i="8"/>
  <c r="W62" i="8"/>
  <c r="U214" i="10"/>
  <c r="Y214" i="10" s="1"/>
  <c r="AC214" i="10" s="1"/>
  <c r="AD214" i="10" s="1"/>
  <c r="AF214" i="10" s="1"/>
  <c r="U34" i="8"/>
  <c r="Y34" i="8" s="1"/>
  <c r="AD34" i="8" s="1"/>
  <c r="AF34" i="8" s="1"/>
  <c r="U216" i="8"/>
  <c r="Y217" i="8" s="1"/>
  <c r="AD217" i="8" s="1"/>
  <c r="AF217" i="8" s="1"/>
  <c r="W352" i="10"/>
  <c r="AF69" i="9"/>
  <c r="W69" i="9"/>
  <c r="AF194" i="8"/>
  <c r="W194" i="8"/>
  <c r="AH328" i="10"/>
  <c r="AK328" i="10" s="1"/>
  <c r="AJ328" i="10"/>
  <c r="C8" i="10"/>
  <c r="AT92" i="10"/>
  <c r="AK91" i="10"/>
  <c r="W392" i="9"/>
  <c r="W261" i="10"/>
  <c r="AF87" i="8"/>
  <c r="W86" i="8"/>
  <c r="AK251" i="8"/>
  <c r="AT252" i="8"/>
  <c r="AK381" i="8"/>
  <c r="U366" i="9"/>
  <c r="Y367" i="9" s="1"/>
  <c r="AC367" i="9" s="1"/>
  <c r="AD367" i="9" s="1"/>
  <c r="AF367" i="9" s="1"/>
  <c r="W61" i="9"/>
  <c r="W82" i="10"/>
  <c r="AI396" i="10"/>
  <c r="AM397" i="10" s="1"/>
  <c r="AQ397" i="10" s="1"/>
  <c r="AR397" i="10" s="1"/>
  <c r="AT397" i="10" s="1"/>
  <c r="U416" i="8"/>
  <c r="Y417" i="8" s="1"/>
  <c r="AD417" i="8" s="1"/>
  <c r="U103" i="9"/>
  <c r="U149" i="10"/>
  <c r="Y149" i="10" s="1"/>
  <c r="AC149" i="10" s="1"/>
  <c r="AD149" i="10" s="1"/>
  <c r="AF149" i="10" s="1"/>
  <c r="W292" i="8"/>
  <c r="W399" i="9"/>
  <c r="AH89" i="9"/>
  <c r="AL89" i="9" s="1"/>
  <c r="AJ89" i="9"/>
  <c r="AI89" i="9"/>
  <c r="AM89" i="9" s="1"/>
  <c r="AQ89" i="9" s="1"/>
  <c r="AR89" i="9" s="1"/>
  <c r="U333" i="10"/>
  <c r="U414" i="10"/>
  <c r="Y414" i="10" s="1"/>
  <c r="AC414" i="10" s="1"/>
  <c r="AD414" i="10" s="1"/>
  <c r="AF414" i="10" s="1"/>
  <c r="U226" i="9"/>
  <c r="Y227" i="9" s="1"/>
  <c r="AC227" i="9" s="1"/>
  <c r="AD227" i="9" s="1"/>
  <c r="AF227" i="9" s="1"/>
  <c r="W202" i="10"/>
  <c r="U226" i="8"/>
  <c r="Y227" i="8" s="1"/>
  <c r="AD227" i="8" s="1"/>
  <c r="W114" i="9"/>
  <c r="AF114" i="9"/>
  <c r="U372" i="9"/>
  <c r="Y373" i="9" s="1"/>
  <c r="AC373" i="9" s="1"/>
  <c r="AD373" i="9" s="1"/>
  <c r="AF373" i="9" s="1"/>
  <c r="U387" i="10"/>
  <c r="Y388" i="10" s="1"/>
  <c r="AC388" i="10" s="1"/>
  <c r="AD388" i="10" s="1"/>
  <c r="AF388" i="10" s="1"/>
  <c r="U51" i="8"/>
  <c r="Y52" i="8" s="1"/>
  <c r="AD52" i="8" s="1"/>
  <c r="AF52" i="8" s="1"/>
  <c r="AH138" i="8"/>
  <c r="AK138" i="8" s="1"/>
  <c r="AJ138" i="8"/>
  <c r="W236" i="10"/>
  <c r="AF237" i="10"/>
  <c r="AT71" i="10"/>
  <c r="AK70" i="10"/>
  <c r="AJ343" i="9"/>
  <c r="AH343" i="9"/>
  <c r="AK343" i="9" s="1"/>
  <c r="X243" i="8"/>
  <c r="U84" i="9"/>
  <c r="Y84" i="9" s="1"/>
  <c r="AC84" i="9" s="1"/>
  <c r="AD84" i="9" s="1"/>
  <c r="AF84" i="9" s="1"/>
  <c r="X366" i="9"/>
  <c r="AK216" i="9"/>
  <c r="X228" i="9"/>
  <c r="W396" i="9"/>
  <c r="W27" i="8"/>
  <c r="U132" i="9"/>
  <c r="Y133" i="9" s="1"/>
  <c r="AC133" i="9" s="1"/>
  <c r="AD133" i="9" s="1"/>
  <c r="AF133" i="9" s="1"/>
  <c r="U298" i="8"/>
  <c r="X411" i="9"/>
  <c r="AT192" i="9"/>
  <c r="AK191" i="9"/>
  <c r="AI406" i="9"/>
  <c r="AM407" i="9" s="1"/>
  <c r="AQ407" i="9" s="1"/>
  <c r="AR407" i="9" s="1"/>
  <c r="W72" i="8"/>
  <c r="W172" i="10"/>
  <c r="X60" i="9"/>
  <c r="U292" i="8"/>
  <c r="Y293" i="8" s="1"/>
  <c r="AD293" i="8" s="1"/>
  <c r="AF293" i="8" s="1"/>
  <c r="U239" i="9"/>
  <c r="Y239" i="9" s="1"/>
  <c r="AC239" i="9" s="1"/>
  <c r="AD239" i="9" s="1"/>
  <c r="AF239" i="9" s="1"/>
  <c r="W199" i="10"/>
  <c r="AJ387" i="8"/>
  <c r="AH387" i="8"/>
  <c r="AL387" i="8" s="1"/>
  <c r="U202" i="10"/>
  <c r="Y203" i="10" s="1"/>
  <c r="AC203" i="10" s="1"/>
  <c r="AD203" i="10" s="1"/>
  <c r="AF203" i="10" s="1"/>
  <c r="U199" i="8"/>
  <c r="Y199" i="8" s="1"/>
  <c r="AD199" i="8" s="1"/>
  <c r="W157" i="8"/>
  <c r="U327" i="8"/>
  <c r="Y328" i="8" s="1"/>
  <c r="AD328" i="8" s="1"/>
  <c r="AF328" i="8" s="1"/>
  <c r="U277" i="9"/>
  <c r="Y278" i="9" s="1"/>
  <c r="AC278" i="9" s="1"/>
  <c r="AD278" i="9" s="1"/>
  <c r="W141" i="10"/>
  <c r="W132" i="8"/>
  <c r="W339" i="10"/>
  <c r="W254" i="9"/>
  <c r="AF254" i="9"/>
  <c r="U82" i="10"/>
  <c r="Y83" i="10" s="1"/>
  <c r="AC83" i="10" s="1"/>
  <c r="AD83" i="10" s="1"/>
  <c r="AF83" i="10" s="1"/>
  <c r="W271" i="9"/>
  <c r="U396" i="9"/>
  <c r="Y397" i="9" s="1"/>
  <c r="AC397" i="9" s="1"/>
  <c r="AD397" i="9" s="1"/>
  <c r="AF397" i="9" s="1"/>
  <c r="AH58" i="10"/>
  <c r="AK58" i="10" s="1"/>
  <c r="AJ58" i="10"/>
  <c r="AK146" i="10"/>
  <c r="W96" i="8"/>
  <c r="X293" i="8"/>
  <c r="U27" i="8"/>
  <c r="Y28" i="8" s="1"/>
  <c r="AD28" i="8" s="1"/>
  <c r="AF28" i="8" s="1"/>
  <c r="AJ289" i="10"/>
  <c r="AH289" i="10"/>
  <c r="AL289" i="10" s="1"/>
  <c r="AI289" i="10"/>
  <c r="AM289" i="10" s="1"/>
  <c r="AQ289" i="10" s="1"/>
  <c r="AR289" i="10" s="1"/>
  <c r="AT82" i="10"/>
  <c r="AK81" i="10"/>
  <c r="AK220" i="10"/>
  <c r="AT221" i="10"/>
  <c r="W102" i="8"/>
  <c r="W44" i="9"/>
  <c r="W356" i="9"/>
  <c r="W277" i="8"/>
  <c r="W351" i="9"/>
  <c r="W46" i="10"/>
  <c r="AJ189" i="10"/>
  <c r="AH189" i="10"/>
  <c r="AI189" i="10" s="1"/>
  <c r="AM189" i="10" s="1"/>
  <c r="AQ189" i="10" s="1"/>
  <c r="AR189" i="10" s="1"/>
  <c r="X348" i="10"/>
  <c r="X187" i="8"/>
  <c r="W287" i="8"/>
  <c r="X336" i="8"/>
  <c r="AF48" i="9"/>
  <c r="W47" i="9"/>
  <c r="W29" i="10"/>
  <c r="AX237" i="9"/>
  <c r="AV237" i="9"/>
  <c r="AY237" i="9" s="1"/>
  <c r="U72" i="8"/>
  <c r="Y73" i="8" s="1"/>
  <c r="AD73" i="8" s="1"/>
  <c r="AF73" i="8" s="1"/>
  <c r="X251" i="8"/>
  <c r="X392" i="8"/>
  <c r="W204" i="9"/>
  <c r="U172" i="10"/>
  <c r="Y173" i="10" s="1"/>
  <c r="AC173" i="10" s="1"/>
  <c r="AD173" i="10" s="1"/>
  <c r="AF173" i="10" s="1"/>
  <c r="U193" i="8"/>
  <c r="U158" i="8"/>
  <c r="X103" i="9"/>
  <c r="X349" i="9"/>
  <c r="W359" i="10"/>
  <c r="AK111" i="10"/>
  <c r="AF36" i="10"/>
  <c r="W35" i="10"/>
  <c r="X202" i="8"/>
  <c r="AF312" i="8"/>
  <c r="W311" i="8"/>
  <c r="AJ132" i="9"/>
  <c r="AH132" i="9"/>
  <c r="U49" i="10"/>
  <c r="Y49" i="10" s="1"/>
  <c r="AC49" i="10" s="1"/>
  <c r="AD49" i="10" s="1"/>
  <c r="U199" i="10"/>
  <c r="Y199" i="10" s="1"/>
  <c r="AC199" i="10" s="1"/>
  <c r="AD199" i="10" s="1"/>
  <c r="AF199" i="10" s="1"/>
  <c r="AW186" i="10"/>
  <c r="AJ98" i="9"/>
  <c r="AH98" i="9"/>
  <c r="AK98" i="9" s="1"/>
  <c r="AJ233" i="9"/>
  <c r="AH233" i="9"/>
  <c r="AK233" i="9" s="1"/>
  <c r="AJ404" i="9"/>
  <c r="AH404" i="9"/>
  <c r="AI404" i="9" s="1"/>
  <c r="AM404" i="9" s="1"/>
  <c r="AQ404" i="9" s="1"/>
  <c r="AR404" i="9" s="1"/>
  <c r="X182" i="10"/>
  <c r="AF363" i="9"/>
  <c r="W362" i="9"/>
  <c r="AW220" i="9"/>
  <c r="X128" i="8"/>
  <c r="U392" i="10"/>
  <c r="Y393" i="10" s="1"/>
  <c r="AC393" i="10" s="1"/>
  <c r="AD393" i="10" s="1"/>
  <c r="AF73" i="9"/>
  <c r="W72" i="9"/>
  <c r="AF422" i="9"/>
  <c r="W421" i="9"/>
  <c r="AW341" i="9"/>
  <c r="AZ196" i="9"/>
  <c r="AT67" i="9"/>
  <c r="AK66" i="9"/>
  <c r="U312" i="8"/>
  <c r="Y313" i="8" s="1"/>
  <c r="AD313" i="8" s="1"/>
  <c r="AF313" i="8" s="1"/>
  <c r="X372" i="9"/>
  <c r="AF179" i="10"/>
  <c r="W179" i="10"/>
  <c r="U57" i="8"/>
  <c r="Y58" i="8" s="1"/>
  <c r="AD58" i="8" s="1"/>
  <c r="AF189" i="8"/>
  <c r="W189" i="8"/>
  <c r="U414" i="8"/>
  <c r="Y414" i="8" s="1"/>
  <c r="AD414" i="8" s="1"/>
  <c r="AF414" i="8" s="1"/>
  <c r="AF198" i="9"/>
  <c r="W197" i="9"/>
  <c r="U192" i="10"/>
  <c r="Y193" i="10" s="1"/>
  <c r="AC193" i="10" s="1"/>
  <c r="AD193" i="10" s="1"/>
  <c r="AF193" i="10" s="1"/>
  <c r="AZ96" i="10"/>
  <c r="U368" i="8"/>
  <c r="X251" i="9"/>
  <c r="X63" i="10"/>
  <c r="AZ121" i="10"/>
  <c r="X229" i="8"/>
  <c r="AF32" i="9"/>
  <c r="W31" i="9"/>
  <c r="X151" i="9"/>
  <c r="U54" i="8"/>
  <c r="Y54" i="8" s="1"/>
  <c r="AD54" i="8" s="1"/>
  <c r="AF54" i="8" s="1"/>
  <c r="U32" i="8"/>
  <c r="Y33" i="8" s="1"/>
  <c r="AD33" i="8" s="1"/>
  <c r="AF33" i="8" s="1"/>
  <c r="U326" i="9"/>
  <c r="Y327" i="9" s="1"/>
  <c r="AC327" i="9" s="1"/>
  <c r="AD327" i="9" s="1"/>
  <c r="AF327" i="9" s="1"/>
  <c r="W69" i="10"/>
  <c r="U357" i="10"/>
  <c r="Y358" i="10" s="1"/>
  <c r="AC358" i="10" s="1"/>
  <c r="AD358" i="10" s="1"/>
  <c r="AF358" i="10" s="1"/>
  <c r="AI211" i="9"/>
  <c r="AM212" i="9" s="1"/>
  <c r="AQ212" i="9" s="1"/>
  <c r="AR212" i="9" s="1"/>
  <c r="AT212" i="9" s="1"/>
  <c r="W221" i="8"/>
  <c r="U407" i="8"/>
  <c r="Y408" i="8" s="1"/>
  <c r="AD408" i="8" s="1"/>
  <c r="AJ223" i="9"/>
  <c r="AH223" i="9"/>
  <c r="AK223" i="9" s="1"/>
  <c r="X317" i="9"/>
  <c r="AH272" i="10"/>
  <c r="AL272" i="10" s="1"/>
  <c r="AJ272" i="10"/>
  <c r="U212" i="10"/>
  <c r="Y213" i="10" s="1"/>
  <c r="AC213" i="10" s="1"/>
  <c r="AD213" i="10" s="1"/>
  <c r="AJ268" i="9"/>
  <c r="AH268" i="9"/>
  <c r="AK268" i="9" s="1"/>
  <c r="U211" i="10"/>
  <c r="Y212" i="10" s="1"/>
  <c r="AC212" i="10" s="1"/>
  <c r="AD212" i="10" s="1"/>
  <c r="AF212" i="10" s="1"/>
  <c r="U318" i="8"/>
  <c r="W177" i="10"/>
  <c r="AX282" i="9"/>
  <c r="AV282" i="9"/>
  <c r="AY282" i="9" s="1"/>
  <c r="AH68" i="8"/>
  <c r="AK68" i="8" s="1"/>
  <c r="AJ68" i="8"/>
  <c r="AJ79" i="9"/>
  <c r="AH79" i="9"/>
  <c r="AL79" i="9" s="1"/>
  <c r="U107" i="10"/>
  <c r="Y108" i="10" s="1"/>
  <c r="AC108" i="10" s="1"/>
  <c r="AD108" i="10" s="1"/>
  <c r="AF108" i="10" s="1"/>
  <c r="X118" i="10"/>
  <c r="AF412" i="10"/>
  <c r="W411" i="10"/>
  <c r="U166" i="8"/>
  <c r="Y167" i="8" s="1"/>
  <c r="AD167" i="8" s="1"/>
  <c r="AF167" i="8" s="1"/>
  <c r="U234" i="9"/>
  <c r="Y234" i="9" s="1"/>
  <c r="AC234" i="9" s="1"/>
  <c r="AD234" i="9" s="1"/>
  <c r="AF234" i="9" s="1"/>
  <c r="AI186" i="10"/>
  <c r="AM187" i="10" s="1"/>
  <c r="AQ187" i="10" s="1"/>
  <c r="AR187" i="10" s="1"/>
  <c r="AT187" i="10" s="1"/>
  <c r="AT181" i="9"/>
  <c r="AK180" i="9"/>
  <c r="X44" i="8"/>
  <c r="U197" i="8"/>
  <c r="Y198" i="8" s="1"/>
  <c r="AD198" i="8" s="1"/>
  <c r="AF198" i="8" s="1"/>
  <c r="AJ59" i="9"/>
  <c r="AH59" i="9"/>
  <c r="AI59" i="9" s="1"/>
  <c r="AM59" i="9" s="1"/>
  <c r="AQ59" i="9" s="1"/>
  <c r="AR59" i="9" s="1"/>
  <c r="U391" i="9"/>
  <c r="Y392" i="9" s="1"/>
  <c r="AC392" i="9" s="1"/>
  <c r="AD392" i="9" s="1"/>
  <c r="AF392" i="9" s="1"/>
  <c r="U108" i="10"/>
  <c r="X278" i="10"/>
  <c r="AI216" i="10"/>
  <c r="AM217" i="10" s="1"/>
  <c r="AQ217" i="10" s="1"/>
  <c r="AR217" i="10" s="1"/>
  <c r="AT217" i="10" s="1"/>
  <c r="U216" i="9"/>
  <c r="Y217" i="9" s="1"/>
  <c r="AC217" i="9" s="1"/>
  <c r="AD217" i="9" s="1"/>
  <c r="AF217" i="9" s="1"/>
  <c r="U376" i="9"/>
  <c r="Y377" i="9" s="1"/>
  <c r="AC377" i="9" s="1"/>
  <c r="AD377" i="9" s="1"/>
  <c r="AL376" i="10"/>
  <c r="AT141" i="9"/>
  <c r="AK140" i="9"/>
  <c r="U172" i="8"/>
  <c r="Y173" i="8" s="1"/>
  <c r="AD173" i="8" s="1"/>
  <c r="AF173" i="8" s="1"/>
  <c r="X69" i="9"/>
  <c r="U287" i="10"/>
  <c r="Y288" i="10" s="1"/>
  <c r="AC288" i="10" s="1"/>
  <c r="AD288" i="10" s="1"/>
  <c r="AF288" i="10" s="1"/>
  <c r="W61" i="8"/>
  <c r="X194" i="8"/>
  <c r="AF197" i="10"/>
  <c r="W196" i="10"/>
  <c r="W349" i="10"/>
  <c r="AJ89" i="8"/>
  <c r="AH89" i="8"/>
  <c r="AI89" i="8" s="1"/>
  <c r="AM89" i="8" s="1"/>
  <c r="AR89" i="8" s="1"/>
  <c r="AF239" i="8"/>
  <c r="W239" i="8"/>
  <c r="W252" i="9"/>
  <c r="AK76" i="9"/>
  <c r="AL401" i="10"/>
  <c r="U276" i="9"/>
  <c r="Y277" i="9" s="1"/>
  <c r="AC277" i="9" s="1"/>
  <c r="AD277" i="9" s="1"/>
  <c r="AF277" i="9" s="1"/>
  <c r="AK336" i="9"/>
  <c r="AZ176" i="9"/>
  <c r="X116" i="8"/>
  <c r="U272" i="8"/>
  <c r="Y273" i="8" s="1"/>
  <c r="AD273" i="8" s="1"/>
  <c r="AF273" i="8" s="1"/>
  <c r="W211" i="9"/>
  <c r="U367" i="9"/>
  <c r="Y368" i="9" s="1"/>
  <c r="AC368" i="9" s="1"/>
  <c r="AD368" i="9" s="1"/>
  <c r="AF368" i="9" s="1"/>
  <c r="U319" i="10"/>
  <c r="Y319" i="10" s="1"/>
  <c r="AC319" i="10" s="1"/>
  <c r="AD319" i="10" s="1"/>
  <c r="AF319" i="10" s="1"/>
  <c r="AF418" i="10"/>
  <c r="W417" i="10"/>
  <c r="U317" i="8"/>
  <c r="Y318" i="8" s="1"/>
  <c r="AD318" i="8" s="1"/>
  <c r="AF318" i="8" s="1"/>
  <c r="U261" i="8"/>
  <c r="Y262" i="8" s="1"/>
  <c r="AD262" i="8" s="1"/>
  <c r="AF262" i="8" s="1"/>
  <c r="U212" i="9"/>
  <c r="Y213" i="9" s="1"/>
  <c r="AC213" i="9" s="1"/>
  <c r="AD213" i="9" s="1"/>
  <c r="AF213" i="9" s="1"/>
  <c r="U373" i="10"/>
  <c r="U142" i="8"/>
  <c r="Y143" i="8" s="1"/>
  <c r="AD143" i="8" s="1"/>
  <c r="AF143" i="8" s="1"/>
  <c r="AH62" i="10"/>
  <c r="AI62" i="10" s="1"/>
  <c r="AM63" i="10" s="1"/>
  <c r="AQ63" i="10" s="1"/>
  <c r="AR63" i="10" s="1"/>
  <c r="AJ62" i="10"/>
  <c r="W252" i="10"/>
  <c r="AK316" i="9"/>
  <c r="W26" i="8"/>
  <c r="W344" i="8"/>
  <c r="AJ417" i="10"/>
  <c r="AH417" i="10"/>
  <c r="AI417" i="10" s="1"/>
  <c r="AM418" i="10" s="1"/>
  <c r="AQ418" i="10" s="1"/>
  <c r="AR418" i="10" s="1"/>
  <c r="U408" i="9"/>
  <c r="AZ351" i="9"/>
  <c r="W37" i="8"/>
  <c r="U117" i="9"/>
  <c r="Y118" i="9" s="1"/>
  <c r="AC118" i="9" s="1"/>
  <c r="AD118" i="9" s="1"/>
  <c r="AF118" i="9" s="1"/>
  <c r="U284" i="9"/>
  <c r="Y284" i="9" s="1"/>
  <c r="AC284" i="9" s="1"/>
  <c r="AD284" i="9" s="1"/>
  <c r="AF284" i="9" s="1"/>
  <c r="U394" i="9"/>
  <c r="Y394" i="9" s="1"/>
  <c r="AC394" i="9" s="1"/>
  <c r="AD394" i="9" s="1"/>
  <c r="AF394" i="9" s="1"/>
  <c r="U59" i="8"/>
  <c r="Y59" i="8" s="1"/>
  <c r="AD59" i="8" s="1"/>
  <c r="AF59" i="8" s="1"/>
  <c r="AK336" i="8"/>
  <c r="U84" i="10"/>
  <c r="Y84" i="10" s="1"/>
  <c r="AC84" i="10" s="1"/>
  <c r="AD84" i="10" s="1"/>
  <c r="AF84" i="10" s="1"/>
  <c r="W412" i="10"/>
  <c r="AI300" i="9"/>
  <c r="AM301" i="9" s="1"/>
  <c r="AQ301" i="9" s="1"/>
  <c r="AR301" i="9" s="1"/>
  <c r="AT301" i="9" s="1"/>
  <c r="U294" i="8"/>
  <c r="Y294" i="8" s="1"/>
  <c r="AD294" i="8" s="1"/>
  <c r="AF294" i="8" s="1"/>
  <c r="U74" i="10"/>
  <c r="Y74" i="10" s="1"/>
  <c r="AC74" i="10" s="1"/>
  <c r="AD74" i="10" s="1"/>
  <c r="AF74" i="10" s="1"/>
  <c r="U332" i="10"/>
  <c r="Y333" i="10" s="1"/>
  <c r="AC333" i="10" s="1"/>
  <c r="AD333" i="10" s="1"/>
  <c r="AF333" i="10" s="1"/>
  <c r="W31" i="8"/>
  <c r="W421" i="8"/>
  <c r="W111" i="9"/>
  <c r="AJ143" i="10"/>
  <c r="AH143" i="10"/>
  <c r="AK143" i="10" s="1"/>
  <c r="U49" i="8"/>
  <c r="Y49" i="8" s="1"/>
  <c r="AD49" i="8" s="1"/>
  <c r="W237" i="8"/>
  <c r="W91" i="8"/>
  <c r="U377" i="9"/>
  <c r="Y378" i="9" s="1"/>
  <c r="AC378" i="9" s="1"/>
  <c r="AD378" i="9" s="1"/>
  <c r="AF378" i="9" s="1"/>
  <c r="AX312" i="9"/>
  <c r="AV312" i="9"/>
  <c r="AY312" i="9" s="1"/>
  <c r="AI86" i="10"/>
  <c r="AM87" i="10" s="1"/>
  <c r="AQ87" i="10" s="1"/>
  <c r="AR87" i="10" s="1"/>
  <c r="AT87" i="10" s="1"/>
  <c r="AL326" i="9"/>
  <c r="AF71" i="9"/>
  <c r="W70" i="9"/>
  <c r="X47" i="8"/>
  <c r="AJ49" i="9"/>
  <c r="AH49" i="9"/>
  <c r="AI49" i="9" s="1"/>
  <c r="AM49" i="9" s="1"/>
  <c r="AQ49" i="9" s="1"/>
  <c r="AR49" i="9" s="1"/>
  <c r="AF92" i="9"/>
  <c r="W91" i="9"/>
  <c r="U258" i="9"/>
  <c r="X76" i="10"/>
  <c r="U241" i="10"/>
  <c r="Y242" i="10" s="1"/>
  <c r="AC242" i="10" s="1"/>
  <c r="AD242" i="10" s="1"/>
  <c r="AF242" i="10" s="1"/>
  <c r="AW291" i="10"/>
  <c r="W214" i="8"/>
  <c r="U381" i="8"/>
  <c r="Y382" i="8" s="1"/>
  <c r="AD382" i="8" s="1"/>
  <c r="AF382" i="8" s="1"/>
  <c r="U66" i="9"/>
  <c r="Y67" i="9" s="1"/>
  <c r="AC67" i="9" s="1"/>
  <c r="AD67" i="9" s="1"/>
  <c r="AF67" i="9" s="1"/>
  <c r="C11" i="10"/>
  <c r="U171" i="10"/>
  <c r="Y172" i="10" s="1"/>
  <c r="AC172" i="10" s="1"/>
  <c r="AD172" i="10" s="1"/>
  <c r="AF172" i="10" s="1"/>
  <c r="U42" i="8"/>
  <c r="Y43" i="8" s="1"/>
  <c r="AD43" i="8" s="1"/>
  <c r="AF43" i="8" s="1"/>
  <c r="AJ329" i="8"/>
  <c r="AH329" i="8"/>
  <c r="X291" i="8"/>
  <c r="AI286" i="9"/>
  <c r="AM287" i="9" s="1"/>
  <c r="AQ287" i="9" s="1"/>
  <c r="AR287" i="9" s="1"/>
  <c r="AT287" i="9" s="1"/>
  <c r="U253" i="8"/>
  <c r="W122" i="9"/>
  <c r="W116" i="10"/>
  <c r="AT167" i="10"/>
  <c r="AK166" i="10"/>
  <c r="X84" i="8"/>
  <c r="U354" i="10"/>
  <c r="Y354" i="10" s="1"/>
  <c r="AC354" i="10" s="1"/>
  <c r="AD354" i="10" s="1"/>
  <c r="AF354" i="10" s="1"/>
  <c r="AI196" i="10"/>
  <c r="AM197" i="10" s="1"/>
  <c r="AQ197" i="10" s="1"/>
  <c r="AR197" i="10" s="1"/>
  <c r="AT197" i="10" s="1"/>
  <c r="AJ169" i="8"/>
  <c r="AH169" i="8"/>
  <c r="AI169" i="8" s="1"/>
  <c r="AM169" i="8" s="1"/>
  <c r="AR169" i="8" s="1"/>
  <c r="W134" i="8"/>
  <c r="AJ404" i="8"/>
  <c r="AI404" i="8"/>
  <c r="AM404" i="8" s="1"/>
  <c r="AR404" i="8" s="1"/>
  <c r="AH404" i="8"/>
  <c r="AL404" i="8" s="1"/>
  <c r="U278" i="9"/>
  <c r="W147" i="10"/>
  <c r="W379" i="10"/>
  <c r="AF379" i="10"/>
  <c r="AK241" i="9"/>
  <c r="AL35" i="10"/>
  <c r="C18" i="8"/>
  <c r="C23" i="11" s="1"/>
  <c r="X408" i="8"/>
  <c r="AF298" i="10"/>
  <c r="W297" i="10"/>
  <c r="AT332" i="9"/>
  <c r="AK331" i="9"/>
  <c r="AI136" i="10"/>
  <c r="AM137" i="10" s="1"/>
  <c r="AQ137" i="10" s="1"/>
  <c r="AR137" i="10" s="1"/>
  <c r="U220" i="9"/>
  <c r="Y221" i="9" s="1"/>
  <c r="AC221" i="9" s="1"/>
  <c r="AD221" i="9" s="1"/>
  <c r="X272" i="9"/>
  <c r="U178" i="10"/>
  <c r="X422" i="9"/>
  <c r="X296" i="10"/>
  <c r="AZ306" i="10"/>
  <c r="X328" i="8"/>
  <c r="AF269" i="9"/>
  <c r="W269" i="9"/>
  <c r="AV26" i="8"/>
  <c r="AW26" i="8" s="1"/>
  <c r="AX26" i="8"/>
  <c r="AF253" i="8"/>
  <c r="W252" i="8"/>
  <c r="AF357" i="8"/>
  <c r="W356" i="8"/>
  <c r="AW311" i="9"/>
  <c r="U98" i="8"/>
  <c r="U309" i="8"/>
  <c r="Y309" i="8" s="1"/>
  <c r="AD309" i="8" s="1"/>
  <c r="AF309" i="8" s="1"/>
  <c r="U53" i="9"/>
  <c r="AJ108" i="9"/>
  <c r="AH108" i="9"/>
  <c r="AK108" i="9" s="1"/>
  <c r="X172" i="9"/>
  <c r="AH97" i="10"/>
  <c r="AI97" i="10" s="1"/>
  <c r="AM98" i="10" s="1"/>
  <c r="AQ98" i="10" s="1"/>
  <c r="AR98" i="10" s="1"/>
  <c r="AJ97" i="10"/>
  <c r="U343" i="10"/>
  <c r="W104" i="8"/>
  <c r="AF104" i="8"/>
  <c r="U141" i="8"/>
  <c r="Y142" i="8" s="1"/>
  <c r="AD142" i="8" s="1"/>
  <c r="AF142" i="8" s="1"/>
  <c r="W342" i="8"/>
  <c r="AF343" i="8"/>
  <c r="W366" i="8"/>
  <c r="AF367" i="8"/>
  <c r="AJ158" i="10"/>
  <c r="AH158" i="10"/>
  <c r="AK158" i="10" s="1"/>
  <c r="AF347" i="10"/>
  <c r="W346" i="10"/>
  <c r="U198" i="8"/>
  <c r="AF143" i="9"/>
  <c r="W142" i="9"/>
  <c r="X158" i="10"/>
  <c r="AW416" i="9"/>
  <c r="AW41" i="10"/>
  <c r="U181" i="8"/>
  <c r="Y182" i="8" s="1"/>
  <c r="AD182" i="8" s="1"/>
  <c r="AF182" i="8" s="1"/>
  <c r="W324" i="10"/>
  <c r="AF324" i="10"/>
  <c r="AW151" i="10"/>
  <c r="U361" i="8"/>
  <c r="Y362" i="8" s="1"/>
  <c r="AD362" i="8" s="1"/>
  <c r="AF362" i="8" s="1"/>
  <c r="AF37" i="9"/>
  <c r="W36" i="9"/>
  <c r="AF167" i="9"/>
  <c r="W166" i="9"/>
  <c r="U378" i="9"/>
  <c r="X326" i="10"/>
  <c r="X348" i="8"/>
  <c r="U322" i="10"/>
  <c r="Y323" i="10" s="1"/>
  <c r="AC323" i="10" s="1"/>
  <c r="AD323" i="10" s="1"/>
  <c r="AF323" i="10" s="1"/>
  <c r="U282" i="8"/>
  <c r="Y283" i="8" s="1"/>
  <c r="AD283" i="8" s="1"/>
  <c r="AF283" i="8" s="1"/>
  <c r="AZ201" i="10"/>
  <c r="AL126" i="10"/>
  <c r="AT182" i="8"/>
  <c r="AK181" i="8"/>
  <c r="AZ161" i="8"/>
  <c r="AL251" i="8"/>
  <c r="AL361" i="8"/>
  <c r="AW81" i="9"/>
  <c r="AI151" i="8"/>
  <c r="AM152" i="8" s="1"/>
  <c r="AR152" i="8" s="1"/>
  <c r="AT152" i="8" s="1"/>
  <c r="AW391" i="10"/>
  <c r="AI421" i="9"/>
  <c r="AM422" i="9" s="1"/>
  <c r="AQ422" i="9" s="1"/>
  <c r="AR422" i="9" s="1"/>
  <c r="AT422" i="9" s="1"/>
  <c r="AI231" i="8"/>
  <c r="AM232" i="8" s="1"/>
  <c r="AR232" i="8" s="1"/>
  <c r="AT232" i="8" s="1"/>
  <c r="AW341" i="8"/>
  <c r="AW211" i="9"/>
  <c r="AW146" i="8"/>
  <c r="AZ211" i="8"/>
  <c r="AW421" i="8"/>
  <c r="AI121" i="8"/>
  <c r="AM122" i="8" s="1"/>
  <c r="AR122" i="8" s="1"/>
  <c r="AT122" i="8" s="1"/>
  <c r="AW221" i="8"/>
  <c r="AT37" i="8"/>
  <c r="AK36" i="8"/>
  <c r="AI46" i="8"/>
  <c r="AM47" i="8" s="1"/>
  <c r="AR47" i="8" s="1"/>
  <c r="AT47" i="8" s="1"/>
  <c r="AW301" i="8"/>
  <c r="AI266" i="10"/>
  <c r="AM267" i="10" s="1"/>
  <c r="AQ267" i="10" s="1"/>
  <c r="AR267" i="10" s="1"/>
  <c r="AT267" i="10" s="1"/>
  <c r="AT347" i="8"/>
  <c r="AK346" i="8"/>
  <c r="AW246" i="9"/>
  <c r="AI276" i="8"/>
  <c r="AM277" i="8" s="1"/>
  <c r="AR277" i="8" s="1"/>
  <c r="AT277" i="8" s="1"/>
  <c r="AI351" i="8"/>
  <c r="AM352" i="8" s="1"/>
  <c r="AR352" i="8" s="1"/>
  <c r="AT352" i="8" s="1"/>
  <c r="AW71" i="8"/>
  <c r="AW346" i="8"/>
  <c r="AT147" i="8"/>
  <c r="AK146" i="8"/>
  <c r="AI356" i="8"/>
  <c r="AM357" i="8" s="1"/>
  <c r="AR357" i="8" s="1"/>
  <c r="AT357" i="8" s="1"/>
  <c r="AW251" i="9"/>
  <c r="AZ411" i="10"/>
  <c r="AI41" i="8"/>
  <c r="AM42" i="8" s="1"/>
  <c r="AR42" i="8" s="1"/>
  <c r="AT42" i="8" s="1"/>
  <c r="AW386" i="10"/>
  <c r="AI316" i="8"/>
  <c r="AM317" i="8" s="1"/>
  <c r="AR317" i="8" s="1"/>
  <c r="AT317" i="8" s="1"/>
  <c r="AI376" i="9"/>
  <c r="AM377" i="9" s="1"/>
  <c r="AQ377" i="9" s="1"/>
  <c r="AR377" i="9" s="1"/>
  <c r="AT377" i="9" s="1"/>
  <c r="AT77" i="8"/>
  <c r="AK76" i="8"/>
  <c r="AI81" i="8"/>
  <c r="AM82" i="8" s="1"/>
  <c r="AR82" i="8" s="1"/>
  <c r="AT82" i="8" s="1"/>
  <c r="AT372" i="10"/>
  <c r="AK371" i="10"/>
  <c r="AW76" i="8"/>
  <c r="AZ101" i="8"/>
  <c r="AW136" i="9"/>
  <c r="AW136" i="10"/>
  <c r="AI156" i="8"/>
  <c r="AM157" i="8" s="1"/>
  <c r="AR157" i="8" s="1"/>
  <c r="AT157" i="8" s="1"/>
  <c r="AW261" i="8"/>
  <c r="AK406" i="10"/>
  <c r="AT407" i="10"/>
  <c r="AW226" i="8"/>
  <c r="AT117" i="8"/>
  <c r="AK116" i="8"/>
  <c r="AZ176" i="8"/>
  <c r="AI256" i="8"/>
  <c r="AM257" i="8" s="1"/>
  <c r="AR257" i="8" s="1"/>
  <c r="AT257" i="8" s="1"/>
  <c r="AW246" i="8"/>
  <c r="AW421" i="9"/>
  <c r="AZ116" i="8"/>
  <c r="AW251" i="8"/>
  <c r="AW171" i="8"/>
  <c r="AK321" i="8"/>
  <c r="AT322" i="8"/>
  <c r="AK366" i="8"/>
  <c r="AT367" i="8"/>
  <c r="AK246" i="8"/>
  <c r="AT247" i="8"/>
  <c r="AZ226" i="9"/>
  <c r="AT72" i="8"/>
  <c r="AK71" i="8"/>
  <c r="AW336" i="8"/>
  <c r="W229" i="10"/>
  <c r="W419" i="9"/>
  <c r="AF299" i="9"/>
  <c r="W299" i="9"/>
  <c r="W197" i="10"/>
  <c r="W180" i="9"/>
  <c r="W367" i="8"/>
  <c r="W401" i="10"/>
  <c r="U243" i="8"/>
  <c r="U308" i="10"/>
  <c r="AJ118" i="10"/>
  <c r="AH118" i="10"/>
  <c r="AK118" i="10" s="1"/>
  <c r="U419" i="9"/>
  <c r="Y419" i="9" s="1"/>
  <c r="AC419" i="9" s="1"/>
  <c r="AD419" i="9" s="1"/>
  <c r="AF419" i="9" s="1"/>
  <c r="AH57" i="10"/>
  <c r="AI57" i="10" s="1"/>
  <c r="AM58" i="10" s="1"/>
  <c r="AQ58" i="10" s="1"/>
  <c r="AR58" i="10" s="1"/>
  <c r="AJ57" i="10"/>
  <c r="W121" i="8"/>
  <c r="W149" i="10"/>
  <c r="W406" i="8"/>
  <c r="AF407" i="8"/>
  <c r="AF227" i="8"/>
  <c r="W226" i="8"/>
  <c r="X387" i="10"/>
  <c r="AK26" i="9"/>
  <c r="U324" i="8"/>
  <c r="Y324" i="8" s="1"/>
  <c r="AD324" i="8" s="1"/>
  <c r="AF324" i="8" s="1"/>
  <c r="U94" i="9"/>
  <c r="Y94" i="9" s="1"/>
  <c r="AC94" i="9" s="1"/>
  <c r="AD94" i="9" s="1"/>
  <c r="AF94" i="9" s="1"/>
  <c r="W44" i="10"/>
  <c r="W261" i="9"/>
  <c r="AF197" i="8"/>
  <c r="W196" i="8"/>
  <c r="W152" i="10"/>
  <c r="AF153" i="10"/>
  <c r="W382" i="10"/>
  <c r="AJ268" i="10"/>
  <c r="AH268" i="10"/>
  <c r="AK268" i="10" s="1"/>
  <c r="W301" i="9"/>
  <c r="AF128" i="10"/>
  <c r="W127" i="10"/>
  <c r="AZ242" i="10"/>
  <c r="AX242" i="10"/>
  <c r="AV242" i="10"/>
  <c r="AY242" i="10" s="1"/>
  <c r="W186" i="9"/>
  <c r="AF187" i="9"/>
  <c r="AK421" i="10"/>
  <c r="W192" i="8"/>
  <c r="AF154" i="8"/>
  <c r="W154" i="8"/>
  <c r="W132" i="9"/>
  <c r="AH109" i="10"/>
  <c r="AL109" i="10" s="1"/>
  <c r="AJ109" i="10"/>
  <c r="AK351" i="9"/>
  <c r="W161" i="8"/>
  <c r="AF64" i="10"/>
  <c r="W64" i="10"/>
  <c r="W304" i="10"/>
  <c r="W112" i="9"/>
  <c r="W180" i="10"/>
  <c r="AF181" i="10"/>
  <c r="AH278" i="10"/>
  <c r="AK278" i="10" s="1"/>
  <c r="AJ278" i="10"/>
  <c r="AF224" i="9"/>
  <c r="W224" i="9"/>
  <c r="U407" i="9"/>
  <c r="Y408" i="9" s="1"/>
  <c r="AC408" i="9" s="1"/>
  <c r="AD408" i="9" s="1"/>
  <c r="AF408" i="9" s="1"/>
  <c r="AH174" i="10"/>
  <c r="AI174" i="10" s="1"/>
  <c r="AM174" i="10" s="1"/>
  <c r="AQ174" i="10" s="1"/>
  <c r="AR174" i="10" s="1"/>
  <c r="AJ174" i="10"/>
  <c r="U78" i="10"/>
  <c r="AX287" i="10"/>
  <c r="AV287" i="10"/>
  <c r="AY287" i="10" s="1"/>
  <c r="AK60" i="9"/>
  <c r="AT61" i="9"/>
  <c r="W371" i="8"/>
  <c r="AF372" i="8"/>
  <c r="AJ357" i="10"/>
  <c r="AH357" i="10"/>
  <c r="AI357" i="10" s="1"/>
  <c r="AM358" i="10" s="1"/>
  <c r="AQ358" i="10" s="1"/>
  <c r="AR358" i="10" s="1"/>
  <c r="W77" i="8"/>
  <c r="AF78" i="8"/>
  <c r="W246" i="8"/>
  <c r="AF247" i="8"/>
  <c r="AI66" i="10"/>
  <c r="AM67" i="10" s="1"/>
  <c r="AQ67" i="10" s="1"/>
  <c r="AR67" i="10" s="1"/>
  <c r="AT67" i="10" s="1"/>
  <c r="W31" i="10"/>
  <c r="AF32" i="10"/>
  <c r="U251" i="9"/>
  <c r="Y252" i="9" s="1"/>
  <c r="AC252" i="9" s="1"/>
  <c r="AD252" i="9" s="1"/>
  <c r="AF252" i="9" s="1"/>
  <c r="AI26" i="9"/>
  <c r="AM27" i="9" s="1"/>
  <c r="AQ27" i="9" s="1"/>
  <c r="AR27" i="9" s="1"/>
  <c r="AT27" i="9" s="1"/>
  <c r="AW121" i="10"/>
  <c r="U229" i="8"/>
  <c r="Y229" i="8" s="1"/>
  <c r="AD229" i="8" s="1"/>
  <c r="AF229" i="8" s="1"/>
  <c r="U151" i="9"/>
  <c r="Y152" i="9" s="1"/>
  <c r="AC152" i="9" s="1"/>
  <c r="AD152" i="9" s="1"/>
  <c r="AF152" i="9" s="1"/>
  <c r="W302" i="10"/>
  <c r="AT32" i="9"/>
  <c r="AK31" i="9"/>
  <c r="AF379" i="8"/>
  <c r="W379" i="8"/>
  <c r="W241" i="9"/>
  <c r="AF242" i="9"/>
  <c r="X393" i="9"/>
  <c r="W161" i="10"/>
  <c r="U44" i="10"/>
  <c r="Y44" i="10" s="1"/>
  <c r="AC44" i="10" s="1"/>
  <c r="AD44" i="10" s="1"/>
  <c r="AF44" i="10" s="1"/>
  <c r="X178" i="8"/>
  <c r="AF53" i="9"/>
  <c r="W52" i="9"/>
  <c r="AJ378" i="10"/>
  <c r="AH378" i="10"/>
  <c r="AK378" i="10" s="1"/>
  <c r="AH219" i="9"/>
  <c r="AL219" i="9" s="1"/>
  <c r="AJ219" i="9"/>
  <c r="AI131" i="9"/>
  <c r="AM132" i="9" s="1"/>
  <c r="AQ132" i="9" s="1"/>
  <c r="AR132" i="9" s="1"/>
  <c r="AT132" i="9" s="1"/>
  <c r="U192" i="8"/>
  <c r="Y193" i="8" s="1"/>
  <c r="AD193" i="8" s="1"/>
  <c r="AF193" i="8" s="1"/>
  <c r="U92" i="8"/>
  <c r="Y93" i="8" s="1"/>
  <c r="AD93" i="8" s="1"/>
  <c r="AF93" i="8" s="1"/>
  <c r="U61" i="9"/>
  <c r="Y62" i="9" s="1"/>
  <c r="AC62" i="9" s="1"/>
  <c r="AD62" i="9" s="1"/>
  <c r="AF62" i="9" s="1"/>
  <c r="AH97" i="9"/>
  <c r="AJ97" i="9"/>
  <c r="X328" i="9"/>
  <c r="X82" i="10"/>
  <c r="AW241" i="10"/>
  <c r="W357" i="8"/>
  <c r="AF358" i="8"/>
  <c r="U177" i="9"/>
  <c r="Y178" i="9" s="1"/>
  <c r="AC178" i="9" s="1"/>
  <c r="AD178" i="9" s="1"/>
  <c r="AF178" i="9" s="1"/>
  <c r="AI251" i="10"/>
  <c r="AM252" i="10" s="1"/>
  <c r="AQ252" i="10" s="1"/>
  <c r="AR252" i="10" s="1"/>
  <c r="AT252" i="10" s="1"/>
  <c r="U89" i="10"/>
  <c r="Y89" i="10" s="1"/>
  <c r="AC89" i="10" s="1"/>
  <c r="AD89" i="10" s="1"/>
  <c r="AF89" i="10" s="1"/>
  <c r="U63" i="8"/>
  <c r="AI351" i="9"/>
  <c r="AM352" i="9" s="1"/>
  <c r="AQ352" i="9" s="1"/>
  <c r="AR352" i="9" s="1"/>
  <c r="AT352" i="9" s="1"/>
  <c r="AT342" i="9"/>
  <c r="AK341" i="9"/>
  <c r="W144" i="9"/>
  <c r="AF144" i="9"/>
  <c r="W82" i="9"/>
  <c r="AF83" i="9"/>
  <c r="U161" i="8"/>
  <c r="Y162" i="8" s="1"/>
  <c r="AD162" i="8" s="1"/>
  <c r="AF162" i="8" s="1"/>
  <c r="U304" i="10"/>
  <c r="Y304" i="10" s="1"/>
  <c r="AC304" i="10" s="1"/>
  <c r="AD304" i="10" s="1"/>
  <c r="AF304" i="10" s="1"/>
  <c r="U112" i="9"/>
  <c r="Y113" i="9" s="1"/>
  <c r="AC113" i="9" s="1"/>
  <c r="AD113" i="9" s="1"/>
  <c r="AF113" i="9" s="1"/>
  <c r="X378" i="8"/>
  <c r="U273" i="8"/>
  <c r="AF317" i="8"/>
  <c r="W316" i="8"/>
  <c r="U73" i="8"/>
  <c r="AF58" i="9"/>
  <c r="W57" i="9"/>
  <c r="AF242" i="8"/>
  <c r="W241" i="8"/>
  <c r="AH314" i="8"/>
  <c r="AL314" i="8" s="1"/>
  <c r="AJ314" i="8"/>
  <c r="U399" i="9"/>
  <c r="Y399" i="9" s="1"/>
  <c r="AC399" i="9" s="1"/>
  <c r="AD399" i="9" s="1"/>
  <c r="AF399" i="9" s="1"/>
  <c r="W131" i="10"/>
  <c r="AF132" i="10"/>
  <c r="AF314" i="10"/>
  <c r="W314" i="10"/>
  <c r="AJ109" i="8"/>
  <c r="AH109" i="8"/>
  <c r="AL109" i="8" s="1"/>
  <c r="AF333" i="8"/>
  <c r="W332" i="8"/>
  <c r="AF213" i="8"/>
  <c r="W212" i="8"/>
  <c r="AF214" i="9"/>
  <c r="W214" i="9"/>
  <c r="AJ287" i="9"/>
  <c r="AH287" i="9"/>
  <c r="AL287" i="9" s="1"/>
  <c r="X78" i="10"/>
  <c r="AF174" i="9"/>
  <c r="W174" i="9"/>
  <c r="X58" i="8"/>
  <c r="U208" i="8"/>
  <c r="X238" i="10"/>
  <c r="W87" i="9"/>
  <c r="AI216" i="9"/>
  <c r="AM217" i="9" s="1"/>
  <c r="AQ217" i="9" s="1"/>
  <c r="AR217" i="9" s="1"/>
  <c r="AT217" i="9" s="1"/>
  <c r="AW106" i="9"/>
  <c r="U157" i="8"/>
  <c r="Y158" i="8" s="1"/>
  <c r="AD158" i="8" s="1"/>
  <c r="AF158" i="8" s="1"/>
  <c r="AJ292" i="9"/>
  <c r="AH292" i="9"/>
  <c r="W64" i="8"/>
  <c r="AF64" i="8"/>
  <c r="U87" i="9"/>
  <c r="Y88" i="9" s="1"/>
  <c r="AC88" i="9" s="1"/>
  <c r="AD88" i="9" s="1"/>
  <c r="AF88" i="9" s="1"/>
  <c r="U141" i="10"/>
  <c r="Y142" i="10" s="1"/>
  <c r="AC142" i="10" s="1"/>
  <c r="AD142" i="10" s="1"/>
  <c r="AF142" i="10" s="1"/>
  <c r="AH267" i="10"/>
  <c r="AI267" i="10" s="1"/>
  <c r="AM268" i="10" s="1"/>
  <c r="AQ268" i="10" s="1"/>
  <c r="AR268" i="10" s="1"/>
  <c r="AJ267" i="10"/>
  <c r="AL131" i="9"/>
  <c r="U132" i="8"/>
  <c r="Y133" i="8" s="1"/>
  <c r="AD133" i="8" s="1"/>
  <c r="AF133" i="8" s="1"/>
  <c r="X192" i="8"/>
  <c r="X84" i="9"/>
  <c r="U368" i="9"/>
  <c r="U339" i="10"/>
  <c r="Y339" i="10" s="1"/>
  <c r="AC339" i="10" s="1"/>
  <c r="AD339" i="10" s="1"/>
  <c r="AF339" i="10" s="1"/>
  <c r="X92" i="8"/>
  <c r="X154" i="8"/>
  <c r="X61" i="9"/>
  <c r="W184" i="9"/>
  <c r="AF184" i="9"/>
  <c r="X254" i="9"/>
  <c r="U388" i="9"/>
  <c r="AH259" i="10"/>
  <c r="AL259" i="10" s="1"/>
  <c r="AJ259" i="10"/>
  <c r="AZ241" i="10"/>
  <c r="U271" i="9"/>
  <c r="Y272" i="9" s="1"/>
  <c r="AC272" i="9" s="1"/>
  <c r="AD272" i="9" s="1"/>
  <c r="AF272" i="9" s="1"/>
  <c r="AW381" i="10"/>
  <c r="AI146" i="10"/>
  <c r="AM147" i="10" s="1"/>
  <c r="AQ147" i="10" s="1"/>
  <c r="AR147" i="10" s="1"/>
  <c r="AT147" i="10" s="1"/>
  <c r="U96" i="8"/>
  <c r="Y97" i="8" s="1"/>
  <c r="AD97" i="8" s="1"/>
  <c r="AF97" i="8" s="1"/>
  <c r="X278" i="8"/>
  <c r="U139" i="9"/>
  <c r="Y139" i="9" s="1"/>
  <c r="AC139" i="9" s="1"/>
  <c r="AD139" i="9" s="1"/>
  <c r="AF139" i="9" s="1"/>
  <c r="X89" i="10"/>
  <c r="AF309" i="10"/>
  <c r="W309" i="10"/>
  <c r="AW76" i="10"/>
  <c r="X63" i="8"/>
  <c r="AF392" i="10"/>
  <c r="W391" i="10"/>
  <c r="AK386" i="9"/>
  <c r="AT387" i="9"/>
  <c r="AK41" i="9"/>
  <c r="AT42" i="9"/>
  <c r="X100" i="9"/>
  <c r="U102" i="8"/>
  <c r="Y103" i="8" s="1"/>
  <c r="AD103" i="8" s="1"/>
  <c r="AF103" i="8" s="1"/>
  <c r="AF157" i="8"/>
  <c r="W156" i="8"/>
  <c r="U44" i="9"/>
  <c r="Y44" i="9" s="1"/>
  <c r="AC44" i="9" s="1"/>
  <c r="AD44" i="9" s="1"/>
  <c r="AF44" i="9" s="1"/>
  <c r="U356" i="9"/>
  <c r="Y357" i="9" s="1"/>
  <c r="AC357" i="9" s="1"/>
  <c r="AD357" i="9" s="1"/>
  <c r="AF357" i="9" s="1"/>
  <c r="U277" i="8"/>
  <c r="Y278" i="8" s="1"/>
  <c r="AD278" i="8" s="1"/>
  <c r="AF278" i="8" s="1"/>
  <c r="U351" i="9"/>
  <c r="Y352" i="9" s="1"/>
  <c r="AC352" i="9" s="1"/>
  <c r="AD352" i="9" s="1"/>
  <c r="AF352" i="9" s="1"/>
  <c r="U46" i="10"/>
  <c r="Y47" i="10" s="1"/>
  <c r="AC47" i="10" s="1"/>
  <c r="AD47" i="10" s="1"/>
  <c r="AF47" i="10" s="1"/>
  <c r="U276" i="10"/>
  <c r="Y277" i="10" s="1"/>
  <c r="AC277" i="10" s="1"/>
  <c r="AD277" i="10" s="1"/>
  <c r="AF277" i="10" s="1"/>
  <c r="AF187" i="8"/>
  <c r="W186" i="8"/>
  <c r="U29" i="10"/>
  <c r="Y29" i="10" s="1"/>
  <c r="AC29" i="10" s="1"/>
  <c r="AD29" i="10" s="1"/>
  <c r="AF29" i="10" s="1"/>
  <c r="AF157" i="10"/>
  <c r="W156" i="10"/>
  <c r="X304" i="10"/>
  <c r="X298" i="8"/>
  <c r="AF259" i="9"/>
  <c r="W259" i="9"/>
  <c r="U378" i="10"/>
  <c r="W341" i="10"/>
  <c r="AF342" i="10"/>
  <c r="AJ129" i="8"/>
  <c r="AH129" i="8"/>
  <c r="AI129" i="8" s="1"/>
  <c r="AM129" i="8" s="1"/>
  <c r="AR129" i="8" s="1"/>
  <c r="AF274" i="8"/>
  <c r="W274" i="8"/>
  <c r="AJ254" i="8"/>
  <c r="AH254" i="8"/>
  <c r="AL254" i="8" s="1"/>
  <c r="X73" i="8"/>
  <c r="AJ264" i="8"/>
  <c r="AH264" i="8"/>
  <c r="U204" i="9"/>
  <c r="Y204" i="9" s="1"/>
  <c r="AC204" i="9" s="1"/>
  <c r="AD204" i="9" s="1"/>
  <c r="AF204" i="9" s="1"/>
  <c r="AF403" i="9"/>
  <c r="W402" i="9"/>
  <c r="AL329" i="10"/>
  <c r="AJ329" i="10"/>
  <c r="AH329" i="10"/>
  <c r="AI329" i="10" s="1"/>
  <c r="AM329" i="10" s="1"/>
  <c r="AQ329" i="10" s="1"/>
  <c r="AR329" i="10" s="1"/>
  <c r="AZ196" i="10"/>
  <c r="AF339" i="8"/>
  <c r="W339" i="8"/>
  <c r="AF379" i="9"/>
  <c r="W379" i="9"/>
  <c r="U359" i="10"/>
  <c r="Y359" i="10" s="1"/>
  <c r="AC359" i="10" s="1"/>
  <c r="AD359" i="10" s="1"/>
  <c r="AF359" i="10" s="1"/>
  <c r="AW31" i="10"/>
  <c r="AI111" i="10"/>
  <c r="AM112" i="10" s="1"/>
  <c r="AQ112" i="10" s="1"/>
  <c r="AR112" i="10" s="1"/>
  <c r="AT112" i="10" s="1"/>
  <c r="U258" i="8"/>
  <c r="W134" i="9"/>
  <c r="AF134" i="9"/>
  <c r="W281" i="9"/>
  <c r="AF282" i="9"/>
  <c r="X48" i="10"/>
  <c r="AF419" i="10"/>
  <c r="W419" i="10"/>
  <c r="AF324" i="9"/>
  <c r="W324" i="9"/>
  <c r="W176" i="8"/>
  <c r="X28" i="9"/>
  <c r="X83" i="8"/>
  <c r="AF414" i="9"/>
  <c r="W414" i="9"/>
  <c r="AT192" i="10"/>
  <c r="AK191" i="10"/>
  <c r="X208" i="8"/>
  <c r="X371" i="8"/>
  <c r="AJ424" i="9"/>
  <c r="AH424" i="9"/>
  <c r="AL424" i="9" s="1"/>
  <c r="X202" i="10"/>
  <c r="AH252" i="10"/>
  <c r="AL252" i="10" s="1"/>
  <c r="AJ252" i="10"/>
  <c r="X77" i="8"/>
  <c r="W411" i="8"/>
  <c r="AF412" i="8"/>
  <c r="U208" i="9"/>
  <c r="X31" i="10"/>
  <c r="U48" i="8"/>
  <c r="X183" i="10"/>
  <c r="AK381" i="9"/>
  <c r="AT382" i="9"/>
  <c r="AZ191" i="9"/>
  <c r="U367" i="8"/>
  <c r="Y368" i="8" s="1"/>
  <c r="AD368" i="8" s="1"/>
  <c r="AF368" i="8" s="1"/>
  <c r="W116" i="9"/>
  <c r="AF117" i="9"/>
  <c r="U193" i="9"/>
  <c r="AF338" i="10"/>
  <c r="W337" i="10"/>
  <c r="U35" i="9"/>
  <c r="Y36" i="9" s="1"/>
  <c r="AC36" i="9" s="1"/>
  <c r="AD36" i="9" s="1"/>
  <c r="AF36" i="9" s="1"/>
  <c r="AF77" i="8"/>
  <c r="W76" i="8"/>
  <c r="AZ191" i="8"/>
  <c r="X288" i="8"/>
  <c r="X379" i="8"/>
  <c r="X241" i="9"/>
  <c r="U69" i="10"/>
  <c r="Y69" i="10" s="1"/>
  <c r="AC69" i="10" s="1"/>
  <c r="AD69" i="10" s="1"/>
  <c r="AF69" i="10" s="1"/>
  <c r="AF169" i="10"/>
  <c r="W169" i="10"/>
  <c r="AZ81" i="10"/>
  <c r="AW281" i="9"/>
  <c r="AF301" i="10"/>
  <c r="W300" i="10"/>
  <c r="U221" i="8"/>
  <c r="Y222" i="8" s="1"/>
  <c r="AD222" i="8" s="1"/>
  <c r="AF222" i="8" s="1"/>
  <c r="U416" i="9"/>
  <c r="Y417" i="9" s="1"/>
  <c r="AC417" i="9" s="1"/>
  <c r="AD417" i="9" s="1"/>
  <c r="AF417" i="9" s="1"/>
  <c r="W166" i="10"/>
  <c r="AF167" i="10"/>
  <c r="U173" i="8"/>
  <c r="U177" i="10"/>
  <c r="Y178" i="10" s="1"/>
  <c r="AC178" i="10" s="1"/>
  <c r="AD178" i="10" s="1"/>
  <c r="AF178" i="10" s="1"/>
  <c r="X213" i="8"/>
  <c r="X321" i="10"/>
  <c r="X411" i="10"/>
  <c r="U38" i="8"/>
  <c r="AF99" i="9"/>
  <c r="W99" i="9"/>
  <c r="X371" i="9"/>
  <c r="U401" i="10"/>
  <c r="Y402" i="10" s="1"/>
  <c r="AC402" i="10" s="1"/>
  <c r="AD402" i="10" s="1"/>
  <c r="AF402" i="10" s="1"/>
  <c r="X260" i="9"/>
  <c r="U50" i="9"/>
  <c r="Y51" i="9" s="1"/>
  <c r="AC51" i="9" s="1"/>
  <c r="AD51" i="9" s="1"/>
  <c r="AF51" i="9" s="1"/>
  <c r="W87" i="8"/>
  <c r="AF88" i="8"/>
  <c r="AF72" i="9"/>
  <c r="W71" i="9"/>
  <c r="AJ202" i="9"/>
  <c r="AH202" i="9"/>
  <c r="X293" i="9"/>
  <c r="U278" i="10"/>
  <c r="AH378" i="8"/>
  <c r="AK378" i="8" s="1"/>
  <c r="AJ378" i="8"/>
  <c r="X81" i="9"/>
  <c r="W216" i="10"/>
  <c r="AF217" i="10"/>
  <c r="AF422" i="10"/>
  <c r="W421" i="10"/>
  <c r="AF37" i="8"/>
  <c r="W36" i="8"/>
  <c r="X358" i="8"/>
  <c r="X262" i="9"/>
  <c r="U61" i="8"/>
  <c r="Y62" i="8" s="1"/>
  <c r="AD62" i="8" s="1"/>
  <c r="AF62" i="8" s="1"/>
  <c r="X127" i="9"/>
  <c r="AF279" i="9"/>
  <c r="W279" i="9"/>
  <c r="AF133" i="10"/>
  <c r="W132" i="10"/>
  <c r="U349" i="10"/>
  <c r="Y349" i="10" s="1"/>
  <c r="AC349" i="10" s="1"/>
  <c r="AD349" i="10" s="1"/>
  <c r="AF349" i="10" s="1"/>
  <c r="AT257" i="10"/>
  <c r="AK256" i="10"/>
  <c r="AT137" i="8"/>
  <c r="AK136" i="8"/>
  <c r="AF259" i="8"/>
  <c r="W259" i="8"/>
  <c r="U252" i="9"/>
  <c r="Y253" i="9" s="1"/>
  <c r="AC253" i="9" s="1"/>
  <c r="AD253" i="9" s="1"/>
  <c r="AF253" i="9" s="1"/>
  <c r="AI76" i="9"/>
  <c r="AM77" i="9" s="1"/>
  <c r="AQ77" i="9" s="1"/>
  <c r="AR77" i="9" s="1"/>
  <c r="AT77" i="9" s="1"/>
  <c r="X101" i="8"/>
  <c r="X27" i="9"/>
  <c r="X42" i="9"/>
  <c r="W87" i="10"/>
  <c r="AF88" i="10"/>
  <c r="AF207" i="10"/>
  <c r="W206" i="10"/>
  <c r="U211" i="9"/>
  <c r="Y212" i="9" s="1"/>
  <c r="AC212" i="9" s="1"/>
  <c r="AD212" i="9" s="1"/>
  <c r="AF212" i="9" s="1"/>
  <c r="X227" i="10"/>
  <c r="W374" i="8"/>
  <c r="X164" i="9"/>
  <c r="AJ297" i="9"/>
  <c r="AH297" i="9"/>
  <c r="AI297" i="9" s="1"/>
  <c r="AM298" i="9" s="1"/>
  <c r="AQ298" i="9" s="1"/>
  <c r="AR298" i="9" s="1"/>
  <c r="W66" i="10"/>
  <c r="AF67" i="10"/>
  <c r="W299" i="10"/>
  <c r="X347" i="10"/>
  <c r="AW66" i="9"/>
  <c r="X219" i="8"/>
  <c r="X246" i="10"/>
  <c r="AZ271" i="9"/>
  <c r="X69" i="8"/>
  <c r="X256" i="8"/>
  <c r="X347" i="8"/>
  <c r="X387" i="9"/>
  <c r="AJ254" i="10"/>
  <c r="AH254" i="10"/>
  <c r="AL254" i="10" s="1"/>
  <c r="U252" i="10"/>
  <c r="Y253" i="10" s="1"/>
  <c r="AC253" i="10" s="1"/>
  <c r="AD253" i="10" s="1"/>
  <c r="AF253" i="10" s="1"/>
  <c r="AF372" i="10"/>
  <c r="W371" i="10"/>
  <c r="AI316" i="9"/>
  <c r="AM317" i="9" s="1"/>
  <c r="AQ317" i="9" s="1"/>
  <c r="AR317" i="9" s="1"/>
  <c r="AT317" i="9" s="1"/>
  <c r="U26" i="8"/>
  <c r="Y27" i="8" s="1"/>
  <c r="AD27" i="8" s="1"/>
  <c r="AF27" i="8" s="1"/>
  <c r="U344" i="8"/>
  <c r="Y344" i="8" s="1"/>
  <c r="AD344" i="8" s="1"/>
  <c r="AF344" i="8" s="1"/>
  <c r="AF354" i="9"/>
  <c r="W354" i="9"/>
  <c r="AK140" i="10"/>
  <c r="AT141" i="10"/>
  <c r="X168" i="8"/>
  <c r="X113" i="9"/>
  <c r="AF204" i="10"/>
  <c r="W204" i="10"/>
  <c r="AK271" i="9"/>
  <c r="AW381" i="9"/>
  <c r="U37" i="8"/>
  <c r="Y38" i="8" s="1"/>
  <c r="AD38" i="8" s="1"/>
  <c r="AF38" i="8" s="1"/>
  <c r="X43" i="9"/>
  <c r="X312" i="10"/>
  <c r="AZ236" i="10"/>
  <c r="W249" i="8"/>
  <c r="AI336" i="8"/>
  <c r="AM337" i="8" s="1"/>
  <c r="AR337" i="8" s="1"/>
  <c r="AT337" i="8" s="1"/>
  <c r="X84" i="10"/>
  <c r="AF293" i="10"/>
  <c r="W292" i="10"/>
  <c r="U412" i="10"/>
  <c r="Y413" i="10" s="1"/>
  <c r="AC413" i="10" s="1"/>
  <c r="AD413" i="10" s="1"/>
  <c r="AF413" i="10" s="1"/>
  <c r="AW336" i="10"/>
  <c r="X373" i="8"/>
  <c r="X273" i="9"/>
  <c r="X332" i="10"/>
  <c r="AI300" i="10"/>
  <c r="AM301" i="10" s="1"/>
  <c r="AQ301" i="10" s="1"/>
  <c r="AR301" i="10" s="1"/>
  <c r="AT301" i="10" s="1"/>
  <c r="W99" i="8"/>
  <c r="U31" i="8"/>
  <c r="Y32" i="8" s="1"/>
  <c r="AD32" i="8" s="1"/>
  <c r="AF32" i="8" s="1"/>
  <c r="W206" i="8"/>
  <c r="U421" i="8"/>
  <c r="Y422" i="8" s="1"/>
  <c r="AD422" i="8" s="1"/>
  <c r="AF422" i="8" s="1"/>
  <c r="U111" i="9"/>
  <c r="Y112" i="9" s="1"/>
  <c r="AC112" i="9" s="1"/>
  <c r="AD112" i="9" s="1"/>
  <c r="AF112" i="9" s="1"/>
  <c r="AI60" i="10"/>
  <c r="AM61" i="10" s="1"/>
  <c r="AQ61" i="10" s="1"/>
  <c r="AR61" i="10" s="1"/>
  <c r="AT61" i="10" s="1"/>
  <c r="U237" i="8"/>
  <c r="Y238" i="8" s="1"/>
  <c r="AD238" i="8" s="1"/>
  <c r="AF238" i="8" s="1"/>
  <c r="U413" i="8"/>
  <c r="AF309" i="9"/>
  <c r="W309" i="9"/>
  <c r="AF147" i="10"/>
  <c r="W146" i="10"/>
  <c r="X407" i="10"/>
  <c r="U91" i="8"/>
  <c r="Y92" i="8" s="1"/>
  <c r="AD92" i="8" s="1"/>
  <c r="AF92" i="8" s="1"/>
  <c r="AW296" i="9"/>
  <c r="W159" i="10"/>
  <c r="W156" i="9"/>
  <c r="W104" i="10"/>
  <c r="U214" i="8"/>
  <c r="Y214" i="8" s="1"/>
  <c r="AD214" i="8" s="1"/>
  <c r="AF214" i="8" s="1"/>
  <c r="W112" i="10"/>
  <c r="W397" i="10"/>
  <c r="U308" i="9"/>
  <c r="W274" i="10"/>
  <c r="U122" i="9"/>
  <c r="Y123" i="9" s="1"/>
  <c r="AC123" i="9" s="1"/>
  <c r="AD123" i="9" s="1"/>
  <c r="AF123" i="9" s="1"/>
  <c r="U116" i="10"/>
  <c r="Y117" i="10" s="1"/>
  <c r="AC117" i="10" s="1"/>
  <c r="AD117" i="10" s="1"/>
  <c r="AF117" i="10" s="1"/>
  <c r="W301" i="8"/>
  <c r="W119" i="9"/>
  <c r="W236" i="9"/>
  <c r="X336" i="9"/>
  <c r="X139" i="10"/>
  <c r="AJ38" i="9"/>
  <c r="AH38" i="9"/>
  <c r="AK38" i="9" s="1"/>
  <c r="U134" i="8"/>
  <c r="Y134" i="8" s="1"/>
  <c r="AD134" i="8" s="1"/>
  <c r="AF134" i="8" s="1"/>
  <c r="AJ163" i="9"/>
  <c r="AI163" i="9"/>
  <c r="AH163" i="9"/>
  <c r="AK163" i="9" s="1"/>
  <c r="U147" i="10"/>
  <c r="Y148" i="10" s="1"/>
  <c r="AC148" i="10" s="1"/>
  <c r="AD148" i="10" s="1"/>
  <c r="AF148" i="10" s="1"/>
  <c r="X379" i="10"/>
  <c r="AI241" i="9"/>
  <c r="AM242" i="9" s="1"/>
  <c r="AQ242" i="9" s="1"/>
  <c r="AR242" i="9" s="1"/>
  <c r="AT242" i="9" s="1"/>
  <c r="W341" i="8"/>
  <c r="AJ168" i="9"/>
  <c r="AH168" i="9"/>
  <c r="AK168" i="9" s="1"/>
  <c r="AJ338" i="9"/>
  <c r="AH338" i="9"/>
  <c r="AK338" i="9" s="1"/>
  <c r="AL338" i="9"/>
  <c r="W366" i="10"/>
  <c r="W39" i="10"/>
  <c r="W62" i="10"/>
  <c r="W247" i="10"/>
  <c r="X76" i="9"/>
  <c r="W361" i="9"/>
  <c r="X73" i="10"/>
  <c r="AJ232" i="9"/>
  <c r="AH232" i="9"/>
  <c r="AI232" i="9" s="1"/>
  <c r="AM233" i="9" s="1"/>
  <c r="AQ233" i="9" s="1"/>
  <c r="AR233" i="9" s="1"/>
  <c r="AJ209" i="9"/>
  <c r="AH209" i="9"/>
  <c r="AL209" i="9" s="1"/>
  <c r="AJ358" i="9"/>
  <c r="AH358" i="9"/>
  <c r="AK358" i="9" s="1"/>
  <c r="AK136" i="9"/>
  <c r="AT137" i="9"/>
  <c r="W127" i="8"/>
  <c r="W164" i="8"/>
  <c r="W307" i="10"/>
  <c r="W396" i="8"/>
  <c r="AK296" i="10"/>
  <c r="AK366" i="10"/>
  <c r="AT262" i="8"/>
  <c r="AK261" i="8"/>
  <c r="AK226" i="10"/>
  <c r="AK416" i="10"/>
  <c r="AJ399" i="8"/>
  <c r="AH399" i="8"/>
  <c r="AI399" i="8" s="1"/>
  <c r="AM399" i="8" s="1"/>
  <c r="AR399" i="8" s="1"/>
  <c r="AJ294" i="10"/>
  <c r="AI294" i="10"/>
  <c r="AM294" i="10" s="1"/>
  <c r="AQ294" i="10" s="1"/>
  <c r="AR294" i="10" s="1"/>
  <c r="AH294" i="10"/>
  <c r="AL294" i="10" s="1"/>
  <c r="AT207" i="9"/>
  <c r="AK206" i="9"/>
  <c r="W196" i="9"/>
  <c r="AF197" i="9"/>
  <c r="U103" i="10"/>
  <c r="U229" i="10"/>
  <c r="Y229" i="10" s="1"/>
  <c r="AC229" i="10" s="1"/>
  <c r="AD229" i="10" s="1"/>
  <c r="AF229" i="10" s="1"/>
  <c r="W416" i="8"/>
  <c r="AF417" i="8"/>
  <c r="W409" i="10"/>
  <c r="AK260" i="9"/>
  <c r="U386" i="9"/>
  <c r="Y387" i="9" s="1"/>
  <c r="AC387" i="9" s="1"/>
  <c r="AD387" i="9" s="1"/>
  <c r="AF387" i="9" s="1"/>
  <c r="U237" i="9"/>
  <c r="Y238" i="9" s="1"/>
  <c r="AC238" i="9" s="1"/>
  <c r="AD238" i="9" s="1"/>
  <c r="AF238" i="9" s="1"/>
  <c r="W336" i="8"/>
  <c r="AF337" i="8"/>
  <c r="U378" i="8"/>
  <c r="W319" i="8"/>
  <c r="U197" i="10"/>
  <c r="Y198" i="10" s="1"/>
  <c r="AC198" i="10" s="1"/>
  <c r="AD198" i="10" s="1"/>
  <c r="AF198" i="10" s="1"/>
  <c r="U321" i="9"/>
  <c r="Y322" i="9" s="1"/>
  <c r="AC322" i="9" s="1"/>
  <c r="AD322" i="9" s="1"/>
  <c r="AF322" i="9" s="1"/>
  <c r="W182" i="10"/>
  <c r="AF183" i="10"/>
  <c r="AK46" i="10"/>
  <c r="AT47" i="10"/>
  <c r="AH258" i="8"/>
  <c r="AK258" i="8" s="1"/>
  <c r="AJ258" i="8"/>
  <c r="AF318" i="9"/>
  <c r="W317" i="9"/>
  <c r="AF312" i="10"/>
  <c r="W311" i="10"/>
  <c r="AJ39" i="9"/>
  <c r="AH39" i="9"/>
  <c r="AI39" i="9" s="1"/>
  <c r="AM39" i="9" s="1"/>
  <c r="AQ39" i="9" s="1"/>
  <c r="AR39" i="9" s="1"/>
  <c r="AX247" i="9"/>
  <c r="AV247" i="9"/>
  <c r="AY247" i="9" s="1"/>
  <c r="AJ127" i="10"/>
  <c r="AH127" i="10"/>
  <c r="AI127" i="10" s="1"/>
  <c r="AM128" i="10" s="1"/>
  <c r="AQ128" i="10" s="1"/>
  <c r="AR128" i="10" s="1"/>
  <c r="AF264" i="10"/>
  <c r="W264" i="10"/>
  <c r="AF364" i="8"/>
  <c r="W364" i="8"/>
  <c r="W359" i="8"/>
  <c r="AF233" i="10"/>
  <c r="W232" i="10"/>
  <c r="AK141" i="8"/>
  <c r="W46" i="9"/>
  <c r="AF47" i="9"/>
  <c r="W382" i="8"/>
  <c r="AF383" i="8"/>
  <c r="X103" i="10"/>
  <c r="AK46" i="9"/>
  <c r="AT47" i="9"/>
  <c r="AF79" i="8"/>
  <c r="W79" i="8"/>
  <c r="AF184" i="8"/>
  <c r="W184" i="8"/>
  <c r="W376" i="8"/>
  <c r="AF377" i="8"/>
  <c r="AJ137" i="10"/>
  <c r="AH137" i="10"/>
  <c r="AL137" i="10" s="1"/>
  <c r="W177" i="9"/>
  <c r="AF124" i="10"/>
  <c r="W124" i="10"/>
  <c r="AJ369" i="10"/>
  <c r="AH369" i="10"/>
  <c r="AL369" i="10" s="1"/>
  <c r="AK251" i="10"/>
  <c r="U154" i="10"/>
  <c r="Y154" i="10" s="1"/>
  <c r="AC154" i="10" s="1"/>
  <c r="AD154" i="10" s="1"/>
  <c r="AF154" i="10" s="1"/>
  <c r="U409" i="10"/>
  <c r="Y409" i="10" s="1"/>
  <c r="AC409" i="10" s="1"/>
  <c r="AD409" i="10" s="1"/>
  <c r="AF409" i="10" s="1"/>
  <c r="U41" i="8"/>
  <c r="Y42" i="8" s="1"/>
  <c r="AD42" i="8" s="1"/>
  <c r="AF42" i="8" s="1"/>
  <c r="AZ60" i="9"/>
  <c r="W66" i="8"/>
  <c r="AF67" i="8"/>
  <c r="X218" i="9"/>
  <c r="AJ187" i="10"/>
  <c r="AH187" i="10"/>
  <c r="AL187" i="10" s="1"/>
  <c r="W111" i="8"/>
  <c r="AF112" i="8"/>
  <c r="X276" i="10"/>
  <c r="X268" i="8"/>
  <c r="W262" i="8"/>
  <c r="AF263" i="8"/>
  <c r="AL109" i="9"/>
  <c r="AJ109" i="9"/>
  <c r="AH109" i="9"/>
  <c r="W136" i="9"/>
  <c r="AF137" i="9"/>
  <c r="AT407" i="9"/>
  <c r="AK406" i="9"/>
  <c r="W222" i="8"/>
  <c r="AF223" i="8"/>
  <c r="AJ107" i="10"/>
  <c r="AH107" i="10"/>
  <c r="W51" i="9"/>
  <c r="AF52" i="9"/>
  <c r="AL220" i="9"/>
  <c r="U121" i="8"/>
  <c r="Y122" i="8" s="1"/>
  <c r="AD122" i="8" s="1"/>
  <c r="AF122" i="8" s="1"/>
  <c r="W171" i="8"/>
  <c r="AF172" i="8"/>
  <c r="U319" i="8"/>
  <c r="Y319" i="8" s="1"/>
  <c r="AD319" i="8" s="1"/>
  <c r="AF319" i="8" s="1"/>
  <c r="AF243" i="9"/>
  <c r="W242" i="9"/>
  <c r="AF61" i="9"/>
  <c r="W60" i="9"/>
  <c r="X131" i="10"/>
  <c r="AF243" i="10"/>
  <c r="W242" i="10"/>
  <c r="AJ154" i="9"/>
  <c r="AH154" i="9"/>
  <c r="X199" i="10"/>
  <c r="U180" i="9"/>
  <c r="Y181" i="9" s="1"/>
  <c r="AC181" i="9" s="1"/>
  <c r="AD181" i="9" s="1"/>
  <c r="AF181" i="9" s="1"/>
  <c r="W296" i="8"/>
  <c r="AF297" i="8"/>
  <c r="X214" i="9"/>
  <c r="AJ389" i="9"/>
  <c r="AH389" i="9"/>
  <c r="AI389" i="9" s="1"/>
  <c r="AM389" i="9" s="1"/>
  <c r="AQ389" i="9" s="1"/>
  <c r="AR389" i="9" s="1"/>
  <c r="W174" i="8"/>
  <c r="AF174" i="8"/>
  <c r="U284" i="10"/>
  <c r="Y284" i="10" s="1"/>
  <c r="AC284" i="10" s="1"/>
  <c r="AD284" i="10" s="1"/>
  <c r="AF284" i="10" s="1"/>
  <c r="AF393" i="10"/>
  <c r="W392" i="10"/>
  <c r="X308" i="8"/>
  <c r="X223" i="9"/>
  <c r="AK121" i="10"/>
  <c r="AT122" i="10"/>
  <c r="AI291" i="9"/>
  <c r="AM292" i="9" s="1"/>
  <c r="AQ292" i="9" s="1"/>
  <c r="AR292" i="9" s="1"/>
  <c r="AT292" i="9" s="1"/>
  <c r="X313" i="8"/>
  <c r="X312" i="8"/>
  <c r="AF407" i="10"/>
  <c r="W406" i="10"/>
  <c r="W67" i="9"/>
  <c r="AF68" i="9"/>
  <c r="U169" i="9"/>
  <c r="Y169" i="9" s="1"/>
  <c r="AC169" i="9" s="1"/>
  <c r="AD169" i="9" s="1"/>
  <c r="AF169" i="9" s="1"/>
  <c r="X263" i="9"/>
  <c r="X192" i="10"/>
  <c r="X368" i="8"/>
  <c r="AJ343" i="10"/>
  <c r="AH343" i="10"/>
  <c r="AK343" i="10" s="1"/>
  <c r="AF333" i="9"/>
  <c r="W332" i="9"/>
  <c r="W71" i="10"/>
  <c r="AF72" i="10"/>
  <c r="W244" i="10"/>
  <c r="AF244" i="10"/>
  <c r="AZ180" i="10"/>
  <c r="X35" i="9"/>
  <c r="X398" i="8"/>
  <c r="X326" i="9"/>
  <c r="AI70" i="9"/>
  <c r="AM71" i="9" s="1"/>
  <c r="AQ71" i="9" s="1"/>
  <c r="AR71" i="9" s="1"/>
  <c r="AT71" i="9" s="1"/>
  <c r="AZ111" i="8"/>
  <c r="AJ329" i="9"/>
  <c r="AH329" i="9"/>
  <c r="AL329" i="9" s="1"/>
  <c r="AT327" i="10"/>
  <c r="AK326" i="10"/>
  <c r="U261" i="9"/>
  <c r="Y262" i="9" s="1"/>
  <c r="AC262" i="9" s="1"/>
  <c r="AD262" i="9" s="1"/>
  <c r="AF262" i="9" s="1"/>
  <c r="AX107" i="9"/>
  <c r="AV107" i="9"/>
  <c r="AY107" i="9" s="1"/>
  <c r="X153" i="8"/>
  <c r="AF179" i="8"/>
  <c r="W179" i="8"/>
  <c r="X107" i="10"/>
  <c r="W221" i="10"/>
  <c r="AF222" i="10"/>
  <c r="U352" i="10"/>
  <c r="Y353" i="10" s="1"/>
  <c r="AC353" i="10" s="1"/>
  <c r="AD353" i="10" s="1"/>
  <c r="AF353" i="10" s="1"/>
  <c r="AF39" i="8"/>
  <c r="W39" i="8"/>
  <c r="AJ192" i="9"/>
  <c r="AH192" i="9"/>
  <c r="AI192" i="9" s="1"/>
  <c r="AM193" i="9" s="1"/>
  <c r="AQ193" i="9" s="1"/>
  <c r="AR193" i="9" s="1"/>
  <c r="X401" i="10"/>
  <c r="U260" i="9"/>
  <c r="Y261" i="9" s="1"/>
  <c r="AC261" i="9" s="1"/>
  <c r="AD261" i="9" s="1"/>
  <c r="AF261" i="9" s="1"/>
  <c r="X197" i="8"/>
  <c r="U33" i="10"/>
  <c r="X208" i="10"/>
  <c r="AL216" i="10"/>
  <c r="AK260" i="10"/>
  <c r="W424" i="8"/>
  <c r="AJ147" i="9"/>
  <c r="AH147" i="9"/>
  <c r="AL147" i="9" s="1"/>
  <c r="AK201" i="10"/>
  <c r="AT202" i="10"/>
  <c r="W286" i="8"/>
  <c r="X287" i="10"/>
  <c r="U247" i="8"/>
  <c r="Y248" i="8" s="1"/>
  <c r="AD248" i="8" s="1"/>
  <c r="AF248" i="8" s="1"/>
  <c r="W387" i="8"/>
  <c r="AF388" i="8"/>
  <c r="AF382" i="9"/>
  <c r="W381" i="9"/>
  <c r="AF34" i="9"/>
  <c r="W34" i="9"/>
  <c r="X38" i="10"/>
  <c r="AF114" i="8"/>
  <c r="W114" i="8"/>
  <c r="X38" i="9"/>
  <c r="AF249" i="9"/>
  <c r="W249" i="9"/>
  <c r="AX82" i="9"/>
  <c r="AV82" i="9"/>
  <c r="AY82" i="9" s="1"/>
  <c r="AW356" i="9"/>
  <c r="X148" i="8"/>
  <c r="X272" i="8"/>
  <c r="U98" i="9"/>
  <c r="X317" i="8"/>
  <c r="U374" i="8"/>
  <c r="Y374" i="8" s="1"/>
  <c r="AD374" i="8" s="1"/>
  <c r="AF374" i="8" s="1"/>
  <c r="W257" i="9"/>
  <c r="AF258" i="9"/>
  <c r="X66" i="10"/>
  <c r="U299" i="10"/>
  <c r="Y299" i="10" s="1"/>
  <c r="AC299" i="10" s="1"/>
  <c r="AD299" i="10" s="1"/>
  <c r="AF299" i="10" s="1"/>
  <c r="U403" i="10"/>
  <c r="AT122" i="9"/>
  <c r="AK121" i="9"/>
  <c r="AF338" i="8"/>
  <c r="W337" i="8"/>
  <c r="X261" i="8"/>
  <c r="X212" i="9"/>
  <c r="AK321" i="9"/>
  <c r="AT322" i="9"/>
  <c r="W92" i="9"/>
  <c r="AF93" i="9"/>
  <c r="AH283" i="9"/>
  <c r="AK283" i="9" s="1"/>
  <c r="AJ283" i="9"/>
  <c r="W352" i="9"/>
  <c r="AF353" i="9"/>
  <c r="U392" i="9"/>
  <c r="Y393" i="9" s="1"/>
  <c r="AC393" i="9" s="1"/>
  <c r="AD393" i="9" s="1"/>
  <c r="AF393" i="9" s="1"/>
  <c r="U268" i="10"/>
  <c r="AW326" i="9"/>
  <c r="X408" i="9"/>
  <c r="AF318" i="10"/>
  <c r="W317" i="10"/>
  <c r="AI271" i="9"/>
  <c r="AM272" i="9" s="1"/>
  <c r="AQ272" i="9" s="1"/>
  <c r="AR272" i="9" s="1"/>
  <c r="AT272" i="9" s="1"/>
  <c r="W32" i="9"/>
  <c r="AF419" i="8"/>
  <c r="W419" i="8"/>
  <c r="W52" i="10"/>
  <c r="AF53" i="10"/>
  <c r="AF273" i="10"/>
  <c r="W272" i="10"/>
  <c r="AK311" i="10"/>
  <c r="AT312" i="10"/>
  <c r="AF53" i="8"/>
  <c r="W52" i="8"/>
  <c r="U249" i="8"/>
  <c r="Y249" i="8" s="1"/>
  <c r="AD249" i="8" s="1"/>
  <c r="AF249" i="8" s="1"/>
  <c r="W331" i="9"/>
  <c r="AF332" i="9"/>
  <c r="U382" i="10"/>
  <c r="Y383" i="10" s="1"/>
  <c r="AC383" i="10" s="1"/>
  <c r="AD383" i="10" s="1"/>
  <c r="AF383" i="10" s="1"/>
  <c r="AF403" i="8"/>
  <c r="W402" i="8"/>
  <c r="U99" i="8"/>
  <c r="Y99" i="8" s="1"/>
  <c r="AD99" i="8" s="1"/>
  <c r="AF99" i="8" s="1"/>
  <c r="U206" i="8"/>
  <c r="Y207" i="8" s="1"/>
  <c r="AD207" i="8" s="1"/>
  <c r="AF207" i="8" s="1"/>
  <c r="AT252" i="9"/>
  <c r="AK251" i="9"/>
  <c r="AF284" i="8"/>
  <c r="W284" i="8"/>
  <c r="W217" i="9"/>
  <c r="AF218" i="9"/>
  <c r="U261" i="10"/>
  <c r="Y262" i="10" s="1"/>
  <c r="AC262" i="10" s="1"/>
  <c r="AD262" i="10" s="1"/>
  <c r="AF262" i="10" s="1"/>
  <c r="X377" i="9"/>
  <c r="W159" i="8"/>
  <c r="U159" i="10"/>
  <c r="Y159" i="10" s="1"/>
  <c r="AC159" i="10" s="1"/>
  <c r="AD159" i="10" s="1"/>
  <c r="AF159" i="10" s="1"/>
  <c r="AK96" i="9"/>
  <c r="AT97" i="9"/>
  <c r="U93" i="8"/>
  <c r="AF352" i="8"/>
  <c r="W351" i="8"/>
  <c r="U156" i="9"/>
  <c r="Y157" i="9" s="1"/>
  <c r="AC157" i="9" s="1"/>
  <c r="AD157" i="9" s="1"/>
  <c r="AF157" i="9" s="1"/>
  <c r="U104" i="10"/>
  <c r="Y104" i="10" s="1"/>
  <c r="AC104" i="10" s="1"/>
  <c r="AD104" i="10" s="1"/>
  <c r="AF104" i="10" s="1"/>
  <c r="X241" i="10"/>
  <c r="AZ291" i="10"/>
  <c r="W100" i="10"/>
  <c r="X381" i="8"/>
  <c r="X66" i="9"/>
  <c r="U358" i="9"/>
  <c r="U112" i="10"/>
  <c r="Y113" i="10" s="1"/>
  <c r="AC113" i="10" s="1"/>
  <c r="AD113" i="10" s="1"/>
  <c r="AF113" i="10" s="1"/>
  <c r="X171" i="10"/>
  <c r="U397" i="10"/>
  <c r="Y398" i="10" s="1"/>
  <c r="AC398" i="10" s="1"/>
  <c r="AD398" i="10" s="1"/>
  <c r="AF398" i="10" s="1"/>
  <c r="X42" i="8"/>
  <c r="AJ127" i="9"/>
  <c r="AH127" i="9"/>
  <c r="AL127" i="9" s="1"/>
  <c r="U274" i="10"/>
  <c r="Y274" i="10" s="1"/>
  <c r="AC274" i="10" s="1"/>
  <c r="AD274" i="10" s="1"/>
  <c r="AF274" i="10" s="1"/>
  <c r="AL286" i="9"/>
  <c r="X253" i="8"/>
  <c r="AF334" i="10"/>
  <c r="W334" i="10"/>
  <c r="AW316" i="9"/>
  <c r="AF178" i="8"/>
  <c r="W177" i="8"/>
  <c r="U301" i="8"/>
  <c r="Y302" i="8" s="1"/>
  <c r="AD302" i="8" s="1"/>
  <c r="AF302" i="8" s="1"/>
  <c r="U119" i="9"/>
  <c r="Y119" i="9" s="1"/>
  <c r="AC119" i="9" s="1"/>
  <c r="AD119" i="9" s="1"/>
  <c r="AF119" i="9" s="1"/>
  <c r="U236" i="9"/>
  <c r="Y237" i="9" s="1"/>
  <c r="AC237" i="9" s="1"/>
  <c r="AD237" i="9" s="1"/>
  <c r="AF237" i="9" s="1"/>
  <c r="U384" i="9"/>
  <c r="Y384" i="9" s="1"/>
  <c r="AC384" i="9" s="1"/>
  <c r="AD384" i="9" s="1"/>
  <c r="AF384" i="9" s="1"/>
  <c r="AF302" i="10"/>
  <c r="W301" i="10"/>
  <c r="W402" i="10"/>
  <c r="X278" i="9"/>
  <c r="C8" i="8"/>
  <c r="U341" i="8"/>
  <c r="Y342" i="8" s="1"/>
  <c r="AD342" i="8" s="1"/>
  <c r="AF342" i="8" s="1"/>
  <c r="W74" i="9"/>
  <c r="AF74" i="9"/>
  <c r="AH203" i="9"/>
  <c r="AK203" i="9" s="1"/>
  <c r="AJ203" i="9"/>
  <c r="X228" i="10"/>
  <c r="U283" i="9"/>
  <c r="U366" i="10"/>
  <c r="Y367" i="10" s="1"/>
  <c r="AC367" i="10" s="1"/>
  <c r="AD367" i="10" s="1"/>
  <c r="AF367" i="10" s="1"/>
  <c r="U39" i="10"/>
  <c r="Y39" i="10" s="1"/>
  <c r="AC39" i="10" s="1"/>
  <c r="AD39" i="10" s="1"/>
  <c r="AF39" i="10" s="1"/>
  <c r="U62" i="10"/>
  <c r="Y63" i="10" s="1"/>
  <c r="AC63" i="10" s="1"/>
  <c r="AD63" i="10" s="1"/>
  <c r="AF63" i="10" s="1"/>
  <c r="U418" i="8"/>
  <c r="U238" i="9"/>
  <c r="U333" i="9"/>
  <c r="U247" i="10"/>
  <c r="Y248" i="10" s="1"/>
  <c r="AC248" i="10" s="1"/>
  <c r="AD248" i="10" s="1"/>
  <c r="AF248" i="10" s="1"/>
  <c r="U143" i="8"/>
  <c r="AF323" i="8"/>
  <c r="W322" i="8"/>
  <c r="U361" i="9"/>
  <c r="Y362" i="9" s="1"/>
  <c r="AC362" i="9" s="1"/>
  <c r="AD362" i="9" s="1"/>
  <c r="AF362" i="9" s="1"/>
  <c r="AZ311" i="9"/>
  <c r="AK35" i="9"/>
  <c r="AT36" i="9"/>
  <c r="X98" i="8"/>
  <c r="X309" i="8"/>
  <c r="X53" i="9"/>
  <c r="X138" i="9"/>
  <c r="AH182" i="10"/>
  <c r="AL182" i="10" s="1"/>
  <c r="AJ182" i="10"/>
  <c r="X343" i="10"/>
  <c r="AF71" i="10"/>
  <c r="W70" i="10"/>
  <c r="X141" i="8"/>
  <c r="U301" i="9"/>
  <c r="Y302" i="9" s="1"/>
  <c r="AC302" i="9" s="1"/>
  <c r="AD302" i="9" s="1"/>
  <c r="AF302" i="9" s="1"/>
  <c r="AL136" i="9"/>
  <c r="U127" i="8"/>
  <c r="Y128" i="8" s="1"/>
  <c r="AD128" i="8" s="1"/>
  <c r="AF128" i="8" s="1"/>
  <c r="U213" i="10"/>
  <c r="AZ416" i="9"/>
  <c r="AZ41" i="10"/>
  <c r="AF98" i="8"/>
  <c r="W97" i="8"/>
  <c r="U164" i="8"/>
  <c r="Y164" i="8" s="1"/>
  <c r="AD164" i="8" s="1"/>
  <c r="AF164" i="8" s="1"/>
  <c r="X181" i="8"/>
  <c r="AZ151" i="10"/>
  <c r="U359" i="8"/>
  <c r="Y359" i="8" s="1"/>
  <c r="AD359" i="8" s="1"/>
  <c r="AF359" i="8" s="1"/>
  <c r="X348" i="9"/>
  <c r="U307" i="10"/>
  <c r="Y308" i="10" s="1"/>
  <c r="AC308" i="10" s="1"/>
  <c r="AD308" i="10" s="1"/>
  <c r="AF308" i="10" s="1"/>
  <c r="D12" i="7"/>
  <c r="AF208" i="8"/>
  <c r="W207" i="8"/>
  <c r="U348" i="8"/>
  <c r="U396" i="8"/>
  <c r="Y397" i="8" s="1"/>
  <c r="AD397" i="8" s="1"/>
  <c r="AF397" i="8" s="1"/>
  <c r="X282" i="8"/>
  <c r="AW86" i="8"/>
  <c r="AW31" i="9"/>
  <c r="AI296" i="10"/>
  <c r="AM297" i="10" s="1"/>
  <c r="AQ297" i="10" s="1"/>
  <c r="AR297" i="10" s="1"/>
  <c r="AT297" i="10" s="1"/>
  <c r="AW366" i="8"/>
  <c r="AI366" i="10"/>
  <c r="AM367" i="10" s="1"/>
  <c r="AQ367" i="10" s="1"/>
  <c r="AR367" i="10" s="1"/>
  <c r="AT367" i="10" s="1"/>
  <c r="AK381" i="10"/>
  <c r="AT382" i="10"/>
  <c r="AK216" i="8"/>
  <c r="AT402" i="9"/>
  <c r="AK401" i="9"/>
  <c r="AK116" i="10"/>
  <c r="AT117" i="10"/>
  <c r="AW131" i="8"/>
  <c r="AK241" i="8"/>
  <c r="AT242" i="8"/>
  <c r="AK96" i="8"/>
  <c r="AT97" i="8"/>
  <c r="AI381" i="8"/>
  <c r="AM382" i="8" s="1"/>
  <c r="AR382" i="8" s="1"/>
  <c r="AT382" i="8" s="1"/>
  <c r="AK111" i="9"/>
  <c r="AT112" i="9"/>
  <c r="AK361" i="9"/>
  <c r="AT362" i="9"/>
  <c r="AW291" i="8"/>
  <c r="AK171" i="8"/>
  <c r="AT172" i="8"/>
  <c r="AZ386" i="8"/>
  <c r="AI141" i="8"/>
  <c r="AM142" i="8" s="1"/>
  <c r="AR142" i="8" s="1"/>
  <c r="AT142" i="8" s="1"/>
  <c r="AZ306" i="8"/>
  <c r="AZ36" i="8"/>
  <c r="AW61" i="8"/>
  <c r="AT412" i="10"/>
  <c r="AK411" i="10"/>
  <c r="AW411" i="8"/>
  <c r="AT107" i="8"/>
  <c r="AK106" i="8"/>
  <c r="AK171" i="9"/>
  <c r="AT172" i="9"/>
  <c r="AZ86" i="9"/>
  <c r="AK231" i="10"/>
  <c r="AT232" i="10"/>
  <c r="AZ266" i="8"/>
  <c r="AK61" i="8"/>
  <c r="AT62" i="8"/>
  <c r="AI31" i="8"/>
  <c r="AM32" i="8" s="1"/>
  <c r="AR32" i="8" s="1"/>
  <c r="AT32" i="8" s="1"/>
  <c r="AZ186" i="8"/>
  <c r="AK326" i="8"/>
  <c r="AZ381" i="8"/>
  <c r="AK131" i="8"/>
  <c r="AT132" i="8"/>
  <c r="AK166" i="8"/>
  <c r="AT167" i="8"/>
  <c r="AK411" i="8"/>
  <c r="AT412" i="8"/>
  <c r="AK51" i="8"/>
  <c r="AT52" i="8"/>
  <c r="AZ31" i="8"/>
  <c r="AK271" i="10"/>
  <c r="AT272" i="10"/>
  <c r="AK201" i="8"/>
  <c r="AT202" i="8"/>
  <c r="AI341" i="8"/>
  <c r="AM342" i="8" s="1"/>
  <c r="AR342" i="8" s="1"/>
  <c r="AT342" i="8" s="1"/>
  <c r="AK331" i="8"/>
  <c r="AT332" i="8"/>
  <c r="AK406" i="8"/>
  <c r="AT407" i="8"/>
  <c r="AZ26" i="9"/>
  <c r="AK401" i="8"/>
  <c r="AT402" i="8"/>
  <c r="AZ141" i="8"/>
  <c r="AK341" i="10"/>
  <c r="AT342" i="10"/>
  <c r="AW176" i="8"/>
  <c r="AL256" i="8"/>
  <c r="AI226" i="10"/>
  <c r="AM227" i="10" s="1"/>
  <c r="AQ227" i="10" s="1"/>
  <c r="AR227" i="10" s="1"/>
  <c r="AT227" i="10" s="1"/>
  <c r="AZ246" i="8"/>
  <c r="AZ421" i="9"/>
  <c r="AI416" i="10"/>
  <c r="AM417" i="10" s="1"/>
  <c r="AQ417" i="10" s="1"/>
  <c r="AR417" i="10" s="1"/>
  <c r="AT417" i="10" s="1"/>
  <c r="AW116" i="8"/>
  <c r="AZ251" i="8"/>
  <c r="AZ171" i="8"/>
  <c r="AT187" i="8"/>
  <c r="AK186" i="8"/>
  <c r="AZ331" i="8"/>
  <c r="AW361" i="8"/>
  <c r="AW361" i="10"/>
  <c r="AW51" i="8"/>
  <c r="AW316" i="8"/>
  <c r="AW351" i="8"/>
  <c r="W131" i="8"/>
  <c r="W227" i="8"/>
  <c r="AF228" i="8"/>
  <c r="AJ147" i="8"/>
  <c r="AH147" i="8"/>
  <c r="AL147" i="8" s="1"/>
  <c r="W100" i="9"/>
  <c r="AF101" i="9"/>
  <c r="AF87" i="10"/>
  <c r="W86" i="10"/>
  <c r="AT51" i="9"/>
  <c r="AK50" i="9"/>
  <c r="AV172" i="10"/>
  <c r="AY172" i="10" s="1"/>
  <c r="AX172" i="10"/>
  <c r="AF199" i="8"/>
  <c r="W199" i="8"/>
  <c r="W327" i="8"/>
  <c r="AF278" i="9"/>
  <c r="W277" i="9"/>
  <c r="AT347" i="9"/>
  <c r="AK346" i="9"/>
  <c r="AF108" i="8"/>
  <c r="W107" i="8"/>
  <c r="W62" i="9"/>
  <c r="AF63" i="9"/>
  <c r="AJ274" i="9"/>
  <c r="AH274" i="9"/>
  <c r="AI274" i="9" s="1"/>
  <c r="AM274" i="9" s="1"/>
  <c r="AQ274" i="9" s="1"/>
  <c r="AR274" i="9" s="1"/>
  <c r="X368" i="9"/>
  <c r="X308" i="10"/>
  <c r="W331" i="8"/>
  <c r="AF332" i="8"/>
  <c r="X313" i="9"/>
  <c r="W42" i="10"/>
  <c r="AK391" i="9"/>
  <c r="AT392" i="9"/>
  <c r="W139" i="9"/>
  <c r="AI100" i="10"/>
  <c r="AM101" i="10" s="1"/>
  <c r="AQ101" i="10" s="1"/>
  <c r="AR101" i="10" s="1"/>
  <c r="AT101" i="10" s="1"/>
  <c r="AI260" i="9"/>
  <c r="AM261" i="9" s="1"/>
  <c r="AQ261" i="9" s="1"/>
  <c r="AR261" i="9" s="1"/>
  <c r="AT261" i="9" s="1"/>
  <c r="W139" i="8"/>
  <c r="W229" i="9"/>
  <c r="AW60" i="9"/>
  <c r="X386" i="9"/>
  <c r="AF219" i="10"/>
  <c r="W219" i="10"/>
  <c r="X237" i="9"/>
  <c r="X397" i="9"/>
  <c r="X86" i="10"/>
  <c r="AL50" i="9"/>
  <c r="AJ27" i="9"/>
  <c r="AH27" i="9"/>
  <c r="AX132" i="10"/>
  <c r="AV132" i="10"/>
  <c r="AY132" i="10" s="1"/>
  <c r="AW211" i="10"/>
  <c r="AJ153" i="8"/>
  <c r="AH153" i="8"/>
  <c r="AK153" i="8" s="1"/>
  <c r="W207" i="9"/>
  <c r="AF208" i="9"/>
  <c r="AF164" i="10"/>
  <c r="W164" i="10"/>
  <c r="W106" i="8"/>
  <c r="AF107" i="8"/>
  <c r="W106" i="9"/>
  <c r="X214" i="10"/>
  <c r="AK386" i="10"/>
  <c r="AT387" i="10"/>
  <c r="AI220" i="9"/>
  <c r="AM221" i="9" s="1"/>
  <c r="AQ221" i="9" s="1"/>
  <c r="AR221" i="9" s="1"/>
  <c r="AT221" i="9" s="1"/>
  <c r="X188" i="8"/>
  <c r="W82" i="8"/>
  <c r="AF83" i="8"/>
  <c r="AF49" i="10"/>
  <c r="W49" i="10"/>
  <c r="X180" i="9"/>
  <c r="X158" i="9"/>
  <c r="X321" i="9"/>
  <c r="AJ227" i="10"/>
  <c r="AH227" i="10"/>
  <c r="AI227" i="10" s="1"/>
  <c r="AM228" i="10" s="1"/>
  <c r="AQ228" i="10" s="1"/>
  <c r="AR228" i="10" s="1"/>
  <c r="AJ353" i="8"/>
  <c r="AH353" i="8"/>
  <c r="AK353" i="8" s="1"/>
  <c r="AI98" i="10"/>
  <c r="AH98" i="10"/>
  <c r="AK98" i="10" s="1"/>
  <c r="AJ98" i="10"/>
  <c r="X414" i="10"/>
  <c r="AF402" i="8"/>
  <c r="W401" i="8"/>
  <c r="AJ103" i="9"/>
  <c r="AH103" i="9"/>
  <c r="AK103" i="9" s="1"/>
  <c r="X331" i="10"/>
  <c r="X208" i="9"/>
  <c r="AF134" i="10"/>
  <c r="W134" i="10"/>
  <c r="AF58" i="8"/>
  <c r="W57" i="8"/>
  <c r="AF52" i="10"/>
  <c r="W51" i="10"/>
  <c r="AL206" i="9"/>
  <c r="W126" i="8"/>
  <c r="W211" i="8"/>
  <c r="AF319" i="9"/>
  <c r="W319" i="9"/>
  <c r="X367" i="8"/>
  <c r="X193" i="9"/>
  <c r="AW180" i="10"/>
  <c r="AF218" i="8"/>
  <c r="W217" i="8"/>
  <c r="X324" i="8"/>
  <c r="W326" i="8"/>
  <c r="AF327" i="8"/>
  <c r="X268" i="9"/>
  <c r="AZ281" i="9"/>
  <c r="AF408" i="8"/>
  <c r="W407" i="8"/>
  <c r="X416" i="9"/>
  <c r="AF213" i="10"/>
  <c r="W212" i="10"/>
  <c r="W54" i="9"/>
  <c r="AH374" i="9"/>
  <c r="AL374" i="9" s="1"/>
  <c r="AJ374" i="9"/>
  <c r="X50" i="9"/>
  <c r="W227" i="9"/>
  <c r="W216" i="9"/>
  <c r="AF377" i="9"/>
  <c r="W376" i="9"/>
  <c r="W262" i="10"/>
  <c r="W367" i="10"/>
  <c r="AK91" i="9"/>
  <c r="AJ334" i="9"/>
  <c r="AH334" i="9"/>
  <c r="AL334" i="9" s="1"/>
  <c r="W46" i="8"/>
  <c r="W299" i="8"/>
  <c r="W282" i="10"/>
  <c r="AJ314" i="9"/>
  <c r="AH314" i="9"/>
  <c r="AL314" i="9" s="1"/>
  <c r="W307" i="9"/>
  <c r="W119" i="10"/>
  <c r="W56" i="8"/>
  <c r="AJ348" i="9"/>
  <c r="AH348" i="9"/>
  <c r="AK348" i="9" s="1"/>
  <c r="AJ307" i="8"/>
  <c r="AH307" i="8"/>
  <c r="AI307" i="8" s="1"/>
  <c r="AM308" i="8" s="1"/>
  <c r="AR308" i="8" s="1"/>
  <c r="C18" i="9"/>
  <c r="D23" i="11" s="1"/>
  <c r="AJ188" i="10"/>
  <c r="AH188" i="10"/>
  <c r="AK188" i="10" s="1"/>
  <c r="AW35" i="9"/>
  <c r="W256" i="10"/>
  <c r="W364" i="9"/>
  <c r="AK300" i="9"/>
  <c r="W187" i="9"/>
  <c r="AK300" i="10"/>
  <c r="AJ209" i="10"/>
  <c r="AH209" i="10"/>
  <c r="AI209" i="10" s="1"/>
  <c r="AM209" i="10" s="1"/>
  <c r="AQ209" i="10" s="1"/>
  <c r="AR209" i="10" s="1"/>
  <c r="AK60" i="10"/>
  <c r="AF49" i="8"/>
  <c r="W49" i="8"/>
  <c r="W71" i="8"/>
  <c r="W124" i="8"/>
  <c r="AV107" i="10"/>
  <c r="AY107" i="10" s="1"/>
  <c r="AX107" i="10"/>
  <c r="W362" i="8"/>
  <c r="W359" i="9"/>
  <c r="W144" i="8"/>
  <c r="AK276" i="9"/>
  <c r="W64" i="9"/>
  <c r="W147" i="8"/>
  <c r="W267" i="8"/>
  <c r="AJ207" i="9"/>
  <c r="AH207" i="9"/>
  <c r="AI207" i="9" s="1"/>
  <c r="AM208" i="9" s="1"/>
  <c r="AQ208" i="9" s="1"/>
  <c r="AR208" i="9" s="1"/>
  <c r="AK35" i="10"/>
  <c r="AT36" i="10"/>
  <c r="AH374" i="10"/>
  <c r="AL374" i="10" s="1"/>
  <c r="AJ374" i="10"/>
  <c r="AT137" i="10"/>
  <c r="AK136" i="10"/>
  <c r="W220" i="9"/>
  <c r="AF221" i="9"/>
  <c r="AH29" i="9"/>
  <c r="AL29" i="9" s="1"/>
  <c r="AJ29" i="9"/>
  <c r="AJ402" i="9"/>
  <c r="AH402" i="9"/>
  <c r="AI402" i="9" s="1"/>
  <c r="AM403" i="9" s="1"/>
  <c r="AQ403" i="9" s="1"/>
  <c r="AR403" i="9" s="1"/>
  <c r="W94" i="8"/>
  <c r="AJ149" i="9"/>
  <c r="AH149" i="9"/>
  <c r="AI149" i="9" s="1"/>
  <c r="AM149" i="9" s="1"/>
  <c r="AQ149" i="9" s="1"/>
  <c r="AR149" i="9" s="1"/>
  <c r="AJ223" i="10"/>
  <c r="AH223" i="10"/>
  <c r="AK223" i="10" s="1"/>
  <c r="W304" i="8"/>
  <c r="W77" i="9"/>
  <c r="W247" i="9"/>
  <c r="W74" i="8"/>
  <c r="AT277" i="10"/>
  <c r="AK276" i="10"/>
  <c r="W101" i="9"/>
  <c r="W372" i="10"/>
  <c r="AF373" i="10"/>
  <c r="W307" i="8"/>
  <c r="AL122" i="9"/>
  <c r="AJ122" i="9"/>
  <c r="AH122" i="9"/>
  <c r="AI122" i="9" s="1"/>
  <c r="AM123" i="9" s="1"/>
  <c r="AQ123" i="9" s="1"/>
  <c r="AR123" i="9" s="1"/>
  <c r="AL208" i="10"/>
  <c r="AJ208" i="10"/>
  <c r="AI208" i="10"/>
  <c r="AH208" i="10"/>
  <c r="AK208" i="10" s="1"/>
  <c r="W422" i="10"/>
  <c r="AJ363" i="10"/>
  <c r="AH363" i="10"/>
  <c r="AK363" i="10" s="1"/>
  <c r="AK161" i="9"/>
  <c r="AK196" i="8"/>
  <c r="AK311" i="8"/>
  <c r="AK176" i="10"/>
  <c r="AK416" i="9"/>
  <c r="AK236" i="8"/>
  <c r="AK396" i="8"/>
  <c r="AK391" i="8"/>
  <c r="AI421" i="10"/>
  <c r="AM422" i="10" s="1"/>
  <c r="AQ422" i="10" s="1"/>
  <c r="AR422" i="10" s="1"/>
  <c r="AT422" i="10" s="1"/>
  <c r="AK346" i="10"/>
  <c r="AK331" i="10"/>
  <c r="AK196" i="9"/>
  <c r="AK236" i="10"/>
  <c r="AL416" i="10"/>
  <c r="AL246" i="8"/>
  <c r="AJ267" i="8"/>
  <c r="AH267" i="8"/>
  <c r="AL267" i="8" s="1"/>
  <c r="X71" i="9"/>
  <c r="U227" i="9"/>
  <c r="Y228" i="9" s="1"/>
  <c r="AC228" i="9" s="1"/>
  <c r="AD228" i="9" s="1"/>
  <c r="AF228" i="9" s="1"/>
  <c r="AJ339" i="9"/>
  <c r="AH339" i="9"/>
  <c r="X33" i="10"/>
  <c r="U208" i="10"/>
  <c r="AI391" i="10"/>
  <c r="AM392" i="10" s="1"/>
  <c r="AQ392" i="10" s="1"/>
  <c r="AR392" i="10" s="1"/>
  <c r="AT392" i="10" s="1"/>
  <c r="X220" i="10"/>
  <c r="U338" i="9"/>
  <c r="U41" i="10"/>
  <c r="Y42" i="10" s="1"/>
  <c r="AC42" i="10" s="1"/>
  <c r="AD42" i="10" s="1"/>
  <c r="AF42" i="10" s="1"/>
  <c r="X216" i="10"/>
  <c r="X421" i="10"/>
  <c r="X36" i="8"/>
  <c r="AJ347" i="9"/>
  <c r="AH347" i="9"/>
  <c r="AI347" i="9" s="1"/>
  <c r="AM348" i="9" s="1"/>
  <c r="AQ348" i="9" s="1"/>
  <c r="AR348" i="9" s="1"/>
  <c r="U262" i="10"/>
  <c r="Y263" i="10" s="1"/>
  <c r="AC263" i="10" s="1"/>
  <c r="AD263" i="10" s="1"/>
  <c r="AF263" i="10" s="1"/>
  <c r="U367" i="10"/>
  <c r="Y368" i="10" s="1"/>
  <c r="AC368" i="10" s="1"/>
  <c r="AD368" i="10" s="1"/>
  <c r="AF368" i="10" s="1"/>
  <c r="X247" i="8"/>
  <c r="AF244" i="9"/>
  <c r="W244" i="9"/>
  <c r="AF144" i="10"/>
  <c r="W144" i="10"/>
  <c r="AF238" i="10"/>
  <c r="W237" i="10"/>
  <c r="AW266" i="10"/>
  <c r="AZ131" i="10"/>
  <c r="AK166" i="9"/>
  <c r="AT167" i="9"/>
  <c r="AL136" i="8"/>
  <c r="X259" i="8"/>
  <c r="X287" i="9"/>
  <c r="U38" i="10"/>
  <c r="AZ121" i="9"/>
  <c r="AI91" i="9"/>
  <c r="AM92" i="9" s="1"/>
  <c r="AQ92" i="9" s="1"/>
  <c r="AR92" i="9" s="1"/>
  <c r="AT92" i="9" s="1"/>
  <c r="AF204" i="8"/>
  <c r="W204" i="8"/>
  <c r="U38" i="9"/>
  <c r="W47" i="10"/>
  <c r="X129" i="10"/>
  <c r="X311" i="10"/>
  <c r="AZ356" i="9"/>
  <c r="AT101" i="9"/>
  <c r="AK100" i="9"/>
  <c r="U46" i="8"/>
  <c r="Y47" i="8" s="1"/>
  <c r="AD47" i="8" s="1"/>
  <c r="AF47" i="8" s="1"/>
  <c r="U148" i="8"/>
  <c r="U299" i="8"/>
  <c r="Y299" i="8" s="1"/>
  <c r="AD299" i="8" s="1"/>
  <c r="AF299" i="8" s="1"/>
  <c r="W141" i="9"/>
  <c r="AF142" i="9"/>
  <c r="U53" i="10"/>
  <c r="U282" i="10"/>
  <c r="Y283" i="10" s="1"/>
  <c r="AC283" i="10" s="1"/>
  <c r="AD283" i="10" s="1"/>
  <c r="AF283" i="10" s="1"/>
  <c r="AF362" i="10"/>
  <c r="W361" i="10"/>
  <c r="X196" i="8"/>
  <c r="AF384" i="8"/>
  <c r="W384" i="8"/>
  <c r="AF244" i="8"/>
  <c r="W244" i="8"/>
  <c r="W176" i="9"/>
  <c r="AF177" i="9"/>
  <c r="U307" i="9"/>
  <c r="Y308" i="9" s="1"/>
  <c r="AC308" i="9" s="1"/>
  <c r="AD308" i="9" s="1"/>
  <c r="AF308" i="9" s="1"/>
  <c r="U119" i="10"/>
  <c r="Y119" i="10" s="1"/>
  <c r="AC119" i="10" s="1"/>
  <c r="AD119" i="10" s="1"/>
  <c r="AF119" i="10" s="1"/>
  <c r="U56" i="8"/>
  <c r="Y57" i="8" s="1"/>
  <c r="AD57" i="8" s="1"/>
  <c r="AF57" i="8" s="1"/>
  <c r="AF192" i="10"/>
  <c r="W191" i="10"/>
  <c r="W67" i="10"/>
  <c r="W316" i="10"/>
  <c r="AF317" i="10"/>
  <c r="AL91" i="10"/>
  <c r="AF224" i="8"/>
  <c r="W224" i="8"/>
  <c r="AF243" i="8"/>
  <c r="W242" i="8"/>
  <c r="AF349" i="8"/>
  <c r="W349" i="8"/>
  <c r="X392" i="9"/>
  <c r="AF224" i="10"/>
  <c r="W224" i="10"/>
  <c r="X363" i="10"/>
  <c r="AZ326" i="9"/>
  <c r="AZ35" i="9"/>
  <c r="AF344" i="9"/>
  <c r="W344" i="9"/>
  <c r="U256" i="10"/>
  <c r="Y257" i="10" s="1"/>
  <c r="AC257" i="10" s="1"/>
  <c r="AD257" i="10" s="1"/>
  <c r="AF257" i="10" s="1"/>
  <c r="AH394" i="10"/>
  <c r="AI394" i="10" s="1"/>
  <c r="AM394" i="10" s="1"/>
  <c r="AQ394" i="10" s="1"/>
  <c r="AR394" i="10" s="1"/>
  <c r="AJ394" i="10"/>
  <c r="AL271" i="9"/>
  <c r="AI301" i="8"/>
  <c r="AM302" i="8" s="1"/>
  <c r="AR302" i="8" s="1"/>
  <c r="AT302" i="8" s="1"/>
  <c r="AI31" i="10"/>
  <c r="AM32" i="10" s="1"/>
  <c r="AQ32" i="10" s="1"/>
  <c r="AR32" i="10" s="1"/>
  <c r="AT32" i="10" s="1"/>
  <c r="AK226" i="9"/>
  <c r="AT227" i="9"/>
  <c r="U151" i="8"/>
  <c r="Y152" i="8" s="1"/>
  <c r="AD152" i="8" s="1"/>
  <c r="AF152" i="8" s="1"/>
  <c r="AF183" i="9"/>
  <c r="W182" i="9"/>
  <c r="U364" i="9"/>
  <c r="Y364" i="9" s="1"/>
  <c r="AC364" i="9" s="1"/>
  <c r="AD364" i="9" s="1"/>
  <c r="AF364" i="9" s="1"/>
  <c r="W386" i="10"/>
  <c r="AF387" i="10"/>
  <c r="AF149" i="8"/>
  <c r="W149" i="8"/>
  <c r="X302" i="8"/>
  <c r="X382" i="10"/>
  <c r="AK211" i="10"/>
  <c r="AT212" i="10"/>
  <c r="X60" i="10"/>
  <c r="U187" i="9"/>
  <c r="Y188" i="9" s="1"/>
  <c r="AC188" i="9" s="1"/>
  <c r="AD188" i="9" s="1"/>
  <c r="AF188" i="9" s="1"/>
  <c r="AI180" i="10"/>
  <c r="AM181" i="10" s="1"/>
  <c r="AQ181" i="10" s="1"/>
  <c r="AR181" i="10" s="1"/>
  <c r="AT181" i="10" s="1"/>
  <c r="U113" i="8"/>
  <c r="W136" i="8"/>
  <c r="AF137" i="8"/>
  <c r="AF394" i="8"/>
  <c r="W394" i="8"/>
  <c r="W406" i="9"/>
  <c r="AF407" i="9"/>
  <c r="U140" i="10"/>
  <c r="Y141" i="10" s="1"/>
  <c r="AC141" i="10" s="1"/>
  <c r="AD141" i="10" s="1"/>
  <c r="AF141" i="10" s="1"/>
  <c r="W117" i="8"/>
  <c r="AF118" i="8"/>
  <c r="W232" i="8"/>
  <c r="AF233" i="8"/>
  <c r="W54" i="10"/>
  <c r="AF54" i="10"/>
  <c r="X261" i="10"/>
  <c r="AZ70" i="9"/>
  <c r="U71" i="8"/>
  <c r="Y72" i="8" s="1"/>
  <c r="AD72" i="8" s="1"/>
  <c r="AF72" i="8" s="1"/>
  <c r="U269" i="10"/>
  <c r="Y269" i="10" s="1"/>
  <c r="AC269" i="10" s="1"/>
  <c r="AD269" i="10" s="1"/>
  <c r="AF269" i="10" s="1"/>
  <c r="U124" i="8"/>
  <c r="Y124" i="8" s="1"/>
  <c r="AD124" i="8" s="1"/>
  <c r="AF124" i="8" s="1"/>
  <c r="AW281" i="10"/>
  <c r="AF82" i="8"/>
  <c r="W81" i="8"/>
  <c r="X93" i="8"/>
  <c r="U362" i="8"/>
  <c r="Y363" i="8" s="1"/>
  <c r="AD363" i="8" s="1"/>
  <c r="AF363" i="8" s="1"/>
  <c r="X156" i="9"/>
  <c r="U359" i="9"/>
  <c r="Y359" i="9" s="1"/>
  <c r="AC359" i="9" s="1"/>
  <c r="AD359" i="9" s="1"/>
  <c r="AF359" i="9" s="1"/>
  <c r="X104" i="10"/>
  <c r="AF344" i="10"/>
  <c r="W344" i="10"/>
  <c r="U144" i="8"/>
  <c r="Y144" i="8" s="1"/>
  <c r="AD144" i="8" s="1"/>
  <c r="AF144" i="8" s="1"/>
  <c r="U48" i="9"/>
  <c r="X68" i="9"/>
  <c r="AJ179" i="9"/>
  <c r="AH179" i="9"/>
  <c r="X358" i="9"/>
  <c r="X112" i="10"/>
  <c r="AJ249" i="10"/>
  <c r="AH249" i="10"/>
  <c r="AL249" i="10" s="1"/>
  <c r="AW161" i="9"/>
  <c r="W112" i="8"/>
  <c r="AF113" i="8"/>
  <c r="AF272" i="8"/>
  <c r="W271" i="8"/>
  <c r="AF392" i="8"/>
  <c r="W391" i="8"/>
  <c r="W32" i="10"/>
  <c r="AF33" i="10"/>
  <c r="X306" i="10"/>
  <c r="AI276" i="9"/>
  <c r="AM277" i="9" s="1"/>
  <c r="AQ277" i="9" s="1"/>
  <c r="AR277" i="9" s="1"/>
  <c r="AT277" i="9" s="1"/>
  <c r="X78" i="8"/>
  <c r="U64" i="9"/>
  <c r="Y64" i="9" s="1"/>
  <c r="AC64" i="9" s="1"/>
  <c r="AD64" i="9" s="1"/>
  <c r="AF64" i="9" s="1"/>
  <c r="AF317" i="9"/>
  <c r="W316" i="9"/>
  <c r="AJ377" i="10"/>
  <c r="AH377" i="10"/>
  <c r="AI377" i="10" s="1"/>
  <c r="AM378" i="10" s="1"/>
  <c r="AQ378" i="10" s="1"/>
  <c r="AR378" i="10" s="1"/>
  <c r="AZ316" i="9"/>
  <c r="X301" i="8"/>
  <c r="X119" i="9"/>
  <c r="X236" i="9"/>
  <c r="X384" i="9"/>
  <c r="U402" i="10"/>
  <c r="Y403" i="10" s="1"/>
  <c r="AC403" i="10" s="1"/>
  <c r="AD403" i="10" s="1"/>
  <c r="AF403" i="10" s="1"/>
  <c r="AW306" i="9"/>
  <c r="U147" i="8"/>
  <c r="Y148" i="8" s="1"/>
  <c r="AD148" i="8" s="1"/>
  <c r="AF148" i="8" s="1"/>
  <c r="U267" i="8"/>
  <c r="Y268" i="8" s="1"/>
  <c r="AD268" i="8" s="1"/>
  <c r="AF268" i="8" s="1"/>
  <c r="W81" i="10"/>
  <c r="AF82" i="10"/>
  <c r="X50" i="10"/>
  <c r="AL50" i="10"/>
  <c r="W122" i="8"/>
  <c r="AF123" i="8"/>
  <c r="X341" i="8"/>
  <c r="AJ413" i="9"/>
  <c r="AH413" i="9"/>
  <c r="AK413" i="9" s="1"/>
  <c r="U228" i="10"/>
  <c r="AK231" i="9"/>
  <c r="AT232" i="9"/>
  <c r="AK96" i="10"/>
  <c r="AT97" i="10"/>
  <c r="AW296" i="10"/>
  <c r="AK206" i="8"/>
  <c r="AT207" i="8"/>
  <c r="AF389" i="8"/>
  <c r="W389" i="8"/>
  <c r="U148" i="9"/>
  <c r="X283" i="9"/>
  <c r="AF239" i="10"/>
  <c r="W239" i="10"/>
  <c r="X39" i="10"/>
  <c r="U94" i="8"/>
  <c r="Y94" i="8" s="1"/>
  <c r="AD94" i="8" s="1"/>
  <c r="AF94" i="8" s="1"/>
  <c r="X418" i="8"/>
  <c r="X238" i="9"/>
  <c r="X333" i="9"/>
  <c r="X143" i="8"/>
  <c r="AJ418" i="9"/>
  <c r="AH418" i="9"/>
  <c r="AK418" i="9" s="1"/>
  <c r="AF202" i="10"/>
  <c r="W201" i="10"/>
  <c r="X86" i="8"/>
  <c r="AJ163" i="8"/>
  <c r="AI163" i="8"/>
  <c r="AH163" i="8"/>
  <c r="AK163" i="8" s="1"/>
  <c r="X364" i="8"/>
  <c r="U73" i="9"/>
  <c r="X140" i="9"/>
  <c r="AZ50" i="10"/>
  <c r="X236" i="8"/>
  <c r="U304" i="8"/>
  <c r="Y304" i="8" s="1"/>
  <c r="AD304" i="8" s="1"/>
  <c r="AF304" i="8" s="1"/>
  <c r="U137" i="9"/>
  <c r="Y138" i="9" s="1"/>
  <c r="AC138" i="9" s="1"/>
  <c r="AD138" i="9" s="1"/>
  <c r="AF138" i="9" s="1"/>
  <c r="X301" i="9"/>
  <c r="X127" i="10"/>
  <c r="AH279" i="10"/>
  <c r="AL279" i="10" s="1"/>
  <c r="AJ279" i="10"/>
  <c r="X127" i="8"/>
  <c r="U77" i="9"/>
  <c r="Y78" i="9" s="1"/>
  <c r="AC78" i="9" s="1"/>
  <c r="AD78" i="9" s="1"/>
  <c r="AF78" i="9" s="1"/>
  <c r="U247" i="9"/>
  <c r="Y248" i="9" s="1"/>
  <c r="AC248" i="9" s="1"/>
  <c r="AD248" i="9" s="1"/>
  <c r="AF248" i="9" s="1"/>
  <c r="AF369" i="9"/>
  <c r="W369" i="9"/>
  <c r="X213" i="10"/>
  <c r="AK306" i="10"/>
  <c r="AT307" i="10"/>
  <c r="U74" i="8"/>
  <c r="Y74" i="8" s="1"/>
  <c r="AD74" i="8" s="1"/>
  <c r="AF74" i="8" s="1"/>
  <c r="U203" i="8"/>
  <c r="AF189" i="9"/>
  <c r="W189" i="9"/>
  <c r="U68" i="10"/>
  <c r="AL276" i="10"/>
  <c r="AF277" i="8"/>
  <c r="W276" i="8"/>
  <c r="X359" i="8"/>
  <c r="U101" i="9"/>
  <c r="Y102" i="9" s="1"/>
  <c r="AC102" i="9" s="1"/>
  <c r="AD102" i="9" s="1"/>
  <c r="AF102" i="9" s="1"/>
  <c r="U348" i="9"/>
  <c r="U184" i="10"/>
  <c r="Y184" i="10" s="1"/>
  <c r="AC184" i="10" s="1"/>
  <c r="AD184" i="10" s="1"/>
  <c r="AF184" i="10" s="1"/>
  <c r="X307" i="10"/>
  <c r="X372" i="10"/>
  <c r="U68" i="8"/>
  <c r="U307" i="8"/>
  <c r="Y308" i="8" s="1"/>
  <c r="AD308" i="8" s="1"/>
  <c r="AF308" i="8" s="1"/>
  <c r="W384" i="10"/>
  <c r="AF384" i="10"/>
  <c r="U422" i="10"/>
  <c r="Y423" i="10" s="1"/>
  <c r="AC423" i="10" s="1"/>
  <c r="AD423" i="10" s="1"/>
  <c r="AF423" i="10" s="1"/>
  <c r="AZ86" i="8"/>
  <c r="AZ31" i="9"/>
  <c r="AL296" i="10"/>
  <c r="AZ366" i="8"/>
  <c r="AL366" i="10"/>
  <c r="AI161" i="9"/>
  <c r="AM162" i="9" s="1"/>
  <c r="AQ162" i="9" s="1"/>
  <c r="AR162" i="9" s="1"/>
  <c r="AT162" i="9" s="1"/>
  <c r="AI196" i="8"/>
  <c r="AM197" i="8" s="1"/>
  <c r="AR197" i="8" s="1"/>
  <c r="AT197" i="8" s="1"/>
  <c r="AZ131" i="8"/>
  <c r="AI311" i="8"/>
  <c r="AM312" i="8" s="1"/>
  <c r="AR312" i="8" s="1"/>
  <c r="AT312" i="8" s="1"/>
  <c r="AL381" i="8"/>
  <c r="AZ291" i="8"/>
  <c r="AW386" i="8"/>
  <c r="AI176" i="10"/>
  <c r="AM177" i="10" s="1"/>
  <c r="AQ177" i="10" s="1"/>
  <c r="AR177" i="10" s="1"/>
  <c r="AT177" i="10" s="1"/>
  <c r="AI416" i="9"/>
  <c r="AM417" i="9" s="1"/>
  <c r="AQ417" i="9" s="1"/>
  <c r="AR417" i="9" s="1"/>
  <c r="AT417" i="9" s="1"/>
  <c r="AL141" i="8"/>
  <c r="AT307" i="8"/>
  <c r="AK306" i="8"/>
  <c r="AW306" i="8"/>
  <c r="AT267" i="8"/>
  <c r="AK266" i="8"/>
  <c r="AW36" i="8"/>
  <c r="AZ61" i="8"/>
  <c r="AZ411" i="8"/>
  <c r="AI236" i="8"/>
  <c r="AM237" i="8" s="1"/>
  <c r="AR237" i="8" s="1"/>
  <c r="AT237" i="8" s="1"/>
  <c r="AI396" i="8"/>
  <c r="AM397" i="8" s="1"/>
  <c r="AR397" i="8" s="1"/>
  <c r="AT397" i="8" s="1"/>
  <c r="AW86" i="9"/>
  <c r="AW266" i="8"/>
  <c r="AL31" i="8"/>
  <c r="AW186" i="8"/>
  <c r="AT387" i="8"/>
  <c r="AK386" i="8"/>
  <c r="AW381" i="8"/>
  <c r="AI391" i="8"/>
  <c r="AM392" i="8" s="1"/>
  <c r="AR392" i="8" s="1"/>
  <c r="AT392" i="8" s="1"/>
  <c r="AL421" i="10"/>
  <c r="AI346" i="10"/>
  <c r="AM347" i="10" s="1"/>
  <c r="AQ347" i="10" s="1"/>
  <c r="AR347" i="10" s="1"/>
  <c r="AT347" i="10" s="1"/>
  <c r="AW31" i="8"/>
  <c r="AL341" i="8"/>
  <c r="AT227" i="8"/>
  <c r="AK226" i="8"/>
  <c r="AW26" i="9"/>
  <c r="AI331" i="10"/>
  <c r="AM332" i="10" s="1"/>
  <c r="AQ332" i="10" s="1"/>
  <c r="AR332" i="10" s="1"/>
  <c r="AT332" i="10" s="1"/>
  <c r="AW141" i="8"/>
  <c r="AW146" i="10"/>
  <c r="AW356" i="8"/>
  <c r="AI196" i="9"/>
  <c r="AM197" i="9" s="1"/>
  <c r="AQ197" i="9" s="1"/>
  <c r="AR197" i="9" s="1"/>
  <c r="AT197" i="9" s="1"/>
  <c r="AZ86" i="10"/>
  <c r="AW311" i="8"/>
  <c r="AI236" i="10"/>
  <c r="AM237" i="10" s="1"/>
  <c r="AQ237" i="10" s="1"/>
  <c r="AR237" i="10" s="1"/>
  <c r="AT237" i="10" s="1"/>
  <c r="AL86" i="8"/>
  <c r="AW371" i="8"/>
  <c r="AT67" i="8"/>
  <c r="AK66" i="8"/>
  <c r="AI221" i="8"/>
  <c r="AM222" i="8" s="1"/>
  <c r="AR222" i="8" s="1"/>
  <c r="AT222" i="8" s="1"/>
  <c r="AI421" i="8"/>
  <c r="AM422" i="8" s="1"/>
  <c r="AR422" i="8" s="1"/>
  <c r="AT422" i="8" s="1"/>
  <c r="AT112" i="8"/>
  <c r="AK111" i="8"/>
  <c r="AZ361" i="8"/>
  <c r="AZ361" i="10"/>
  <c r="AZ51" i="8"/>
  <c r="AZ316" i="8"/>
  <c r="AZ351" i="8"/>
  <c r="AI279" i="10" l="1"/>
  <c r="AM279" i="10" s="1"/>
  <c r="AQ279" i="10" s="1"/>
  <c r="AR279" i="10" s="1"/>
  <c r="AL129" i="8"/>
  <c r="AI247" i="9"/>
  <c r="AM248" i="9" s="1"/>
  <c r="AQ248" i="9" s="1"/>
  <c r="AR248" i="9" s="1"/>
  <c r="AI232" i="10"/>
  <c r="AM233" i="10" s="1"/>
  <c r="AQ233" i="10" s="1"/>
  <c r="AR233" i="10" s="1"/>
  <c r="AT233" i="10" s="1"/>
  <c r="AJ321" i="10"/>
  <c r="AH321" i="10"/>
  <c r="AX376" i="10"/>
  <c r="AV376" i="10"/>
  <c r="AW107" i="10"/>
  <c r="AI147" i="9"/>
  <c r="AM148" i="9" s="1"/>
  <c r="AQ148" i="9" s="1"/>
  <c r="AR148" i="9" s="1"/>
  <c r="AI307" i="9"/>
  <c r="AM308" i="9" s="1"/>
  <c r="AQ308" i="9" s="1"/>
  <c r="AR308" i="9" s="1"/>
  <c r="AH206" i="10"/>
  <c r="AJ206" i="10"/>
  <c r="AL206" i="10"/>
  <c r="AI153" i="8"/>
  <c r="AI378" i="10"/>
  <c r="AW242" i="10"/>
  <c r="AL268" i="10"/>
  <c r="AL62" i="10"/>
  <c r="AI258" i="10"/>
  <c r="AX256" i="9"/>
  <c r="AV256" i="9"/>
  <c r="AY256" i="9" s="1"/>
  <c r="AI201" i="9"/>
  <c r="AM202" i="9" s="1"/>
  <c r="AQ202" i="9" s="1"/>
  <c r="AR202" i="9" s="1"/>
  <c r="AT202" i="9" s="1"/>
  <c r="AK201" i="9"/>
  <c r="AV396" i="9"/>
  <c r="AY396" i="9" s="1"/>
  <c r="AX396" i="9"/>
  <c r="AX176" i="10"/>
  <c r="AV176" i="10"/>
  <c r="AY176" i="10" s="1"/>
  <c r="AV216" i="10"/>
  <c r="AX216" i="10"/>
  <c r="AV321" i="10"/>
  <c r="AX321" i="10"/>
  <c r="AL267" i="10"/>
  <c r="AZ362" i="10"/>
  <c r="AL258" i="10"/>
  <c r="AL356" i="9"/>
  <c r="AJ356" i="9"/>
  <c r="AH356" i="9"/>
  <c r="AL283" i="9"/>
  <c r="AL297" i="9"/>
  <c r="AI92" i="10"/>
  <c r="AM93" i="10" s="1"/>
  <c r="AQ93" i="10" s="1"/>
  <c r="AR93" i="10" s="1"/>
  <c r="AV286" i="9"/>
  <c r="AY286" i="9" s="1"/>
  <c r="AX286" i="9"/>
  <c r="AX351" i="10"/>
  <c r="AV351" i="10"/>
  <c r="AY351" i="10" s="1"/>
  <c r="AZ351" i="10"/>
  <c r="AV111" i="9"/>
  <c r="AX111" i="9"/>
  <c r="AJ396" i="9"/>
  <c r="AH396" i="9"/>
  <c r="AX316" i="10"/>
  <c r="AV316" i="10"/>
  <c r="AL357" i="10"/>
  <c r="AL163" i="10"/>
  <c r="AJ356" i="10"/>
  <c r="AH356" i="10"/>
  <c r="AJ186" i="9"/>
  <c r="AH186" i="9"/>
  <c r="AK186" i="9" s="1"/>
  <c r="AJ56" i="9"/>
  <c r="AH56" i="9"/>
  <c r="AK56" i="9" s="1"/>
  <c r="AW352" i="10"/>
  <c r="AI269" i="8"/>
  <c r="AM269" i="8" s="1"/>
  <c r="AR269" i="8" s="1"/>
  <c r="AW127" i="9"/>
  <c r="AI79" i="9"/>
  <c r="AM79" i="9" s="1"/>
  <c r="AQ79" i="9" s="1"/>
  <c r="AR79" i="9" s="1"/>
  <c r="AW237" i="9"/>
  <c r="AI58" i="10"/>
  <c r="AL307" i="8"/>
  <c r="AI137" i="10"/>
  <c r="AM138" i="10" s="1"/>
  <c r="AQ138" i="10" s="1"/>
  <c r="AR138" i="10" s="1"/>
  <c r="AL58" i="10"/>
  <c r="AI138" i="10"/>
  <c r="AZ162" i="10"/>
  <c r="AI373" i="8"/>
  <c r="AI418" i="8"/>
  <c r="AL418" i="9"/>
  <c r="AL274" i="9"/>
  <c r="AI369" i="10"/>
  <c r="AM369" i="10" s="1"/>
  <c r="AQ369" i="10" s="1"/>
  <c r="AR369" i="10" s="1"/>
  <c r="AL378" i="10"/>
  <c r="AI268" i="10"/>
  <c r="AI268" i="9"/>
  <c r="AL199" i="9"/>
  <c r="AW257" i="9"/>
  <c r="AL114" i="10"/>
  <c r="AI304" i="9"/>
  <c r="AM304" i="9" s="1"/>
  <c r="AQ304" i="9" s="1"/>
  <c r="AR304" i="9" s="1"/>
  <c r="AT304" i="9" s="1"/>
  <c r="AL38" i="10"/>
  <c r="AI418" i="9"/>
  <c r="AL192" i="9"/>
  <c r="AW287" i="10"/>
  <c r="AL143" i="10"/>
  <c r="AI413" i="9"/>
  <c r="AZ287" i="10"/>
  <c r="AI57" i="9"/>
  <c r="AM58" i="9" s="1"/>
  <c r="AQ58" i="9" s="1"/>
  <c r="AR58" i="9" s="1"/>
  <c r="AT58" i="9" s="1"/>
  <c r="AI354" i="8"/>
  <c r="AM354" i="8" s="1"/>
  <c r="AR354" i="8" s="1"/>
  <c r="AI374" i="10"/>
  <c r="AM374" i="10" s="1"/>
  <c r="AQ374" i="10" s="1"/>
  <c r="AR374" i="10" s="1"/>
  <c r="AW312" i="9"/>
  <c r="AL98" i="10"/>
  <c r="AZ132" i="10"/>
  <c r="AI283" i="9"/>
  <c r="AL168" i="9"/>
  <c r="AI219" i="9"/>
  <c r="AM219" i="9" s="1"/>
  <c r="AQ219" i="9" s="1"/>
  <c r="AR219" i="9" s="1"/>
  <c r="AT219" i="9" s="1"/>
  <c r="AL89" i="8"/>
  <c r="AL222" i="9"/>
  <c r="C13" i="10"/>
  <c r="AL233" i="9"/>
  <c r="AI119" i="8"/>
  <c r="AM119" i="8" s="1"/>
  <c r="AR119" i="8" s="1"/>
  <c r="AI298" i="8"/>
  <c r="AW317" i="10"/>
  <c r="AI313" i="9"/>
  <c r="AW282" i="10"/>
  <c r="AI163" i="10"/>
  <c r="AL218" i="10"/>
  <c r="AL377" i="10"/>
  <c r="AL347" i="9"/>
  <c r="AL149" i="9"/>
  <c r="AL207" i="9"/>
  <c r="AI103" i="9"/>
  <c r="AL227" i="10"/>
  <c r="AL389" i="9"/>
  <c r="AL258" i="8"/>
  <c r="AI209" i="9"/>
  <c r="AM209" i="9" s="1"/>
  <c r="AQ209" i="9" s="1"/>
  <c r="AR209" i="9" s="1"/>
  <c r="AL378" i="8"/>
  <c r="AI287" i="9"/>
  <c r="AM288" i="9" s="1"/>
  <c r="AQ288" i="9" s="1"/>
  <c r="AR288" i="9" s="1"/>
  <c r="AL57" i="10"/>
  <c r="AL49" i="9"/>
  <c r="C12" i="10"/>
  <c r="C15" i="10" s="1"/>
  <c r="AL172" i="9"/>
  <c r="AL194" i="10"/>
  <c r="AL183" i="8"/>
  <c r="C13" i="8"/>
  <c r="C17" i="8" s="1"/>
  <c r="C17" i="11" s="1"/>
  <c r="AI353" i="8"/>
  <c r="AI147" i="8"/>
  <c r="AM148" i="8" s="1"/>
  <c r="AR148" i="8" s="1"/>
  <c r="AI378" i="8"/>
  <c r="AI109" i="8"/>
  <c r="AM109" i="8" s="1"/>
  <c r="AR109" i="8" s="1"/>
  <c r="AW282" i="9"/>
  <c r="AL234" i="8"/>
  <c r="AL373" i="8"/>
  <c r="AZ147" i="9"/>
  <c r="AI94" i="10"/>
  <c r="AM94" i="10" s="1"/>
  <c r="AQ94" i="10" s="1"/>
  <c r="AR94" i="10" s="1"/>
  <c r="AI26" i="10"/>
  <c r="AM27" i="10" s="1"/>
  <c r="AQ27" i="10" s="1"/>
  <c r="AR27" i="10" s="1"/>
  <c r="AT27" i="10" s="1"/>
  <c r="AW372" i="9"/>
  <c r="AL418" i="8"/>
  <c r="AL103" i="10"/>
  <c r="AI223" i="10"/>
  <c r="AL209" i="10"/>
  <c r="AW132" i="10"/>
  <c r="AL232" i="9"/>
  <c r="AI168" i="9"/>
  <c r="AI312" i="9"/>
  <c r="AM313" i="9" s="1"/>
  <c r="AQ313" i="9" s="1"/>
  <c r="AR313" i="9" s="1"/>
  <c r="AL353" i="8"/>
  <c r="AL399" i="8"/>
  <c r="AI314" i="8"/>
  <c r="AM314" i="8" s="1"/>
  <c r="AR314" i="8" s="1"/>
  <c r="AI118" i="10"/>
  <c r="AZ26" i="8"/>
  <c r="AL343" i="9"/>
  <c r="AL138" i="8"/>
  <c r="AI29" i="8"/>
  <c r="AM29" i="8" s="1"/>
  <c r="AR29" i="8" s="1"/>
  <c r="AW162" i="10"/>
  <c r="C12" i="9"/>
  <c r="AZ372" i="9"/>
  <c r="C12" i="8"/>
  <c r="AL163" i="9"/>
  <c r="AL118" i="10"/>
  <c r="AL97" i="10"/>
  <c r="AI138" i="8"/>
  <c r="AZ282" i="10"/>
  <c r="AX332" i="10"/>
  <c r="AV332" i="10"/>
  <c r="AY332" i="10" s="1"/>
  <c r="AX367" i="10"/>
  <c r="AV367" i="10"/>
  <c r="AY367" i="10" s="1"/>
  <c r="AJ164" i="8"/>
  <c r="AH164" i="8"/>
  <c r="AL164" i="8" s="1"/>
  <c r="AL63" i="10"/>
  <c r="AJ63" i="10"/>
  <c r="AH63" i="10"/>
  <c r="AK63" i="10" s="1"/>
  <c r="AJ159" i="10"/>
  <c r="AH159" i="10"/>
  <c r="AL159" i="10" s="1"/>
  <c r="AJ299" i="10"/>
  <c r="AI299" i="10"/>
  <c r="AM299" i="10" s="1"/>
  <c r="AQ299" i="10" s="1"/>
  <c r="AR299" i="10" s="1"/>
  <c r="AH299" i="10"/>
  <c r="AL299" i="10" s="1"/>
  <c r="AJ248" i="8"/>
  <c r="AH248" i="8"/>
  <c r="AK248" i="8" s="1"/>
  <c r="AX292" i="9"/>
  <c r="AV292" i="9"/>
  <c r="AY292" i="9" s="1"/>
  <c r="AJ181" i="9"/>
  <c r="AH181" i="9"/>
  <c r="AJ422" i="8"/>
  <c r="AH422" i="8"/>
  <c r="AL422" i="8" s="1"/>
  <c r="AV132" i="9"/>
  <c r="AY132" i="9" s="1"/>
  <c r="AX132" i="9"/>
  <c r="AX47" i="8"/>
  <c r="AV47" i="8"/>
  <c r="AY47" i="8" s="1"/>
  <c r="AH362" i="8"/>
  <c r="AL362" i="8" s="1"/>
  <c r="AJ362" i="8"/>
  <c r="AJ392" i="9"/>
  <c r="AH392" i="9"/>
  <c r="AI392" i="9" s="1"/>
  <c r="AM393" i="9" s="1"/>
  <c r="AQ393" i="9" s="1"/>
  <c r="AR393" i="9" s="1"/>
  <c r="AJ234" i="9"/>
  <c r="AH234" i="9"/>
  <c r="AH28" i="8"/>
  <c r="AK28" i="8" s="1"/>
  <c r="AJ28" i="8"/>
  <c r="AI227" i="9"/>
  <c r="AM228" i="9" s="1"/>
  <c r="AQ228" i="9" s="1"/>
  <c r="AR228" i="9" s="1"/>
  <c r="AH227" i="9"/>
  <c r="AL227" i="9" s="1"/>
  <c r="AJ227" i="9"/>
  <c r="AI148" i="9"/>
  <c r="AH148" i="9"/>
  <c r="AK148" i="9" s="1"/>
  <c r="AJ148" i="9"/>
  <c r="AJ423" i="8"/>
  <c r="AH423" i="8"/>
  <c r="AK423" i="8" s="1"/>
  <c r="AH78" i="10"/>
  <c r="AK78" i="10" s="1"/>
  <c r="AJ78" i="10"/>
  <c r="AJ128" i="9"/>
  <c r="AH128" i="9"/>
  <c r="AK128" i="9" s="1"/>
  <c r="AJ297" i="10"/>
  <c r="AH297" i="10"/>
  <c r="AI297" i="10" s="1"/>
  <c r="AM298" i="10" s="1"/>
  <c r="AQ298" i="10" s="1"/>
  <c r="AR298" i="10" s="1"/>
  <c r="AH349" i="9"/>
  <c r="AI349" i="9" s="1"/>
  <c r="AM349" i="9" s="1"/>
  <c r="AQ349" i="9" s="1"/>
  <c r="AR349" i="9" s="1"/>
  <c r="AJ349" i="9"/>
  <c r="AJ62" i="8"/>
  <c r="AH62" i="8"/>
  <c r="AI62" i="8" s="1"/>
  <c r="AM63" i="8" s="1"/>
  <c r="AR63" i="8" s="1"/>
  <c r="AH402" i="10"/>
  <c r="AL402" i="10" s="1"/>
  <c r="AJ402" i="10"/>
  <c r="AJ294" i="8"/>
  <c r="AH294" i="8"/>
  <c r="AI294" i="8" s="1"/>
  <c r="AM294" i="8" s="1"/>
  <c r="AR294" i="8" s="1"/>
  <c r="AJ168" i="10"/>
  <c r="AH168" i="10"/>
  <c r="AK168" i="10" s="1"/>
  <c r="AX237" i="8"/>
  <c r="AV237" i="8"/>
  <c r="AY237" i="8" s="1"/>
  <c r="AJ113" i="10"/>
  <c r="AH113" i="10"/>
  <c r="AK113" i="10" s="1"/>
  <c r="C16" i="10"/>
  <c r="AV71" i="9"/>
  <c r="AY71" i="9" s="1"/>
  <c r="AX71" i="9"/>
  <c r="AW71" i="9"/>
  <c r="AJ169" i="9"/>
  <c r="AH169" i="9"/>
  <c r="AI169" i="9" s="1"/>
  <c r="AM169" i="9" s="1"/>
  <c r="AQ169" i="9" s="1"/>
  <c r="AR169" i="9" s="1"/>
  <c r="AJ198" i="10"/>
  <c r="AH198" i="10"/>
  <c r="AK198" i="10" s="1"/>
  <c r="AJ134" i="8"/>
  <c r="AH134" i="8"/>
  <c r="AL134" i="8" s="1"/>
  <c r="AJ214" i="8"/>
  <c r="AH214" i="8"/>
  <c r="AH413" i="10"/>
  <c r="AK413" i="10" s="1"/>
  <c r="AJ413" i="10"/>
  <c r="AJ212" i="9"/>
  <c r="AH212" i="9"/>
  <c r="AX77" i="9"/>
  <c r="AV77" i="9"/>
  <c r="AY77" i="9" s="1"/>
  <c r="AJ349" i="10"/>
  <c r="AH349" i="10"/>
  <c r="AI349" i="10" s="1"/>
  <c r="AM349" i="10" s="1"/>
  <c r="AQ349" i="10" s="1"/>
  <c r="AR349" i="10" s="1"/>
  <c r="AJ97" i="8"/>
  <c r="AH97" i="8"/>
  <c r="AI97" i="8" s="1"/>
  <c r="AM98" i="8" s="1"/>
  <c r="AR98" i="8" s="1"/>
  <c r="AV217" i="9"/>
  <c r="AY217" i="9" s="1"/>
  <c r="AX217" i="9"/>
  <c r="AX352" i="9"/>
  <c r="AV352" i="9"/>
  <c r="AY352" i="9" s="1"/>
  <c r="AJ252" i="9"/>
  <c r="AH252" i="9"/>
  <c r="AV42" i="8"/>
  <c r="AY42" i="8" s="1"/>
  <c r="AX42" i="8"/>
  <c r="AV352" i="8"/>
  <c r="AY352" i="8" s="1"/>
  <c r="AX352" i="8"/>
  <c r="AJ213" i="9"/>
  <c r="AI213" i="9"/>
  <c r="AH213" i="9"/>
  <c r="AK213" i="9" s="1"/>
  <c r="AJ33" i="8"/>
  <c r="AH33" i="8"/>
  <c r="AK33" i="8" s="1"/>
  <c r="AJ73" i="8"/>
  <c r="AH73" i="8"/>
  <c r="AK73" i="8" s="1"/>
  <c r="AH52" i="8"/>
  <c r="AL52" i="8" s="1"/>
  <c r="AJ52" i="8"/>
  <c r="AJ414" i="10"/>
  <c r="AH414" i="10"/>
  <c r="AI414" i="10" s="1"/>
  <c r="AM414" i="10" s="1"/>
  <c r="AQ414" i="10" s="1"/>
  <c r="AR414" i="10" s="1"/>
  <c r="AJ139" i="10"/>
  <c r="AH139" i="10"/>
  <c r="AJ77" i="10"/>
  <c r="AH77" i="10"/>
  <c r="AL77" i="10" s="1"/>
  <c r="AI77" i="10"/>
  <c r="AM78" i="10" s="1"/>
  <c r="AQ78" i="10" s="1"/>
  <c r="AR78" i="10" s="1"/>
  <c r="AH164" i="9"/>
  <c r="AL164" i="9" s="1"/>
  <c r="AJ164" i="9"/>
  <c r="AJ43" i="9"/>
  <c r="AH43" i="9"/>
  <c r="AK43" i="9" s="1"/>
  <c r="AJ162" i="10"/>
  <c r="AH162" i="10"/>
  <c r="AJ303" i="10"/>
  <c r="AH303" i="10"/>
  <c r="AK303" i="10" s="1"/>
  <c r="AJ393" i="8"/>
  <c r="AH393" i="8"/>
  <c r="AK393" i="8" s="1"/>
  <c r="AJ412" i="9"/>
  <c r="AH412" i="9"/>
  <c r="C15" i="8"/>
  <c r="AJ263" i="9"/>
  <c r="AH263" i="9"/>
  <c r="AK263" i="9" s="1"/>
  <c r="AJ327" i="10"/>
  <c r="AH327" i="10"/>
  <c r="AL327" i="10" s="1"/>
  <c r="AX237" i="10"/>
  <c r="AV237" i="10"/>
  <c r="AY237" i="10" s="1"/>
  <c r="AL138" i="9"/>
  <c r="AH138" i="9"/>
  <c r="AK138" i="9" s="1"/>
  <c r="AJ138" i="9"/>
  <c r="AJ269" i="10"/>
  <c r="AH269" i="10"/>
  <c r="AL269" i="10" s="1"/>
  <c r="AH47" i="8"/>
  <c r="AJ47" i="8"/>
  <c r="AH104" i="10"/>
  <c r="AL104" i="10" s="1"/>
  <c r="AJ104" i="10"/>
  <c r="AX422" i="8"/>
  <c r="AW422" i="8"/>
  <c r="AV422" i="8"/>
  <c r="AY422" i="8" s="1"/>
  <c r="AV162" i="9"/>
  <c r="AY162" i="9" s="1"/>
  <c r="AX162" i="9"/>
  <c r="AJ74" i="8"/>
  <c r="AH74" i="8"/>
  <c r="AI74" i="8" s="1"/>
  <c r="AM74" i="8" s="1"/>
  <c r="AR74" i="8" s="1"/>
  <c r="AV422" i="10"/>
  <c r="AY422" i="10" s="1"/>
  <c r="AX422" i="10"/>
  <c r="AX382" i="8"/>
  <c r="AV382" i="8"/>
  <c r="AY382" i="8" s="1"/>
  <c r="AX297" i="10"/>
  <c r="AV297" i="10"/>
  <c r="AY297" i="10" s="1"/>
  <c r="AH367" i="10"/>
  <c r="AI367" i="10" s="1"/>
  <c r="AM368" i="10" s="1"/>
  <c r="AQ368" i="10" s="1"/>
  <c r="AR368" i="10" s="1"/>
  <c r="AJ367" i="10"/>
  <c r="AJ157" i="9"/>
  <c r="AH157" i="9"/>
  <c r="AL157" i="9" s="1"/>
  <c r="AJ249" i="8"/>
  <c r="AH249" i="8"/>
  <c r="AI249" i="8" s="1"/>
  <c r="AM249" i="8" s="1"/>
  <c r="AR249" i="8" s="1"/>
  <c r="AJ261" i="9"/>
  <c r="AH261" i="9"/>
  <c r="AL261" i="9" s="1"/>
  <c r="AJ353" i="10"/>
  <c r="AH353" i="10"/>
  <c r="AK353" i="10" s="1"/>
  <c r="AJ409" i="10"/>
  <c r="AH409" i="10"/>
  <c r="AL409" i="10" s="1"/>
  <c r="AX242" i="9"/>
  <c r="AV242" i="9"/>
  <c r="AY242" i="9" s="1"/>
  <c r="AJ32" i="8"/>
  <c r="AH32" i="8"/>
  <c r="AI32" i="8" s="1"/>
  <c r="AM33" i="8" s="1"/>
  <c r="AR33" i="8" s="1"/>
  <c r="AJ38" i="8"/>
  <c r="AH38" i="8"/>
  <c r="AK38" i="8" s="1"/>
  <c r="AJ253" i="9"/>
  <c r="AH253" i="9"/>
  <c r="AK253" i="9" s="1"/>
  <c r="AJ36" i="9"/>
  <c r="AH36" i="9"/>
  <c r="AL36" i="9" s="1"/>
  <c r="AJ204" i="9"/>
  <c r="AH204" i="9"/>
  <c r="AL204" i="9" s="1"/>
  <c r="AJ277" i="10"/>
  <c r="AH277" i="10"/>
  <c r="AI277" i="10" s="1"/>
  <c r="AM278" i="10" s="1"/>
  <c r="AQ278" i="10" s="1"/>
  <c r="AR278" i="10" s="1"/>
  <c r="AH103" i="8"/>
  <c r="AK103" i="8" s="1"/>
  <c r="AJ103" i="8"/>
  <c r="AJ88" i="9"/>
  <c r="AH88" i="9"/>
  <c r="AK88" i="9" s="1"/>
  <c r="AX277" i="8"/>
  <c r="AV277" i="8"/>
  <c r="AY277" i="8" s="1"/>
  <c r="AJ242" i="10"/>
  <c r="AH242" i="10"/>
  <c r="AL242" i="10" s="1"/>
  <c r="AJ84" i="10"/>
  <c r="AH84" i="10"/>
  <c r="AL84" i="10" s="1"/>
  <c r="AH388" i="10"/>
  <c r="AK388" i="10" s="1"/>
  <c r="AJ388" i="10"/>
  <c r="AH149" i="10"/>
  <c r="AL149" i="10" s="1"/>
  <c r="AJ149" i="10"/>
  <c r="AL337" i="9"/>
  <c r="AJ337" i="9"/>
  <c r="AI337" i="9"/>
  <c r="AM338" i="9" s="1"/>
  <c r="AQ338" i="9" s="1"/>
  <c r="AR338" i="9" s="1"/>
  <c r="AH337" i="9"/>
  <c r="C17" i="10"/>
  <c r="E17" i="11" s="1"/>
  <c r="AJ252" i="8"/>
  <c r="AH252" i="8"/>
  <c r="AL252" i="8" s="1"/>
  <c r="AX397" i="8"/>
  <c r="AV397" i="8"/>
  <c r="AY397" i="8" s="1"/>
  <c r="AX101" i="10"/>
  <c r="AV101" i="10"/>
  <c r="AY101" i="10" s="1"/>
  <c r="AJ284" i="10"/>
  <c r="AH284" i="10"/>
  <c r="AL284" i="10" s="1"/>
  <c r="AH387" i="9"/>
  <c r="AI387" i="9" s="1"/>
  <c r="AM388" i="9" s="1"/>
  <c r="AQ388" i="9" s="1"/>
  <c r="AR388" i="9" s="1"/>
  <c r="AJ387" i="9"/>
  <c r="AJ178" i="10"/>
  <c r="AH178" i="10"/>
  <c r="AK178" i="10" s="1"/>
  <c r="AJ339" i="10"/>
  <c r="AH339" i="10"/>
  <c r="AL339" i="10" s="1"/>
  <c r="AJ193" i="8"/>
  <c r="AH193" i="8"/>
  <c r="AK193" i="8" s="1"/>
  <c r="AJ382" i="8"/>
  <c r="AH382" i="8"/>
  <c r="AJ368" i="9"/>
  <c r="AH368" i="9"/>
  <c r="AK368" i="9" s="1"/>
  <c r="C16" i="8"/>
  <c r="AJ274" i="10"/>
  <c r="AH274" i="10"/>
  <c r="AI274" i="10" s="1"/>
  <c r="AM274" i="10" s="1"/>
  <c r="AQ274" i="10" s="1"/>
  <c r="AR274" i="10" s="1"/>
  <c r="AJ207" i="8"/>
  <c r="AI207" i="8"/>
  <c r="AM208" i="8" s="1"/>
  <c r="AR208" i="8" s="1"/>
  <c r="AH207" i="8"/>
  <c r="AL207" i="8" s="1"/>
  <c r="AH262" i="9"/>
  <c r="AL262" i="9" s="1"/>
  <c r="AJ262" i="9"/>
  <c r="AJ319" i="8"/>
  <c r="AH319" i="8"/>
  <c r="AL319" i="8" s="1"/>
  <c r="AJ154" i="10"/>
  <c r="AH154" i="10"/>
  <c r="AI154" i="10" s="1"/>
  <c r="AM154" i="10" s="1"/>
  <c r="AQ154" i="10" s="1"/>
  <c r="AR154" i="10" s="1"/>
  <c r="AH117" i="10"/>
  <c r="AL117" i="10" s="1"/>
  <c r="AJ117" i="10"/>
  <c r="AJ253" i="10"/>
  <c r="AH253" i="10"/>
  <c r="AK253" i="10" s="1"/>
  <c r="AJ417" i="9"/>
  <c r="AH417" i="9"/>
  <c r="AJ69" i="10"/>
  <c r="AH69" i="10"/>
  <c r="AL69" i="10" s="1"/>
  <c r="AH133" i="8"/>
  <c r="AK133" i="8" s="1"/>
  <c r="AJ133" i="8"/>
  <c r="AH89" i="10"/>
  <c r="AL89" i="10" s="1"/>
  <c r="AJ89" i="10"/>
  <c r="AH44" i="10"/>
  <c r="AL44" i="10" s="1"/>
  <c r="AJ44" i="10"/>
  <c r="AV82" i="8"/>
  <c r="AY82" i="8" s="1"/>
  <c r="AX82" i="8"/>
  <c r="AJ142" i="8"/>
  <c r="AH142" i="8"/>
  <c r="AJ43" i="8"/>
  <c r="AH43" i="8"/>
  <c r="AK43" i="8" s="1"/>
  <c r="AJ318" i="8"/>
  <c r="AH318" i="8"/>
  <c r="AK318" i="8" s="1"/>
  <c r="AJ83" i="10"/>
  <c r="AH83" i="10"/>
  <c r="AK83" i="10" s="1"/>
  <c r="AJ239" i="9"/>
  <c r="AH239" i="9"/>
  <c r="AJ34" i="8"/>
  <c r="AH34" i="8"/>
  <c r="AH193" i="9"/>
  <c r="AK193" i="9" s="1"/>
  <c r="AJ193" i="9"/>
  <c r="AJ102" i="8"/>
  <c r="AH102" i="8"/>
  <c r="AI102" i="8" s="1"/>
  <c r="AM103" i="8" s="1"/>
  <c r="AR103" i="8" s="1"/>
  <c r="AL102" i="8"/>
  <c r="AJ82" i="9"/>
  <c r="AH82" i="9"/>
  <c r="AH398" i="9"/>
  <c r="AK398" i="9" s="1"/>
  <c r="AJ398" i="9"/>
  <c r="AJ423" i="9"/>
  <c r="AH423" i="9"/>
  <c r="AK423" i="9" s="1"/>
  <c r="AJ129" i="10"/>
  <c r="AH129" i="10"/>
  <c r="AI129" i="10" s="1"/>
  <c r="AM129" i="10" s="1"/>
  <c r="AQ129" i="10" s="1"/>
  <c r="AR129" i="10" s="1"/>
  <c r="AH288" i="9"/>
  <c r="AK288" i="9" s="1"/>
  <c r="AJ288" i="9"/>
  <c r="AV312" i="8"/>
  <c r="AY312" i="8" s="1"/>
  <c r="AX312" i="8"/>
  <c r="AJ408" i="9"/>
  <c r="AH408" i="9"/>
  <c r="AK408" i="9" s="1"/>
  <c r="AX317" i="8"/>
  <c r="AV317" i="8"/>
  <c r="AY317" i="8" s="1"/>
  <c r="AJ354" i="10"/>
  <c r="AH354" i="10"/>
  <c r="AZ187" i="10"/>
  <c r="AX187" i="10"/>
  <c r="AW187" i="10"/>
  <c r="AV187" i="10"/>
  <c r="AY187" i="10" s="1"/>
  <c r="AH78" i="9"/>
  <c r="AK78" i="9" s="1"/>
  <c r="AJ78" i="9"/>
  <c r="AL403" i="10"/>
  <c r="AJ403" i="10"/>
  <c r="AH403" i="10"/>
  <c r="AK403" i="10" s="1"/>
  <c r="AJ363" i="8"/>
  <c r="AH363" i="8"/>
  <c r="AK363" i="8" s="1"/>
  <c r="AX181" i="10"/>
  <c r="AV181" i="10"/>
  <c r="AY181" i="10" s="1"/>
  <c r="AH188" i="9"/>
  <c r="AK188" i="9" s="1"/>
  <c r="AJ188" i="9"/>
  <c r="AX32" i="10"/>
  <c r="AV32" i="10"/>
  <c r="AY32" i="10" s="1"/>
  <c r="AV92" i="9"/>
  <c r="AY92" i="9" s="1"/>
  <c r="AX92" i="9"/>
  <c r="AX221" i="9"/>
  <c r="AV221" i="9"/>
  <c r="AY221" i="9" s="1"/>
  <c r="AJ262" i="10"/>
  <c r="AH262" i="10"/>
  <c r="AJ99" i="8"/>
  <c r="AH99" i="8"/>
  <c r="AL99" i="8" s="1"/>
  <c r="AJ374" i="8"/>
  <c r="AH374" i="8"/>
  <c r="AH229" i="10"/>
  <c r="AL229" i="10" s="1"/>
  <c r="AJ229" i="10"/>
  <c r="AJ148" i="10"/>
  <c r="AH148" i="10"/>
  <c r="AK148" i="10" s="1"/>
  <c r="AJ123" i="9"/>
  <c r="AH123" i="9"/>
  <c r="AK123" i="9" s="1"/>
  <c r="AV301" i="10"/>
  <c r="AY301" i="10" s="1"/>
  <c r="AX301" i="10"/>
  <c r="AJ222" i="8"/>
  <c r="AH222" i="8"/>
  <c r="AI222" i="8" s="1"/>
  <c r="AM223" i="8" s="1"/>
  <c r="AR223" i="8" s="1"/>
  <c r="AH352" i="9"/>
  <c r="AL352" i="9" s="1"/>
  <c r="AJ352" i="9"/>
  <c r="AH272" i="9"/>
  <c r="AI272" i="9" s="1"/>
  <c r="AM273" i="9" s="1"/>
  <c r="AQ273" i="9" s="1"/>
  <c r="AR273" i="9" s="1"/>
  <c r="AJ272" i="9"/>
  <c r="AX67" i="10"/>
  <c r="AV67" i="10"/>
  <c r="AY67" i="10" s="1"/>
  <c r="AX357" i="8"/>
  <c r="AV357" i="8"/>
  <c r="AY357" i="8" s="1"/>
  <c r="AV122" i="8"/>
  <c r="AY122" i="8" s="1"/>
  <c r="AX122" i="8"/>
  <c r="AJ59" i="8"/>
  <c r="AH59" i="8"/>
  <c r="AI59" i="8" s="1"/>
  <c r="AM59" i="8" s="1"/>
  <c r="AR59" i="8" s="1"/>
  <c r="AJ193" i="10"/>
  <c r="AH193" i="10"/>
  <c r="AK193" i="10" s="1"/>
  <c r="AH293" i="8"/>
  <c r="AK293" i="8" s="1"/>
  <c r="AJ293" i="8"/>
  <c r="AJ214" i="10"/>
  <c r="AH214" i="10"/>
  <c r="AJ132" i="8"/>
  <c r="AH132" i="8"/>
  <c r="AI132" i="8" s="1"/>
  <c r="AM133" i="8" s="1"/>
  <c r="AR133" i="8" s="1"/>
  <c r="AJ334" i="8"/>
  <c r="AH334" i="8"/>
  <c r="AH28" i="10"/>
  <c r="AK28" i="10" s="1"/>
  <c r="AJ28" i="10"/>
  <c r="AJ228" i="10"/>
  <c r="AH228" i="10"/>
  <c r="AK228" i="10" s="1"/>
  <c r="AX402" i="10"/>
  <c r="AV402" i="10"/>
  <c r="AY402" i="10" s="1"/>
  <c r="AJ352" i="10"/>
  <c r="AH352" i="10"/>
  <c r="AL352" i="10" s="1"/>
  <c r="AJ273" i="9"/>
  <c r="AI273" i="9"/>
  <c r="AH273" i="9"/>
  <c r="AK273" i="9" s="1"/>
  <c r="AJ93" i="10"/>
  <c r="AH93" i="10"/>
  <c r="AK93" i="10" s="1"/>
  <c r="AV227" i="10"/>
  <c r="AY227" i="10" s="1"/>
  <c r="AX227" i="10"/>
  <c r="AH398" i="10"/>
  <c r="AK398" i="10" s="1"/>
  <c r="AJ398" i="10"/>
  <c r="AL383" i="10"/>
  <c r="AJ383" i="10"/>
  <c r="AH383" i="10"/>
  <c r="AK383" i="10" s="1"/>
  <c r="AJ112" i="9"/>
  <c r="AH112" i="9"/>
  <c r="AL112" i="9" s="1"/>
  <c r="AJ29" i="10"/>
  <c r="AH29" i="10"/>
  <c r="AL29" i="10" s="1"/>
  <c r="AJ158" i="8"/>
  <c r="AH158" i="8"/>
  <c r="AK158" i="8" s="1"/>
  <c r="AH118" i="9"/>
  <c r="AK118" i="9" s="1"/>
  <c r="AJ118" i="9"/>
  <c r="AJ143" i="8"/>
  <c r="AH143" i="8"/>
  <c r="AK143" i="8" s="1"/>
  <c r="AH173" i="8"/>
  <c r="AK173" i="8" s="1"/>
  <c r="AJ173" i="8"/>
  <c r="AH328" i="9"/>
  <c r="AK328" i="9" s="1"/>
  <c r="AJ328" i="9"/>
  <c r="AX127" i="10"/>
  <c r="AV127" i="10"/>
  <c r="AY127" i="10" s="1"/>
  <c r="AJ423" i="10"/>
  <c r="AH423" i="10"/>
  <c r="AK423" i="10" s="1"/>
  <c r="AJ268" i="8"/>
  <c r="AH268" i="8"/>
  <c r="AK268" i="8" s="1"/>
  <c r="AX197" i="8"/>
  <c r="AV197" i="8"/>
  <c r="AY197" i="8" s="1"/>
  <c r="AH102" i="9"/>
  <c r="AI102" i="9" s="1"/>
  <c r="AM103" i="9" s="1"/>
  <c r="AQ103" i="9" s="1"/>
  <c r="AR103" i="9" s="1"/>
  <c r="AJ102" i="9"/>
  <c r="AX277" i="9"/>
  <c r="AV277" i="9"/>
  <c r="AY277" i="9" s="1"/>
  <c r="AJ152" i="8"/>
  <c r="AH152" i="8"/>
  <c r="AV392" i="10"/>
  <c r="AY392" i="10" s="1"/>
  <c r="AX392" i="10"/>
  <c r="AX142" i="8"/>
  <c r="AV142" i="8"/>
  <c r="AY142" i="8" s="1"/>
  <c r="AJ119" i="9"/>
  <c r="AH119" i="9"/>
  <c r="AL119" i="9" s="1"/>
  <c r="AV417" i="9"/>
  <c r="AY417" i="9" s="1"/>
  <c r="AX417" i="9"/>
  <c r="AJ304" i="8"/>
  <c r="AH304" i="8"/>
  <c r="AL304" i="8" s="1"/>
  <c r="AJ72" i="8"/>
  <c r="AH72" i="8"/>
  <c r="AX222" i="8"/>
  <c r="AV222" i="8"/>
  <c r="AY222" i="8" s="1"/>
  <c r="AH141" i="10"/>
  <c r="AI141" i="10" s="1"/>
  <c r="AM142" i="10" s="1"/>
  <c r="AQ142" i="10" s="1"/>
  <c r="AR142" i="10" s="1"/>
  <c r="AJ141" i="10"/>
  <c r="AJ144" i="8"/>
  <c r="AH144" i="8"/>
  <c r="AL144" i="8" s="1"/>
  <c r="AJ368" i="10"/>
  <c r="AH368" i="10"/>
  <c r="AK368" i="10" s="1"/>
  <c r="AJ359" i="8"/>
  <c r="AH359" i="8"/>
  <c r="AI359" i="8" s="1"/>
  <c r="AM359" i="8" s="1"/>
  <c r="AR359" i="8" s="1"/>
  <c r="AJ238" i="8"/>
  <c r="AH238" i="8"/>
  <c r="AK238" i="8" s="1"/>
  <c r="AX337" i="8"/>
  <c r="AV337" i="8"/>
  <c r="AY337" i="8" s="1"/>
  <c r="AJ51" i="9"/>
  <c r="AH51" i="9"/>
  <c r="AJ278" i="8"/>
  <c r="AH278" i="8"/>
  <c r="AK278" i="8" s="1"/>
  <c r="AJ62" i="9"/>
  <c r="AH62" i="9"/>
  <c r="AL152" i="9"/>
  <c r="AJ152" i="9"/>
  <c r="AH152" i="9"/>
  <c r="AI152" i="9" s="1"/>
  <c r="AM153" i="9" s="1"/>
  <c r="AQ153" i="9" s="1"/>
  <c r="AR153" i="9" s="1"/>
  <c r="AI94" i="9"/>
  <c r="AM94" i="9" s="1"/>
  <c r="AQ94" i="9" s="1"/>
  <c r="AR94" i="9" s="1"/>
  <c r="AH94" i="9"/>
  <c r="AL94" i="9"/>
  <c r="AJ94" i="9"/>
  <c r="AW152" i="8"/>
  <c r="AV152" i="8"/>
  <c r="AY152" i="8" s="1"/>
  <c r="AX152" i="8"/>
  <c r="AJ333" i="10"/>
  <c r="AH333" i="10"/>
  <c r="AK333" i="10" s="1"/>
  <c r="AJ394" i="9"/>
  <c r="AH394" i="9"/>
  <c r="AI394" i="9" s="1"/>
  <c r="AM394" i="9" s="1"/>
  <c r="AQ394" i="9" s="1"/>
  <c r="AR394" i="9" s="1"/>
  <c r="AJ288" i="10"/>
  <c r="AH288" i="10"/>
  <c r="AK288" i="10" s="1"/>
  <c r="AJ108" i="10"/>
  <c r="AH108" i="10"/>
  <c r="AK108" i="10" s="1"/>
  <c r="AV212" i="9"/>
  <c r="AY212" i="9" s="1"/>
  <c r="AX212" i="9"/>
  <c r="AJ173" i="10"/>
  <c r="AH173" i="10"/>
  <c r="AK173" i="10" s="1"/>
  <c r="AV397" i="10"/>
  <c r="AY397" i="10" s="1"/>
  <c r="AX397" i="10"/>
  <c r="AH267" i="9"/>
  <c r="AL267" i="9" s="1"/>
  <c r="AJ267" i="9"/>
  <c r="AV297" i="9"/>
  <c r="AY297" i="9" s="1"/>
  <c r="AX297" i="9"/>
  <c r="AJ293" i="9"/>
  <c r="AH293" i="9"/>
  <c r="AK293" i="9" s="1"/>
  <c r="AJ122" i="10"/>
  <c r="AH122" i="10"/>
  <c r="AL122" i="10" s="1"/>
  <c r="AX362" i="8"/>
  <c r="AV362" i="8"/>
  <c r="AY362" i="8" s="1"/>
  <c r="AJ303" i="8"/>
  <c r="AH303" i="8"/>
  <c r="AK303" i="8" s="1"/>
  <c r="AJ184" i="10"/>
  <c r="AH184" i="10"/>
  <c r="AI184" i="10" s="1"/>
  <c r="AM184" i="10" s="1"/>
  <c r="AQ184" i="10" s="1"/>
  <c r="AR184" i="10" s="1"/>
  <c r="AJ64" i="9"/>
  <c r="AH64" i="9"/>
  <c r="AJ57" i="8"/>
  <c r="AH57" i="8"/>
  <c r="AJ384" i="9"/>
  <c r="AH384" i="9"/>
  <c r="AL384" i="9" s="1"/>
  <c r="AJ27" i="8"/>
  <c r="AH27" i="8"/>
  <c r="AL27" i="8" s="1"/>
  <c r="AJ94" i="8"/>
  <c r="AH94" i="8"/>
  <c r="AL94" i="8" s="1"/>
  <c r="AH263" i="10"/>
  <c r="AK263" i="10" s="1"/>
  <c r="AJ263" i="10"/>
  <c r="AJ42" i="10"/>
  <c r="AH42" i="10"/>
  <c r="AJ228" i="9"/>
  <c r="AH228" i="9"/>
  <c r="AK228" i="9" s="1"/>
  <c r="AX261" i="9"/>
  <c r="AV261" i="9"/>
  <c r="AY261" i="9" s="1"/>
  <c r="AX32" i="8"/>
  <c r="AW32" i="8"/>
  <c r="AV32" i="8"/>
  <c r="AY32" i="8" s="1"/>
  <c r="AH397" i="8"/>
  <c r="AL397" i="8" s="1"/>
  <c r="AJ397" i="8"/>
  <c r="AJ128" i="8"/>
  <c r="AH128" i="8"/>
  <c r="AK128" i="8" s="1"/>
  <c r="AJ362" i="9"/>
  <c r="AH362" i="9"/>
  <c r="AL362" i="9" s="1"/>
  <c r="AL393" i="9"/>
  <c r="AJ393" i="9"/>
  <c r="AH393" i="9"/>
  <c r="AK393" i="9" s="1"/>
  <c r="AJ122" i="8"/>
  <c r="AH122" i="8"/>
  <c r="AH238" i="9"/>
  <c r="AK238" i="9" s="1"/>
  <c r="AJ238" i="9"/>
  <c r="AI92" i="8"/>
  <c r="AM93" i="8" s="1"/>
  <c r="AR93" i="8" s="1"/>
  <c r="AH92" i="8"/>
  <c r="AL92" i="8" s="1"/>
  <c r="AJ92" i="8"/>
  <c r="AX61" i="10"/>
  <c r="AV61" i="10"/>
  <c r="AY61" i="10" s="1"/>
  <c r="AJ344" i="8"/>
  <c r="AH344" i="8"/>
  <c r="AI359" i="10"/>
  <c r="AM359" i="10" s="1"/>
  <c r="AQ359" i="10" s="1"/>
  <c r="AR359" i="10" s="1"/>
  <c r="AH359" i="10"/>
  <c r="AL359" i="10" s="1"/>
  <c r="AJ359" i="10"/>
  <c r="AH357" i="9"/>
  <c r="AI357" i="9" s="1"/>
  <c r="AM358" i="9" s="1"/>
  <c r="AQ358" i="9" s="1"/>
  <c r="AR358" i="9" s="1"/>
  <c r="AJ357" i="9"/>
  <c r="AJ93" i="8"/>
  <c r="AH93" i="8"/>
  <c r="AK93" i="8" s="1"/>
  <c r="AH229" i="8"/>
  <c r="AL229" i="8" s="1"/>
  <c r="AJ229" i="8"/>
  <c r="AJ324" i="8"/>
  <c r="AH324" i="8"/>
  <c r="AI324" i="8" s="1"/>
  <c r="AM324" i="8" s="1"/>
  <c r="AR324" i="8" s="1"/>
  <c r="AV377" i="9"/>
  <c r="AY377" i="9" s="1"/>
  <c r="AX377" i="9"/>
  <c r="AX267" i="10"/>
  <c r="AV267" i="10"/>
  <c r="AY267" i="10" s="1"/>
  <c r="AJ283" i="8"/>
  <c r="AH283" i="8"/>
  <c r="AK283" i="8" s="1"/>
  <c r="AX287" i="9"/>
  <c r="AV287" i="9"/>
  <c r="AY287" i="9" s="1"/>
  <c r="AJ67" i="9"/>
  <c r="AH67" i="9"/>
  <c r="AH74" i="10"/>
  <c r="AI74" i="10" s="1"/>
  <c r="AM74" i="10" s="1"/>
  <c r="AQ74" i="10" s="1"/>
  <c r="AR74" i="10" s="1"/>
  <c r="AJ74" i="10"/>
  <c r="AJ284" i="9"/>
  <c r="AH284" i="9"/>
  <c r="AJ319" i="10"/>
  <c r="AH319" i="10"/>
  <c r="AI319" i="10" s="1"/>
  <c r="AM319" i="10" s="1"/>
  <c r="AQ319" i="10" s="1"/>
  <c r="AR319" i="10" s="1"/>
  <c r="AJ277" i="9"/>
  <c r="AH277" i="9"/>
  <c r="AL277" i="9" s="1"/>
  <c r="AH358" i="10"/>
  <c r="AK358" i="10" s="1"/>
  <c r="AJ358" i="10"/>
  <c r="AJ203" i="10"/>
  <c r="AH203" i="10"/>
  <c r="AK203" i="10" s="1"/>
  <c r="AL77" i="9"/>
  <c r="AJ77" i="9"/>
  <c r="AI77" i="9"/>
  <c r="AM78" i="9" s="1"/>
  <c r="AQ78" i="9" s="1"/>
  <c r="AR78" i="9" s="1"/>
  <c r="AH77" i="9"/>
  <c r="AX87" i="8"/>
  <c r="AV87" i="8"/>
  <c r="AY87" i="8" s="1"/>
  <c r="AJ117" i="8"/>
  <c r="AH117" i="8"/>
  <c r="AL117" i="8" s="1"/>
  <c r="C15" i="9"/>
  <c r="AX36" i="10"/>
  <c r="AV36" i="10"/>
  <c r="AY36" i="10" s="1"/>
  <c r="AJ377" i="9"/>
  <c r="AH377" i="9"/>
  <c r="AL377" i="9" s="1"/>
  <c r="AJ278" i="9"/>
  <c r="AH278" i="9"/>
  <c r="AK278" i="9" s="1"/>
  <c r="AX342" i="10"/>
  <c r="AV342" i="10"/>
  <c r="AY342" i="10" s="1"/>
  <c r="AJ197" i="9"/>
  <c r="AH197" i="9"/>
  <c r="AI197" i="9" s="1"/>
  <c r="AM198" i="9" s="1"/>
  <c r="AQ198" i="9" s="1"/>
  <c r="AR198" i="9" s="1"/>
  <c r="C13" i="9"/>
  <c r="C17" i="9" s="1"/>
  <c r="D17" i="11" s="1"/>
  <c r="AJ174" i="9"/>
  <c r="AH174" i="9"/>
  <c r="AI174" i="9" s="1"/>
  <c r="AM174" i="9" s="1"/>
  <c r="AQ174" i="9" s="1"/>
  <c r="AR174" i="9" s="1"/>
  <c r="AJ153" i="10"/>
  <c r="AH153" i="10"/>
  <c r="AK153" i="10" s="1"/>
  <c r="AX322" i="8"/>
  <c r="AV322" i="8"/>
  <c r="AY322" i="8" s="1"/>
  <c r="AJ239" i="8"/>
  <c r="AH239" i="8"/>
  <c r="AL239" i="8" s="1"/>
  <c r="AV141" i="9"/>
  <c r="AY141" i="9" s="1"/>
  <c r="AX141" i="9"/>
  <c r="AH422" i="9"/>
  <c r="AL422" i="9" s="1"/>
  <c r="AJ422" i="9"/>
  <c r="AK132" i="9"/>
  <c r="AX257" i="8"/>
  <c r="AV257" i="8"/>
  <c r="AY257" i="8" s="1"/>
  <c r="AV232" i="8"/>
  <c r="AY232" i="8" s="1"/>
  <c r="AX232" i="8"/>
  <c r="AZ51" i="10"/>
  <c r="AX51" i="10"/>
  <c r="AV51" i="10"/>
  <c r="AY51" i="10" s="1"/>
  <c r="AL262" i="8"/>
  <c r="AJ262" i="8"/>
  <c r="AI262" i="8"/>
  <c r="AM263" i="8" s="1"/>
  <c r="AR263" i="8" s="1"/>
  <c r="AH262" i="8"/>
  <c r="AJ292" i="8"/>
  <c r="AH292" i="8"/>
  <c r="AL292" i="8" s="1"/>
  <c r="AX327" i="9"/>
  <c r="AV327" i="9"/>
  <c r="AY327" i="9" s="1"/>
  <c r="AJ261" i="10"/>
  <c r="AH261" i="10"/>
  <c r="AL261" i="10" s="1"/>
  <c r="AJ247" i="10"/>
  <c r="AH247" i="10"/>
  <c r="AI247" i="10" s="1"/>
  <c r="AM248" i="10" s="1"/>
  <c r="AQ248" i="10" s="1"/>
  <c r="AR248" i="10" s="1"/>
  <c r="AJ372" i="9"/>
  <c r="AH372" i="9"/>
  <c r="AL372" i="9" s="1"/>
  <c r="AK264" i="9"/>
  <c r="AJ173" i="9"/>
  <c r="AH173" i="9"/>
  <c r="AK173" i="9" s="1"/>
  <c r="AJ373" i="9"/>
  <c r="AH373" i="9"/>
  <c r="AK373" i="9" s="1"/>
  <c r="AK289" i="9"/>
  <c r="AK209" i="8"/>
  <c r="AJ239" i="10"/>
  <c r="AH239" i="10"/>
  <c r="AH349" i="8"/>
  <c r="AL349" i="8" s="1"/>
  <c r="AJ349" i="8"/>
  <c r="AV392" i="8"/>
  <c r="AY392" i="8" s="1"/>
  <c r="AX392" i="8"/>
  <c r="AJ359" i="9"/>
  <c r="AH359" i="9"/>
  <c r="AI359" i="9" s="1"/>
  <c r="AM359" i="9" s="1"/>
  <c r="AQ359" i="9" s="1"/>
  <c r="AR359" i="9" s="1"/>
  <c r="AI188" i="10"/>
  <c r="AJ219" i="10"/>
  <c r="AH219" i="10"/>
  <c r="AI219" i="10" s="1"/>
  <c r="AM219" i="10" s="1"/>
  <c r="AQ219" i="10" s="1"/>
  <c r="AR219" i="10" s="1"/>
  <c r="AJ323" i="8"/>
  <c r="AH323" i="8"/>
  <c r="AK323" i="8" s="1"/>
  <c r="AI203" i="9"/>
  <c r="AH39" i="8"/>
  <c r="AI39" i="8" s="1"/>
  <c r="AM39" i="8" s="1"/>
  <c r="AR39" i="8" s="1"/>
  <c r="AJ39" i="8"/>
  <c r="AI329" i="9"/>
  <c r="AM329" i="9" s="1"/>
  <c r="AQ329" i="9" s="1"/>
  <c r="AR329" i="9" s="1"/>
  <c r="AT329" i="9" s="1"/>
  <c r="AI343" i="10"/>
  <c r="AK154" i="9"/>
  <c r="AJ263" i="8"/>
  <c r="AH263" i="8"/>
  <c r="AK263" i="8" s="1"/>
  <c r="AJ383" i="8"/>
  <c r="AH383" i="8"/>
  <c r="AK383" i="8" s="1"/>
  <c r="AJ314" i="10"/>
  <c r="AH314" i="10"/>
  <c r="AL314" i="10" s="1"/>
  <c r="AH162" i="8"/>
  <c r="AI162" i="8" s="1"/>
  <c r="AM163" i="8" s="1"/>
  <c r="AR163" i="8" s="1"/>
  <c r="AJ162" i="8"/>
  <c r="AJ302" i="9"/>
  <c r="AH302" i="9"/>
  <c r="AI302" i="9" s="1"/>
  <c r="AM303" i="9" s="1"/>
  <c r="AQ303" i="9" s="1"/>
  <c r="AR303" i="9" s="1"/>
  <c r="AJ104" i="8"/>
  <c r="AH104" i="8"/>
  <c r="AL104" i="8" s="1"/>
  <c r="AK329" i="8"/>
  <c r="AL288" i="8"/>
  <c r="AJ288" i="8"/>
  <c r="AH288" i="8"/>
  <c r="AK288" i="8" s="1"/>
  <c r="AH47" i="10"/>
  <c r="AL47" i="10" s="1"/>
  <c r="AJ47" i="10"/>
  <c r="AJ44" i="9"/>
  <c r="AH44" i="9"/>
  <c r="AI44" i="9" s="1"/>
  <c r="AM44" i="9" s="1"/>
  <c r="AQ44" i="9" s="1"/>
  <c r="AR44" i="9" s="1"/>
  <c r="AV147" i="10"/>
  <c r="AY147" i="10" s="1"/>
  <c r="AZ147" i="10"/>
  <c r="AX147" i="10"/>
  <c r="AJ142" i="10"/>
  <c r="AH142" i="10"/>
  <c r="AL142" i="10" s="1"/>
  <c r="AI387" i="8"/>
  <c r="AM388" i="8" s="1"/>
  <c r="AR388" i="8" s="1"/>
  <c r="AH63" i="8"/>
  <c r="AK63" i="8" s="1"/>
  <c r="AJ63" i="8"/>
  <c r="AH309" i="8"/>
  <c r="AL309" i="8" s="1"/>
  <c r="AJ309" i="8"/>
  <c r="AJ414" i="8"/>
  <c r="AH414" i="8"/>
  <c r="AI414" i="8" s="1"/>
  <c r="AM414" i="8" s="1"/>
  <c r="AR414" i="8" s="1"/>
  <c r="AJ369" i="8"/>
  <c r="AH369" i="8"/>
  <c r="AL369" i="8" s="1"/>
  <c r="AX417" i="8"/>
  <c r="AV417" i="8"/>
  <c r="AY417" i="8" s="1"/>
  <c r="AX292" i="8"/>
  <c r="AV292" i="8"/>
  <c r="AY292" i="8" s="1"/>
  <c r="AK282" i="8"/>
  <c r="AH322" i="8"/>
  <c r="AL322" i="8" s="1"/>
  <c r="AJ322" i="8"/>
  <c r="AJ388" i="9"/>
  <c r="AH388" i="9"/>
  <c r="AK388" i="9" s="1"/>
  <c r="AK192" i="8"/>
  <c r="AJ322" i="10"/>
  <c r="AH322" i="10"/>
  <c r="AI322" i="10" s="1"/>
  <c r="AM323" i="10" s="1"/>
  <c r="AQ323" i="10" s="1"/>
  <c r="AR323" i="10" s="1"/>
  <c r="AI264" i="9"/>
  <c r="AM264" i="9" s="1"/>
  <c r="AQ264" i="9" s="1"/>
  <c r="AR264" i="9" s="1"/>
  <c r="AT264" i="9" s="1"/>
  <c r="AJ84" i="9"/>
  <c r="AH84" i="9"/>
  <c r="AI84" i="9" s="1"/>
  <c r="AM84" i="9" s="1"/>
  <c r="AQ84" i="9" s="1"/>
  <c r="AR84" i="9" s="1"/>
  <c r="AI294" i="9"/>
  <c r="AM294" i="9" s="1"/>
  <c r="AQ294" i="9" s="1"/>
  <c r="AR294" i="9" s="1"/>
  <c r="AT294" i="9" s="1"/>
  <c r="AJ322" i="9"/>
  <c r="AH322" i="9"/>
  <c r="AI322" i="9" s="1"/>
  <c r="AM323" i="9" s="1"/>
  <c r="AQ323" i="9" s="1"/>
  <c r="AR323" i="9" s="1"/>
  <c r="AJ42" i="8"/>
  <c r="AH42" i="8"/>
  <c r="AL42" i="8" s="1"/>
  <c r="AW267" i="9"/>
  <c r="AK42" i="9"/>
  <c r="AW157" i="10"/>
  <c r="AI323" i="9"/>
  <c r="AI123" i="10"/>
  <c r="AI289" i="9"/>
  <c r="AM289" i="9" s="1"/>
  <c r="AQ289" i="9" s="1"/>
  <c r="AR289" i="9" s="1"/>
  <c r="AT289" i="9" s="1"/>
  <c r="AW177" i="9"/>
  <c r="AI177" i="10"/>
  <c r="AM178" i="10" s="1"/>
  <c r="AQ178" i="10" s="1"/>
  <c r="AR178" i="10" s="1"/>
  <c r="AW77" i="10"/>
  <c r="AI209" i="8"/>
  <c r="AM209" i="8" s="1"/>
  <c r="AR209" i="8" s="1"/>
  <c r="AT209" i="8" s="1"/>
  <c r="AI303" i="9"/>
  <c r="AX307" i="10"/>
  <c r="AV307" i="10"/>
  <c r="AY307" i="10" s="1"/>
  <c r="AL163" i="8"/>
  <c r="AT378" i="10"/>
  <c r="AK377" i="10"/>
  <c r="AJ113" i="8"/>
  <c r="AH113" i="8"/>
  <c r="AK113" i="8" s="1"/>
  <c r="AJ82" i="8"/>
  <c r="AH82" i="8"/>
  <c r="AX212" i="10"/>
  <c r="AV212" i="10"/>
  <c r="AY212" i="10" s="1"/>
  <c r="AJ68" i="10"/>
  <c r="AH68" i="10"/>
  <c r="AK68" i="10" s="1"/>
  <c r="AX101" i="9"/>
  <c r="AV101" i="9"/>
  <c r="AY101" i="9" s="1"/>
  <c r="AJ204" i="8"/>
  <c r="AH204" i="8"/>
  <c r="AL204" i="8" s="1"/>
  <c r="AL244" i="9"/>
  <c r="AJ244" i="9"/>
  <c r="AH244" i="9"/>
  <c r="AI244" i="9" s="1"/>
  <c r="AM244" i="9" s="1"/>
  <c r="AQ244" i="9" s="1"/>
  <c r="AR244" i="9" s="1"/>
  <c r="AI267" i="8"/>
  <c r="AM268" i="8" s="1"/>
  <c r="AR268" i="8" s="1"/>
  <c r="AT268" i="8" s="1"/>
  <c r="AK122" i="9"/>
  <c r="AT123" i="9"/>
  <c r="AT149" i="9"/>
  <c r="AK149" i="9"/>
  <c r="AK207" i="9"/>
  <c r="AT208" i="9"/>
  <c r="AJ217" i="9"/>
  <c r="AH217" i="9"/>
  <c r="AJ54" i="9"/>
  <c r="AH54" i="9"/>
  <c r="AL54" i="9" s="1"/>
  <c r="AJ212" i="8"/>
  <c r="AH212" i="8"/>
  <c r="AI212" i="8" s="1"/>
  <c r="AM213" i="8" s="1"/>
  <c r="AR213" i="8" s="1"/>
  <c r="AJ58" i="8"/>
  <c r="AH58" i="8"/>
  <c r="AK58" i="8" s="1"/>
  <c r="AL103" i="9"/>
  <c r="AL153" i="8"/>
  <c r="AJ328" i="8"/>
  <c r="AH328" i="8"/>
  <c r="AK328" i="8" s="1"/>
  <c r="AV51" i="9"/>
  <c r="AY51" i="9" s="1"/>
  <c r="AX51" i="9"/>
  <c r="AX412" i="8"/>
  <c r="AV412" i="8"/>
  <c r="AY412" i="8" s="1"/>
  <c r="AJ71" i="10"/>
  <c r="AH71" i="10"/>
  <c r="AL71" i="10" s="1"/>
  <c r="AJ74" i="9"/>
  <c r="AH74" i="9"/>
  <c r="AJ302" i="10"/>
  <c r="AH302" i="10"/>
  <c r="AL302" i="10" s="1"/>
  <c r="AJ352" i="8"/>
  <c r="AH352" i="8"/>
  <c r="AJ53" i="8"/>
  <c r="AH53" i="8"/>
  <c r="AK53" i="8" s="1"/>
  <c r="AJ419" i="8"/>
  <c r="AH419" i="8"/>
  <c r="AH338" i="8"/>
  <c r="AK338" i="8" s="1"/>
  <c r="AJ338" i="8"/>
  <c r="AJ287" i="8"/>
  <c r="AH287" i="8"/>
  <c r="AL287" i="8" s="1"/>
  <c r="AW107" i="9"/>
  <c r="AL244" i="10"/>
  <c r="AJ244" i="10"/>
  <c r="AH244" i="10"/>
  <c r="AI244" i="10" s="1"/>
  <c r="AM244" i="10" s="1"/>
  <c r="AQ244" i="10" s="1"/>
  <c r="AR244" i="10" s="1"/>
  <c r="AI154" i="9"/>
  <c r="AM154" i="9" s="1"/>
  <c r="AQ154" i="9" s="1"/>
  <c r="AR154" i="9" s="1"/>
  <c r="AT154" i="9" s="1"/>
  <c r="AX407" i="9"/>
  <c r="AV407" i="9"/>
  <c r="AY407" i="9" s="1"/>
  <c r="AI258" i="8"/>
  <c r="AI338" i="9"/>
  <c r="AJ354" i="9"/>
  <c r="AH354" i="9"/>
  <c r="AL354" i="9"/>
  <c r="AI254" i="10"/>
  <c r="AM254" i="10" s="1"/>
  <c r="AQ254" i="10" s="1"/>
  <c r="AR254" i="10" s="1"/>
  <c r="AK297" i="9"/>
  <c r="AT298" i="9"/>
  <c r="AJ301" i="10"/>
  <c r="AH301" i="10"/>
  <c r="AJ117" i="9"/>
  <c r="AH117" i="9"/>
  <c r="AI117" i="9" s="1"/>
  <c r="AM118" i="9" s="1"/>
  <c r="AQ118" i="9" s="1"/>
  <c r="AR118" i="9" s="1"/>
  <c r="AJ339" i="8"/>
  <c r="AH339" i="8"/>
  <c r="AJ342" i="10"/>
  <c r="AH342" i="10"/>
  <c r="AH157" i="10"/>
  <c r="AI157" i="10" s="1"/>
  <c r="AM158" i="10" s="1"/>
  <c r="AQ158" i="10" s="1"/>
  <c r="AR158" i="10" s="1"/>
  <c r="AJ157" i="10"/>
  <c r="AX387" i="9"/>
  <c r="AV387" i="9"/>
  <c r="AY387" i="9" s="1"/>
  <c r="AI259" i="10"/>
  <c r="AM259" i="10" s="1"/>
  <c r="AQ259" i="10" s="1"/>
  <c r="AR259" i="10" s="1"/>
  <c r="AK287" i="9"/>
  <c r="AT288" i="9"/>
  <c r="AJ132" i="10"/>
  <c r="AH132" i="10"/>
  <c r="AL132" i="10" s="1"/>
  <c r="AH242" i="8"/>
  <c r="AL242" i="8" s="1"/>
  <c r="AJ242" i="8"/>
  <c r="AV342" i="9"/>
  <c r="AY342" i="9" s="1"/>
  <c r="AX342" i="9"/>
  <c r="AT58" i="10"/>
  <c r="AK57" i="10"/>
  <c r="AX72" i="8"/>
  <c r="AV72" i="8"/>
  <c r="AY72" i="8" s="1"/>
  <c r="AV117" i="8"/>
  <c r="AY117" i="8" s="1"/>
  <c r="AX117" i="8"/>
  <c r="AH37" i="9"/>
  <c r="AI37" i="9" s="1"/>
  <c r="AM38" i="9" s="1"/>
  <c r="AQ38" i="9" s="1"/>
  <c r="AR38" i="9" s="1"/>
  <c r="AJ37" i="9"/>
  <c r="AI108" i="9"/>
  <c r="AH357" i="8"/>
  <c r="AL357" i="8" s="1"/>
  <c r="AJ357" i="8"/>
  <c r="AJ269" i="9"/>
  <c r="AH269" i="9"/>
  <c r="AI269" i="9" s="1"/>
  <c r="AM269" i="9" s="1"/>
  <c r="AQ269" i="9" s="1"/>
  <c r="AR269" i="9" s="1"/>
  <c r="AI329" i="8"/>
  <c r="AM329" i="8" s="1"/>
  <c r="AR329" i="8" s="1"/>
  <c r="AT329" i="8" s="1"/>
  <c r="AT49" i="9"/>
  <c r="AK49" i="9"/>
  <c r="AT89" i="8"/>
  <c r="AK89" i="8"/>
  <c r="AZ282" i="9"/>
  <c r="AL268" i="9"/>
  <c r="AI223" i="9"/>
  <c r="AH198" i="9"/>
  <c r="AK198" i="9" s="1"/>
  <c r="AJ198" i="9"/>
  <c r="AH73" i="9"/>
  <c r="AK73" i="9" s="1"/>
  <c r="AJ73" i="9"/>
  <c r="AI98" i="9"/>
  <c r="AZ237" i="9"/>
  <c r="AK289" i="10"/>
  <c r="AT289" i="10"/>
  <c r="AH254" i="9"/>
  <c r="AL254" i="9" s="1"/>
  <c r="AJ254" i="9"/>
  <c r="AV71" i="10"/>
  <c r="AY71" i="10" s="1"/>
  <c r="AX71" i="10"/>
  <c r="E31" i="11"/>
  <c r="AH69" i="9"/>
  <c r="AJ69" i="9"/>
  <c r="AX117" i="9"/>
  <c r="AV117" i="9"/>
  <c r="AY117" i="9" s="1"/>
  <c r="AH332" i="10"/>
  <c r="AJ332" i="10"/>
  <c r="AT199" i="9"/>
  <c r="AK199" i="9"/>
  <c r="AJ194" i="9"/>
  <c r="AH194" i="9"/>
  <c r="AL194" i="9" s="1"/>
  <c r="AI152" i="10"/>
  <c r="AM153" i="10" s="1"/>
  <c r="AQ153" i="10" s="1"/>
  <c r="AR153" i="10" s="1"/>
  <c r="AT234" i="8"/>
  <c r="AK234" i="8"/>
  <c r="AL138" i="10"/>
  <c r="AZ257" i="9"/>
  <c r="AX287" i="8"/>
  <c r="AV287" i="8"/>
  <c r="AY287" i="8" s="1"/>
  <c r="AX377" i="8"/>
  <c r="AV377" i="8"/>
  <c r="AY377" i="8" s="1"/>
  <c r="AK234" i="10"/>
  <c r="AT234" i="10"/>
  <c r="AI282" i="8"/>
  <c r="AM283" i="8" s="1"/>
  <c r="AR283" i="8" s="1"/>
  <c r="AT283" i="8" s="1"/>
  <c r="AI129" i="9"/>
  <c r="AM129" i="9" s="1"/>
  <c r="AQ129" i="9" s="1"/>
  <c r="AR129" i="9" s="1"/>
  <c r="AT129" i="9" s="1"/>
  <c r="AL298" i="8"/>
  <c r="AJ348" i="8"/>
  <c r="AH348" i="8"/>
  <c r="AK348" i="8" s="1"/>
  <c r="AT114" i="10"/>
  <c r="AK114" i="10"/>
  <c r="AZ42" i="10"/>
  <c r="AI192" i="8"/>
  <c r="AM193" i="8" s="1"/>
  <c r="AR193" i="8" s="1"/>
  <c r="AT193" i="8" s="1"/>
  <c r="AT173" i="9"/>
  <c r="AK172" i="9"/>
  <c r="AK282" i="10"/>
  <c r="AK159" i="9"/>
  <c r="AI42" i="9"/>
  <c r="AM43" i="9" s="1"/>
  <c r="AQ43" i="9" s="1"/>
  <c r="AR43" i="9" s="1"/>
  <c r="AT43" i="9" s="1"/>
  <c r="AK232" i="10"/>
  <c r="AW292" i="10"/>
  <c r="AT354" i="8"/>
  <c r="AK354" i="8"/>
  <c r="AI183" i="8"/>
  <c r="AI103" i="10"/>
  <c r="AX112" i="8"/>
  <c r="AV112" i="8"/>
  <c r="AY112" i="8" s="1"/>
  <c r="AH384" i="10"/>
  <c r="AI384" i="10" s="1"/>
  <c r="AM384" i="10" s="1"/>
  <c r="AQ384" i="10" s="1"/>
  <c r="AR384" i="10" s="1"/>
  <c r="AJ384" i="10"/>
  <c r="AJ148" i="8"/>
  <c r="AH148" i="8"/>
  <c r="AK148" i="8" s="1"/>
  <c r="AX332" i="8"/>
  <c r="AV332" i="8"/>
  <c r="AY332" i="8" s="1"/>
  <c r="AX52" i="8"/>
  <c r="AV52" i="8"/>
  <c r="AY52" i="8" s="1"/>
  <c r="AH178" i="8"/>
  <c r="AK178" i="8" s="1"/>
  <c r="AJ178" i="8"/>
  <c r="AJ159" i="8"/>
  <c r="AH159" i="8"/>
  <c r="AL159" i="8" s="1"/>
  <c r="AL318" i="10"/>
  <c r="AJ318" i="10"/>
  <c r="AH318" i="10"/>
  <c r="AK318" i="10" s="1"/>
  <c r="AJ258" i="9"/>
  <c r="AH258" i="9"/>
  <c r="AK258" i="9" s="1"/>
  <c r="AJ233" i="10"/>
  <c r="AH233" i="10"/>
  <c r="AK233" i="10" s="1"/>
  <c r="AK202" i="9"/>
  <c r="AJ184" i="9"/>
  <c r="AH184" i="9"/>
  <c r="AI184" i="9" s="1"/>
  <c r="AM184" i="9" s="1"/>
  <c r="AQ184" i="9" s="1"/>
  <c r="AR184" i="9" s="1"/>
  <c r="AT169" i="8"/>
  <c r="AK169" i="8"/>
  <c r="AJ197" i="10"/>
  <c r="AH197" i="10"/>
  <c r="AI197" i="10" s="1"/>
  <c r="AM198" i="10" s="1"/>
  <c r="AQ198" i="10" s="1"/>
  <c r="AR198" i="10" s="1"/>
  <c r="AH36" i="10"/>
  <c r="AI36" i="10" s="1"/>
  <c r="AM37" i="10" s="1"/>
  <c r="AQ37" i="10" s="1"/>
  <c r="AR37" i="10" s="1"/>
  <c r="AJ36" i="10"/>
  <c r="AX302" i="8"/>
  <c r="AV302" i="8"/>
  <c r="AY302" i="8" s="1"/>
  <c r="AJ198" i="8"/>
  <c r="AH198" i="8"/>
  <c r="AK198" i="8" s="1"/>
  <c r="AJ54" i="8"/>
  <c r="AH54" i="8"/>
  <c r="AL54" i="8" s="1"/>
  <c r="AJ203" i="8"/>
  <c r="AH203" i="8"/>
  <c r="AK203" i="8" s="1"/>
  <c r="AX282" i="8"/>
  <c r="AV282" i="8"/>
  <c r="AY282" i="8" s="1"/>
  <c r="AJ141" i="9"/>
  <c r="AH141" i="9"/>
  <c r="AI141" i="9" s="1"/>
  <c r="AM142" i="9" s="1"/>
  <c r="AQ142" i="9" s="1"/>
  <c r="AR142" i="9" s="1"/>
  <c r="AJ397" i="10"/>
  <c r="AH397" i="10"/>
  <c r="AI397" i="10" s="1"/>
  <c r="AM398" i="10" s="1"/>
  <c r="AQ398" i="10" s="1"/>
  <c r="AR398" i="10" s="1"/>
  <c r="AJ367" i="9"/>
  <c r="AH367" i="9"/>
  <c r="AI367" i="9" s="1"/>
  <c r="AM368" i="9" s="1"/>
  <c r="AQ368" i="9" s="1"/>
  <c r="AR368" i="9" s="1"/>
  <c r="AK27" i="10"/>
  <c r="AT28" i="10"/>
  <c r="AX97" i="10"/>
  <c r="AV97" i="10"/>
  <c r="AY97" i="10" s="1"/>
  <c r="AJ272" i="8"/>
  <c r="AH272" i="8"/>
  <c r="AK209" i="10"/>
  <c r="AT209" i="10"/>
  <c r="AJ299" i="8"/>
  <c r="AH299" i="8"/>
  <c r="AK374" i="9"/>
  <c r="AJ63" i="9"/>
  <c r="AH63" i="9"/>
  <c r="AK63" i="9" s="1"/>
  <c r="AX97" i="8"/>
  <c r="AV97" i="8"/>
  <c r="AY97" i="8" s="1"/>
  <c r="AK389" i="9"/>
  <c r="AT389" i="9"/>
  <c r="AH61" i="9"/>
  <c r="AI61" i="9" s="1"/>
  <c r="AM62" i="9" s="1"/>
  <c r="AQ62" i="9" s="1"/>
  <c r="AR62" i="9" s="1"/>
  <c r="AJ61" i="9"/>
  <c r="AX262" i="8"/>
  <c r="AV262" i="8"/>
  <c r="AY262" i="8" s="1"/>
  <c r="AH134" i="9"/>
  <c r="AL134" i="9" s="1"/>
  <c r="AJ134" i="9"/>
  <c r="AI254" i="8"/>
  <c r="AM254" i="8" s="1"/>
  <c r="AR254" i="8" s="1"/>
  <c r="AT254" i="8" s="1"/>
  <c r="AJ32" i="10"/>
  <c r="AH32" i="10"/>
  <c r="AI32" i="10" s="1"/>
  <c r="AM33" i="10" s="1"/>
  <c r="AQ33" i="10" s="1"/>
  <c r="AR33" i="10" s="1"/>
  <c r="AJ407" i="8"/>
  <c r="AH407" i="8"/>
  <c r="AL407" i="8" s="1"/>
  <c r="AI158" i="10"/>
  <c r="AJ92" i="9"/>
  <c r="AH92" i="9"/>
  <c r="AL92" i="9" s="1"/>
  <c r="AK417" i="10"/>
  <c r="AT418" i="10"/>
  <c r="AL132" i="9"/>
  <c r="AX112" i="10"/>
  <c r="AV112" i="10"/>
  <c r="AY112" i="10" s="1"/>
  <c r="AX422" i="9"/>
  <c r="AV422" i="9"/>
  <c r="AY422" i="9" s="1"/>
  <c r="D16" i="7"/>
  <c r="AJ51" i="10"/>
  <c r="AH51" i="10"/>
  <c r="AL51" i="10" s="1"/>
  <c r="AJ378" i="9"/>
  <c r="AH378" i="9"/>
  <c r="AK378" i="9" s="1"/>
  <c r="AX217" i="10"/>
  <c r="AV217" i="10"/>
  <c r="AY217" i="10" s="1"/>
  <c r="AJ424" i="10"/>
  <c r="AH424" i="10"/>
  <c r="AL424" i="10" s="1"/>
  <c r="AX152" i="10"/>
  <c r="AV152" i="10"/>
  <c r="AY152" i="10" s="1"/>
  <c r="AZ152" i="10"/>
  <c r="AL348" i="9"/>
  <c r="AK314" i="9"/>
  <c r="AH218" i="8"/>
  <c r="AK218" i="8" s="1"/>
  <c r="AJ218" i="8"/>
  <c r="AL27" i="9"/>
  <c r="AJ139" i="9"/>
  <c r="AH139" i="9"/>
  <c r="AJ228" i="8"/>
  <c r="AH228" i="8"/>
  <c r="AK228" i="8" s="1"/>
  <c r="AX402" i="8"/>
  <c r="AV402" i="8"/>
  <c r="AY402" i="8" s="1"/>
  <c r="AX202" i="8"/>
  <c r="AV202" i="8"/>
  <c r="AY202" i="8" s="1"/>
  <c r="AZ202" i="8"/>
  <c r="AX172" i="9"/>
  <c r="AV172" i="9"/>
  <c r="AY172" i="9" s="1"/>
  <c r="AX242" i="8"/>
  <c r="AV242" i="8"/>
  <c r="AY242" i="8" s="1"/>
  <c r="AX217" i="8"/>
  <c r="AV217" i="8"/>
  <c r="AY217" i="8" s="1"/>
  <c r="AJ334" i="10"/>
  <c r="AH334" i="10"/>
  <c r="AI334" i="10" s="1"/>
  <c r="AM334" i="10" s="1"/>
  <c r="AQ334" i="10" s="1"/>
  <c r="AR334" i="10" s="1"/>
  <c r="AJ101" i="10"/>
  <c r="AH101" i="10"/>
  <c r="AI101" i="10" s="1"/>
  <c r="AM102" i="10" s="1"/>
  <c r="AQ102" i="10" s="1"/>
  <c r="AR102" i="10" s="1"/>
  <c r="AJ218" i="9"/>
  <c r="AH218" i="9"/>
  <c r="AK218" i="9" s="1"/>
  <c r="AX312" i="10"/>
  <c r="AV312" i="10"/>
  <c r="AY312" i="10" s="1"/>
  <c r="AJ33" i="9"/>
  <c r="AH33" i="9"/>
  <c r="AK33" i="9" s="1"/>
  <c r="AJ93" i="9"/>
  <c r="AH93" i="9"/>
  <c r="AK93" i="9" s="1"/>
  <c r="AZ82" i="9"/>
  <c r="AH34" i="9"/>
  <c r="AI34" i="9" s="1"/>
  <c r="AM34" i="9" s="1"/>
  <c r="AQ34" i="9" s="1"/>
  <c r="AR34" i="9" s="1"/>
  <c r="AJ34" i="9"/>
  <c r="AJ424" i="8"/>
  <c r="AH424" i="8"/>
  <c r="AI424" i="8" s="1"/>
  <c r="AM424" i="8" s="1"/>
  <c r="AR424" i="8" s="1"/>
  <c r="AJ222" i="10"/>
  <c r="AH222" i="10"/>
  <c r="AI222" i="10" s="1"/>
  <c r="AM223" i="10" s="1"/>
  <c r="AQ223" i="10" s="1"/>
  <c r="AR223" i="10" s="1"/>
  <c r="AL343" i="10"/>
  <c r="AH407" i="10"/>
  <c r="AL407" i="10" s="1"/>
  <c r="AJ407" i="10"/>
  <c r="AH243" i="9"/>
  <c r="AK243" i="9" s="1"/>
  <c r="AJ243" i="9"/>
  <c r="AK107" i="10"/>
  <c r="AJ137" i="9"/>
  <c r="AH137" i="9"/>
  <c r="AX252" i="10"/>
  <c r="AV252" i="10"/>
  <c r="AY252" i="10" s="1"/>
  <c r="AJ178" i="9"/>
  <c r="AH178" i="9"/>
  <c r="AK178" i="9" s="1"/>
  <c r="AJ184" i="8"/>
  <c r="AH184" i="8"/>
  <c r="AJ47" i="9"/>
  <c r="AH47" i="9"/>
  <c r="AI47" i="9" s="1"/>
  <c r="AM48" i="9" s="1"/>
  <c r="AQ48" i="9" s="1"/>
  <c r="AR48" i="9" s="1"/>
  <c r="AX47" i="10"/>
  <c r="AV47" i="10"/>
  <c r="AY47" i="10" s="1"/>
  <c r="AX207" i="9"/>
  <c r="AV207" i="9"/>
  <c r="AY207" i="9" s="1"/>
  <c r="AL358" i="9"/>
  <c r="AJ147" i="10"/>
  <c r="AH147" i="10"/>
  <c r="AL147" i="10" s="1"/>
  <c r="AL202" i="9"/>
  <c r="AV192" i="10"/>
  <c r="AY192" i="10" s="1"/>
  <c r="AX192" i="10"/>
  <c r="AJ324" i="9"/>
  <c r="AH324" i="9"/>
  <c r="AK264" i="8"/>
  <c r="AK292" i="9"/>
  <c r="AH333" i="8"/>
  <c r="AK333" i="8" s="1"/>
  <c r="AJ333" i="8"/>
  <c r="AJ224" i="9"/>
  <c r="AH224" i="9"/>
  <c r="AI224" i="9" s="1"/>
  <c r="AM224" i="9" s="1"/>
  <c r="AQ224" i="9" s="1"/>
  <c r="AR224" i="9" s="1"/>
  <c r="AH113" i="9"/>
  <c r="AK113" i="9" s="1"/>
  <c r="AL113" i="9"/>
  <c r="AJ113" i="9"/>
  <c r="AH154" i="8"/>
  <c r="AL154" i="8" s="1"/>
  <c r="AJ154" i="8"/>
  <c r="AH197" i="8"/>
  <c r="AI197" i="8" s="1"/>
  <c r="AM198" i="8" s="1"/>
  <c r="AR198" i="8" s="1"/>
  <c r="AJ197" i="8"/>
  <c r="AH299" i="9"/>
  <c r="AL299" i="9" s="1"/>
  <c r="AJ299" i="9"/>
  <c r="AL158" i="10"/>
  <c r="AK404" i="8"/>
  <c r="AT404" i="8"/>
  <c r="AL169" i="8"/>
  <c r="AZ312" i="9"/>
  <c r="AL59" i="9"/>
  <c r="AI132" i="9"/>
  <c r="AM133" i="9" s="1"/>
  <c r="AQ133" i="9" s="1"/>
  <c r="AR133" i="9" s="1"/>
  <c r="AT133" i="9" s="1"/>
  <c r="AJ237" i="10"/>
  <c r="AH237" i="10"/>
  <c r="AL237" i="10" s="1"/>
  <c r="AH87" i="8"/>
  <c r="AI87" i="8" s="1"/>
  <c r="AM88" i="8" s="1"/>
  <c r="AR88" i="8" s="1"/>
  <c r="AJ87" i="8"/>
  <c r="AJ104" i="9"/>
  <c r="AH104" i="9"/>
  <c r="AL104" i="9" s="1"/>
  <c r="AT313" i="9"/>
  <c r="AK312" i="9"/>
  <c r="AX162" i="8"/>
  <c r="AV162" i="8"/>
  <c r="AY162" i="8" s="1"/>
  <c r="AV192" i="8"/>
  <c r="AY192" i="8" s="1"/>
  <c r="AZ192" i="8"/>
  <c r="AX192" i="8"/>
  <c r="AJ404" i="10"/>
  <c r="AH404" i="10"/>
  <c r="AI404" i="10" s="1"/>
  <c r="AM404" i="10" s="1"/>
  <c r="AQ404" i="10" s="1"/>
  <c r="AR404" i="10" s="1"/>
  <c r="AJ301" i="9"/>
  <c r="AH301" i="9"/>
  <c r="AI301" i="9" s="1"/>
  <c r="AM302" i="9" s="1"/>
  <c r="AQ302" i="9" s="1"/>
  <c r="AR302" i="9" s="1"/>
  <c r="AK342" i="9"/>
  <c r="AT343" i="9"/>
  <c r="AT94" i="10"/>
  <c r="AK94" i="10"/>
  <c r="AT233" i="8"/>
  <c r="AK232" i="8"/>
  <c r="AK304" i="9"/>
  <c r="AZ307" i="9"/>
  <c r="AZ57" i="10"/>
  <c r="AK87" i="9"/>
  <c r="AT88" i="9"/>
  <c r="AL323" i="9"/>
  <c r="AL123" i="10"/>
  <c r="AL289" i="9"/>
  <c r="AL27" i="10"/>
  <c r="AZ177" i="9"/>
  <c r="AZ77" i="10"/>
  <c r="AL209" i="8"/>
  <c r="AZ292" i="10"/>
  <c r="AL303" i="9"/>
  <c r="AJ248" i="9"/>
  <c r="AH248" i="9"/>
  <c r="AK248" i="9" s="1"/>
  <c r="AK402" i="9"/>
  <c r="AT403" i="9"/>
  <c r="AX301" i="9"/>
  <c r="AV301" i="9"/>
  <c r="AY301" i="9" s="1"/>
  <c r="AJ308" i="9"/>
  <c r="AH308" i="9"/>
  <c r="AK308" i="9" s="1"/>
  <c r="AJ98" i="8"/>
  <c r="AH98" i="8"/>
  <c r="AK98" i="8" s="1"/>
  <c r="AJ338" i="10"/>
  <c r="AH338" i="10"/>
  <c r="AK338" i="10" s="1"/>
  <c r="AJ177" i="8"/>
  <c r="AH177" i="8"/>
  <c r="AL177" i="8" s="1"/>
  <c r="AX167" i="10"/>
  <c r="AV167" i="10"/>
  <c r="AY167" i="10" s="1"/>
  <c r="AJ71" i="9"/>
  <c r="AH71" i="9"/>
  <c r="AL71" i="9" s="1"/>
  <c r="AJ212" i="10"/>
  <c r="AI212" i="10"/>
  <c r="AM213" i="10" s="1"/>
  <c r="AQ213" i="10" s="1"/>
  <c r="AR213" i="10" s="1"/>
  <c r="AH212" i="10"/>
  <c r="AL212" i="10" s="1"/>
  <c r="AJ32" i="9"/>
  <c r="AH32" i="9"/>
  <c r="AL32" i="9" s="1"/>
  <c r="AT404" i="9"/>
  <c r="AK404" i="9"/>
  <c r="AX157" i="8"/>
  <c r="AV157" i="8"/>
  <c r="AY157" i="8" s="1"/>
  <c r="AJ327" i="9"/>
  <c r="AH327" i="9"/>
  <c r="AI327" i="9" s="1"/>
  <c r="AM328" i="9" s="1"/>
  <c r="AQ328" i="9" s="1"/>
  <c r="AR328" i="9" s="1"/>
  <c r="AX152" i="9"/>
  <c r="AV152" i="9"/>
  <c r="AY152" i="9" s="1"/>
  <c r="AH287" i="10"/>
  <c r="AI287" i="10" s="1"/>
  <c r="AM288" i="10" s="1"/>
  <c r="AQ288" i="10" s="1"/>
  <c r="AR288" i="10" s="1"/>
  <c r="AJ287" i="10"/>
  <c r="AJ217" i="8"/>
  <c r="AH217" i="8"/>
  <c r="AX212" i="8"/>
  <c r="AV212" i="8"/>
  <c r="AY212" i="8" s="1"/>
  <c r="AH277" i="8"/>
  <c r="AL277" i="8" s="1"/>
  <c r="AJ277" i="8"/>
  <c r="AX232" i="9"/>
  <c r="AV232" i="9"/>
  <c r="AY232" i="9" s="1"/>
  <c r="AJ123" i="8"/>
  <c r="AH123" i="8"/>
  <c r="AK123" i="8" s="1"/>
  <c r="AK179" i="9"/>
  <c r="AJ344" i="10"/>
  <c r="AH344" i="10"/>
  <c r="AJ233" i="8"/>
  <c r="AH233" i="8"/>
  <c r="AK233" i="8" s="1"/>
  <c r="AH394" i="8"/>
  <c r="AL394" i="8" s="1"/>
  <c r="AJ394" i="8"/>
  <c r="AJ243" i="8"/>
  <c r="AH243" i="8"/>
  <c r="AK243" i="8" s="1"/>
  <c r="AJ244" i="8"/>
  <c r="AH244" i="8"/>
  <c r="AL244" i="8" s="1"/>
  <c r="AK339" i="9"/>
  <c r="AL363" i="10"/>
  <c r="AL402" i="9"/>
  <c r="AX137" i="10"/>
  <c r="AV137" i="10"/>
  <c r="AY137" i="10" s="1"/>
  <c r="AJ364" i="9"/>
  <c r="AI364" i="9"/>
  <c r="AM364" i="9" s="1"/>
  <c r="AQ364" i="9" s="1"/>
  <c r="AR364" i="9" s="1"/>
  <c r="AH364" i="9"/>
  <c r="AL364" i="9" s="1"/>
  <c r="AX67" i="8"/>
  <c r="AV67" i="8"/>
  <c r="AY67" i="8" s="1"/>
  <c r="AV267" i="8"/>
  <c r="AY267" i="8" s="1"/>
  <c r="AX267" i="8"/>
  <c r="AT279" i="10"/>
  <c r="AK279" i="10"/>
  <c r="AJ33" i="10"/>
  <c r="AH33" i="10"/>
  <c r="AK33" i="10" s="1"/>
  <c r="AI179" i="9"/>
  <c r="AM179" i="9" s="1"/>
  <c r="AQ179" i="9" s="1"/>
  <c r="AR179" i="9" s="1"/>
  <c r="AT179" i="9" s="1"/>
  <c r="AJ137" i="8"/>
  <c r="AH137" i="8"/>
  <c r="AH183" i="9"/>
  <c r="AK183" i="9" s="1"/>
  <c r="AJ183" i="9"/>
  <c r="AJ192" i="10"/>
  <c r="AH192" i="10"/>
  <c r="AJ142" i="9"/>
  <c r="AH142" i="9"/>
  <c r="AI142" i="9" s="1"/>
  <c r="AM143" i="9" s="1"/>
  <c r="AQ143" i="9" s="1"/>
  <c r="AR143" i="9" s="1"/>
  <c r="AI339" i="9"/>
  <c r="AM339" i="9" s="1"/>
  <c r="AQ339" i="9" s="1"/>
  <c r="AR339" i="9" s="1"/>
  <c r="AT339" i="9" s="1"/>
  <c r="AI29" i="9"/>
  <c r="AM29" i="9" s="1"/>
  <c r="AQ29" i="9" s="1"/>
  <c r="AR29" i="9" s="1"/>
  <c r="AZ107" i="10"/>
  <c r="AK307" i="8"/>
  <c r="AT308" i="8"/>
  <c r="AI314" i="9"/>
  <c r="AM314" i="9" s="1"/>
  <c r="AQ314" i="9" s="1"/>
  <c r="AR314" i="9" s="1"/>
  <c r="AT314" i="9" s="1"/>
  <c r="AJ408" i="8"/>
  <c r="AH408" i="8"/>
  <c r="AK408" i="8" s="1"/>
  <c r="AJ134" i="10"/>
  <c r="AH134" i="10"/>
  <c r="AH402" i="8"/>
  <c r="AI402" i="8" s="1"/>
  <c r="AM403" i="8" s="1"/>
  <c r="AR403" i="8" s="1"/>
  <c r="AJ402" i="8"/>
  <c r="AX387" i="10"/>
  <c r="AV387" i="10"/>
  <c r="AY387" i="10" s="1"/>
  <c r="AJ164" i="10"/>
  <c r="AH164" i="10"/>
  <c r="AL164" i="10" s="1"/>
  <c r="AX392" i="9"/>
  <c r="AV392" i="9"/>
  <c r="AY392" i="9" s="1"/>
  <c r="AH108" i="8"/>
  <c r="AK108" i="8" s="1"/>
  <c r="AJ108" i="8"/>
  <c r="AJ199" i="8"/>
  <c r="AH199" i="8"/>
  <c r="AL199" i="8" s="1"/>
  <c r="AJ87" i="10"/>
  <c r="AH87" i="10"/>
  <c r="AL87" i="10" s="1"/>
  <c r="AX167" i="8"/>
  <c r="AV167" i="8"/>
  <c r="AY167" i="8" s="1"/>
  <c r="AX362" i="9"/>
  <c r="AV362" i="9"/>
  <c r="AY362" i="9" s="1"/>
  <c r="AX382" i="10"/>
  <c r="AV382" i="10"/>
  <c r="AY382" i="10" s="1"/>
  <c r="AI182" i="10"/>
  <c r="AM183" i="10" s="1"/>
  <c r="AQ183" i="10" s="1"/>
  <c r="AR183" i="10" s="1"/>
  <c r="AX36" i="9"/>
  <c r="AV36" i="9"/>
  <c r="AY36" i="9" s="1"/>
  <c r="AX97" i="9"/>
  <c r="AV97" i="9"/>
  <c r="AY97" i="9" s="1"/>
  <c r="AJ403" i="8"/>
  <c r="AH403" i="8"/>
  <c r="AK403" i="8" s="1"/>
  <c r="AX122" i="9"/>
  <c r="AV122" i="9"/>
  <c r="AY122" i="9" s="1"/>
  <c r="AX202" i="10"/>
  <c r="AV202" i="10"/>
  <c r="AY202" i="10" s="1"/>
  <c r="AV261" i="10"/>
  <c r="AY261" i="10" s="1"/>
  <c r="AX261" i="10"/>
  <c r="AK192" i="9"/>
  <c r="AT193" i="9"/>
  <c r="AZ107" i="9"/>
  <c r="AJ72" i="10"/>
  <c r="AH72" i="10"/>
  <c r="AI72" i="10" s="1"/>
  <c r="AM73" i="10" s="1"/>
  <c r="AQ73" i="10" s="1"/>
  <c r="AR73" i="10" s="1"/>
  <c r="AJ393" i="10"/>
  <c r="AH393" i="10"/>
  <c r="AK393" i="10" s="1"/>
  <c r="AL154" i="9"/>
  <c r="AI107" i="10"/>
  <c r="AM108" i="10" s="1"/>
  <c r="AQ108" i="10" s="1"/>
  <c r="AR108" i="10" s="1"/>
  <c r="AT108" i="10" s="1"/>
  <c r="AJ67" i="8"/>
  <c r="AH67" i="8"/>
  <c r="AT369" i="10"/>
  <c r="AK369" i="10"/>
  <c r="AK137" i="10"/>
  <c r="AT138" i="10"/>
  <c r="AJ364" i="8"/>
  <c r="AI364" i="8"/>
  <c r="AM364" i="8" s="1"/>
  <c r="AR364" i="8" s="1"/>
  <c r="AH364" i="8"/>
  <c r="AL364" i="8" s="1"/>
  <c r="AW247" i="9"/>
  <c r="AH312" i="10"/>
  <c r="AI312" i="10" s="1"/>
  <c r="AM313" i="10" s="1"/>
  <c r="AQ313" i="10" s="1"/>
  <c r="AR313" i="10" s="1"/>
  <c r="AJ312" i="10"/>
  <c r="AJ337" i="8"/>
  <c r="AH337" i="8"/>
  <c r="AJ417" i="8"/>
  <c r="AH417" i="8"/>
  <c r="AI417" i="8" s="1"/>
  <c r="AM418" i="8" s="1"/>
  <c r="AR418" i="8" s="1"/>
  <c r="AT294" i="10"/>
  <c r="AK294" i="10"/>
  <c r="AT209" i="9"/>
  <c r="AK209" i="9"/>
  <c r="AI38" i="9"/>
  <c r="AJ204" i="10"/>
  <c r="AH204" i="10"/>
  <c r="AI204" i="10" s="1"/>
  <c r="AM204" i="10" s="1"/>
  <c r="AQ204" i="10" s="1"/>
  <c r="AR204" i="10" s="1"/>
  <c r="AH207" i="10"/>
  <c r="AI207" i="10" s="1"/>
  <c r="AM208" i="10" s="1"/>
  <c r="AQ208" i="10" s="1"/>
  <c r="AR208" i="10" s="1"/>
  <c r="AJ207" i="10"/>
  <c r="AH133" i="10"/>
  <c r="AK133" i="10" s="1"/>
  <c r="AJ133" i="10"/>
  <c r="AJ37" i="8"/>
  <c r="AH37" i="8"/>
  <c r="AJ412" i="8"/>
  <c r="AH412" i="8"/>
  <c r="AI412" i="8" s="1"/>
  <c r="AM413" i="8" s="1"/>
  <c r="AR413" i="8" s="1"/>
  <c r="AT329" i="10"/>
  <c r="AK329" i="10"/>
  <c r="AI264" i="8"/>
  <c r="AM264" i="8" s="1"/>
  <c r="AR264" i="8" s="1"/>
  <c r="AT264" i="8" s="1"/>
  <c r="AI292" i="9"/>
  <c r="AM293" i="9" s="1"/>
  <c r="AQ293" i="9" s="1"/>
  <c r="AR293" i="9" s="1"/>
  <c r="AT293" i="9" s="1"/>
  <c r="AT109" i="8"/>
  <c r="AK109" i="8"/>
  <c r="AH58" i="9"/>
  <c r="AK58" i="9" s="1"/>
  <c r="AJ58" i="9"/>
  <c r="AJ242" i="9"/>
  <c r="AH242" i="9"/>
  <c r="AL242" i="9" s="1"/>
  <c r="AJ247" i="8"/>
  <c r="AH247" i="8"/>
  <c r="AI247" i="8" s="1"/>
  <c r="AM248" i="8" s="1"/>
  <c r="AR248" i="8" s="1"/>
  <c r="AJ372" i="8"/>
  <c r="AH372" i="8"/>
  <c r="AI372" i="8" s="1"/>
  <c r="AM373" i="8" s="1"/>
  <c r="AR373" i="8" s="1"/>
  <c r="AX247" i="8"/>
  <c r="AV247" i="8"/>
  <c r="AY247" i="8" s="1"/>
  <c r="AX407" i="10"/>
  <c r="AV407" i="10"/>
  <c r="AY407" i="10" s="1"/>
  <c r="AH143" i="9"/>
  <c r="AK143" i="9" s="1"/>
  <c r="AJ143" i="9"/>
  <c r="AJ367" i="8"/>
  <c r="AH367" i="8"/>
  <c r="AI367" i="8" s="1"/>
  <c r="AM368" i="8" s="1"/>
  <c r="AR368" i="8" s="1"/>
  <c r="AL108" i="9"/>
  <c r="AH253" i="8"/>
  <c r="AK253" i="8" s="1"/>
  <c r="AJ253" i="8"/>
  <c r="AL329" i="8"/>
  <c r="AL417" i="10"/>
  <c r="AH412" i="10"/>
  <c r="AL412" i="10" s="1"/>
  <c r="AJ412" i="10"/>
  <c r="AL68" i="8"/>
  <c r="AL223" i="9"/>
  <c r="AV67" i="9"/>
  <c r="AY67" i="9" s="1"/>
  <c r="AX67" i="9"/>
  <c r="AL404" i="9"/>
  <c r="AL98" i="9"/>
  <c r="AT189" i="10"/>
  <c r="AK189" i="10"/>
  <c r="AX221" i="10"/>
  <c r="AW221" i="10"/>
  <c r="AV221" i="10"/>
  <c r="AY221" i="10" s="1"/>
  <c r="AJ114" i="9"/>
  <c r="AH114" i="9"/>
  <c r="AL328" i="10"/>
  <c r="AT34" i="10"/>
  <c r="AK34" i="10"/>
  <c r="AL61" i="10"/>
  <c r="AH61" i="10"/>
  <c r="AI61" i="10" s="1"/>
  <c r="AM62" i="10" s="1"/>
  <c r="AQ62" i="10" s="1"/>
  <c r="AR62" i="10" s="1"/>
  <c r="AJ61" i="10"/>
  <c r="AT119" i="8"/>
  <c r="AK119" i="8"/>
  <c r="AL158" i="9"/>
  <c r="AV272" i="8"/>
  <c r="AY272" i="8" s="1"/>
  <c r="AX272" i="8"/>
  <c r="AV87" i="9"/>
  <c r="AY87" i="9" s="1"/>
  <c r="AX87" i="9"/>
  <c r="AW87" i="9"/>
  <c r="AX102" i="8"/>
  <c r="AV102" i="8"/>
  <c r="AY102" i="8" s="1"/>
  <c r="AX337" i="10"/>
  <c r="AW337" i="10"/>
  <c r="AV337" i="10"/>
  <c r="AY337" i="10" s="1"/>
  <c r="AJ389" i="10"/>
  <c r="AH389" i="10"/>
  <c r="AI389" i="10" s="1"/>
  <c r="AM389" i="10" s="1"/>
  <c r="AQ389" i="10" s="1"/>
  <c r="AR389" i="10" s="1"/>
  <c r="AJ408" i="10"/>
  <c r="AH408" i="10"/>
  <c r="AK408" i="10" s="1"/>
  <c r="AJ257" i="8"/>
  <c r="AH257" i="8"/>
  <c r="AJ219" i="8"/>
  <c r="AH219" i="8"/>
  <c r="AI219" i="8" s="1"/>
  <c r="AM219" i="8" s="1"/>
  <c r="AR219" i="8" s="1"/>
  <c r="AL192" i="8"/>
  <c r="AK409" i="9"/>
  <c r="AX367" i="9"/>
  <c r="AV367" i="9"/>
  <c r="AY367" i="9" s="1"/>
  <c r="AH307" i="10"/>
  <c r="AJ307" i="10"/>
  <c r="AK79" i="10"/>
  <c r="AK289" i="8"/>
  <c r="AK292" i="10"/>
  <c r="AK37" i="10"/>
  <c r="AH387" i="10"/>
  <c r="AL387" i="10" s="1"/>
  <c r="AJ387" i="10"/>
  <c r="AJ221" i="9"/>
  <c r="AH221" i="9"/>
  <c r="AI221" i="9" s="1"/>
  <c r="AM222" i="9" s="1"/>
  <c r="AQ222" i="9" s="1"/>
  <c r="AR222" i="9" s="1"/>
  <c r="AJ52" i="10"/>
  <c r="AH52" i="10"/>
  <c r="AI52" i="10" s="1"/>
  <c r="AM53" i="10" s="1"/>
  <c r="AQ53" i="10" s="1"/>
  <c r="AR53" i="10" s="1"/>
  <c r="AK127" i="9"/>
  <c r="AK329" i="9"/>
  <c r="AJ377" i="8"/>
  <c r="AH377" i="8"/>
  <c r="AK127" i="10"/>
  <c r="AT128" i="10"/>
  <c r="AJ308" i="10"/>
  <c r="AH308" i="10"/>
  <c r="AK308" i="10" s="1"/>
  <c r="AJ342" i="8"/>
  <c r="AH342" i="8"/>
  <c r="AL342" i="8" s="1"/>
  <c r="AJ67" i="10"/>
  <c r="AH67" i="10"/>
  <c r="AL67" i="10"/>
  <c r="AK252" i="10"/>
  <c r="AH379" i="9"/>
  <c r="AL379" i="9" s="1"/>
  <c r="AJ379" i="9"/>
  <c r="AK254" i="8"/>
  <c r="AX42" i="9"/>
  <c r="AV42" i="9"/>
  <c r="AY42" i="9" s="1"/>
  <c r="AJ358" i="8"/>
  <c r="AH358" i="8"/>
  <c r="AK358" i="8" s="1"/>
  <c r="AK97" i="9"/>
  <c r="AJ181" i="10"/>
  <c r="AH181" i="10"/>
  <c r="AI181" i="10" s="1"/>
  <c r="AM182" i="10" s="1"/>
  <c r="AQ182" i="10" s="1"/>
  <c r="AR182" i="10" s="1"/>
  <c r="AJ227" i="8"/>
  <c r="AH227" i="8"/>
  <c r="AL227" i="8" s="1"/>
  <c r="AV347" i="8"/>
  <c r="AY347" i="8" s="1"/>
  <c r="AZ347" i="8"/>
  <c r="AX347" i="8"/>
  <c r="AH167" i="9"/>
  <c r="AL167" i="9" s="1"/>
  <c r="AJ167" i="9"/>
  <c r="AH179" i="10"/>
  <c r="AL179" i="10" s="1"/>
  <c r="AJ179" i="10"/>
  <c r="AX342" i="8"/>
  <c r="AV342" i="8"/>
  <c r="AY342" i="8" s="1"/>
  <c r="AK182" i="9"/>
  <c r="AT183" i="9"/>
  <c r="AH54" i="10"/>
  <c r="AL54" i="10" s="1"/>
  <c r="AJ54" i="10"/>
  <c r="AH344" i="9"/>
  <c r="AL344" i="9" s="1"/>
  <c r="AJ344" i="9"/>
  <c r="AH362" i="10"/>
  <c r="AI362" i="10" s="1"/>
  <c r="AM363" i="10" s="1"/>
  <c r="AQ363" i="10" s="1"/>
  <c r="AR363" i="10" s="1"/>
  <c r="AJ362" i="10"/>
  <c r="AX197" i="9"/>
  <c r="AV197" i="9"/>
  <c r="AY197" i="9" s="1"/>
  <c r="AJ213" i="10"/>
  <c r="AH213" i="10"/>
  <c r="AK213" i="10" s="1"/>
  <c r="AJ319" i="9"/>
  <c r="AI319" i="9"/>
  <c r="AM319" i="9" s="1"/>
  <c r="AQ319" i="9" s="1"/>
  <c r="AR319" i="9" s="1"/>
  <c r="AH319" i="9"/>
  <c r="AL319" i="9" s="1"/>
  <c r="AJ107" i="8"/>
  <c r="AH107" i="8"/>
  <c r="AL107" i="8" s="1"/>
  <c r="AJ332" i="8"/>
  <c r="AI332" i="8"/>
  <c r="AM333" i="8" s="1"/>
  <c r="AR333" i="8" s="1"/>
  <c r="AH332" i="8"/>
  <c r="AL332" i="8" s="1"/>
  <c r="AX412" i="10"/>
  <c r="AV412" i="10"/>
  <c r="AY412" i="10" s="1"/>
  <c r="AX402" i="9"/>
  <c r="AV402" i="9"/>
  <c r="AY402" i="9" s="1"/>
  <c r="AH248" i="10"/>
  <c r="AK248" i="10" s="1"/>
  <c r="AJ248" i="10"/>
  <c r="AI252" i="10"/>
  <c r="AM253" i="10" s="1"/>
  <c r="AQ253" i="10" s="1"/>
  <c r="AR253" i="10" s="1"/>
  <c r="AT253" i="10" s="1"/>
  <c r="AJ309" i="10"/>
  <c r="AH309" i="10"/>
  <c r="AL309" i="10" s="1"/>
  <c r="AV32" i="9"/>
  <c r="AY32" i="9" s="1"/>
  <c r="AX32" i="9"/>
  <c r="AK357" i="10"/>
  <c r="AT358" i="10"/>
  <c r="AL133" i="9"/>
  <c r="AJ133" i="9"/>
  <c r="AH133" i="9"/>
  <c r="AK133" i="9" s="1"/>
  <c r="AH202" i="10"/>
  <c r="AL202" i="10" s="1"/>
  <c r="AJ202" i="10"/>
  <c r="AH389" i="8"/>
  <c r="AL389" i="8" s="1"/>
  <c r="AJ389" i="8"/>
  <c r="AK249" i="10"/>
  <c r="AJ118" i="8"/>
  <c r="AH118" i="8"/>
  <c r="AK118" i="8" s="1"/>
  <c r="AT394" i="10"/>
  <c r="AK394" i="10"/>
  <c r="AJ224" i="8"/>
  <c r="AH224" i="8"/>
  <c r="AI224" i="8" s="1"/>
  <c r="AM224" i="8" s="1"/>
  <c r="AR224" i="8" s="1"/>
  <c r="AX347" i="10"/>
  <c r="AV347" i="10"/>
  <c r="AY347" i="10" s="1"/>
  <c r="AJ49" i="8"/>
  <c r="AH49" i="8"/>
  <c r="AI49" i="8" s="1"/>
  <c r="AM49" i="8" s="1"/>
  <c r="AR49" i="8" s="1"/>
  <c r="AJ257" i="10"/>
  <c r="AH257" i="10"/>
  <c r="AK334" i="9"/>
  <c r="AH127" i="8"/>
  <c r="AI127" i="8" s="1"/>
  <c r="AM128" i="8" s="1"/>
  <c r="AR128" i="8" s="1"/>
  <c r="AJ127" i="8"/>
  <c r="AJ208" i="9"/>
  <c r="AH208" i="9"/>
  <c r="AK208" i="9" s="1"/>
  <c r="AJ229" i="9"/>
  <c r="AH229" i="9"/>
  <c r="AL229" i="9" s="1"/>
  <c r="AW172" i="10"/>
  <c r="AJ101" i="9"/>
  <c r="AH101" i="9"/>
  <c r="AL101" i="9" s="1"/>
  <c r="AX272" i="10"/>
  <c r="AV272" i="10"/>
  <c r="AY272" i="10" s="1"/>
  <c r="AX62" i="8"/>
  <c r="AV62" i="8"/>
  <c r="AY62" i="8" s="1"/>
  <c r="C31" i="11"/>
  <c r="AJ353" i="9"/>
  <c r="AH353" i="9"/>
  <c r="AK353" i="9" s="1"/>
  <c r="AX322" i="9"/>
  <c r="AV322" i="9"/>
  <c r="AY322" i="9" s="1"/>
  <c r="AJ249" i="9"/>
  <c r="AH249" i="9"/>
  <c r="AI249" i="9" s="1"/>
  <c r="AM249" i="9" s="1"/>
  <c r="AQ249" i="9" s="1"/>
  <c r="AR249" i="9" s="1"/>
  <c r="AH382" i="9"/>
  <c r="AJ382" i="9"/>
  <c r="AJ297" i="8"/>
  <c r="AH297" i="8"/>
  <c r="AL297" i="8" s="1"/>
  <c r="AJ172" i="8"/>
  <c r="AH172" i="8"/>
  <c r="AL172" i="8" s="1"/>
  <c r="AK109" i="9"/>
  <c r="AL112" i="8"/>
  <c r="AJ112" i="8"/>
  <c r="AH112" i="8"/>
  <c r="AI112" i="8" s="1"/>
  <c r="AM113" i="8" s="1"/>
  <c r="AR113" i="8" s="1"/>
  <c r="AH79" i="8"/>
  <c r="AL79" i="8" s="1"/>
  <c r="AJ79" i="8"/>
  <c r="AJ183" i="10"/>
  <c r="AH183" i="10"/>
  <c r="AK183" i="10" s="1"/>
  <c r="AX417" i="10"/>
  <c r="AV417" i="10"/>
  <c r="AY417" i="10" s="1"/>
  <c r="AH39" i="10"/>
  <c r="AL39" i="10" s="1"/>
  <c r="AJ39" i="10"/>
  <c r="AJ302" i="8"/>
  <c r="AH302" i="8"/>
  <c r="AJ309" i="9"/>
  <c r="AH309" i="9"/>
  <c r="AI309" i="9" s="1"/>
  <c r="AM309" i="9" s="1"/>
  <c r="AQ309" i="9" s="1"/>
  <c r="AR309" i="9" s="1"/>
  <c r="AJ88" i="10"/>
  <c r="AH88" i="10"/>
  <c r="AK88" i="10" s="1"/>
  <c r="AJ259" i="8"/>
  <c r="AH259" i="8"/>
  <c r="AI259" i="8" s="1"/>
  <c r="AM259" i="8" s="1"/>
  <c r="AR259" i="8" s="1"/>
  <c r="AJ72" i="9"/>
  <c r="AH72" i="9"/>
  <c r="AL72" i="9" s="1"/>
  <c r="AJ99" i="9"/>
  <c r="AH99" i="9"/>
  <c r="AI99" i="9" s="1"/>
  <c r="AM99" i="9" s="1"/>
  <c r="AQ99" i="9" s="1"/>
  <c r="AR99" i="9" s="1"/>
  <c r="AJ167" i="10"/>
  <c r="AH167" i="10"/>
  <c r="AJ77" i="8"/>
  <c r="AH77" i="8"/>
  <c r="AL77" i="8" s="1"/>
  <c r="AK424" i="9"/>
  <c r="AH414" i="9"/>
  <c r="AI414" i="9" s="1"/>
  <c r="AM414" i="9" s="1"/>
  <c r="AQ414" i="9" s="1"/>
  <c r="AR414" i="9" s="1"/>
  <c r="AL414" i="9"/>
  <c r="AJ414" i="9"/>
  <c r="AJ419" i="10"/>
  <c r="AH419" i="10"/>
  <c r="AI419" i="10" s="1"/>
  <c r="AM419" i="10" s="1"/>
  <c r="AQ419" i="10" s="1"/>
  <c r="AR419" i="10" s="1"/>
  <c r="AH274" i="8"/>
  <c r="AL274" i="8" s="1"/>
  <c r="AJ274" i="8"/>
  <c r="AJ187" i="8"/>
  <c r="AH187" i="8"/>
  <c r="AI187" i="8" s="1"/>
  <c r="AM188" i="8" s="1"/>
  <c r="AR188" i="8" s="1"/>
  <c r="AH157" i="8"/>
  <c r="AI157" i="8" s="1"/>
  <c r="AM158" i="8" s="1"/>
  <c r="AR158" i="8" s="1"/>
  <c r="AJ157" i="8"/>
  <c r="AJ392" i="10"/>
  <c r="AI392" i="10"/>
  <c r="AM393" i="10" s="1"/>
  <c r="AQ393" i="10" s="1"/>
  <c r="AR393" i="10" s="1"/>
  <c r="AH392" i="10"/>
  <c r="AL392" i="10" s="1"/>
  <c r="AT259" i="10"/>
  <c r="AK259" i="10"/>
  <c r="AJ83" i="9"/>
  <c r="AH83" i="9"/>
  <c r="AK83" i="9" s="1"/>
  <c r="AI97" i="9"/>
  <c r="AM98" i="9" s="1"/>
  <c r="AQ98" i="9" s="1"/>
  <c r="AR98" i="9" s="1"/>
  <c r="AT98" i="9" s="1"/>
  <c r="AH304" i="10"/>
  <c r="AL304" i="10" s="1"/>
  <c r="AJ304" i="10"/>
  <c r="AV27" i="9"/>
  <c r="AW27" i="9" s="1"/>
  <c r="AZ27" i="9"/>
  <c r="AX27" i="9"/>
  <c r="AJ368" i="8"/>
  <c r="AH368" i="8"/>
  <c r="AH419" i="9"/>
  <c r="AI419" i="9" s="1"/>
  <c r="AM419" i="9" s="1"/>
  <c r="AQ419" i="9" s="1"/>
  <c r="AR419" i="9" s="1"/>
  <c r="AJ419" i="9"/>
  <c r="AV372" i="10"/>
  <c r="AY372" i="10" s="1"/>
  <c r="AX372" i="10"/>
  <c r="AV37" i="8"/>
  <c r="AX37" i="8"/>
  <c r="AJ324" i="10"/>
  <c r="AH324" i="10"/>
  <c r="AI324" i="10" s="1"/>
  <c r="AM324" i="10" s="1"/>
  <c r="AQ324" i="10" s="1"/>
  <c r="AR324" i="10" s="1"/>
  <c r="AX332" i="9"/>
  <c r="AV332" i="9"/>
  <c r="AY332" i="9" s="1"/>
  <c r="AH379" i="10"/>
  <c r="AL379" i="10" s="1"/>
  <c r="AJ379" i="10"/>
  <c r="AH189" i="8"/>
  <c r="AJ189" i="8"/>
  <c r="AJ312" i="8"/>
  <c r="AH312" i="8"/>
  <c r="AI312" i="8" s="1"/>
  <c r="AM313" i="8" s="1"/>
  <c r="AR313" i="8" s="1"/>
  <c r="AH199" i="10"/>
  <c r="AI199" i="10" s="1"/>
  <c r="AM199" i="10" s="1"/>
  <c r="AQ199" i="10" s="1"/>
  <c r="AR199" i="10" s="1"/>
  <c r="AJ199" i="10"/>
  <c r="AJ397" i="9"/>
  <c r="AH397" i="9"/>
  <c r="AI397" i="9" s="1"/>
  <c r="AM398" i="9" s="1"/>
  <c r="AQ398" i="9" s="1"/>
  <c r="AR398" i="9" s="1"/>
  <c r="AK409" i="8"/>
  <c r="AK202" i="8"/>
  <c r="AJ182" i="8"/>
  <c r="AH182" i="8"/>
  <c r="AW197" i="10"/>
  <c r="AV197" i="10"/>
  <c r="AY197" i="10" s="1"/>
  <c r="AZ197" i="10"/>
  <c r="AX197" i="10"/>
  <c r="AJ172" i="10"/>
  <c r="AH172" i="10"/>
  <c r="AJ273" i="8"/>
  <c r="AI273" i="8"/>
  <c r="AH273" i="8"/>
  <c r="AK273" i="8" s="1"/>
  <c r="D31" i="11"/>
  <c r="AT153" i="10"/>
  <c r="AK152" i="10"/>
  <c r="AL399" i="10"/>
  <c r="AH399" i="10"/>
  <c r="AI399" i="10" s="1"/>
  <c r="AM399" i="10" s="1"/>
  <c r="AQ399" i="10" s="1"/>
  <c r="AR399" i="10" s="1"/>
  <c r="AJ399" i="10"/>
  <c r="AJ313" i="8"/>
  <c r="AH313" i="8"/>
  <c r="AK313" i="8" s="1"/>
  <c r="AH44" i="8"/>
  <c r="AL44" i="8" s="1"/>
  <c r="AJ44" i="8"/>
  <c r="AJ188" i="8"/>
  <c r="AH188" i="8"/>
  <c r="AK188" i="8" s="1"/>
  <c r="AX297" i="8"/>
  <c r="AV297" i="8"/>
  <c r="AY297" i="8" s="1"/>
  <c r="AK129" i="9"/>
  <c r="AJ162" i="9"/>
  <c r="AH162" i="9"/>
  <c r="AL162" i="9" s="1"/>
  <c r="AJ313" i="10"/>
  <c r="AH313" i="10"/>
  <c r="AK313" i="10" s="1"/>
  <c r="AI409" i="9"/>
  <c r="AM409" i="9" s="1"/>
  <c r="AQ409" i="9" s="1"/>
  <c r="AR409" i="9" s="1"/>
  <c r="AT409" i="9" s="1"/>
  <c r="AK59" i="10"/>
  <c r="AK347" i="8"/>
  <c r="AI79" i="10"/>
  <c r="AM79" i="10" s="1"/>
  <c r="AQ79" i="10" s="1"/>
  <c r="AR79" i="10" s="1"/>
  <c r="AT79" i="10" s="1"/>
  <c r="AI73" i="10"/>
  <c r="AW307" i="9"/>
  <c r="AW57" i="10"/>
  <c r="AI289" i="8"/>
  <c r="AM289" i="8" s="1"/>
  <c r="AR289" i="8" s="1"/>
  <c r="AT289" i="8" s="1"/>
  <c r="AI383" i="9"/>
  <c r="AK99" i="10"/>
  <c r="AK102" i="10"/>
  <c r="AT103" i="10"/>
  <c r="AL292" i="10"/>
  <c r="AI37" i="10"/>
  <c r="AM38" i="10" s="1"/>
  <c r="AQ38" i="10" s="1"/>
  <c r="AR38" i="10" s="1"/>
  <c r="AT38" i="10" s="1"/>
  <c r="AI398" i="8"/>
  <c r="AK257" i="9"/>
  <c r="AT258" i="9"/>
  <c r="AJ407" i="9"/>
  <c r="AH407" i="9"/>
  <c r="AJ177" i="9"/>
  <c r="AH177" i="9"/>
  <c r="AL177" i="9" s="1"/>
  <c r="AH144" i="10"/>
  <c r="AI144" i="10" s="1"/>
  <c r="AM144" i="10" s="1"/>
  <c r="AQ144" i="10" s="1"/>
  <c r="AR144" i="10" s="1"/>
  <c r="AJ144" i="10"/>
  <c r="AJ373" i="10"/>
  <c r="AH373" i="10"/>
  <c r="AK373" i="10" s="1"/>
  <c r="AX232" i="10"/>
  <c r="AV232" i="10"/>
  <c r="AY232" i="10" s="1"/>
  <c r="AJ114" i="8"/>
  <c r="AH114" i="8"/>
  <c r="AI114" i="8" s="1"/>
  <c r="AM114" i="8" s="1"/>
  <c r="AR114" i="8" s="1"/>
  <c r="AK187" i="10"/>
  <c r="AT39" i="9"/>
  <c r="AK39" i="9"/>
  <c r="AT174" i="10"/>
  <c r="AK174" i="10"/>
  <c r="AX337" i="9"/>
  <c r="AV337" i="9"/>
  <c r="AY337" i="9" s="1"/>
  <c r="AT59" i="9"/>
  <c r="AK59" i="9"/>
  <c r="AH194" i="8"/>
  <c r="AI194" i="8" s="1"/>
  <c r="AM194" i="8" s="1"/>
  <c r="AR194" i="8" s="1"/>
  <c r="AJ194" i="8"/>
  <c r="AH323" i="10"/>
  <c r="AK323" i="10" s="1"/>
  <c r="AJ323" i="10"/>
  <c r="AV87" i="10"/>
  <c r="AY87" i="10" s="1"/>
  <c r="AX87" i="10"/>
  <c r="AL348" i="10"/>
  <c r="AJ348" i="10"/>
  <c r="AH348" i="10"/>
  <c r="AK348" i="10" s="1"/>
  <c r="AJ28" i="9"/>
  <c r="AH28" i="9"/>
  <c r="AK28" i="9" s="1"/>
  <c r="AK294" i="9"/>
  <c r="AH237" i="8"/>
  <c r="AL237" i="8" s="1"/>
  <c r="AJ237" i="8"/>
  <c r="AT279" i="8"/>
  <c r="AK279" i="8"/>
  <c r="AV227" i="8"/>
  <c r="AY227" i="8" s="1"/>
  <c r="AZ227" i="8"/>
  <c r="AX227" i="8"/>
  <c r="AV387" i="8"/>
  <c r="AY387" i="8" s="1"/>
  <c r="AX387" i="8"/>
  <c r="AX167" i="9"/>
  <c r="AV167" i="9"/>
  <c r="AY167" i="9" s="1"/>
  <c r="AK267" i="8"/>
  <c r="AI363" i="10"/>
  <c r="AI348" i="9"/>
  <c r="AX172" i="8"/>
  <c r="AV172" i="8"/>
  <c r="AJ52" i="9"/>
  <c r="AH52" i="9"/>
  <c r="AL52" i="9" s="1"/>
  <c r="AL124" i="10"/>
  <c r="AJ124" i="10"/>
  <c r="AI124" i="10"/>
  <c r="AM124" i="10" s="1"/>
  <c r="AQ124" i="10" s="1"/>
  <c r="AR124" i="10" s="1"/>
  <c r="AH124" i="10"/>
  <c r="AT399" i="8"/>
  <c r="AK399" i="8"/>
  <c r="AI358" i="9"/>
  <c r="AJ237" i="9"/>
  <c r="AH237" i="9"/>
  <c r="AL237" i="9" s="1"/>
  <c r="AX272" i="9"/>
  <c r="AV272" i="9"/>
  <c r="AZ272" i="9" s="1"/>
  <c r="AT254" i="10"/>
  <c r="AK254" i="10"/>
  <c r="AI202" i="9"/>
  <c r="AM203" i="9" s="1"/>
  <c r="AQ203" i="9" s="1"/>
  <c r="AR203" i="9" s="1"/>
  <c r="AT203" i="9" s="1"/>
  <c r="AH403" i="9"/>
  <c r="AK403" i="9" s="1"/>
  <c r="AJ403" i="9"/>
  <c r="AH213" i="8"/>
  <c r="AJ213" i="8"/>
  <c r="AV147" i="8"/>
  <c r="AY147" i="8" s="1"/>
  <c r="AX147" i="8"/>
  <c r="AX317" i="9"/>
  <c r="AV317" i="9"/>
  <c r="AY317" i="9" s="1"/>
  <c r="AW277" i="10"/>
  <c r="AV277" i="10"/>
  <c r="AY277" i="10" s="1"/>
  <c r="AZ277" i="10"/>
  <c r="AX277" i="10"/>
  <c r="AJ369" i="9"/>
  <c r="AH369" i="9"/>
  <c r="AZ207" i="8"/>
  <c r="AX207" i="8"/>
  <c r="AW207" i="8"/>
  <c r="AV207" i="8"/>
  <c r="AY207" i="8" s="1"/>
  <c r="AL413" i="9"/>
  <c r="AI249" i="10"/>
  <c r="AM249" i="10" s="1"/>
  <c r="AQ249" i="10" s="1"/>
  <c r="AR249" i="10" s="1"/>
  <c r="AT249" i="10" s="1"/>
  <c r="AL179" i="9"/>
  <c r="AX227" i="9"/>
  <c r="AV227" i="9"/>
  <c r="AZ227" i="9" s="1"/>
  <c r="AL394" i="10"/>
  <c r="AJ224" i="10"/>
  <c r="AH224" i="10"/>
  <c r="AJ384" i="8"/>
  <c r="AH384" i="8"/>
  <c r="AI384" i="8" s="1"/>
  <c r="AM384" i="8" s="1"/>
  <c r="AR384" i="8" s="1"/>
  <c r="AJ48" i="10"/>
  <c r="AH48" i="10"/>
  <c r="AK48" i="10" s="1"/>
  <c r="AJ238" i="10"/>
  <c r="AH238" i="10"/>
  <c r="AK238" i="10" s="1"/>
  <c r="AT348" i="9"/>
  <c r="AK347" i="9"/>
  <c r="AL339" i="9"/>
  <c r="AJ308" i="8"/>
  <c r="AH308" i="8"/>
  <c r="AK308" i="8" s="1"/>
  <c r="AL223" i="10"/>
  <c r="AJ283" i="10"/>
  <c r="AH283" i="10"/>
  <c r="AK283" i="10" s="1"/>
  <c r="AI334" i="9"/>
  <c r="AM334" i="9" s="1"/>
  <c r="AQ334" i="9" s="1"/>
  <c r="AR334" i="9" s="1"/>
  <c r="AT334" i="9" s="1"/>
  <c r="AI374" i="9"/>
  <c r="AM374" i="9" s="1"/>
  <c r="AQ374" i="9" s="1"/>
  <c r="AR374" i="9" s="1"/>
  <c r="AT374" i="9" s="1"/>
  <c r="AK227" i="10"/>
  <c r="AT228" i="10"/>
  <c r="AJ49" i="10"/>
  <c r="AH49" i="10"/>
  <c r="AL49" i="10" s="1"/>
  <c r="AJ43" i="10"/>
  <c r="AH43" i="10"/>
  <c r="AK43" i="10" s="1"/>
  <c r="AK274" i="9"/>
  <c r="AT274" i="9"/>
  <c r="AV347" i="9"/>
  <c r="AY347" i="9" s="1"/>
  <c r="AX347" i="9"/>
  <c r="AV187" i="8"/>
  <c r="AY187" i="8" s="1"/>
  <c r="AX187" i="8"/>
  <c r="AZ407" i="8"/>
  <c r="AX407" i="8"/>
  <c r="AV407" i="8"/>
  <c r="AY407" i="8" s="1"/>
  <c r="AX132" i="8"/>
  <c r="AV132" i="8"/>
  <c r="AY132" i="8" s="1"/>
  <c r="AX107" i="8"/>
  <c r="AV107" i="8"/>
  <c r="AY107" i="8" s="1"/>
  <c r="AX112" i="9"/>
  <c r="AV112" i="9"/>
  <c r="AY112" i="9" s="1"/>
  <c r="AX117" i="10"/>
  <c r="AV117" i="10"/>
  <c r="AY117" i="10" s="1"/>
  <c r="AJ284" i="8"/>
  <c r="AH284" i="8"/>
  <c r="AL284" i="8" s="1"/>
  <c r="AJ332" i="9"/>
  <c r="AH332" i="9"/>
  <c r="AL332" i="9" s="1"/>
  <c r="AJ273" i="10"/>
  <c r="AH273" i="10"/>
  <c r="AK273" i="10" s="1"/>
  <c r="AJ388" i="8"/>
  <c r="AH388" i="8"/>
  <c r="AK388" i="8" s="1"/>
  <c r="AK147" i="9"/>
  <c r="AT148" i="9"/>
  <c r="AJ174" i="8"/>
  <c r="AH174" i="8"/>
  <c r="AI174" i="8" s="1"/>
  <c r="AM174" i="8" s="1"/>
  <c r="AR174" i="8" s="1"/>
  <c r="AH243" i="10"/>
  <c r="AK243" i="10" s="1"/>
  <c r="AJ243" i="10"/>
  <c r="AL107" i="10"/>
  <c r="AI109" i="9"/>
  <c r="AM109" i="9" s="1"/>
  <c r="AQ109" i="9" s="1"/>
  <c r="AR109" i="9" s="1"/>
  <c r="AT109" i="9" s="1"/>
  <c r="AX47" i="9"/>
  <c r="AV47" i="9"/>
  <c r="AY47" i="9" s="1"/>
  <c r="AH264" i="10"/>
  <c r="AL264" i="10" s="1"/>
  <c r="AJ264" i="10"/>
  <c r="AZ247" i="9"/>
  <c r="AJ318" i="9"/>
  <c r="AH318" i="9"/>
  <c r="AK318" i="9" s="1"/>
  <c r="AX137" i="9"/>
  <c r="AV137" i="9"/>
  <c r="AY137" i="9" s="1"/>
  <c r="AL38" i="9"/>
  <c r="AJ279" i="9"/>
  <c r="AH279" i="9"/>
  <c r="AL279" i="9" s="1"/>
  <c r="AJ422" i="10"/>
  <c r="AH422" i="10"/>
  <c r="AL422" i="10" s="1"/>
  <c r="AJ88" i="8"/>
  <c r="AH88" i="8"/>
  <c r="AJ169" i="10"/>
  <c r="AH169" i="10"/>
  <c r="AI169" i="10" s="1"/>
  <c r="AM169" i="10" s="1"/>
  <c r="AQ169" i="10" s="1"/>
  <c r="AR169" i="10" s="1"/>
  <c r="AX382" i="9"/>
  <c r="AV382" i="9"/>
  <c r="AY382" i="9" s="1"/>
  <c r="AI424" i="9"/>
  <c r="AM424" i="9" s="1"/>
  <c r="AQ424" i="9" s="1"/>
  <c r="AR424" i="9" s="1"/>
  <c r="AT424" i="9" s="1"/>
  <c r="AL264" i="8"/>
  <c r="AK129" i="8"/>
  <c r="AT129" i="8"/>
  <c r="AH259" i="9"/>
  <c r="AL259" i="9" s="1"/>
  <c r="AJ259" i="9"/>
  <c r="AT268" i="10"/>
  <c r="AK267" i="10"/>
  <c r="AL292" i="9"/>
  <c r="AH53" i="9"/>
  <c r="AK53" i="9" s="1"/>
  <c r="AJ53" i="9"/>
  <c r="AI53" i="9"/>
  <c r="AJ78" i="8"/>
  <c r="AH78" i="8"/>
  <c r="AK78" i="8" s="1"/>
  <c r="AX61" i="9"/>
  <c r="AV61" i="9"/>
  <c r="AZ61" i="9" s="1"/>
  <c r="AI278" i="10"/>
  <c r="AK109" i="10"/>
  <c r="AZ367" i="8"/>
  <c r="AX367" i="8"/>
  <c r="AW367" i="8"/>
  <c r="AV367" i="8"/>
  <c r="AY367" i="8" s="1"/>
  <c r="AX182" i="8"/>
  <c r="AV182" i="8"/>
  <c r="AY182" i="8" s="1"/>
  <c r="AJ343" i="8"/>
  <c r="AH343" i="8"/>
  <c r="AK343" i="8" s="1"/>
  <c r="AI68" i="8"/>
  <c r="AK272" i="10"/>
  <c r="AI233" i="9"/>
  <c r="AJ48" i="9"/>
  <c r="AH48" i="9"/>
  <c r="AK48" i="9" s="1"/>
  <c r="AI328" i="10"/>
  <c r="AI409" i="8"/>
  <c r="AM409" i="8" s="1"/>
  <c r="AR409" i="8" s="1"/>
  <c r="AT409" i="8" s="1"/>
  <c r="AI202" i="8"/>
  <c r="AM203" i="8" s="1"/>
  <c r="AR203" i="8" s="1"/>
  <c r="AT203" i="8" s="1"/>
  <c r="AI158" i="9"/>
  <c r="AJ48" i="8"/>
  <c r="AH48" i="8"/>
  <c r="AK48" i="8" s="1"/>
  <c r="AL298" i="9"/>
  <c r="AJ124" i="9"/>
  <c r="AH124" i="9"/>
  <c r="AX127" i="8"/>
  <c r="AV127" i="8"/>
  <c r="AY127" i="8" s="1"/>
  <c r="AV412" i="9"/>
  <c r="AY412" i="9" s="1"/>
  <c r="AX412" i="9"/>
  <c r="AX372" i="8"/>
  <c r="AV372" i="8"/>
  <c r="AY372" i="8" s="1"/>
  <c r="AX177" i="8"/>
  <c r="AV177" i="8"/>
  <c r="AY177" i="8" s="1"/>
  <c r="AX92" i="8"/>
  <c r="AV92" i="8"/>
  <c r="AY92" i="8" s="1"/>
  <c r="AX247" i="10"/>
  <c r="AV247" i="10"/>
  <c r="AY247" i="10" s="1"/>
  <c r="AT223" i="9"/>
  <c r="AK222" i="9"/>
  <c r="AW147" i="9"/>
  <c r="AV157" i="9"/>
  <c r="AY157" i="9" s="1"/>
  <c r="AX157" i="9"/>
  <c r="AW157" i="9"/>
  <c r="AH221" i="10"/>
  <c r="AL221" i="10" s="1"/>
  <c r="AJ221" i="10"/>
  <c r="AI221" i="10"/>
  <c r="AM222" i="10" s="1"/>
  <c r="AQ222" i="10" s="1"/>
  <c r="AR222" i="10" s="1"/>
  <c r="AL59" i="10"/>
  <c r="AI347" i="8"/>
  <c r="AM348" i="8" s="1"/>
  <c r="AR348" i="8" s="1"/>
  <c r="AT348" i="8" s="1"/>
  <c r="AL342" i="9"/>
  <c r="AL232" i="8"/>
  <c r="AZ352" i="10"/>
  <c r="AL87" i="9"/>
  <c r="AT269" i="8"/>
  <c r="AK269" i="8"/>
  <c r="AT93" i="10"/>
  <c r="AK92" i="10"/>
  <c r="AK337" i="10"/>
  <c r="AY26" i="10"/>
  <c r="AI99" i="10"/>
  <c r="AM99" i="10" s="1"/>
  <c r="AQ99" i="10" s="1"/>
  <c r="AR99" i="10" s="1"/>
  <c r="AT99" i="10" s="1"/>
  <c r="AT383" i="10"/>
  <c r="AK382" i="10"/>
  <c r="AI292" i="10"/>
  <c r="AM293" i="10" s="1"/>
  <c r="AQ293" i="10" s="1"/>
  <c r="AR293" i="10" s="1"/>
  <c r="AT293" i="10" s="1"/>
  <c r="AI38" i="10"/>
  <c r="C10" i="8"/>
  <c r="AK27" i="9"/>
  <c r="AV252" i="9"/>
  <c r="AY252" i="9" s="1"/>
  <c r="AX252" i="9"/>
  <c r="AJ68" i="9"/>
  <c r="AH68" i="9"/>
  <c r="AK68" i="9" s="1"/>
  <c r="AJ187" i="9"/>
  <c r="AH187" i="9"/>
  <c r="AL187" i="9" s="1"/>
  <c r="AV77" i="8"/>
  <c r="AY77" i="8" s="1"/>
  <c r="AX77" i="8"/>
  <c r="AK387" i="8"/>
  <c r="AT388" i="8"/>
  <c r="AJ399" i="9"/>
  <c r="AH399" i="9"/>
  <c r="AI399" i="9" s="1"/>
  <c r="AM399" i="9" s="1"/>
  <c r="AQ399" i="9" s="1"/>
  <c r="AR399" i="9" s="1"/>
  <c r="AX252" i="8"/>
  <c r="AV252" i="8"/>
  <c r="AJ167" i="8"/>
  <c r="AH167" i="8"/>
  <c r="AL167" i="8" s="1"/>
  <c r="AJ364" i="10"/>
  <c r="AH364" i="10"/>
  <c r="AT178" i="10"/>
  <c r="AK177" i="10"/>
  <c r="AV177" i="10"/>
  <c r="AX177" i="10"/>
  <c r="AH124" i="8"/>
  <c r="AL124" i="8" s="1"/>
  <c r="AJ124" i="8"/>
  <c r="AI27" i="9"/>
  <c r="AM28" i="9" s="1"/>
  <c r="AQ28" i="9" s="1"/>
  <c r="AR28" i="9" s="1"/>
  <c r="AT28" i="9" s="1"/>
  <c r="AX327" i="8"/>
  <c r="AV327" i="8"/>
  <c r="AY327" i="8" s="1"/>
  <c r="AI127" i="9"/>
  <c r="AM128" i="9" s="1"/>
  <c r="AQ128" i="9" s="1"/>
  <c r="AR128" i="9" s="1"/>
  <c r="AT128" i="9" s="1"/>
  <c r="AW82" i="9"/>
  <c r="AT233" i="9"/>
  <c r="AK232" i="9"/>
  <c r="AV257" i="10"/>
  <c r="AY257" i="10" s="1"/>
  <c r="AZ257" i="10"/>
  <c r="AX257" i="10"/>
  <c r="AJ64" i="8"/>
  <c r="AH64" i="8"/>
  <c r="AV92" i="10"/>
  <c r="AY92" i="10" s="1"/>
  <c r="AX92" i="10"/>
  <c r="AV307" i="8"/>
  <c r="AY307" i="8" s="1"/>
  <c r="AX307" i="8"/>
  <c r="AJ189" i="9"/>
  <c r="AH189" i="9"/>
  <c r="AI189" i="9" s="1"/>
  <c r="AM189" i="9" s="1"/>
  <c r="AQ189" i="9" s="1"/>
  <c r="AR189" i="9" s="1"/>
  <c r="AH82" i="10"/>
  <c r="AI82" i="10" s="1"/>
  <c r="AM83" i="10" s="1"/>
  <c r="AQ83" i="10" s="1"/>
  <c r="AR83" i="10" s="1"/>
  <c r="AJ82" i="10"/>
  <c r="AH317" i="9"/>
  <c r="AL317" i="9" s="1"/>
  <c r="AJ317" i="9"/>
  <c r="AJ392" i="8"/>
  <c r="AH392" i="8"/>
  <c r="AH149" i="8"/>
  <c r="AL149" i="8" s="1"/>
  <c r="AJ149" i="8"/>
  <c r="AJ317" i="10"/>
  <c r="AI317" i="10"/>
  <c r="AM318" i="10" s="1"/>
  <c r="AQ318" i="10" s="1"/>
  <c r="AR318" i="10" s="1"/>
  <c r="AH317" i="10"/>
  <c r="AL317" i="10" s="1"/>
  <c r="AT29" i="9"/>
  <c r="AK29" i="9"/>
  <c r="AT374" i="10"/>
  <c r="AK374" i="10"/>
  <c r="AL188" i="10"/>
  <c r="AJ119" i="10"/>
  <c r="AH119" i="10"/>
  <c r="AL119" i="10" s="1"/>
  <c r="AJ327" i="8"/>
  <c r="AH327" i="8"/>
  <c r="AJ83" i="8"/>
  <c r="AH83" i="8"/>
  <c r="AK83" i="8" s="1"/>
  <c r="AJ107" i="9"/>
  <c r="AH107" i="9"/>
  <c r="AI107" i="9" s="1"/>
  <c r="AM108" i="9" s="1"/>
  <c r="AQ108" i="9" s="1"/>
  <c r="AR108" i="9" s="1"/>
  <c r="AJ139" i="8"/>
  <c r="AH139" i="8"/>
  <c r="AZ172" i="10"/>
  <c r="AK147" i="8"/>
  <c r="AT148" i="8"/>
  <c r="AJ208" i="8"/>
  <c r="AH208" i="8"/>
  <c r="AK208" i="8" s="1"/>
  <c r="AT183" i="10"/>
  <c r="AK182" i="10"/>
  <c r="AL203" i="9"/>
  <c r="AH53" i="10"/>
  <c r="AK53" i="10" s="1"/>
  <c r="AJ53" i="10"/>
  <c r="AJ179" i="8"/>
  <c r="AI179" i="8"/>
  <c r="AM179" i="8" s="1"/>
  <c r="AR179" i="8" s="1"/>
  <c r="AH179" i="8"/>
  <c r="AL179" i="8" s="1"/>
  <c r="AX327" i="10"/>
  <c r="AV327" i="10"/>
  <c r="AY327" i="10" s="1"/>
  <c r="AH333" i="9"/>
  <c r="AK333" i="9" s="1"/>
  <c r="AJ333" i="9"/>
  <c r="AX122" i="10"/>
  <c r="AW122" i="10"/>
  <c r="AV122" i="10"/>
  <c r="AY122" i="10" s="1"/>
  <c r="AJ223" i="8"/>
  <c r="AH223" i="8"/>
  <c r="AK223" i="8" s="1"/>
  <c r="AI187" i="10"/>
  <c r="AM188" i="10" s="1"/>
  <c r="AQ188" i="10" s="1"/>
  <c r="AR188" i="10" s="1"/>
  <c r="AT188" i="10" s="1"/>
  <c r="AL127" i="10"/>
  <c r="AL39" i="9"/>
  <c r="AJ293" i="10"/>
  <c r="AH293" i="10"/>
  <c r="AK293" i="10" s="1"/>
  <c r="AX141" i="10"/>
  <c r="AV141" i="10"/>
  <c r="AJ372" i="10"/>
  <c r="AH372" i="10"/>
  <c r="AI372" i="10" s="1"/>
  <c r="AM373" i="10" s="1"/>
  <c r="AQ373" i="10" s="1"/>
  <c r="AR373" i="10" s="1"/>
  <c r="AX137" i="8"/>
  <c r="AV137" i="8"/>
  <c r="AY137" i="8" s="1"/>
  <c r="AJ217" i="10"/>
  <c r="AH217" i="10"/>
  <c r="AL217" i="10" s="1"/>
  <c r="AJ282" i="9"/>
  <c r="AH282" i="9"/>
  <c r="AI282" i="9" s="1"/>
  <c r="AM283" i="9" s="1"/>
  <c r="AQ283" i="9" s="1"/>
  <c r="AR283" i="9" s="1"/>
  <c r="AH214" i="9"/>
  <c r="AL214" i="9" s="1"/>
  <c r="AJ214" i="9"/>
  <c r="AT314" i="8"/>
  <c r="AK314" i="8"/>
  <c r="AH317" i="8"/>
  <c r="AI317" i="8" s="1"/>
  <c r="AM318" i="8" s="1"/>
  <c r="AR318" i="8" s="1"/>
  <c r="AL317" i="8"/>
  <c r="AJ317" i="8"/>
  <c r="AJ144" i="9"/>
  <c r="AH144" i="9"/>
  <c r="AL97" i="9"/>
  <c r="AK219" i="9"/>
  <c r="AJ379" i="8"/>
  <c r="AH379" i="8"/>
  <c r="AI379" i="8" s="1"/>
  <c r="AM379" i="8" s="1"/>
  <c r="AR379" i="8" s="1"/>
  <c r="AL174" i="10"/>
  <c r="AL278" i="10"/>
  <c r="AJ64" i="10"/>
  <c r="AH64" i="10"/>
  <c r="AI64" i="10" s="1"/>
  <c r="AM64" i="10" s="1"/>
  <c r="AQ64" i="10" s="1"/>
  <c r="AR64" i="10" s="1"/>
  <c r="AI109" i="10"/>
  <c r="AM109" i="10" s="1"/>
  <c r="AQ109" i="10" s="1"/>
  <c r="AR109" i="10" s="1"/>
  <c r="AT109" i="10" s="1"/>
  <c r="AH128" i="10"/>
  <c r="AL128" i="10" s="1"/>
  <c r="AJ128" i="10"/>
  <c r="AH347" i="10"/>
  <c r="AI347" i="10" s="1"/>
  <c r="AM348" i="10" s="1"/>
  <c r="AQ348" i="10" s="1"/>
  <c r="AR348" i="10" s="1"/>
  <c r="AJ347" i="10"/>
  <c r="AT98" i="10"/>
  <c r="AK97" i="10"/>
  <c r="AY26" i="8"/>
  <c r="AH298" i="10"/>
  <c r="AK298" i="10" s="1"/>
  <c r="AJ298" i="10"/>
  <c r="C10" i="10"/>
  <c r="C14" i="10"/>
  <c r="AI143" i="10"/>
  <c r="AT63" i="10"/>
  <c r="AK62" i="10"/>
  <c r="AJ418" i="10"/>
  <c r="AH418" i="10"/>
  <c r="AK418" i="10" s="1"/>
  <c r="AV181" i="9"/>
  <c r="AY181" i="9" s="1"/>
  <c r="AX181" i="9"/>
  <c r="AT79" i="9"/>
  <c r="AK79" i="9"/>
  <c r="AI272" i="10"/>
  <c r="AM273" i="10" s="1"/>
  <c r="AQ273" i="10" s="1"/>
  <c r="AR273" i="10" s="1"/>
  <c r="AT273" i="10" s="1"/>
  <c r="AJ363" i="9"/>
  <c r="AH363" i="9"/>
  <c r="AK363" i="9" s="1"/>
  <c r="AL189" i="10"/>
  <c r="AX82" i="10"/>
  <c r="AV82" i="10"/>
  <c r="AY82" i="10" s="1"/>
  <c r="AX192" i="9"/>
  <c r="AV192" i="9"/>
  <c r="AY192" i="9" s="1"/>
  <c r="AI343" i="9"/>
  <c r="AT89" i="9"/>
  <c r="AK89" i="9"/>
  <c r="AL34" i="10"/>
  <c r="AT29" i="8"/>
  <c r="AK29" i="8"/>
  <c r="AH84" i="8"/>
  <c r="AL84" i="8" s="1"/>
  <c r="AJ84" i="8"/>
  <c r="AV377" i="10"/>
  <c r="AY377" i="10" s="1"/>
  <c r="AX377" i="10"/>
  <c r="AH112" i="10"/>
  <c r="AI112" i="10" s="1"/>
  <c r="AM113" i="10" s="1"/>
  <c r="AQ113" i="10" s="1"/>
  <c r="AR113" i="10" s="1"/>
  <c r="AL112" i="10"/>
  <c r="AJ112" i="10"/>
  <c r="AK247" i="9"/>
  <c r="AT248" i="9"/>
  <c r="AX57" i="8"/>
  <c r="AV57" i="8"/>
  <c r="AY57" i="8" s="1"/>
  <c r="AJ168" i="8"/>
  <c r="AH168" i="8"/>
  <c r="AK168" i="8" s="1"/>
  <c r="AH413" i="8"/>
  <c r="AK413" i="8" s="1"/>
  <c r="AJ413" i="8"/>
  <c r="AJ69" i="8"/>
  <c r="AH69" i="8"/>
  <c r="AL69" i="8" s="1"/>
  <c r="AL409" i="9"/>
  <c r="AI59" i="10"/>
  <c r="AM59" i="10" s="1"/>
  <c r="AQ59" i="10" s="1"/>
  <c r="AR59" i="10" s="1"/>
  <c r="AT59" i="10" s="1"/>
  <c r="AL264" i="9"/>
  <c r="AK57" i="9"/>
  <c r="AI282" i="10"/>
  <c r="AM283" i="10" s="1"/>
  <c r="AQ283" i="10" s="1"/>
  <c r="AR283" i="10" s="1"/>
  <c r="AT283" i="10" s="1"/>
  <c r="AL79" i="10"/>
  <c r="AW362" i="10"/>
  <c r="AL73" i="10"/>
  <c r="AI159" i="9"/>
  <c r="AM159" i="9" s="1"/>
  <c r="AQ159" i="9" s="1"/>
  <c r="AR159" i="9" s="1"/>
  <c r="AT159" i="9" s="1"/>
  <c r="AK26" i="10"/>
  <c r="AZ267" i="9"/>
  <c r="AZ157" i="10"/>
  <c r="AL279" i="8"/>
  <c r="AL182" i="9"/>
  <c r="AT27" i="8"/>
  <c r="AK26" i="8"/>
  <c r="AL289" i="8"/>
  <c r="AT308" i="9"/>
  <c r="AK307" i="9"/>
  <c r="AI337" i="10"/>
  <c r="AM338" i="10" s="1"/>
  <c r="AQ338" i="10" s="1"/>
  <c r="AR338" i="10" s="1"/>
  <c r="AT338" i="10" s="1"/>
  <c r="AW26" i="10"/>
  <c r="AL383" i="9"/>
  <c r="AL102" i="10"/>
  <c r="AL37" i="10"/>
  <c r="AT194" i="10"/>
  <c r="AK194" i="10"/>
  <c r="AI218" i="10"/>
  <c r="AL398" i="8"/>
  <c r="AL257" i="9"/>
  <c r="AX202" i="9" l="1"/>
  <c r="AV202" i="9"/>
  <c r="AY202" i="9" s="1"/>
  <c r="AW202" i="9"/>
  <c r="AI403" i="9"/>
  <c r="AL248" i="10"/>
  <c r="AL73" i="9"/>
  <c r="AW212" i="10"/>
  <c r="AL357" i="9"/>
  <c r="AL394" i="9"/>
  <c r="AI278" i="8"/>
  <c r="AI118" i="9"/>
  <c r="AL222" i="8"/>
  <c r="AZ242" i="9"/>
  <c r="AI327" i="10"/>
  <c r="AM328" i="10" s="1"/>
  <c r="AQ328" i="10" s="1"/>
  <c r="AR328" i="10" s="1"/>
  <c r="AI28" i="8"/>
  <c r="AI362" i="8"/>
  <c r="AM363" i="8" s="1"/>
  <c r="AR363" i="8" s="1"/>
  <c r="AZ286" i="9"/>
  <c r="AY216" i="10"/>
  <c r="AZ216" i="10"/>
  <c r="AW216" i="10"/>
  <c r="AZ57" i="8"/>
  <c r="AZ182" i="8"/>
  <c r="AK356" i="10"/>
  <c r="AL356" i="10"/>
  <c r="AI356" i="10"/>
  <c r="AM357" i="10" s="1"/>
  <c r="AQ357" i="10" s="1"/>
  <c r="AR357" i="10" s="1"/>
  <c r="AT357" i="10" s="1"/>
  <c r="AY316" i="10"/>
  <c r="AZ316" i="10"/>
  <c r="AY111" i="9"/>
  <c r="AZ111" i="9"/>
  <c r="AW111" i="9"/>
  <c r="AL321" i="10"/>
  <c r="AI321" i="10"/>
  <c r="AM322" i="10" s="1"/>
  <c r="AQ322" i="10" s="1"/>
  <c r="AR322" i="10" s="1"/>
  <c r="AT322" i="10" s="1"/>
  <c r="AK321" i="10"/>
  <c r="AZ307" i="8"/>
  <c r="AZ372" i="8"/>
  <c r="AI264" i="10"/>
  <c r="AM264" i="10" s="1"/>
  <c r="AQ264" i="10" s="1"/>
  <c r="AR264" i="10" s="1"/>
  <c r="AL308" i="8"/>
  <c r="AL259" i="8"/>
  <c r="AL224" i="8"/>
  <c r="AI387" i="10"/>
  <c r="AM388" i="10" s="1"/>
  <c r="AQ388" i="10" s="1"/>
  <c r="AR388" i="10" s="1"/>
  <c r="AZ337" i="10"/>
  <c r="AZ87" i="9"/>
  <c r="AZ221" i="10"/>
  <c r="AI253" i="8"/>
  <c r="AL142" i="9"/>
  <c r="AL424" i="8"/>
  <c r="AZ212" i="10"/>
  <c r="AZ61" i="10"/>
  <c r="AZ397" i="10"/>
  <c r="AL288" i="10"/>
  <c r="AL277" i="10"/>
  <c r="AL213" i="9"/>
  <c r="AW42" i="8"/>
  <c r="AW351" i="10"/>
  <c r="AW396" i="9"/>
  <c r="AY376" i="10"/>
  <c r="AW376" i="10"/>
  <c r="AZ376" i="10"/>
  <c r="AL413" i="8"/>
  <c r="AW82" i="10"/>
  <c r="AZ107" i="8"/>
  <c r="AW417" i="10"/>
  <c r="AL303" i="8"/>
  <c r="AZ422" i="8"/>
  <c r="AL56" i="9"/>
  <c r="AW316" i="10"/>
  <c r="AZ396" i="9"/>
  <c r="AZ256" i="9"/>
  <c r="AI206" i="10"/>
  <c r="AM207" i="10" s="1"/>
  <c r="AQ207" i="10" s="1"/>
  <c r="AR207" i="10" s="1"/>
  <c r="AT207" i="10" s="1"/>
  <c r="AK206" i="10"/>
  <c r="AZ82" i="10"/>
  <c r="AI133" i="9"/>
  <c r="AL333" i="8"/>
  <c r="AL47" i="9"/>
  <c r="AZ242" i="8"/>
  <c r="AL63" i="9"/>
  <c r="AI203" i="8"/>
  <c r="AL197" i="9"/>
  <c r="AL102" i="9"/>
  <c r="AI99" i="8"/>
  <c r="AM99" i="8" s="1"/>
  <c r="AR99" i="8" s="1"/>
  <c r="AL168" i="10"/>
  <c r="AZ132" i="9"/>
  <c r="AI56" i="9"/>
  <c r="AM57" i="9" s="1"/>
  <c r="AQ57" i="9" s="1"/>
  <c r="AR57" i="9" s="1"/>
  <c r="AT57" i="9" s="1"/>
  <c r="AL396" i="9"/>
  <c r="AK396" i="9"/>
  <c r="AI396" i="9"/>
  <c r="AM397" i="9" s="1"/>
  <c r="AQ397" i="9" s="1"/>
  <c r="AR397" i="9" s="1"/>
  <c r="AT397" i="9" s="1"/>
  <c r="AI356" i="9"/>
  <c r="AM357" i="9" s="1"/>
  <c r="AQ357" i="9" s="1"/>
  <c r="AR357" i="9" s="1"/>
  <c r="AK356" i="9"/>
  <c r="AT357" i="9"/>
  <c r="AW256" i="9"/>
  <c r="AW212" i="9"/>
  <c r="AL186" i="9"/>
  <c r="AZ176" i="10"/>
  <c r="AL379" i="8"/>
  <c r="AL82" i="10"/>
  <c r="AI187" i="9"/>
  <c r="AM188" i="9" s="1"/>
  <c r="AQ188" i="9" s="1"/>
  <c r="AR188" i="9" s="1"/>
  <c r="AL194" i="8"/>
  <c r="AL188" i="8"/>
  <c r="AL249" i="9"/>
  <c r="AZ367" i="9"/>
  <c r="AL203" i="8"/>
  <c r="AL36" i="10"/>
  <c r="AW72" i="8"/>
  <c r="AL157" i="10"/>
  <c r="AL173" i="9"/>
  <c r="AZ36" i="10"/>
  <c r="AL93" i="8"/>
  <c r="AZ32" i="8"/>
  <c r="AL238" i="8"/>
  <c r="AL118" i="9"/>
  <c r="AL273" i="9"/>
  <c r="AW312" i="8"/>
  <c r="AI89" i="10"/>
  <c r="AM89" i="10" s="1"/>
  <c r="AQ89" i="10" s="1"/>
  <c r="AR89" i="10" s="1"/>
  <c r="AI319" i="8"/>
  <c r="AM319" i="8" s="1"/>
  <c r="AR319" i="8" s="1"/>
  <c r="AW242" i="9"/>
  <c r="AI261" i="9"/>
  <c r="AM262" i="9" s="1"/>
  <c r="AQ262" i="9" s="1"/>
  <c r="AR262" i="9" s="1"/>
  <c r="AW352" i="9"/>
  <c r="AL28" i="8"/>
  <c r="AI186" i="9"/>
  <c r="AM187" i="9" s="1"/>
  <c r="AQ187" i="9" s="1"/>
  <c r="AR187" i="9" s="1"/>
  <c r="AT187" i="9" s="1"/>
  <c r="AW286" i="9"/>
  <c r="AY321" i="10"/>
  <c r="AW321" i="10"/>
  <c r="AZ321" i="10"/>
  <c r="AW176" i="10"/>
  <c r="AL333" i="9"/>
  <c r="AW77" i="8"/>
  <c r="AZ47" i="9"/>
  <c r="AI332" i="9"/>
  <c r="AM333" i="9" s="1"/>
  <c r="AQ333" i="9" s="1"/>
  <c r="AR333" i="9" s="1"/>
  <c r="AW112" i="9"/>
  <c r="AW132" i="8"/>
  <c r="AI238" i="10"/>
  <c r="AL323" i="10"/>
  <c r="AL114" i="8"/>
  <c r="AI188" i="8"/>
  <c r="AW332" i="9"/>
  <c r="AI297" i="8"/>
  <c r="AM298" i="8" s="1"/>
  <c r="AR298" i="8" s="1"/>
  <c r="AW322" i="9"/>
  <c r="AZ32" i="9"/>
  <c r="AL52" i="10"/>
  <c r="AZ67" i="9"/>
  <c r="AL403" i="8"/>
  <c r="AI71" i="9"/>
  <c r="AM72" i="9" s="1"/>
  <c r="AQ72" i="9" s="1"/>
  <c r="AR72" i="9" s="1"/>
  <c r="AW152" i="10"/>
  <c r="AL397" i="10"/>
  <c r="AL37" i="9"/>
  <c r="AL63" i="8"/>
  <c r="C14" i="9"/>
  <c r="AL228" i="10"/>
  <c r="AZ221" i="9"/>
  <c r="AZ32" i="10"/>
  <c r="AZ181" i="10"/>
  <c r="AL78" i="9"/>
  <c r="AL154" i="10"/>
  <c r="AL274" i="10"/>
  <c r="AL103" i="8"/>
  <c r="AZ382" i="8"/>
  <c r="AL349" i="9"/>
  <c r="AL64" i="10"/>
  <c r="AL312" i="8"/>
  <c r="AL198" i="8"/>
  <c r="AL184" i="9"/>
  <c r="AL353" i="10"/>
  <c r="AZ237" i="10"/>
  <c r="AZ377" i="10"/>
  <c r="AZ181" i="9"/>
  <c r="AL282" i="9"/>
  <c r="AI333" i="9"/>
  <c r="AZ77" i="8"/>
  <c r="AW412" i="9"/>
  <c r="AL78" i="8"/>
  <c r="AI279" i="9"/>
  <c r="AM279" i="9" s="1"/>
  <c r="AQ279" i="9" s="1"/>
  <c r="AR279" i="9" s="1"/>
  <c r="AZ112" i="9"/>
  <c r="AZ132" i="8"/>
  <c r="AL238" i="10"/>
  <c r="AZ317" i="9"/>
  <c r="AZ332" i="9"/>
  <c r="AI77" i="8"/>
  <c r="AM78" i="8" s="1"/>
  <c r="AR78" i="8" s="1"/>
  <c r="AZ417" i="10"/>
  <c r="AZ322" i="9"/>
  <c r="AL362" i="10"/>
  <c r="AZ42" i="9"/>
  <c r="AL412" i="8"/>
  <c r="AL248" i="9"/>
  <c r="AZ402" i="8"/>
  <c r="AL228" i="9"/>
  <c r="AW277" i="9"/>
  <c r="AI29" i="10"/>
  <c r="AM29" i="10" s="1"/>
  <c r="AQ29" i="10" s="1"/>
  <c r="AR29" i="10" s="1"/>
  <c r="AL59" i="8"/>
  <c r="AZ92" i="9"/>
  <c r="AL188" i="9"/>
  <c r="AL83" i="10"/>
  <c r="AI262" i="9"/>
  <c r="AM263" i="9" s="1"/>
  <c r="AQ263" i="9" s="1"/>
  <c r="AR263" i="9" s="1"/>
  <c r="AI193" i="8"/>
  <c r="AL73" i="8"/>
  <c r="AL169" i="9"/>
  <c r="AZ292" i="9"/>
  <c r="AL222" i="10"/>
  <c r="AL197" i="10"/>
  <c r="AZ332" i="8"/>
  <c r="AZ257" i="8"/>
  <c r="AI229" i="8"/>
  <c r="AM229" i="8" s="1"/>
  <c r="AR229" i="8" s="1"/>
  <c r="AI173" i="8"/>
  <c r="AI133" i="8"/>
  <c r="AI273" i="10"/>
  <c r="AW107" i="8"/>
  <c r="AW407" i="8"/>
  <c r="AI373" i="10"/>
  <c r="AI183" i="10"/>
  <c r="AI389" i="8"/>
  <c r="AM389" i="8" s="1"/>
  <c r="AR389" i="8" s="1"/>
  <c r="AW42" i="9"/>
  <c r="AL221" i="9"/>
  <c r="AI183" i="9"/>
  <c r="AI244" i="8"/>
  <c r="AM244" i="8" s="1"/>
  <c r="AR244" i="8" s="1"/>
  <c r="AZ172" i="9"/>
  <c r="AZ422" i="9"/>
  <c r="AZ302" i="8"/>
  <c r="AL302" i="9"/>
  <c r="AI263" i="8"/>
  <c r="AL373" i="9"/>
  <c r="AZ327" i="9"/>
  <c r="AW51" i="10"/>
  <c r="AZ87" i="8"/>
  <c r="AZ337" i="8"/>
  <c r="AZ277" i="9"/>
  <c r="AL28" i="10"/>
  <c r="AI352" i="9"/>
  <c r="AM353" i="9" s="1"/>
  <c r="AQ353" i="9" s="1"/>
  <c r="AR353" i="9" s="1"/>
  <c r="AZ301" i="10"/>
  <c r="AW92" i="9"/>
  <c r="AI188" i="9"/>
  <c r="AI403" i="10"/>
  <c r="AI83" i="10"/>
  <c r="AL193" i="8"/>
  <c r="AI284" i="10"/>
  <c r="AM284" i="10" s="1"/>
  <c r="AQ284" i="10" s="1"/>
  <c r="AR284" i="10" s="1"/>
  <c r="AI73" i="8"/>
  <c r="AZ352" i="9"/>
  <c r="AL148" i="9"/>
  <c r="AI422" i="8"/>
  <c r="AM423" i="8" s="1"/>
  <c r="AR423" i="8" s="1"/>
  <c r="AI63" i="10"/>
  <c r="C14" i="8"/>
  <c r="AL373" i="10"/>
  <c r="AL353" i="9"/>
  <c r="AL417" i="8"/>
  <c r="AZ122" i="9"/>
  <c r="AZ192" i="10"/>
  <c r="AL141" i="9"/>
  <c r="AL178" i="8"/>
  <c r="AZ307" i="10"/>
  <c r="AL133" i="8"/>
  <c r="AL74" i="8"/>
  <c r="AI104" i="10"/>
  <c r="AM104" i="10" s="1"/>
  <c r="AQ104" i="10" s="1"/>
  <c r="AR104" i="10" s="1"/>
  <c r="AL183" i="10"/>
  <c r="AW301" i="10"/>
  <c r="AW221" i="9"/>
  <c r="AW32" i="10"/>
  <c r="AW181" i="10"/>
  <c r="AL363" i="9"/>
  <c r="AL273" i="10"/>
  <c r="AI214" i="9"/>
  <c r="AM214" i="9" s="1"/>
  <c r="AQ214" i="9" s="1"/>
  <c r="AR214" i="9" s="1"/>
  <c r="AT214" i="9" s="1"/>
  <c r="AL43" i="10"/>
  <c r="AL384" i="8"/>
  <c r="AL187" i="8"/>
  <c r="AL367" i="9"/>
  <c r="AI198" i="8"/>
  <c r="AZ72" i="8"/>
  <c r="AZ101" i="9"/>
  <c r="AW307" i="10"/>
  <c r="AW417" i="8"/>
  <c r="AL247" i="10"/>
  <c r="AI93" i="8"/>
  <c r="AI393" i="9"/>
  <c r="AI397" i="8"/>
  <c r="AM398" i="8" s="1"/>
  <c r="AR398" i="8" s="1"/>
  <c r="AZ152" i="8"/>
  <c r="AL278" i="8"/>
  <c r="AL141" i="10"/>
  <c r="AW67" i="10"/>
  <c r="AI69" i="10"/>
  <c r="AM69" i="10" s="1"/>
  <c r="AQ69" i="10" s="1"/>
  <c r="AR69" i="10" s="1"/>
  <c r="AL32" i="8"/>
  <c r="AI353" i="10"/>
  <c r="AL249" i="8"/>
  <c r="AW237" i="10"/>
  <c r="AI263" i="9"/>
  <c r="AI33" i="8"/>
  <c r="AI363" i="9"/>
  <c r="AL144" i="10"/>
  <c r="AZ192" i="9"/>
  <c r="AL418" i="10"/>
  <c r="AL172" i="10"/>
  <c r="AI172" i="10"/>
  <c r="AM173" i="10" s="1"/>
  <c r="AQ173" i="10" s="1"/>
  <c r="AR173" i="10" s="1"/>
  <c r="AK128" i="10"/>
  <c r="AI128" i="10"/>
  <c r="AK88" i="8"/>
  <c r="AI88" i="8"/>
  <c r="AY227" i="9"/>
  <c r="AW227" i="9"/>
  <c r="AY141" i="10"/>
  <c r="AZ141" i="10"/>
  <c r="AI124" i="8"/>
  <c r="AM124" i="8" s="1"/>
  <c r="AR124" i="8" s="1"/>
  <c r="AW327" i="10"/>
  <c r="AI149" i="8"/>
  <c r="AM149" i="8" s="1"/>
  <c r="AR149" i="8" s="1"/>
  <c r="AL88" i="8"/>
  <c r="AL407" i="9"/>
  <c r="AI407" i="9"/>
  <c r="AM408" i="9" s="1"/>
  <c r="AQ408" i="9" s="1"/>
  <c r="AR408" i="9" s="1"/>
  <c r="AK368" i="8"/>
  <c r="AI368" i="8"/>
  <c r="AY177" i="10"/>
  <c r="AZ177" i="10"/>
  <c r="AY252" i="8"/>
  <c r="AZ252" i="8"/>
  <c r="AY61" i="9"/>
  <c r="AW61" i="9"/>
  <c r="AY172" i="8"/>
  <c r="AZ172" i="8"/>
  <c r="AW252" i="8"/>
  <c r="AW172" i="8"/>
  <c r="AK213" i="8"/>
  <c r="AI213" i="8"/>
  <c r="AY272" i="9"/>
  <c r="AW272" i="9"/>
  <c r="AL182" i="8"/>
  <c r="AI182" i="8"/>
  <c r="AM183" i="8" s="1"/>
  <c r="AR183" i="8" s="1"/>
  <c r="AY37" i="8"/>
  <c r="AW37" i="8"/>
  <c r="AZ37" i="8"/>
  <c r="AW307" i="8"/>
  <c r="AW257" i="10"/>
  <c r="AL273" i="8"/>
  <c r="AI167" i="9"/>
  <c r="AM168" i="9" s="1"/>
  <c r="AQ168" i="9" s="1"/>
  <c r="AR168" i="9" s="1"/>
  <c r="AL247" i="8"/>
  <c r="AL207" i="10"/>
  <c r="AW122" i="9"/>
  <c r="AI277" i="8"/>
  <c r="AM278" i="8" s="1"/>
  <c r="AR278" i="8" s="1"/>
  <c r="AZ157" i="8"/>
  <c r="AL404" i="10"/>
  <c r="AZ162" i="8"/>
  <c r="AL197" i="8"/>
  <c r="AL224" i="9"/>
  <c r="AZ47" i="10"/>
  <c r="AL34" i="9"/>
  <c r="AZ312" i="10"/>
  <c r="AL334" i="10"/>
  <c r="AW242" i="8"/>
  <c r="AL32" i="10"/>
  <c r="AL61" i="9"/>
  <c r="AI63" i="9"/>
  <c r="AI318" i="10"/>
  <c r="AI178" i="8"/>
  <c r="AZ112" i="8"/>
  <c r="AW71" i="10"/>
  <c r="AI198" i="9"/>
  <c r="AI357" i="8"/>
  <c r="AM358" i="8" s="1"/>
  <c r="AR358" i="8" s="1"/>
  <c r="AW342" i="9"/>
  <c r="AL117" i="9"/>
  <c r="AZ51" i="9"/>
  <c r="AL212" i="8"/>
  <c r="AL322" i="9"/>
  <c r="AL84" i="9"/>
  <c r="AI309" i="8"/>
  <c r="AM309" i="8" s="1"/>
  <c r="AR309" i="8" s="1"/>
  <c r="AW147" i="10"/>
  <c r="AI314" i="10"/>
  <c r="AM314" i="10" s="1"/>
  <c r="AQ314" i="10" s="1"/>
  <c r="AR314" i="10" s="1"/>
  <c r="AZ392" i="8"/>
  <c r="AL319" i="10"/>
  <c r="AW287" i="9"/>
  <c r="AZ377" i="9"/>
  <c r="AW297" i="9"/>
  <c r="AL108" i="10"/>
  <c r="AI304" i="8"/>
  <c r="AM304" i="8" s="1"/>
  <c r="AR304" i="8" s="1"/>
  <c r="AI119" i="9"/>
  <c r="AM119" i="9" s="1"/>
  <c r="AQ119" i="9" s="1"/>
  <c r="AR119" i="9" s="1"/>
  <c r="AL193" i="10"/>
  <c r="AZ122" i="8"/>
  <c r="AZ67" i="10"/>
  <c r="AI398" i="9"/>
  <c r="AI178" i="10"/>
  <c r="AI204" i="9"/>
  <c r="AM204" i="9" s="1"/>
  <c r="AQ204" i="9" s="1"/>
  <c r="AR204" i="9" s="1"/>
  <c r="AI157" i="9"/>
  <c r="AM158" i="9" s="1"/>
  <c r="AQ158" i="9" s="1"/>
  <c r="AR158" i="9" s="1"/>
  <c r="AW297" i="10"/>
  <c r="AZ422" i="10"/>
  <c r="AL97" i="8"/>
  <c r="AL294" i="8"/>
  <c r="AL78" i="10"/>
  <c r="D11" i="8"/>
  <c r="AW372" i="10"/>
  <c r="AZ272" i="10"/>
  <c r="AL181" i="10"/>
  <c r="AL204" i="10"/>
  <c r="AL312" i="10"/>
  <c r="AW36" i="9"/>
  <c r="AI299" i="9"/>
  <c r="AM299" i="9" s="1"/>
  <c r="AQ299" i="9" s="1"/>
  <c r="AR299" i="9" s="1"/>
  <c r="AI147" i="10"/>
  <c r="AM148" i="10" s="1"/>
  <c r="AQ148" i="10" s="1"/>
  <c r="AR148" i="10" s="1"/>
  <c r="AI407" i="10"/>
  <c r="AM408" i="10" s="1"/>
  <c r="AQ408" i="10" s="1"/>
  <c r="AR408" i="10" s="1"/>
  <c r="AI233" i="10"/>
  <c r="AL384" i="10"/>
  <c r="AI194" i="9"/>
  <c r="AM194" i="9" s="1"/>
  <c r="AQ194" i="9" s="1"/>
  <c r="AR194" i="9" s="1"/>
  <c r="AW117" i="9"/>
  <c r="AZ71" i="10"/>
  <c r="AL198" i="9"/>
  <c r="AZ342" i="9"/>
  <c r="AL322" i="10"/>
  <c r="AI142" i="10"/>
  <c r="AM143" i="10" s="1"/>
  <c r="AQ143" i="10" s="1"/>
  <c r="AR143" i="10" s="1"/>
  <c r="AW392" i="8"/>
  <c r="AZ287" i="9"/>
  <c r="AW377" i="9"/>
  <c r="AI128" i="8"/>
  <c r="AI27" i="8"/>
  <c r="AM28" i="8" s="1"/>
  <c r="AR28" i="8" s="1"/>
  <c r="AI144" i="8"/>
  <c r="AM144" i="8" s="1"/>
  <c r="AR144" i="8" s="1"/>
  <c r="AW222" i="8"/>
  <c r="AW122" i="8"/>
  <c r="AL272" i="9"/>
  <c r="AL178" i="10"/>
  <c r="AZ297" i="10"/>
  <c r="AI78" i="10"/>
  <c r="AW372" i="8"/>
  <c r="AI78" i="8"/>
  <c r="AW47" i="9"/>
  <c r="AI308" i="8"/>
  <c r="AI79" i="8"/>
  <c r="AM79" i="8" s="1"/>
  <c r="AR79" i="8" s="1"/>
  <c r="AI344" i="9"/>
  <c r="AM344" i="9" s="1"/>
  <c r="AQ344" i="9" s="1"/>
  <c r="AR344" i="9" s="1"/>
  <c r="AW67" i="9"/>
  <c r="AI47" i="10"/>
  <c r="AM48" i="10" s="1"/>
  <c r="AQ48" i="10" s="1"/>
  <c r="AR48" i="10" s="1"/>
  <c r="AI78" i="9"/>
  <c r="AW82" i="8"/>
  <c r="AI269" i="10"/>
  <c r="AM269" i="10" s="1"/>
  <c r="AQ269" i="10" s="1"/>
  <c r="AR269" i="10" s="1"/>
  <c r="AL263" i="9"/>
  <c r="AL33" i="8"/>
  <c r="AZ71" i="9"/>
  <c r="AL423" i="8"/>
  <c r="AW182" i="8"/>
  <c r="AI43" i="10"/>
  <c r="AI348" i="10"/>
  <c r="AL199" i="10"/>
  <c r="AZ372" i="10"/>
  <c r="AL157" i="8"/>
  <c r="AI353" i="9"/>
  <c r="AW272" i="10"/>
  <c r="AZ347" i="10"/>
  <c r="AW347" i="8"/>
  <c r="AW367" i="9"/>
  <c r="AI143" i="9"/>
  <c r="AL372" i="8"/>
  <c r="AZ261" i="10"/>
  <c r="AI403" i="8"/>
  <c r="AZ36" i="9"/>
  <c r="AL327" i="9"/>
  <c r="AI113" i="9"/>
  <c r="AI333" i="8"/>
  <c r="AW192" i="10"/>
  <c r="AL228" i="8"/>
  <c r="AL218" i="8"/>
  <c r="AL233" i="10"/>
  <c r="AW332" i="8"/>
  <c r="AZ117" i="9"/>
  <c r="AI73" i="9"/>
  <c r="AL269" i="9"/>
  <c r="AI322" i="8"/>
  <c r="AM323" i="8" s="1"/>
  <c r="AR323" i="8" s="1"/>
  <c r="AI63" i="8"/>
  <c r="AI104" i="8"/>
  <c r="AM104" i="8" s="1"/>
  <c r="AR104" i="8" s="1"/>
  <c r="AL162" i="8"/>
  <c r="AL39" i="8"/>
  <c r="AI372" i="9"/>
  <c r="AM373" i="9" s="1"/>
  <c r="AQ373" i="9" s="1"/>
  <c r="AR373" i="9" s="1"/>
  <c r="AI422" i="9"/>
  <c r="AM423" i="9" s="1"/>
  <c r="AQ423" i="9" s="1"/>
  <c r="AR423" i="9" s="1"/>
  <c r="AI117" i="8"/>
  <c r="AM118" i="8" s="1"/>
  <c r="AR118" i="8" s="1"/>
  <c r="AL128" i="8"/>
  <c r="AZ222" i="8"/>
  <c r="AZ417" i="9"/>
  <c r="AL268" i="8"/>
  <c r="AI383" i="10"/>
  <c r="AI93" i="10"/>
  <c r="AL408" i="9"/>
  <c r="AL387" i="9"/>
  <c r="AL388" i="10"/>
  <c r="AW277" i="8"/>
  <c r="AL367" i="10"/>
  <c r="AW382" i="8"/>
  <c r="AL349" i="10"/>
  <c r="AI413" i="10"/>
  <c r="AL128" i="9"/>
  <c r="AZ332" i="10"/>
  <c r="AI228" i="8"/>
  <c r="AI218" i="8"/>
  <c r="AW112" i="8"/>
  <c r="AI254" i="9"/>
  <c r="AM254" i="9" s="1"/>
  <c r="AQ254" i="9" s="1"/>
  <c r="AR254" i="9" s="1"/>
  <c r="AT254" i="9" s="1"/>
  <c r="AW51" i="9"/>
  <c r="AI108" i="10"/>
  <c r="AW417" i="9"/>
  <c r="AI84" i="10"/>
  <c r="AM84" i="10" s="1"/>
  <c r="AQ84" i="10" s="1"/>
  <c r="AR84" i="10" s="1"/>
  <c r="AI253" i="9"/>
  <c r="AZ157" i="9"/>
  <c r="AL53" i="9"/>
  <c r="AZ347" i="9"/>
  <c r="AL403" i="9"/>
  <c r="AL419" i="10"/>
  <c r="AL253" i="8"/>
  <c r="AZ407" i="10"/>
  <c r="AL183" i="9"/>
  <c r="AI248" i="9"/>
  <c r="AW192" i="8"/>
  <c r="AW202" i="8"/>
  <c r="D11" i="10"/>
  <c r="AW302" i="8"/>
  <c r="AW101" i="9"/>
  <c r="AI288" i="8"/>
  <c r="AI173" i="9"/>
  <c r="AW327" i="9"/>
  <c r="AW257" i="8"/>
  <c r="AW36" i="10"/>
  <c r="AW61" i="10"/>
  <c r="AI228" i="9"/>
  <c r="AW337" i="8"/>
  <c r="AZ392" i="10"/>
  <c r="AI398" i="10"/>
  <c r="AL93" i="10"/>
  <c r="AI28" i="10"/>
  <c r="AW132" i="9"/>
  <c r="AW292" i="9"/>
  <c r="AX38" i="10"/>
  <c r="AV38" i="10"/>
  <c r="AY38" i="10" s="1"/>
  <c r="AX108" i="10"/>
  <c r="AV108" i="10"/>
  <c r="AY108" i="10" s="1"/>
  <c r="AV43" i="9"/>
  <c r="AY43" i="9" s="1"/>
  <c r="AX43" i="9"/>
  <c r="AV293" i="10"/>
  <c r="AY293" i="10" s="1"/>
  <c r="AX293" i="10"/>
  <c r="AX424" i="9"/>
  <c r="AV424" i="9"/>
  <c r="AY424" i="9" s="1"/>
  <c r="AX314" i="9"/>
  <c r="AV314" i="9"/>
  <c r="AY314" i="9" s="1"/>
  <c r="AX264" i="9"/>
  <c r="AV264" i="9"/>
  <c r="AY264" i="9" s="1"/>
  <c r="AX348" i="8"/>
  <c r="AV348" i="8"/>
  <c r="AY348" i="8" s="1"/>
  <c r="AX159" i="9"/>
  <c r="AV159" i="9"/>
  <c r="AY159" i="9" s="1"/>
  <c r="AX98" i="9"/>
  <c r="AV98" i="9"/>
  <c r="AY98" i="9" s="1"/>
  <c r="AX293" i="9"/>
  <c r="AV293" i="9"/>
  <c r="AY293" i="9" s="1"/>
  <c r="AX329" i="9"/>
  <c r="AV329" i="9"/>
  <c r="AY329" i="9" s="1"/>
  <c r="AV59" i="10"/>
  <c r="AY59" i="10" s="1"/>
  <c r="AX59" i="10"/>
  <c r="AX203" i="9"/>
  <c r="AV203" i="9"/>
  <c r="AY203" i="9" s="1"/>
  <c r="AV79" i="10"/>
  <c r="AY79" i="10" s="1"/>
  <c r="AX79" i="10"/>
  <c r="AV273" i="10"/>
  <c r="AY273" i="10" s="1"/>
  <c r="AZ273" i="10"/>
  <c r="AX273" i="10"/>
  <c r="AV264" i="8"/>
  <c r="AY264" i="8" s="1"/>
  <c r="AX264" i="8"/>
  <c r="AX179" i="9"/>
  <c r="AV179" i="9"/>
  <c r="AY179" i="9" s="1"/>
  <c r="AX329" i="8"/>
  <c r="AV329" i="8"/>
  <c r="AY329" i="8" s="1"/>
  <c r="AX99" i="10"/>
  <c r="AV99" i="10"/>
  <c r="AY99" i="10" s="1"/>
  <c r="AV294" i="9"/>
  <c r="AY294" i="9" s="1"/>
  <c r="AX294" i="9"/>
  <c r="AX109" i="10"/>
  <c r="AV109" i="10"/>
  <c r="AY109" i="10" s="1"/>
  <c r="AV334" i="9"/>
  <c r="AY334" i="9" s="1"/>
  <c r="AX334" i="9"/>
  <c r="AV283" i="8"/>
  <c r="AY283" i="8" s="1"/>
  <c r="AX283" i="8"/>
  <c r="AV338" i="10"/>
  <c r="AY338" i="10" s="1"/>
  <c r="AX338" i="10"/>
  <c r="AX283" i="10"/>
  <c r="AV283" i="10"/>
  <c r="AY283" i="10" s="1"/>
  <c r="AX109" i="9"/>
  <c r="AV109" i="9"/>
  <c r="AY109" i="9" s="1"/>
  <c r="AZ289" i="8"/>
  <c r="AX289" i="8"/>
  <c r="AV289" i="8"/>
  <c r="AY289" i="8" s="1"/>
  <c r="AX148" i="8"/>
  <c r="AV148" i="8"/>
  <c r="AY148" i="8" s="1"/>
  <c r="AK327" i="8"/>
  <c r="AK364" i="10"/>
  <c r="AK377" i="8"/>
  <c r="AK307" i="10"/>
  <c r="AX138" i="10"/>
  <c r="AV138" i="10"/>
  <c r="AY138" i="10" s="1"/>
  <c r="AK324" i="9"/>
  <c r="AK137" i="9"/>
  <c r="AK342" i="10"/>
  <c r="AZ209" i="8"/>
  <c r="AX209" i="8"/>
  <c r="AV209" i="8"/>
  <c r="AY209" i="8" s="1"/>
  <c r="AK57" i="8"/>
  <c r="AK34" i="8"/>
  <c r="AV29" i="8"/>
  <c r="AY29" i="8" s="1"/>
  <c r="AX29" i="8"/>
  <c r="AK214" i="9"/>
  <c r="AL293" i="10"/>
  <c r="AI53" i="10"/>
  <c r="AI327" i="8"/>
  <c r="AM328" i="8" s="1"/>
  <c r="AR328" i="8" s="1"/>
  <c r="AT328" i="8" s="1"/>
  <c r="AX374" i="10"/>
  <c r="AV374" i="10"/>
  <c r="AY374" i="10" s="1"/>
  <c r="AZ92" i="10"/>
  <c r="AW327" i="8"/>
  <c r="AI364" i="10"/>
  <c r="AM364" i="10" s="1"/>
  <c r="AQ364" i="10" s="1"/>
  <c r="AR364" i="10" s="1"/>
  <c r="AT364" i="10" s="1"/>
  <c r="AL68" i="9"/>
  <c r="AX28" i="9"/>
  <c r="AV28" i="9"/>
  <c r="AY28" i="9" s="1"/>
  <c r="AX269" i="8"/>
  <c r="AV269" i="8"/>
  <c r="AY269" i="8" s="1"/>
  <c r="AW92" i="8"/>
  <c r="AW127" i="8"/>
  <c r="AI48" i="8"/>
  <c r="AI48" i="9"/>
  <c r="AL343" i="8"/>
  <c r="AW382" i="9"/>
  <c r="AI318" i="9"/>
  <c r="AL243" i="10"/>
  <c r="AL388" i="8"/>
  <c r="AK332" i="9"/>
  <c r="AT333" i="9"/>
  <c r="AZ117" i="10"/>
  <c r="AZ147" i="8"/>
  <c r="AT124" i="10"/>
  <c r="AK124" i="10"/>
  <c r="AZ167" i="9"/>
  <c r="AW227" i="8"/>
  <c r="AI323" i="10"/>
  <c r="AZ232" i="10"/>
  <c r="AK407" i="9"/>
  <c r="AT408" i="9"/>
  <c r="AI313" i="8"/>
  <c r="AX153" i="10"/>
  <c r="AV153" i="10"/>
  <c r="AY153" i="10" s="1"/>
  <c r="AK172" i="10"/>
  <c r="AT173" i="10"/>
  <c r="AK182" i="8"/>
  <c r="AT183" i="8"/>
  <c r="AL397" i="9"/>
  <c r="AT313" i="8"/>
  <c r="AK312" i="8"/>
  <c r="AY27" i="9"/>
  <c r="AI83" i="9"/>
  <c r="AK297" i="8"/>
  <c r="AT298" i="8"/>
  <c r="AT249" i="9"/>
  <c r="AK249" i="9"/>
  <c r="AW62" i="8"/>
  <c r="AI101" i="9"/>
  <c r="AM102" i="9" s="1"/>
  <c r="AQ102" i="9" s="1"/>
  <c r="AR102" i="9" s="1"/>
  <c r="AL208" i="9"/>
  <c r="AZ402" i="9"/>
  <c r="AZ197" i="9"/>
  <c r="AT344" i="9"/>
  <c r="AK344" i="9"/>
  <c r="AW342" i="8"/>
  <c r="AI227" i="8"/>
  <c r="AM228" i="8" s="1"/>
  <c r="AR228" i="8" s="1"/>
  <c r="AI377" i="8"/>
  <c r="AM378" i="8" s="1"/>
  <c r="AR378" i="8" s="1"/>
  <c r="AT378" i="8" s="1"/>
  <c r="AT53" i="10"/>
  <c r="AK52" i="10"/>
  <c r="AL408" i="10"/>
  <c r="AK372" i="8"/>
  <c r="AT373" i="8"/>
  <c r="AI242" i="9"/>
  <c r="AM243" i="9" s="1"/>
  <c r="AQ243" i="9" s="1"/>
  <c r="AR243" i="9" s="1"/>
  <c r="AV109" i="8"/>
  <c r="AY109" i="8" s="1"/>
  <c r="AX109" i="8"/>
  <c r="AI133" i="10"/>
  <c r="AT313" i="10"/>
  <c r="AK312" i="10"/>
  <c r="AZ202" i="10"/>
  <c r="AZ382" i="10"/>
  <c r="AI108" i="8"/>
  <c r="AL408" i="8"/>
  <c r="AK142" i="9"/>
  <c r="AT143" i="9"/>
  <c r="AL33" i="10"/>
  <c r="AZ267" i="8"/>
  <c r="AI243" i="8"/>
  <c r="AI233" i="8"/>
  <c r="AZ232" i="9"/>
  <c r="AZ212" i="8"/>
  <c r="AI32" i="9"/>
  <c r="AM33" i="9" s="1"/>
  <c r="AQ33" i="9" s="1"/>
  <c r="AR33" i="9" s="1"/>
  <c r="AK71" i="9"/>
  <c r="AT72" i="9"/>
  <c r="AI177" i="8"/>
  <c r="AM178" i="8" s="1"/>
  <c r="AR178" i="8" s="1"/>
  <c r="AI98" i="8"/>
  <c r="AW301" i="9"/>
  <c r="AX404" i="8"/>
  <c r="AV404" i="8"/>
  <c r="AY404" i="8" s="1"/>
  <c r="AI324" i="9"/>
  <c r="AM324" i="9" s="1"/>
  <c r="AQ324" i="9" s="1"/>
  <c r="AR324" i="9" s="1"/>
  <c r="AT324" i="9" s="1"/>
  <c r="AT148" i="10"/>
  <c r="AK147" i="10"/>
  <c r="AZ207" i="9"/>
  <c r="AL178" i="9"/>
  <c r="AT424" i="8"/>
  <c r="AK424" i="8"/>
  <c r="AL33" i="9"/>
  <c r="AL218" i="9"/>
  <c r="AZ217" i="10"/>
  <c r="AW112" i="10"/>
  <c r="AW262" i="8"/>
  <c r="AW97" i="10"/>
  <c r="AZ282" i="8"/>
  <c r="AT198" i="10"/>
  <c r="AK197" i="10"/>
  <c r="AL258" i="9"/>
  <c r="AZ52" i="8"/>
  <c r="AL148" i="8"/>
  <c r="AL348" i="8"/>
  <c r="AZ287" i="8"/>
  <c r="AK254" i="9"/>
  <c r="AT269" i="9"/>
  <c r="AK269" i="9"/>
  <c r="AI132" i="10"/>
  <c r="AM133" i="10" s="1"/>
  <c r="AQ133" i="10" s="1"/>
  <c r="AR133" i="10" s="1"/>
  <c r="AW387" i="9"/>
  <c r="AI342" i="10"/>
  <c r="AM343" i="10" s="1"/>
  <c r="AQ343" i="10" s="1"/>
  <c r="AR343" i="10" s="1"/>
  <c r="AT343" i="10" s="1"/>
  <c r="AW407" i="9"/>
  <c r="AI338" i="8"/>
  <c r="AL53" i="8"/>
  <c r="AI58" i="8"/>
  <c r="AI54" i="9"/>
  <c r="AM54" i="9" s="1"/>
  <c r="AQ54" i="9" s="1"/>
  <c r="AR54" i="9" s="1"/>
  <c r="AI113" i="8"/>
  <c r="AI42" i="8"/>
  <c r="AM43" i="8" s="1"/>
  <c r="AR43" i="8" s="1"/>
  <c r="AT43" i="8" s="1"/>
  <c r="AT84" i="9"/>
  <c r="AK84" i="9"/>
  <c r="AZ292" i="8"/>
  <c r="AT309" i="8"/>
  <c r="AK309" i="8"/>
  <c r="AT303" i="9"/>
  <c r="AK302" i="9"/>
  <c r="AL263" i="8"/>
  <c r="AL323" i="8"/>
  <c r="AK247" i="10"/>
  <c r="AT248" i="10"/>
  <c r="AK262" i="8"/>
  <c r="AT263" i="8"/>
  <c r="AZ141" i="9"/>
  <c r="AW322" i="8"/>
  <c r="AW342" i="10"/>
  <c r="AI377" i="9"/>
  <c r="AM378" i="9" s="1"/>
  <c r="AQ378" i="9" s="1"/>
  <c r="AR378" i="9" s="1"/>
  <c r="AL358" i="10"/>
  <c r="AW267" i="10"/>
  <c r="AT359" i="10"/>
  <c r="AK359" i="10"/>
  <c r="AL238" i="9"/>
  <c r="AI263" i="10"/>
  <c r="AI57" i="8"/>
  <c r="AM58" i="8" s="1"/>
  <c r="AR58" i="8" s="1"/>
  <c r="AT58" i="8" s="1"/>
  <c r="AW362" i="8"/>
  <c r="AI293" i="9"/>
  <c r="AI173" i="10"/>
  <c r="AW197" i="8"/>
  <c r="AI423" i="10"/>
  <c r="AL328" i="9"/>
  <c r="AI143" i="8"/>
  <c r="AZ227" i="10"/>
  <c r="AL293" i="8"/>
  <c r="AW357" i="8"/>
  <c r="AT273" i="9"/>
  <c r="AK272" i="9"/>
  <c r="AI123" i="9"/>
  <c r="AW317" i="8"/>
  <c r="AZ312" i="8"/>
  <c r="AK102" i="8"/>
  <c r="AT103" i="8"/>
  <c r="AI34" i="8"/>
  <c r="AM34" i="8" s="1"/>
  <c r="AR34" i="8" s="1"/>
  <c r="AT34" i="8" s="1"/>
  <c r="AI43" i="8"/>
  <c r="AZ82" i="8"/>
  <c r="AT69" i="10"/>
  <c r="AK69" i="10"/>
  <c r="AL253" i="10"/>
  <c r="AT154" i="10"/>
  <c r="AK154" i="10"/>
  <c r="AT263" i="9"/>
  <c r="AK262" i="9"/>
  <c r="AK274" i="10"/>
  <c r="AT274" i="10"/>
  <c r="AI368" i="9"/>
  <c r="AW397" i="8"/>
  <c r="AK84" i="10"/>
  <c r="AT84" i="10"/>
  <c r="AZ277" i="8"/>
  <c r="AI103" i="8"/>
  <c r="AT204" i="9"/>
  <c r="AK204" i="9"/>
  <c r="AL253" i="9"/>
  <c r="AK32" i="8"/>
  <c r="AT33" i="8"/>
  <c r="AI409" i="10"/>
  <c r="AM409" i="10" s="1"/>
  <c r="AQ409" i="10" s="1"/>
  <c r="AR409" i="10" s="1"/>
  <c r="AT409" i="10" s="1"/>
  <c r="AK157" i="9"/>
  <c r="AT158" i="9"/>
  <c r="AW422" i="10"/>
  <c r="AI393" i="8"/>
  <c r="AI303" i="10"/>
  <c r="AI43" i="9"/>
  <c r="AK77" i="10"/>
  <c r="AT78" i="10"/>
  <c r="AL414" i="10"/>
  <c r="AZ42" i="8"/>
  <c r="AT98" i="8"/>
  <c r="AK97" i="8"/>
  <c r="AW77" i="9"/>
  <c r="AI134" i="8"/>
  <c r="AM134" i="8" s="1"/>
  <c r="AR134" i="8" s="1"/>
  <c r="AT169" i="9"/>
  <c r="AK169" i="9"/>
  <c r="AW237" i="8"/>
  <c r="AW47" i="8"/>
  <c r="AW367" i="10"/>
  <c r="AT309" i="9"/>
  <c r="AK309" i="9"/>
  <c r="AT219" i="8"/>
  <c r="AK219" i="8"/>
  <c r="AV34" i="10"/>
  <c r="AY34" i="10" s="1"/>
  <c r="AX34" i="10"/>
  <c r="AT368" i="8"/>
  <c r="AK367" i="8"/>
  <c r="AX208" i="9"/>
  <c r="AV208" i="9"/>
  <c r="AY208" i="9" s="1"/>
  <c r="AT74" i="10"/>
  <c r="AK74" i="10"/>
  <c r="AK132" i="8"/>
  <c r="AT133" i="8"/>
  <c r="AT129" i="10"/>
  <c r="AK129" i="10"/>
  <c r="AK47" i="8"/>
  <c r="AT393" i="9"/>
  <c r="AK392" i="9"/>
  <c r="AI408" i="10"/>
  <c r="AX119" i="8"/>
  <c r="AV119" i="8"/>
  <c r="AY119" i="8" s="1"/>
  <c r="AK114" i="9"/>
  <c r="AK37" i="8"/>
  <c r="AK134" i="10"/>
  <c r="AK217" i="8"/>
  <c r="AX233" i="8"/>
  <c r="AV233" i="8"/>
  <c r="AY233" i="8" s="1"/>
  <c r="AK104" i="9"/>
  <c r="AK237" i="10"/>
  <c r="AK184" i="8"/>
  <c r="AK139" i="9"/>
  <c r="AK54" i="8"/>
  <c r="AK159" i="8"/>
  <c r="AK419" i="8"/>
  <c r="AK352" i="8"/>
  <c r="AK74" i="9"/>
  <c r="AT323" i="8"/>
  <c r="AK322" i="8"/>
  <c r="AT414" i="8"/>
  <c r="AK414" i="8"/>
  <c r="AK314" i="10"/>
  <c r="AT314" i="10"/>
  <c r="AT219" i="10"/>
  <c r="AK219" i="10"/>
  <c r="AK349" i="8"/>
  <c r="AV289" i="9"/>
  <c r="AY289" i="9" s="1"/>
  <c r="AX289" i="9"/>
  <c r="AZ232" i="8"/>
  <c r="AV133" i="9"/>
  <c r="AY133" i="9" s="1"/>
  <c r="AX133" i="9"/>
  <c r="AL74" i="10"/>
  <c r="AL263" i="10"/>
  <c r="AK267" i="9"/>
  <c r="AW402" i="10"/>
  <c r="AK229" i="10"/>
  <c r="AL398" i="9"/>
  <c r="AI253" i="10"/>
  <c r="AT262" i="9"/>
  <c r="AK261" i="9"/>
  <c r="AZ162" i="9"/>
  <c r="AT269" i="10"/>
  <c r="AK269" i="10"/>
  <c r="AL413" i="10"/>
  <c r="AK189" i="8"/>
  <c r="AT99" i="9"/>
  <c r="AK99" i="9"/>
  <c r="AK382" i="9"/>
  <c r="AX313" i="9"/>
  <c r="AV313" i="9"/>
  <c r="AY313" i="9" s="1"/>
  <c r="AK69" i="9"/>
  <c r="AK359" i="9"/>
  <c r="AT359" i="9"/>
  <c r="AK317" i="9"/>
  <c r="AK237" i="8"/>
  <c r="AK202" i="10"/>
  <c r="AI69" i="8"/>
  <c r="AM69" i="8" s="1"/>
  <c r="AR69" i="8" s="1"/>
  <c r="AT318" i="8"/>
  <c r="AK317" i="8"/>
  <c r="AW137" i="8"/>
  <c r="AX183" i="10"/>
  <c r="AW183" i="10"/>
  <c r="AV183" i="10"/>
  <c r="AY183" i="10" s="1"/>
  <c r="AK139" i="8"/>
  <c r="AX29" i="9"/>
  <c r="AV29" i="9"/>
  <c r="AY29" i="9" s="1"/>
  <c r="AI317" i="9"/>
  <c r="AM318" i="9" s="1"/>
  <c r="AQ318" i="9" s="1"/>
  <c r="AR318" i="9" s="1"/>
  <c r="AT318" i="9" s="1"/>
  <c r="AK124" i="9"/>
  <c r="AL48" i="9"/>
  <c r="AI343" i="8"/>
  <c r="AI388" i="8"/>
  <c r="AW117" i="10"/>
  <c r="AK224" i="10"/>
  <c r="AK369" i="9"/>
  <c r="AK237" i="9"/>
  <c r="AW167" i="9"/>
  <c r="AX188" i="10"/>
  <c r="AV188" i="10"/>
  <c r="AY188" i="10" s="1"/>
  <c r="AW232" i="10"/>
  <c r="AI313" i="10"/>
  <c r="AX129" i="9"/>
  <c r="AV129" i="9"/>
  <c r="AY129" i="9" s="1"/>
  <c r="AL313" i="8"/>
  <c r="AK379" i="10"/>
  <c r="AK274" i="8"/>
  <c r="AK167" i="10"/>
  <c r="AK302" i="8"/>
  <c r="AZ62" i="8"/>
  <c r="AI208" i="9"/>
  <c r="AK257" i="10"/>
  <c r="AZ412" i="10"/>
  <c r="AI107" i="8"/>
  <c r="AM108" i="8" s="1"/>
  <c r="AR108" i="8" s="1"/>
  <c r="AI213" i="10"/>
  <c r="AZ342" i="8"/>
  <c r="AT168" i="9"/>
  <c r="AK167" i="9"/>
  <c r="AI358" i="8"/>
  <c r="AX254" i="8"/>
  <c r="AV254" i="8"/>
  <c r="AY254" i="8" s="1"/>
  <c r="AK67" i="10"/>
  <c r="AI308" i="10"/>
  <c r="AL377" i="8"/>
  <c r="AT388" i="10"/>
  <c r="AK387" i="10"/>
  <c r="AL219" i="8"/>
  <c r="AI114" i="9"/>
  <c r="AM114" i="9" s="1"/>
  <c r="AQ114" i="9" s="1"/>
  <c r="AR114" i="9" s="1"/>
  <c r="AT114" i="9" s="1"/>
  <c r="AV189" i="10"/>
  <c r="AY189" i="10" s="1"/>
  <c r="AX189" i="10"/>
  <c r="AI37" i="8"/>
  <c r="AM38" i="8" s="1"/>
  <c r="AR38" i="8" s="1"/>
  <c r="AT38" i="8" s="1"/>
  <c r="AK337" i="8"/>
  <c r="AV369" i="10"/>
  <c r="AY369" i="10" s="1"/>
  <c r="AX369" i="10"/>
  <c r="AL393" i="10"/>
  <c r="AX193" i="9"/>
  <c r="AV193" i="9"/>
  <c r="AY193" i="9" s="1"/>
  <c r="AW202" i="10"/>
  <c r="AW362" i="9"/>
  <c r="AW167" i="8"/>
  <c r="AK199" i="8"/>
  <c r="AW392" i="9"/>
  <c r="AZ387" i="10"/>
  <c r="AI134" i="10"/>
  <c r="AM134" i="10" s="1"/>
  <c r="AQ134" i="10" s="1"/>
  <c r="AR134" i="10" s="1"/>
  <c r="AT134" i="10" s="1"/>
  <c r="AX308" i="8"/>
  <c r="AV308" i="8"/>
  <c r="AY308" i="8" s="1"/>
  <c r="AI33" i="10"/>
  <c r="AV339" i="9"/>
  <c r="AY339" i="9" s="1"/>
  <c r="AX339" i="9"/>
  <c r="AL243" i="8"/>
  <c r="AL233" i="8"/>
  <c r="AI123" i="8"/>
  <c r="AI217" i="8"/>
  <c r="AM218" i="8" s="1"/>
  <c r="AR218" i="8" s="1"/>
  <c r="AT218" i="8" s="1"/>
  <c r="AW152" i="9"/>
  <c r="AL98" i="8"/>
  <c r="AZ301" i="9"/>
  <c r="AX88" i="9"/>
  <c r="AV88" i="9"/>
  <c r="AY88" i="9" s="1"/>
  <c r="AI104" i="9"/>
  <c r="AM104" i="9" s="1"/>
  <c r="AQ104" i="9" s="1"/>
  <c r="AR104" i="9" s="1"/>
  <c r="AT104" i="9" s="1"/>
  <c r="AI237" i="10"/>
  <c r="AM238" i="10" s="1"/>
  <c r="AQ238" i="10" s="1"/>
  <c r="AR238" i="10" s="1"/>
  <c r="AT238" i="10" s="1"/>
  <c r="AT198" i="8"/>
  <c r="AK197" i="8"/>
  <c r="AL324" i="9"/>
  <c r="AI184" i="8"/>
  <c r="AM184" i="8" s="1"/>
  <c r="AR184" i="8" s="1"/>
  <c r="AT184" i="8" s="1"/>
  <c r="AW252" i="10"/>
  <c r="AT408" i="10"/>
  <c r="AK407" i="10"/>
  <c r="AI93" i="9"/>
  <c r="AT102" i="10"/>
  <c r="AK101" i="10"/>
  <c r="AW217" i="8"/>
  <c r="AI139" i="9"/>
  <c r="AM139" i="9" s="1"/>
  <c r="AQ139" i="9" s="1"/>
  <c r="AR139" i="9" s="1"/>
  <c r="AT139" i="9" s="1"/>
  <c r="AK424" i="10"/>
  <c r="AI378" i="9"/>
  <c r="AZ262" i="8"/>
  <c r="AW97" i="8"/>
  <c r="AX374" i="9"/>
  <c r="AV374" i="9"/>
  <c r="AY374" i="9" s="1"/>
  <c r="AK272" i="8"/>
  <c r="AX28" i="10"/>
  <c r="AV28" i="10"/>
  <c r="AY28" i="10" s="1"/>
  <c r="AK397" i="10"/>
  <c r="AT398" i="10"/>
  <c r="AW282" i="8"/>
  <c r="AI54" i="8"/>
  <c r="AM54" i="8" s="1"/>
  <c r="AR54" i="8" s="1"/>
  <c r="AT54" i="8" s="1"/>
  <c r="AI258" i="9"/>
  <c r="AI159" i="8"/>
  <c r="AM159" i="8" s="1"/>
  <c r="AR159" i="8" s="1"/>
  <c r="AT159" i="8" s="1"/>
  <c r="AW52" i="8"/>
  <c r="AI148" i="8"/>
  <c r="AV233" i="10"/>
  <c r="AY233" i="10" s="1"/>
  <c r="AX233" i="10"/>
  <c r="AW233" i="10"/>
  <c r="AI348" i="8"/>
  <c r="AW377" i="8"/>
  <c r="AK339" i="8"/>
  <c r="AK301" i="10"/>
  <c r="AK354" i="9"/>
  <c r="AZ407" i="9"/>
  <c r="AK287" i="8"/>
  <c r="AI419" i="8"/>
  <c r="AM419" i="8" s="1"/>
  <c r="AR419" i="8" s="1"/>
  <c r="AT419" i="8" s="1"/>
  <c r="AI352" i="8"/>
  <c r="AM353" i="8" s="1"/>
  <c r="AR353" i="8" s="1"/>
  <c r="AT353" i="8" s="1"/>
  <c r="AI74" i="9"/>
  <c r="AM74" i="9" s="1"/>
  <c r="AQ74" i="9" s="1"/>
  <c r="AR74" i="9" s="1"/>
  <c r="AT74" i="9" s="1"/>
  <c r="AW412" i="8"/>
  <c r="AI328" i="8"/>
  <c r="AL58" i="8"/>
  <c r="AV149" i="9"/>
  <c r="AY149" i="9" s="1"/>
  <c r="AX149" i="9"/>
  <c r="AK82" i="8"/>
  <c r="AX193" i="8"/>
  <c r="AV193" i="8"/>
  <c r="AY193" i="8" s="1"/>
  <c r="AK239" i="10"/>
  <c r="C16" i="9"/>
  <c r="AZ342" i="10"/>
  <c r="AK284" i="9"/>
  <c r="AK67" i="9"/>
  <c r="AK344" i="8"/>
  <c r="AK122" i="8"/>
  <c r="AK42" i="10"/>
  <c r="AK64" i="9"/>
  <c r="AK62" i="9"/>
  <c r="AK51" i="9"/>
  <c r="AK72" i="8"/>
  <c r="AK152" i="8"/>
  <c r="AK334" i="8"/>
  <c r="AK214" i="10"/>
  <c r="AK374" i="8"/>
  <c r="AK262" i="10"/>
  <c r="AK354" i="10"/>
  <c r="AL129" i="10"/>
  <c r="AL34" i="8"/>
  <c r="AL43" i="8"/>
  <c r="AT89" i="10"/>
  <c r="AK89" i="10"/>
  <c r="AK382" i="8"/>
  <c r="AK149" i="10"/>
  <c r="AK409" i="10"/>
  <c r="AL393" i="8"/>
  <c r="AL303" i="10"/>
  <c r="AL43" i="9"/>
  <c r="AZ77" i="9"/>
  <c r="AK234" i="9"/>
  <c r="AK181" i="9"/>
  <c r="D18" i="9"/>
  <c r="D24" i="11" s="1"/>
  <c r="AX399" i="8"/>
  <c r="AV399" i="8"/>
  <c r="AY399" i="8" s="1"/>
  <c r="AX409" i="8"/>
  <c r="AV409" i="8"/>
  <c r="AY409" i="8" s="1"/>
  <c r="AT419" i="9"/>
  <c r="AK419" i="9"/>
  <c r="AX209" i="10"/>
  <c r="AW209" i="10"/>
  <c r="AV209" i="10"/>
  <c r="AY209" i="10" s="1"/>
  <c r="AX354" i="8"/>
  <c r="AV354" i="8"/>
  <c r="AY354" i="8" s="1"/>
  <c r="AX234" i="10"/>
  <c r="AV234" i="10"/>
  <c r="AY234" i="10" s="1"/>
  <c r="AK332" i="10"/>
  <c r="AK174" i="9"/>
  <c r="AT174" i="9"/>
  <c r="AX219" i="9"/>
  <c r="AV219" i="9"/>
  <c r="AY219" i="9" s="1"/>
  <c r="AK397" i="9"/>
  <c r="AT398" i="9"/>
  <c r="AI168" i="8"/>
  <c r="AW377" i="10"/>
  <c r="D18" i="8"/>
  <c r="C24" i="11" s="1"/>
  <c r="D8" i="10"/>
  <c r="D10" i="10" s="1"/>
  <c r="AX89" i="9"/>
  <c r="AV89" i="9"/>
  <c r="AY89" i="9" s="1"/>
  <c r="AK144" i="9"/>
  <c r="AW141" i="10"/>
  <c r="AZ122" i="10"/>
  <c r="AZ327" i="10"/>
  <c r="AL53" i="10"/>
  <c r="AI139" i="8"/>
  <c r="AM139" i="8" s="1"/>
  <c r="AR139" i="8" s="1"/>
  <c r="AT139" i="8" s="1"/>
  <c r="AI83" i="8"/>
  <c r="AK119" i="10"/>
  <c r="AK392" i="8"/>
  <c r="AK64" i="8"/>
  <c r="AW177" i="10"/>
  <c r="AK167" i="8"/>
  <c r="AW247" i="10"/>
  <c r="AW177" i="8"/>
  <c r="AI124" i="9"/>
  <c r="AM124" i="9" s="1"/>
  <c r="AQ124" i="9" s="1"/>
  <c r="AR124" i="9" s="1"/>
  <c r="AT124" i="9" s="1"/>
  <c r="AW347" i="9"/>
  <c r="AK49" i="10"/>
  <c r="AI283" i="10"/>
  <c r="AI48" i="10"/>
  <c r="AI224" i="10"/>
  <c r="AM224" i="10" s="1"/>
  <c r="AQ224" i="10" s="1"/>
  <c r="AR224" i="10" s="1"/>
  <c r="AT224" i="10" s="1"/>
  <c r="AI369" i="9"/>
  <c r="AM369" i="9" s="1"/>
  <c r="AQ369" i="9" s="1"/>
  <c r="AR369" i="9" s="1"/>
  <c r="AT369" i="9" s="1"/>
  <c r="AI237" i="9"/>
  <c r="AM238" i="9" s="1"/>
  <c r="AQ238" i="9" s="1"/>
  <c r="AR238" i="9" s="1"/>
  <c r="AT238" i="9" s="1"/>
  <c r="AW337" i="9"/>
  <c r="AT144" i="10"/>
  <c r="AK144" i="10"/>
  <c r="AI379" i="10"/>
  <c r="AM379" i="10" s="1"/>
  <c r="AQ379" i="10" s="1"/>
  <c r="AR379" i="10" s="1"/>
  <c r="AT379" i="10" s="1"/>
  <c r="AK304" i="10"/>
  <c r="AX259" i="10"/>
  <c r="AW259" i="10"/>
  <c r="AV259" i="10"/>
  <c r="AY259" i="10" s="1"/>
  <c r="AT158" i="8"/>
  <c r="AK157" i="8"/>
  <c r="AI274" i="8"/>
  <c r="AM274" i="8" s="1"/>
  <c r="AR274" i="8" s="1"/>
  <c r="AT274" i="8" s="1"/>
  <c r="AT414" i="9"/>
  <c r="AK414" i="9"/>
  <c r="AI167" i="10"/>
  <c r="AM168" i="10" s="1"/>
  <c r="AQ168" i="10" s="1"/>
  <c r="AR168" i="10" s="1"/>
  <c r="AT168" i="10" s="1"/>
  <c r="AK72" i="9"/>
  <c r="AL88" i="10"/>
  <c r="AI302" i="8"/>
  <c r="AM303" i="8" s="1"/>
  <c r="AR303" i="8" s="1"/>
  <c r="AT303" i="8" s="1"/>
  <c r="AL257" i="10"/>
  <c r="AX394" i="10"/>
  <c r="AZ394" i="10"/>
  <c r="AV394" i="10"/>
  <c r="AY394" i="10" s="1"/>
  <c r="AW32" i="9"/>
  <c r="AW412" i="10"/>
  <c r="AK54" i="10"/>
  <c r="AI67" i="10"/>
  <c r="AM68" i="10" s="1"/>
  <c r="AQ68" i="10" s="1"/>
  <c r="AR68" i="10" s="1"/>
  <c r="AT68" i="10" s="1"/>
  <c r="AK257" i="8"/>
  <c r="AT389" i="10"/>
  <c r="AK389" i="10"/>
  <c r="AW247" i="8"/>
  <c r="AV209" i="9"/>
  <c r="AY209" i="9" s="1"/>
  <c r="AX209" i="9"/>
  <c r="AI337" i="8"/>
  <c r="AM338" i="8" s="1"/>
  <c r="AR338" i="8" s="1"/>
  <c r="AT338" i="8" s="1"/>
  <c r="AK67" i="8"/>
  <c r="AI393" i="10"/>
  <c r="AI199" i="8"/>
  <c r="AM199" i="8" s="1"/>
  <c r="AR199" i="8" s="1"/>
  <c r="AT199" i="8" s="1"/>
  <c r="AW387" i="10"/>
  <c r="AK192" i="10"/>
  <c r="AK137" i="8"/>
  <c r="AW67" i="8"/>
  <c r="AW137" i="10"/>
  <c r="AK344" i="10"/>
  <c r="AW157" i="8"/>
  <c r="AX403" i="9"/>
  <c r="AV403" i="9"/>
  <c r="AY403" i="9" s="1"/>
  <c r="AX94" i="10"/>
  <c r="AV94" i="10"/>
  <c r="AY94" i="10" s="1"/>
  <c r="AK404" i="10"/>
  <c r="AT404" i="10"/>
  <c r="AW47" i="10"/>
  <c r="AZ252" i="10"/>
  <c r="AW312" i="10"/>
  <c r="AW172" i="9"/>
  <c r="AW402" i="8"/>
  <c r="AI424" i="10"/>
  <c r="AM424" i="10" s="1"/>
  <c r="AQ424" i="10" s="1"/>
  <c r="AR424" i="10" s="1"/>
  <c r="AT424" i="10" s="1"/>
  <c r="AV418" i="10"/>
  <c r="AY418" i="10" s="1"/>
  <c r="AX418" i="10"/>
  <c r="AK407" i="8"/>
  <c r="AK299" i="8"/>
  <c r="AI272" i="8"/>
  <c r="AM273" i="8" s="1"/>
  <c r="AR273" i="8" s="1"/>
  <c r="AT273" i="8" s="1"/>
  <c r="AV173" i="9"/>
  <c r="AY173" i="9" s="1"/>
  <c r="AX173" i="9"/>
  <c r="AX199" i="9"/>
  <c r="AV199" i="9"/>
  <c r="AY199" i="9" s="1"/>
  <c r="AX289" i="10"/>
  <c r="AV289" i="10"/>
  <c r="AY289" i="10" s="1"/>
  <c r="AX89" i="8"/>
  <c r="AV89" i="8"/>
  <c r="AY89" i="8" s="1"/>
  <c r="AT38" i="9"/>
  <c r="AK37" i="9"/>
  <c r="AX288" i="9"/>
  <c r="AV288" i="9"/>
  <c r="AY288" i="9" s="1"/>
  <c r="AI339" i="8"/>
  <c r="AM339" i="8" s="1"/>
  <c r="AR339" i="8" s="1"/>
  <c r="AT339" i="8" s="1"/>
  <c r="AI301" i="10"/>
  <c r="AM302" i="10" s="1"/>
  <c r="AQ302" i="10" s="1"/>
  <c r="AR302" i="10" s="1"/>
  <c r="AT302" i="10" s="1"/>
  <c r="AI354" i="9"/>
  <c r="AM354" i="9" s="1"/>
  <c r="AQ354" i="9" s="1"/>
  <c r="AR354" i="9" s="1"/>
  <c r="AT354" i="9" s="1"/>
  <c r="AI287" i="8"/>
  <c r="AM288" i="8" s="1"/>
  <c r="AR288" i="8" s="1"/>
  <c r="AT288" i="8" s="1"/>
  <c r="AK217" i="9"/>
  <c r="AX123" i="9"/>
  <c r="AV123" i="9"/>
  <c r="AY123" i="9" s="1"/>
  <c r="AK204" i="8"/>
  <c r="AI68" i="10"/>
  <c r="AI82" i="8"/>
  <c r="AM83" i="8" s="1"/>
  <c r="AR83" i="8" s="1"/>
  <c r="AT83" i="8" s="1"/>
  <c r="AV378" i="10"/>
  <c r="AY378" i="10" s="1"/>
  <c r="AX378" i="10"/>
  <c r="AT39" i="8"/>
  <c r="AK39" i="8"/>
  <c r="AI239" i="10"/>
  <c r="AM239" i="10" s="1"/>
  <c r="AQ239" i="10" s="1"/>
  <c r="AR239" i="10" s="1"/>
  <c r="AT239" i="10" s="1"/>
  <c r="AW232" i="8"/>
  <c r="AK239" i="8"/>
  <c r="AI153" i="10"/>
  <c r="AI203" i="10"/>
  <c r="AK277" i="9"/>
  <c r="AI284" i="9"/>
  <c r="AM284" i="9" s="1"/>
  <c r="AQ284" i="9" s="1"/>
  <c r="AR284" i="9" s="1"/>
  <c r="AT284" i="9" s="1"/>
  <c r="AI67" i="9"/>
  <c r="AM68" i="9" s="1"/>
  <c r="AQ68" i="9" s="1"/>
  <c r="AR68" i="9" s="1"/>
  <c r="AT68" i="9" s="1"/>
  <c r="AI283" i="8"/>
  <c r="AI344" i="8"/>
  <c r="AM344" i="8" s="1"/>
  <c r="AR344" i="8" s="1"/>
  <c r="AT344" i="8" s="1"/>
  <c r="AI122" i="8"/>
  <c r="AM123" i="8" s="1"/>
  <c r="AR123" i="8" s="1"/>
  <c r="AT123" i="8" s="1"/>
  <c r="AK362" i="9"/>
  <c r="AW261" i="9"/>
  <c r="AI42" i="10"/>
  <c r="AM43" i="10" s="1"/>
  <c r="AQ43" i="10" s="1"/>
  <c r="AR43" i="10" s="1"/>
  <c r="AT43" i="10" s="1"/>
  <c r="AK94" i="8"/>
  <c r="AK384" i="9"/>
  <c r="AI64" i="9"/>
  <c r="AM64" i="9" s="1"/>
  <c r="AQ64" i="9" s="1"/>
  <c r="AR64" i="9" s="1"/>
  <c r="AT64" i="9" s="1"/>
  <c r="AK122" i="10"/>
  <c r="AI333" i="10"/>
  <c r="AI62" i="9"/>
  <c r="AM63" i="9" s="1"/>
  <c r="AQ63" i="9" s="1"/>
  <c r="AR63" i="9" s="1"/>
  <c r="AT63" i="9" s="1"/>
  <c r="AI51" i="9"/>
  <c r="AM52" i="9" s="1"/>
  <c r="AQ52" i="9" s="1"/>
  <c r="AR52" i="9" s="1"/>
  <c r="AT52" i="9" s="1"/>
  <c r="AI368" i="10"/>
  <c r="AI72" i="8"/>
  <c r="AM73" i="8" s="1"/>
  <c r="AR73" i="8" s="1"/>
  <c r="AT73" i="8" s="1"/>
  <c r="AW142" i="8"/>
  <c r="AI152" i="8"/>
  <c r="AM153" i="8" s="1"/>
  <c r="AR153" i="8" s="1"/>
  <c r="AT153" i="8" s="1"/>
  <c r="AW127" i="10"/>
  <c r="AI158" i="8"/>
  <c r="AK112" i="9"/>
  <c r="AK352" i="10"/>
  <c r="AI334" i="8"/>
  <c r="AM334" i="8" s="1"/>
  <c r="AR334" i="8" s="1"/>
  <c r="AT334" i="8" s="1"/>
  <c r="AI214" i="10"/>
  <c r="AM214" i="10" s="1"/>
  <c r="AQ214" i="10" s="1"/>
  <c r="AR214" i="10" s="1"/>
  <c r="AT214" i="10" s="1"/>
  <c r="AI148" i="10"/>
  <c r="AI374" i="8"/>
  <c r="AM374" i="8" s="1"/>
  <c r="AR374" i="8" s="1"/>
  <c r="AT374" i="8" s="1"/>
  <c r="AI262" i="10"/>
  <c r="AM263" i="10" s="1"/>
  <c r="AQ263" i="10" s="1"/>
  <c r="AR263" i="10" s="1"/>
  <c r="AT263" i="10" s="1"/>
  <c r="AI363" i="8"/>
  <c r="AI354" i="10"/>
  <c r="AM354" i="10" s="1"/>
  <c r="AQ354" i="10" s="1"/>
  <c r="AR354" i="10" s="1"/>
  <c r="AT354" i="10" s="1"/>
  <c r="AK82" i="9"/>
  <c r="AK239" i="9"/>
  <c r="AK142" i="8"/>
  <c r="AK417" i="9"/>
  <c r="AI382" i="8"/>
  <c r="AM383" i="8" s="1"/>
  <c r="AR383" i="8" s="1"/>
  <c r="AT383" i="8" s="1"/>
  <c r="AK339" i="10"/>
  <c r="AW101" i="10"/>
  <c r="AK252" i="8"/>
  <c r="AI149" i="10"/>
  <c r="AM149" i="10" s="1"/>
  <c r="AQ149" i="10" s="1"/>
  <c r="AR149" i="10" s="1"/>
  <c r="AT149" i="10" s="1"/>
  <c r="AW162" i="9"/>
  <c r="AT104" i="10"/>
  <c r="AK104" i="10"/>
  <c r="AK412" i="9"/>
  <c r="AK162" i="10"/>
  <c r="AK139" i="10"/>
  <c r="AK252" i="9"/>
  <c r="AK212" i="9"/>
  <c r="AK214" i="8"/>
  <c r="AI113" i="10"/>
  <c r="AK402" i="10"/>
  <c r="AI234" i="9"/>
  <c r="AM234" i="9" s="1"/>
  <c r="AQ234" i="9" s="1"/>
  <c r="AR234" i="9" s="1"/>
  <c r="AT234" i="9" s="1"/>
  <c r="AI181" i="9"/>
  <c r="AM182" i="9" s="1"/>
  <c r="AQ182" i="9" s="1"/>
  <c r="AR182" i="9" s="1"/>
  <c r="AT182" i="9" s="1"/>
  <c r="AI248" i="8"/>
  <c r="AK159" i="10"/>
  <c r="AK164" i="8"/>
  <c r="AT108" i="9"/>
  <c r="AK107" i="9"/>
  <c r="AT189" i="9"/>
  <c r="AK189" i="9"/>
  <c r="AT49" i="8"/>
  <c r="AK49" i="8"/>
  <c r="AK287" i="10"/>
  <c r="AT288" i="10"/>
  <c r="AT33" i="9"/>
  <c r="AK32" i="9"/>
  <c r="AX114" i="10"/>
  <c r="AV114" i="10"/>
  <c r="AY114" i="10" s="1"/>
  <c r="AK324" i="8"/>
  <c r="AT324" i="8"/>
  <c r="AV59" i="9"/>
  <c r="AY59" i="9" s="1"/>
  <c r="AX59" i="9"/>
  <c r="AX103" i="10"/>
  <c r="AV103" i="10"/>
  <c r="AY103" i="10" s="1"/>
  <c r="AT324" i="10"/>
  <c r="AK324" i="10"/>
  <c r="AV249" i="10"/>
  <c r="AY249" i="10" s="1"/>
  <c r="AX249" i="10"/>
  <c r="AT149" i="8"/>
  <c r="AK149" i="8"/>
  <c r="AL189" i="9"/>
  <c r="AW92" i="10"/>
  <c r="AZ327" i="8"/>
  <c r="AT399" i="9"/>
  <c r="AK399" i="9"/>
  <c r="AI68" i="9"/>
  <c r="AT222" i="10"/>
  <c r="AK221" i="10"/>
  <c r="AL48" i="8"/>
  <c r="AV129" i="8"/>
  <c r="AY129" i="8" s="1"/>
  <c r="AX129" i="8"/>
  <c r="AT169" i="10"/>
  <c r="AK169" i="10"/>
  <c r="AK422" i="10"/>
  <c r="AL318" i="9"/>
  <c r="AT174" i="8"/>
  <c r="AK174" i="8"/>
  <c r="D8" i="8"/>
  <c r="D18" i="10"/>
  <c r="E24" i="11" s="1"/>
  <c r="AX58" i="9"/>
  <c r="AV58" i="9"/>
  <c r="AY58" i="9" s="1"/>
  <c r="AL168" i="8"/>
  <c r="AV79" i="9"/>
  <c r="AY79" i="9" s="1"/>
  <c r="AX79" i="9"/>
  <c r="AI418" i="10"/>
  <c r="AI298" i="10"/>
  <c r="AX98" i="10"/>
  <c r="AV98" i="10"/>
  <c r="AY98" i="10" s="1"/>
  <c r="AT379" i="8"/>
  <c r="AK379" i="8"/>
  <c r="AI144" i="9"/>
  <c r="AM144" i="9" s="1"/>
  <c r="AQ144" i="9" s="1"/>
  <c r="AR144" i="9" s="1"/>
  <c r="AT144" i="9" s="1"/>
  <c r="AX314" i="8"/>
  <c r="AV314" i="8"/>
  <c r="AY314" i="8" s="1"/>
  <c r="AZ137" i="8"/>
  <c r="AL223" i="8"/>
  <c r="AT179" i="8"/>
  <c r="AK179" i="8"/>
  <c r="AI208" i="8"/>
  <c r="AI119" i="10"/>
  <c r="AM119" i="10" s="1"/>
  <c r="AQ119" i="10" s="1"/>
  <c r="AR119" i="10" s="1"/>
  <c r="AT119" i="10" s="1"/>
  <c r="AT318" i="10"/>
  <c r="AK317" i="10"/>
  <c r="AI392" i="8"/>
  <c r="AM393" i="8" s="1"/>
  <c r="AR393" i="8" s="1"/>
  <c r="AT393" i="8" s="1"/>
  <c r="AK82" i="10"/>
  <c r="AT83" i="10"/>
  <c r="AI64" i="8"/>
  <c r="AM64" i="8" s="1"/>
  <c r="AR64" i="8" s="1"/>
  <c r="AT64" i="8" s="1"/>
  <c r="AV233" i="9"/>
  <c r="AY233" i="9" s="1"/>
  <c r="AX233" i="9"/>
  <c r="AI167" i="8"/>
  <c r="AM168" i="8" s="1"/>
  <c r="AR168" i="8" s="1"/>
  <c r="AT168" i="8" s="1"/>
  <c r="AK187" i="9"/>
  <c r="AT188" i="9"/>
  <c r="AW252" i="9"/>
  <c r="AZ412" i="9"/>
  <c r="AI422" i="10"/>
  <c r="AM423" i="10" s="1"/>
  <c r="AQ423" i="10" s="1"/>
  <c r="AR423" i="10" s="1"/>
  <c r="AT423" i="10" s="1"/>
  <c r="AW137" i="9"/>
  <c r="AW187" i="8"/>
  <c r="AX274" i="9"/>
  <c r="AV274" i="9"/>
  <c r="AY274" i="9" s="1"/>
  <c r="AI49" i="10"/>
  <c r="AM49" i="10" s="1"/>
  <c r="AQ49" i="10" s="1"/>
  <c r="AR49" i="10" s="1"/>
  <c r="AT49" i="10" s="1"/>
  <c r="AW317" i="9"/>
  <c r="AL213" i="8"/>
  <c r="AV254" i="10"/>
  <c r="AY254" i="10" s="1"/>
  <c r="AX254" i="10"/>
  <c r="AW387" i="8"/>
  <c r="AL28" i="9"/>
  <c r="AW87" i="10"/>
  <c r="AT114" i="8"/>
  <c r="AK114" i="8"/>
  <c r="AX258" i="9"/>
  <c r="AV258" i="9"/>
  <c r="AY258" i="9" s="1"/>
  <c r="AL313" i="10"/>
  <c r="AW297" i="8"/>
  <c r="AT399" i="10"/>
  <c r="AK399" i="10"/>
  <c r="AI189" i="8"/>
  <c r="AM189" i="8" s="1"/>
  <c r="AR189" i="8" s="1"/>
  <c r="AT189" i="8" s="1"/>
  <c r="AL324" i="10"/>
  <c r="AL368" i="8"/>
  <c r="AI304" i="10"/>
  <c r="AM304" i="10" s="1"/>
  <c r="AQ304" i="10" s="1"/>
  <c r="AR304" i="10" s="1"/>
  <c r="AT304" i="10" s="1"/>
  <c r="AK392" i="10"/>
  <c r="AT393" i="10"/>
  <c r="AK187" i="8"/>
  <c r="AT188" i="8"/>
  <c r="AI72" i="9"/>
  <c r="AM73" i="9" s="1"/>
  <c r="AQ73" i="9" s="1"/>
  <c r="AR73" i="9" s="1"/>
  <c r="AT73" i="9" s="1"/>
  <c r="AI88" i="10"/>
  <c r="AI382" i="9"/>
  <c r="AM383" i="9" s="1"/>
  <c r="AQ383" i="9" s="1"/>
  <c r="AR383" i="9" s="1"/>
  <c r="AT383" i="9" s="1"/>
  <c r="AI257" i="10"/>
  <c r="AM258" i="10" s="1"/>
  <c r="AQ258" i="10" s="1"/>
  <c r="AR258" i="10" s="1"/>
  <c r="AT258" i="10" s="1"/>
  <c r="AW347" i="10"/>
  <c r="AL118" i="8"/>
  <c r="AI248" i="10"/>
  <c r="AL213" i="10"/>
  <c r="AT363" i="10"/>
  <c r="AK362" i="10"/>
  <c r="AI54" i="10"/>
  <c r="AM54" i="10" s="1"/>
  <c r="AQ54" i="10" s="1"/>
  <c r="AR54" i="10" s="1"/>
  <c r="AT54" i="10" s="1"/>
  <c r="AK181" i="10"/>
  <c r="AT182" i="10"/>
  <c r="AL358" i="8"/>
  <c r="AL308" i="10"/>
  <c r="AK221" i="9"/>
  <c r="AT222" i="9"/>
  <c r="AI307" i="10"/>
  <c r="AM308" i="10" s="1"/>
  <c r="AQ308" i="10" s="1"/>
  <c r="AR308" i="10" s="1"/>
  <c r="AT308" i="10" s="1"/>
  <c r="AI257" i="8"/>
  <c r="AM258" i="8" s="1"/>
  <c r="AR258" i="8" s="1"/>
  <c r="AT258" i="8" s="1"/>
  <c r="AL389" i="10"/>
  <c r="AW102" i="8"/>
  <c r="AZ272" i="8"/>
  <c r="AK61" i="10"/>
  <c r="AT62" i="10"/>
  <c r="AL114" i="9"/>
  <c r="AL143" i="9"/>
  <c r="AT248" i="8"/>
  <c r="AK247" i="8"/>
  <c r="AL58" i="9"/>
  <c r="AV329" i="10"/>
  <c r="AY329" i="10" s="1"/>
  <c r="AX329" i="10"/>
  <c r="AL37" i="8"/>
  <c r="AT208" i="10"/>
  <c r="AK207" i="10"/>
  <c r="AK364" i="8"/>
  <c r="AT364" i="8"/>
  <c r="AI67" i="8"/>
  <c r="AM68" i="8" s="1"/>
  <c r="AR68" i="8" s="1"/>
  <c r="AT68" i="8" s="1"/>
  <c r="AZ97" i="9"/>
  <c r="AZ362" i="9"/>
  <c r="AZ167" i="8"/>
  <c r="AZ392" i="9"/>
  <c r="AL134" i="10"/>
  <c r="AI192" i="10"/>
  <c r="AM193" i="10" s="1"/>
  <c r="AQ193" i="10" s="1"/>
  <c r="AR193" i="10" s="1"/>
  <c r="AT193" i="10" s="1"/>
  <c r="AI137" i="8"/>
  <c r="AM138" i="8" s="1"/>
  <c r="AR138" i="8" s="1"/>
  <c r="AT138" i="8" s="1"/>
  <c r="AK244" i="8"/>
  <c r="AT244" i="8"/>
  <c r="AI344" i="10"/>
  <c r="AM344" i="10" s="1"/>
  <c r="AQ344" i="10" s="1"/>
  <c r="AR344" i="10" s="1"/>
  <c r="AT344" i="10" s="1"/>
  <c r="AL123" i="8"/>
  <c r="AT278" i="8"/>
  <c r="AK277" i="8"/>
  <c r="AL217" i="8"/>
  <c r="AZ152" i="9"/>
  <c r="AT213" i="10"/>
  <c r="AK212" i="10"/>
  <c r="AW167" i="10"/>
  <c r="AI338" i="10"/>
  <c r="AI308" i="9"/>
  <c r="AZ343" i="9"/>
  <c r="AX343" i="9"/>
  <c r="AW343" i="9"/>
  <c r="AV343" i="9"/>
  <c r="AY343" i="9" s="1"/>
  <c r="AW162" i="8"/>
  <c r="AT224" i="9"/>
  <c r="AK224" i="9"/>
  <c r="AL184" i="8"/>
  <c r="AL243" i="9"/>
  <c r="AK222" i="10"/>
  <c r="AT223" i="10"/>
  <c r="AL93" i="9"/>
  <c r="AL101" i="10"/>
  <c r="AZ217" i="8"/>
  <c r="AL139" i="9"/>
  <c r="AL378" i="9"/>
  <c r="AW422" i="9"/>
  <c r="AI407" i="8"/>
  <c r="AM408" i="8" s="1"/>
  <c r="AR408" i="8" s="1"/>
  <c r="AT408" i="8" s="1"/>
  <c r="AZ97" i="8"/>
  <c r="AI299" i="8"/>
  <c r="AM299" i="8" s="1"/>
  <c r="AR299" i="8" s="1"/>
  <c r="AT299" i="8" s="1"/>
  <c r="AK367" i="9"/>
  <c r="AT368" i="9"/>
  <c r="AK141" i="9"/>
  <c r="AT142" i="9"/>
  <c r="AZ377" i="8"/>
  <c r="AX234" i="8"/>
  <c r="AW234" i="8"/>
  <c r="AV234" i="8"/>
  <c r="AY234" i="8" s="1"/>
  <c r="AZ234" i="8"/>
  <c r="AI332" i="10"/>
  <c r="AM333" i="10" s="1"/>
  <c r="AQ333" i="10" s="1"/>
  <c r="AR333" i="10" s="1"/>
  <c r="AT333" i="10" s="1"/>
  <c r="AI69" i="9"/>
  <c r="AM69" i="9" s="1"/>
  <c r="AQ69" i="9" s="1"/>
  <c r="AR69" i="9" s="1"/>
  <c r="AT69" i="9" s="1"/>
  <c r="AW117" i="8"/>
  <c r="AT158" i="10"/>
  <c r="AK157" i="10"/>
  <c r="AT244" i="10"/>
  <c r="AK244" i="10"/>
  <c r="AL419" i="8"/>
  <c r="AL352" i="8"/>
  <c r="AL74" i="9"/>
  <c r="AZ412" i="8"/>
  <c r="AL328" i="8"/>
  <c r="AK212" i="8"/>
  <c r="AT213" i="8"/>
  <c r="AI217" i="9"/>
  <c r="AM218" i="9" s="1"/>
  <c r="AQ218" i="9" s="1"/>
  <c r="AR218" i="9" s="1"/>
  <c r="AT218" i="9" s="1"/>
  <c r="AI204" i="8"/>
  <c r="AM204" i="8" s="1"/>
  <c r="AR204" i="8" s="1"/>
  <c r="AT204" i="8" s="1"/>
  <c r="AL68" i="10"/>
  <c r="AT323" i="9"/>
  <c r="AK322" i="9"/>
  <c r="AI388" i="9"/>
  <c r="AZ417" i="8"/>
  <c r="AL414" i="8"/>
  <c r="AT104" i="8"/>
  <c r="AK104" i="8"/>
  <c r="AL383" i="8"/>
  <c r="AL219" i="10"/>
  <c r="AI373" i="9"/>
  <c r="AK372" i="9"/>
  <c r="AT373" i="9"/>
  <c r="AK261" i="10"/>
  <c r="AI239" i="8"/>
  <c r="AM239" i="8" s="1"/>
  <c r="AR239" i="8" s="1"/>
  <c r="AT239" i="8" s="1"/>
  <c r="AK197" i="9"/>
  <c r="AT198" i="9"/>
  <c r="AI278" i="9"/>
  <c r="AW87" i="8"/>
  <c r="AI277" i="9"/>
  <c r="AM278" i="9" s="1"/>
  <c r="AQ278" i="9" s="1"/>
  <c r="AR278" i="9" s="1"/>
  <c r="AT278" i="9" s="1"/>
  <c r="AT358" i="9"/>
  <c r="AK357" i="9"/>
  <c r="AT93" i="8"/>
  <c r="AK92" i="8"/>
  <c r="AI362" i="9"/>
  <c r="AM363" i="9" s="1"/>
  <c r="AQ363" i="9" s="1"/>
  <c r="AR363" i="9" s="1"/>
  <c r="AT363" i="9" s="1"/>
  <c r="AI94" i="8"/>
  <c r="AM94" i="8" s="1"/>
  <c r="AR94" i="8" s="1"/>
  <c r="AT94" i="8" s="1"/>
  <c r="AI384" i="9"/>
  <c r="AM384" i="9" s="1"/>
  <c r="AQ384" i="9" s="1"/>
  <c r="AR384" i="9" s="1"/>
  <c r="AT384" i="9" s="1"/>
  <c r="AI303" i="8"/>
  <c r="AI122" i="10"/>
  <c r="AM123" i="10" s="1"/>
  <c r="AQ123" i="10" s="1"/>
  <c r="AR123" i="10" s="1"/>
  <c r="AT123" i="10" s="1"/>
  <c r="AZ297" i="9"/>
  <c r="AW397" i="10"/>
  <c r="AZ212" i="9"/>
  <c r="AI288" i="10"/>
  <c r="AT94" i="9"/>
  <c r="AK94" i="9"/>
  <c r="AI238" i="8"/>
  <c r="AT142" i="10"/>
  <c r="AK141" i="10"/>
  <c r="AT103" i="9"/>
  <c r="AK102" i="9"/>
  <c r="AI268" i="8"/>
  <c r="AL173" i="8"/>
  <c r="AI112" i="9"/>
  <c r="AM113" i="9" s="1"/>
  <c r="AQ113" i="9" s="1"/>
  <c r="AR113" i="9" s="1"/>
  <c r="AT113" i="9" s="1"/>
  <c r="AL398" i="10"/>
  <c r="AI352" i="10"/>
  <c r="AM353" i="10" s="1"/>
  <c r="AQ353" i="10" s="1"/>
  <c r="AR353" i="10" s="1"/>
  <c r="AT353" i="10" s="1"/>
  <c r="AI228" i="10"/>
  <c r="AI193" i="10"/>
  <c r="AI408" i="9"/>
  <c r="AL288" i="9"/>
  <c r="AI423" i="9"/>
  <c r="AI82" i="9"/>
  <c r="AM83" i="9" s="1"/>
  <c r="AQ83" i="9" s="1"/>
  <c r="AR83" i="9" s="1"/>
  <c r="AT83" i="9" s="1"/>
  <c r="AL193" i="9"/>
  <c r="AI239" i="9"/>
  <c r="AM239" i="9" s="1"/>
  <c r="AQ239" i="9" s="1"/>
  <c r="AR239" i="9" s="1"/>
  <c r="AT239" i="9" s="1"/>
  <c r="AI318" i="8"/>
  <c r="AI142" i="8"/>
  <c r="AM143" i="8" s="1"/>
  <c r="AR143" i="8" s="1"/>
  <c r="AT143" i="8" s="1"/>
  <c r="AI417" i="9"/>
  <c r="AM418" i="9" s="1"/>
  <c r="AQ418" i="9" s="1"/>
  <c r="AR418" i="9" s="1"/>
  <c r="AT418" i="9" s="1"/>
  <c r="AT319" i="8"/>
  <c r="AK319" i="8"/>
  <c r="AT208" i="8"/>
  <c r="AK207" i="8"/>
  <c r="AI339" i="10"/>
  <c r="AM339" i="10" s="1"/>
  <c r="AQ339" i="10" s="1"/>
  <c r="AR339" i="10" s="1"/>
  <c r="AT339" i="10" s="1"/>
  <c r="AT388" i="9"/>
  <c r="AK387" i="9"/>
  <c r="AI252" i="8"/>
  <c r="AM253" i="8" s="1"/>
  <c r="AR253" i="8" s="1"/>
  <c r="AT253" i="8" s="1"/>
  <c r="AK337" i="9"/>
  <c r="AT338" i="9"/>
  <c r="AL88" i="9"/>
  <c r="AT278" i="10"/>
  <c r="AK277" i="10"/>
  <c r="AL38" i="8"/>
  <c r="AT249" i="8"/>
  <c r="AK249" i="8"/>
  <c r="AT74" i="8"/>
  <c r="AK74" i="8"/>
  <c r="AI47" i="8"/>
  <c r="AM48" i="8" s="1"/>
  <c r="AR48" i="8" s="1"/>
  <c r="AT48" i="8" s="1"/>
  <c r="AK327" i="10"/>
  <c r="AT328" i="10"/>
  <c r="AI412" i="9"/>
  <c r="AM413" i="9" s="1"/>
  <c r="AQ413" i="9" s="1"/>
  <c r="AR413" i="9" s="1"/>
  <c r="AT413" i="9" s="1"/>
  <c r="AI162" i="10"/>
  <c r="AM163" i="10" s="1"/>
  <c r="AQ163" i="10" s="1"/>
  <c r="AR163" i="10" s="1"/>
  <c r="AT163" i="10" s="1"/>
  <c r="AI139" i="10"/>
  <c r="AM139" i="10" s="1"/>
  <c r="AQ139" i="10" s="1"/>
  <c r="AR139" i="10" s="1"/>
  <c r="AT139" i="10" s="1"/>
  <c r="AZ352" i="8"/>
  <c r="AI252" i="9"/>
  <c r="AM253" i="9" s="1"/>
  <c r="AQ253" i="9" s="1"/>
  <c r="AR253" i="9" s="1"/>
  <c r="AT253" i="9" s="1"/>
  <c r="AZ217" i="9"/>
  <c r="AK349" i="10"/>
  <c r="AT349" i="10"/>
  <c r="AI212" i="9"/>
  <c r="AM213" i="9" s="1"/>
  <c r="AQ213" i="9" s="1"/>
  <c r="AR213" i="9" s="1"/>
  <c r="AT213" i="9" s="1"/>
  <c r="AI214" i="8"/>
  <c r="AM214" i="8" s="1"/>
  <c r="AR214" i="8" s="1"/>
  <c r="AT214" i="8" s="1"/>
  <c r="AI198" i="10"/>
  <c r="AI168" i="10"/>
  <c r="AI402" i="10"/>
  <c r="AM403" i="10" s="1"/>
  <c r="AQ403" i="10" s="1"/>
  <c r="AR403" i="10" s="1"/>
  <c r="AT403" i="10" s="1"/>
  <c r="AT349" i="9"/>
  <c r="AK349" i="9"/>
  <c r="AI128" i="9"/>
  <c r="AI423" i="8"/>
  <c r="AT228" i="9"/>
  <c r="AK227" i="9"/>
  <c r="AT363" i="8"/>
  <c r="AK362" i="8"/>
  <c r="AI159" i="10"/>
  <c r="AM159" i="10" s="1"/>
  <c r="AQ159" i="10" s="1"/>
  <c r="AR159" i="10" s="1"/>
  <c r="AT159" i="10" s="1"/>
  <c r="AI164" i="8"/>
  <c r="AM164" i="8" s="1"/>
  <c r="AR164" i="8" s="1"/>
  <c r="AT164" i="8" s="1"/>
  <c r="AT348" i="10"/>
  <c r="AK347" i="10"/>
  <c r="D11" i="9"/>
  <c r="AK101" i="9"/>
  <c r="AT102" i="9"/>
  <c r="AT128" i="8"/>
  <c r="AK127" i="8"/>
  <c r="AK242" i="9"/>
  <c r="AT243" i="9"/>
  <c r="AK177" i="8"/>
  <c r="AT178" i="8"/>
  <c r="AT54" i="9"/>
  <c r="AK54" i="9"/>
  <c r="AK42" i="8"/>
  <c r="AK44" i="9"/>
  <c r="AT44" i="9"/>
  <c r="AK414" i="10"/>
  <c r="AT414" i="10"/>
  <c r="AK62" i="8"/>
  <c r="AT63" i="8"/>
  <c r="AK297" i="10"/>
  <c r="AT298" i="10"/>
  <c r="AT69" i="8"/>
  <c r="AK69" i="8"/>
  <c r="AX223" i="9"/>
  <c r="AV223" i="9"/>
  <c r="AY223" i="9" s="1"/>
  <c r="AK259" i="9"/>
  <c r="AX39" i="9"/>
  <c r="AV39" i="9"/>
  <c r="AY39" i="9" s="1"/>
  <c r="AK39" i="10"/>
  <c r="AX194" i="10"/>
  <c r="AV194" i="10"/>
  <c r="AY194" i="10" s="1"/>
  <c r="AK282" i="9"/>
  <c r="AT283" i="9"/>
  <c r="AI413" i="8"/>
  <c r="AK84" i="8"/>
  <c r="AW181" i="9"/>
  <c r="AT373" i="10"/>
  <c r="AK372" i="10"/>
  <c r="AX178" i="10"/>
  <c r="AV178" i="10"/>
  <c r="AY178" i="10" s="1"/>
  <c r="AL399" i="9"/>
  <c r="AX268" i="10"/>
  <c r="AV268" i="10"/>
  <c r="AY268" i="10" s="1"/>
  <c r="AL169" i="10"/>
  <c r="AL174" i="8"/>
  <c r="AK177" i="9"/>
  <c r="AK162" i="9"/>
  <c r="AK44" i="8"/>
  <c r="AT419" i="10"/>
  <c r="AK419" i="10"/>
  <c r="AK172" i="8"/>
  <c r="AT389" i="8"/>
  <c r="AK389" i="8"/>
  <c r="AZ247" i="8"/>
  <c r="AX294" i="10"/>
  <c r="AV294" i="10"/>
  <c r="AY294" i="10" s="1"/>
  <c r="AL337" i="8"/>
  <c r="AK72" i="10"/>
  <c r="AT73" i="10"/>
  <c r="AK87" i="10"/>
  <c r="AK164" i="10"/>
  <c r="AX279" i="10"/>
  <c r="AV279" i="10"/>
  <c r="AY279" i="10" s="1"/>
  <c r="AZ67" i="8"/>
  <c r="AZ137" i="10"/>
  <c r="AK394" i="8"/>
  <c r="AK154" i="8"/>
  <c r="AI137" i="9"/>
  <c r="AM138" i="9" s="1"/>
  <c r="AQ138" i="9" s="1"/>
  <c r="AR138" i="9" s="1"/>
  <c r="AT138" i="9" s="1"/>
  <c r="AK51" i="10"/>
  <c r="AK92" i="9"/>
  <c r="AK134" i="9"/>
  <c r="AL272" i="8"/>
  <c r="AX169" i="8"/>
  <c r="AV169" i="8"/>
  <c r="AY169" i="8" s="1"/>
  <c r="AX49" i="9"/>
  <c r="AV49" i="9"/>
  <c r="AY49" i="9" s="1"/>
  <c r="AX58" i="10"/>
  <c r="AV58" i="10"/>
  <c r="AY58" i="10" s="1"/>
  <c r="AK242" i="8"/>
  <c r="AL339" i="8"/>
  <c r="AL301" i="10"/>
  <c r="AK302" i="10"/>
  <c r="AK71" i="10"/>
  <c r="AL82" i="8"/>
  <c r="AK369" i="8"/>
  <c r="AT48" i="10"/>
  <c r="AK47" i="10"/>
  <c r="AV154" i="9"/>
  <c r="AY154" i="9" s="1"/>
  <c r="AX154" i="9"/>
  <c r="AL239" i="10"/>
  <c r="AK292" i="8"/>
  <c r="AT423" i="9"/>
  <c r="AK422" i="9"/>
  <c r="AL153" i="10"/>
  <c r="AL203" i="10"/>
  <c r="AL284" i="9"/>
  <c r="AL67" i="9"/>
  <c r="AL283" i="8"/>
  <c r="AT229" i="8"/>
  <c r="AK229" i="8"/>
  <c r="AL344" i="8"/>
  <c r="AL122" i="8"/>
  <c r="AT398" i="8"/>
  <c r="AK397" i="8"/>
  <c r="AZ261" i="9"/>
  <c r="AL42" i="10"/>
  <c r="AL64" i="9"/>
  <c r="AL333" i="10"/>
  <c r="AL62" i="9"/>
  <c r="AL51" i="9"/>
  <c r="AL368" i="10"/>
  <c r="AL72" i="8"/>
  <c r="AZ142" i="8"/>
  <c r="AL152" i="8"/>
  <c r="AZ127" i="10"/>
  <c r="AL158" i="8"/>
  <c r="AL334" i="8"/>
  <c r="AL214" i="10"/>
  <c r="AT353" i="9"/>
  <c r="AK352" i="9"/>
  <c r="AL148" i="10"/>
  <c r="AL374" i="8"/>
  <c r="AL262" i="10"/>
  <c r="AL363" i="8"/>
  <c r="AL354" i="10"/>
  <c r="AK44" i="10"/>
  <c r="AK117" i="10"/>
  <c r="AL382" i="8"/>
  <c r="AZ101" i="10"/>
  <c r="AK242" i="10"/>
  <c r="AK36" i="9"/>
  <c r="AK164" i="9"/>
  <c r="AK52" i="8"/>
  <c r="AL113" i="10"/>
  <c r="AL234" i="9"/>
  <c r="AL181" i="9"/>
  <c r="AL248" i="8"/>
  <c r="AW332" i="10"/>
  <c r="AX174" i="10"/>
  <c r="AV174" i="10"/>
  <c r="AY174" i="10" s="1"/>
  <c r="AK227" i="8"/>
  <c r="AT228" i="8"/>
  <c r="AV253" i="10"/>
  <c r="AY253" i="10" s="1"/>
  <c r="AX253" i="10"/>
  <c r="AT403" i="8"/>
  <c r="AK402" i="8"/>
  <c r="AX304" i="9"/>
  <c r="AV304" i="9"/>
  <c r="AY304" i="9" s="1"/>
  <c r="AT302" i="9"/>
  <c r="AK301" i="9"/>
  <c r="AT88" i="8"/>
  <c r="AK87" i="8"/>
  <c r="AX389" i="9"/>
  <c r="AV389" i="9"/>
  <c r="AY389" i="9" s="1"/>
  <c r="AK132" i="10"/>
  <c r="AT133" i="10"/>
  <c r="AT378" i="9"/>
  <c r="AK377" i="9"/>
  <c r="AT184" i="10"/>
  <c r="AK184" i="10"/>
  <c r="AT359" i="8"/>
  <c r="AK359" i="8"/>
  <c r="AT134" i="8"/>
  <c r="AK134" i="8"/>
  <c r="AX308" i="9"/>
  <c r="AV308" i="9"/>
  <c r="AY308" i="9" s="1"/>
  <c r="AX248" i="9"/>
  <c r="AV248" i="9"/>
  <c r="AY248" i="9" s="1"/>
  <c r="AK107" i="8"/>
  <c r="AT108" i="8"/>
  <c r="AK217" i="10"/>
  <c r="AL139" i="8"/>
  <c r="AL83" i="8"/>
  <c r="AZ247" i="10"/>
  <c r="AZ177" i="8"/>
  <c r="AL124" i="9"/>
  <c r="AK284" i="8"/>
  <c r="AL283" i="10"/>
  <c r="AX348" i="9"/>
  <c r="AV348" i="9"/>
  <c r="AY348" i="9" s="1"/>
  <c r="AL48" i="10"/>
  <c r="AL224" i="10"/>
  <c r="AL369" i="9"/>
  <c r="AK52" i="9"/>
  <c r="AX279" i="8"/>
  <c r="AV279" i="8"/>
  <c r="AY279" i="8" s="1"/>
  <c r="AZ337" i="9"/>
  <c r="AV203" i="8"/>
  <c r="AY203" i="8" s="1"/>
  <c r="AX203" i="8"/>
  <c r="AL167" i="10"/>
  <c r="AL302" i="8"/>
  <c r="AT79" i="8"/>
  <c r="AK79" i="8"/>
  <c r="AK229" i="9"/>
  <c r="AK309" i="10"/>
  <c r="AX183" i="9"/>
  <c r="AV183" i="9"/>
  <c r="AY183" i="9" s="1"/>
  <c r="AZ183" i="9"/>
  <c r="AK179" i="10"/>
  <c r="AK379" i="9"/>
  <c r="AK342" i="8"/>
  <c r="AX128" i="10"/>
  <c r="AV128" i="10"/>
  <c r="AY128" i="10" s="1"/>
  <c r="AX128" i="9"/>
  <c r="AV128" i="9"/>
  <c r="AY128" i="9" s="1"/>
  <c r="AV409" i="9"/>
  <c r="AY409" i="9" s="1"/>
  <c r="AX409" i="9"/>
  <c r="AK412" i="10"/>
  <c r="AX27" i="8"/>
  <c r="AV27" i="8"/>
  <c r="AZ27" i="8" s="1"/>
  <c r="AX27" i="10"/>
  <c r="AV27" i="10"/>
  <c r="AZ27" i="10" s="1"/>
  <c r="AW57" i="8"/>
  <c r="AT113" i="10"/>
  <c r="AK112" i="10"/>
  <c r="AI84" i="8"/>
  <c r="AM84" i="8" s="1"/>
  <c r="AR84" i="8" s="1"/>
  <c r="AT84" i="8" s="1"/>
  <c r="AW192" i="9"/>
  <c r="AV63" i="10"/>
  <c r="AY63" i="10" s="1"/>
  <c r="AX63" i="10"/>
  <c r="AL298" i="10"/>
  <c r="AL347" i="10"/>
  <c r="AK64" i="10"/>
  <c r="AT64" i="10"/>
  <c r="AL144" i="9"/>
  <c r="AI217" i="10"/>
  <c r="AM218" i="10" s="1"/>
  <c r="AQ218" i="10" s="1"/>
  <c r="AR218" i="10" s="1"/>
  <c r="AT218" i="10" s="1"/>
  <c r="AL372" i="10"/>
  <c r="AI293" i="10"/>
  <c r="AI223" i="8"/>
  <c r="AL208" i="8"/>
  <c r="AL107" i="9"/>
  <c r="AL327" i="8"/>
  <c r="AL392" i="8"/>
  <c r="AL64" i="8"/>
  <c r="AT124" i="8"/>
  <c r="AK124" i="8"/>
  <c r="AL364" i="10"/>
  <c r="AX388" i="8"/>
  <c r="AV388" i="8"/>
  <c r="AY388" i="8" s="1"/>
  <c r="AZ252" i="9"/>
  <c r="AX383" i="10"/>
  <c r="AV383" i="10"/>
  <c r="AY383" i="10" s="1"/>
  <c r="AX93" i="10"/>
  <c r="AV93" i="10"/>
  <c r="AY93" i="10" s="1"/>
  <c r="AZ92" i="8"/>
  <c r="AZ127" i="8"/>
  <c r="AI259" i="9"/>
  <c r="AM259" i="9" s="1"/>
  <c r="AQ259" i="9" s="1"/>
  <c r="AR259" i="9" s="1"/>
  <c r="AT259" i="9" s="1"/>
  <c r="AZ382" i="9"/>
  <c r="AT279" i="9"/>
  <c r="AK279" i="9"/>
  <c r="AZ137" i="9"/>
  <c r="AT264" i="10"/>
  <c r="AK264" i="10"/>
  <c r="AI243" i="10"/>
  <c r="AX148" i="9"/>
  <c r="AV148" i="9"/>
  <c r="AY148" i="9" s="1"/>
  <c r="AI284" i="8"/>
  <c r="AM284" i="8" s="1"/>
  <c r="AR284" i="8" s="1"/>
  <c r="AT284" i="8" s="1"/>
  <c r="AZ187" i="8"/>
  <c r="AX228" i="10"/>
  <c r="AV228" i="10"/>
  <c r="AY228" i="10" s="1"/>
  <c r="AT384" i="8"/>
  <c r="AK384" i="8"/>
  <c r="AW147" i="8"/>
  <c r="AI52" i="9"/>
  <c r="AM53" i="9" s="1"/>
  <c r="AQ53" i="9" s="1"/>
  <c r="AR53" i="9" s="1"/>
  <c r="AT53" i="9" s="1"/>
  <c r="AX268" i="8"/>
  <c r="AV268" i="8"/>
  <c r="AY268" i="8" s="1"/>
  <c r="AZ387" i="8"/>
  <c r="AI237" i="8"/>
  <c r="AM238" i="8" s="1"/>
  <c r="AR238" i="8" s="1"/>
  <c r="AT238" i="8" s="1"/>
  <c r="AI28" i="9"/>
  <c r="AZ87" i="10"/>
  <c r="AT194" i="8"/>
  <c r="AK194" i="8"/>
  <c r="AI177" i="9"/>
  <c r="AM178" i="9" s="1"/>
  <c r="AQ178" i="9" s="1"/>
  <c r="AR178" i="9" s="1"/>
  <c r="AT178" i="9" s="1"/>
  <c r="AI162" i="9"/>
  <c r="AM163" i="9" s="1"/>
  <c r="AQ163" i="9" s="1"/>
  <c r="AR163" i="9" s="1"/>
  <c r="AT163" i="9" s="1"/>
  <c r="AZ297" i="8"/>
  <c r="AI44" i="8"/>
  <c r="AM44" i="8" s="1"/>
  <c r="AR44" i="8" s="1"/>
  <c r="AT44" i="8" s="1"/>
  <c r="AT199" i="10"/>
  <c r="AK199" i="10"/>
  <c r="AL189" i="8"/>
  <c r="AL419" i="9"/>
  <c r="AL83" i="9"/>
  <c r="AK77" i="8"/>
  <c r="AT78" i="8"/>
  <c r="AL99" i="9"/>
  <c r="AT259" i="8"/>
  <c r="AK259" i="8"/>
  <c r="AL309" i="9"/>
  <c r="AI39" i="10"/>
  <c r="AM39" i="10" s="1"/>
  <c r="AQ39" i="10" s="1"/>
  <c r="AR39" i="10" s="1"/>
  <c r="AT39" i="10" s="1"/>
  <c r="AK112" i="8"/>
  <c r="AT113" i="8"/>
  <c r="AI172" i="8"/>
  <c r="AM173" i="8" s="1"/>
  <c r="AR173" i="8" s="1"/>
  <c r="AT173" i="8" s="1"/>
  <c r="AL382" i="9"/>
  <c r="AI229" i="9"/>
  <c r="AM229" i="9" s="1"/>
  <c r="AQ229" i="9" s="1"/>
  <c r="AR229" i="9" s="1"/>
  <c r="AT229" i="9" s="1"/>
  <c r="AL127" i="8"/>
  <c r="AL49" i="8"/>
  <c r="AT224" i="8"/>
  <c r="AK224" i="8"/>
  <c r="AI118" i="8"/>
  <c r="AI202" i="10"/>
  <c r="AM203" i="10" s="1"/>
  <c r="AQ203" i="10" s="1"/>
  <c r="AR203" i="10" s="1"/>
  <c r="AT203" i="10" s="1"/>
  <c r="AX358" i="10"/>
  <c r="AV358" i="10"/>
  <c r="AY358" i="10" s="1"/>
  <c r="AI309" i="10"/>
  <c r="AM309" i="10" s="1"/>
  <c r="AQ309" i="10" s="1"/>
  <c r="AR309" i="10" s="1"/>
  <c r="AT309" i="10" s="1"/>
  <c r="AW402" i="9"/>
  <c r="AK332" i="8"/>
  <c r="AT333" i="8"/>
  <c r="AK319" i="9"/>
  <c r="AT319" i="9"/>
  <c r="AW197" i="9"/>
  <c r="AI179" i="10"/>
  <c r="AM179" i="10" s="1"/>
  <c r="AQ179" i="10" s="1"/>
  <c r="AR179" i="10" s="1"/>
  <c r="AT179" i="10" s="1"/>
  <c r="AI379" i="9"/>
  <c r="AM379" i="9" s="1"/>
  <c r="AQ379" i="9" s="1"/>
  <c r="AR379" i="9" s="1"/>
  <c r="AT379" i="9" s="1"/>
  <c r="AI342" i="8"/>
  <c r="AM343" i="8" s="1"/>
  <c r="AR343" i="8" s="1"/>
  <c r="AT343" i="8" s="1"/>
  <c r="AL307" i="10"/>
  <c r="AL257" i="8"/>
  <c r="AZ102" i="8"/>
  <c r="AW272" i="8"/>
  <c r="AI412" i="10"/>
  <c r="AM413" i="10" s="1"/>
  <c r="AQ413" i="10" s="1"/>
  <c r="AR413" i="10" s="1"/>
  <c r="AT413" i="10" s="1"/>
  <c r="AL367" i="8"/>
  <c r="AW407" i="10"/>
  <c r="AI58" i="9"/>
  <c r="AK412" i="8"/>
  <c r="AT413" i="8"/>
  <c r="AL133" i="10"/>
  <c r="AT204" i="10"/>
  <c r="AK204" i="10"/>
  <c r="AK417" i="8"/>
  <c r="AT418" i="8"/>
  <c r="AL67" i="8"/>
  <c r="AL72" i="10"/>
  <c r="AW261" i="10"/>
  <c r="AW97" i="9"/>
  <c r="AW382" i="10"/>
  <c r="AI87" i="10"/>
  <c r="AM88" i="10" s="1"/>
  <c r="AQ88" i="10" s="1"/>
  <c r="AR88" i="10" s="1"/>
  <c r="AT88" i="10" s="1"/>
  <c r="AL108" i="8"/>
  <c r="AI164" i="10"/>
  <c r="AM164" i="10" s="1"/>
  <c r="AQ164" i="10" s="1"/>
  <c r="AR164" i="10" s="1"/>
  <c r="AT164" i="10" s="1"/>
  <c r="AL402" i="8"/>
  <c r="AI408" i="8"/>
  <c r="AL192" i="10"/>
  <c r="AL137" i="8"/>
  <c r="AW267" i="8"/>
  <c r="AT364" i="9"/>
  <c r="AK364" i="9"/>
  <c r="AI394" i="8"/>
  <c r="AM394" i="8" s="1"/>
  <c r="AR394" i="8" s="1"/>
  <c r="AT394" i="8" s="1"/>
  <c r="AL344" i="10"/>
  <c r="AW232" i="9"/>
  <c r="AW212" i="8"/>
  <c r="AL287" i="10"/>
  <c r="AK327" i="9"/>
  <c r="AT328" i="9"/>
  <c r="AV404" i="9"/>
  <c r="AY404" i="9" s="1"/>
  <c r="AZ404" i="9"/>
  <c r="AX404" i="9"/>
  <c r="AW404" i="9"/>
  <c r="AZ167" i="10"/>
  <c r="AL338" i="10"/>
  <c r="AL308" i="9"/>
  <c r="AL301" i="9"/>
  <c r="AL87" i="8"/>
  <c r="AT299" i="9"/>
  <c r="AK299" i="9"/>
  <c r="AI154" i="8"/>
  <c r="AM154" i="8" s="1"/>
  <c r="AR154" i="8" s="1"/>
  <c r="AT154" i="8" s="1"/>
  <c r="AW207" i="9"/>
  <c r="AT48" i="9"/>
  <c r="AK47" i="9"/>
  <c r="AI178" i="9"/>
  <c r="AL137" i="9"/>
  <c r="AI243" i="9"/>
  <c r="AT34" i="9"/>
  <c r="AK34" i="9"/>
  <c r="AI33" i="9"/>
  <c r="AI218" i="9"/>
  <c r="AT334" i="10"/>
  <c r="AK334" i="10"/>
  <c r="AW217" i="10"/>
  <c r="AI51" i="10"/>
  <c r="AM52" i="10" s="1"/>
  <c r="AQ52" i="10" s="1"/>
  <c r="AR52" i="10" s="1"/>
  <c r="AT52" i="10" s="1"/>
  <c r="AZ112" i="10"/>
  <c r="AI92" i="9"/>
  <c r="AM93" i="9" s="1"/>
  <c r="AQ93" i="9" s="1"/>
  <c r="AR93" i="9" s="1"/>
  <c r="AT93" i="9" s="1"/>
  <c r="AK32" i="10"/>
  <c r="AT33" i="10"/>
  <c r="AI134" i="9"/>
  <c r="AM134" i="9" s="1"/>
  <c r="AQ134" i="9" s="1"/>
  <c r="AR134" i="9" s="1"/>
  <c r="AT134" i="9" s="1"/>
  <c r="AT62" i="9"/>
  <c r="AK61" i="9"/>
  <c r="AL299" i="8"/>
  <c r="AZ97" i="10"/>
  <c r="AT37" i="10"/>
  <c r="AK36" i="10"/>
  <c r="AT184" i="9"/>
  <c r="AK184" i="9"/>
  <c r="AT384" i="10"/>
  <c r="AK384" i="10"/>
  <c r="AW287" i="8"/>
  <c r="AT194" i="9"/>
  <c r="AK194" i="9"/>
  <c r="AL332" i="10"/>
  <c r="AL69" i="9"/>
  <c r="AT358" i="8"/>
  <c r="AK357" i="8"/>
  <c r="AZ117" i="8"/>
  <c r="D8" i="9"/>
  <c r="AI242" i="8"/>
  <c r="AM243" i="8" s="1"/>
  <c r="AR243" i="8" s="1"/>
  <c r="AT243" i="8" s="1"/>
  <c r="AZ387" i="9"/>
  <c r="AL342" i="10"/>
  <c r="AK117" i="9"/>
  <c r="AT118" i="9"/>
  <c r="AX298" i="9"/>
  <c r="AV298" i="9"/>
  <c r="AY298" i="9" s="1"/>
  <c r="AL338" i="8"/>
  <c r="AI53" i="8"/>
  <c r="AI302" i="10"/>
  <c r="AM303" i="10" s="1"/>
  <c r="AQ303" i="10" s="1"/>
  <c r="AR303" i="10" s="1"/>
  <c r="AT303" i="10" s="1"/>
  <c r="AI71" i="10"/>
  <c r="AM72" i="10" s="1"/>
  <c r="AQ72" i="10" s="1"/>
  <c r="AR72" i="10" s="1"/>
  <c r="AT72" i="10" s="1"/>
  <c r="AL217" i="9"/>
  <c r="AT244" i="9"/>
  <c r="AK244" i="9"/>
  <c r="AL113" i="8"/>
  <c r="AK322" i="10"/>
  <c r="AT323" i="10"/>
  <c r="AL388" i="9"/>
  <c r="AW292" i="8"/>
  <c r="AI369" i="8"/>
  <c r="AM369" i="8" s="1"/>
  <c r="AR369" i="8" s="1"/>
  <c r="AT369" i="8" s="1"/>
  <c r="AK142" i="10"/>
  <c r="AT143" i="10"/>
  <c r="AL44" i="9"/>
  <c r="AT163" i="8"/>
  <c r="AK162" i="8"/>
  <c r="AI383" i="8"/>
  <c r="AI323" i="8"/>
  <c r="AL359" i="9"/>
  <c r="AI349" i="8"/>
  <c r="AM349" i="8" s="1"/>
  <c r="AR349" i="8" s="1"/>
  <c r="AT349" i="8" s="1"/>
  <c r="AI261" i="10"/>
  <c r="AM262" i="10" s="1"/>
  <c r="AQ262" i="10" s="1"/>
  <c r="AR262" i="10" s="1"/>
  <c r="AT262" i="10" s="1"/>
  <c r="AI292" i="8"/>
  <c r="AM293" i="8" s="1"/>
  <c r="AR293" i="8" s="1"/>
  <c r="AT293" i="8" s="1"/>
  <c r="AW141" i="9"/>
  <c r="AZ322" i="8"/>
  <c r="AL174" i="9"/>
  <c r="AL278" i="9"/>
  <c r="AK117" i="8"/>
  <c r="AT118" i="8"/>
  <c r="AK77" i="9"/>
  <c r="AT78" i="9"/>
  <c r="AI358" i="10"/>
  <c r="AT319" i="10"/>
  <c r="AK319" i="10"/>
  <c r="AZ267" i="10"/>
  <c r="AL324" i="8"/>
  <c r="AI238" i="9"/>
  <c r="AK27" i="8"/>
  <c r="AT28" i="8"/>
  <c r="AL57" i="8"/>
  <c r="AL184" i="10"/>
  <c r="AZ362" i="8"/>
  <c r="AL293" i="9"/>
  <c r="AI267" i="9"/>
  <c r="AM268" i="9" s="1"/>
  <c r="AQ268" i="9" s="1"/>
  <c r="AR268" i="9" s="1"/>
  <c r="AT268" i="9" s="1"/>
  <c r="AL173" i="10"/>
  <c r="AT394" i="9"/>
  <c r="AK394" i="9"/>
  <c r="AK152" i="9"/>
  <c r="AT153" i="9"/>
  <c r="AL359" i="8"/>
  <c r="AT144" i="8"/>
  <c r="AK144" i="8"/>
  <c r="AT304" i="8"/>
  <c r="AK304" i="8"/>
  <c r="AT119" i="9"/>
  <c r="AK119" i="9"/>
  <c r="AW392" i="10"/>
  <c r="AZ197" i="8"/>
  <c r="AL423" i="10"/>
  <c r="AI328" i="9"/>
  <c r="AL143" i="8"/>
  <c r="AT29" i="10"/>
  <c r="AK29" i="10"/>
  <c r="AW227" i="10"/>
  <c r="AZ402" i="10"/>
  <c r="AL132" i="8"/>
  <c r="AI293" i="8"/>
  <c r="AT59" i="8"/>
  <c r="AK59" i="8"/>
  <c r="AZ357" i="8"/>
  <c r="AK222" i="8"/>
  <c r="AT223" i="8"/>
  <c r="AL123" i="9"/>
  <c r="AI229" i="10"/>
  <c r="AM229" i="10" s="1"/>
  <c r="AQ229" i="10" s="1"/>
  <c r="AR229" i="10" s="1"/>
  <c r="AT229" i="10" s="1"/>
  <c r="AT99" i="8"/>
  <c r="AK99" i="8"/>
  <c r="AZ317" i="8"/>
  <c r="AI288" i="9"/>
  <c r="AL423" i="9"/>
  <c r="AL82" i="9"/>
  <c r="AI193" i="9"/>
  <c r="AL239" i="9"/>
  <c r="AL318" i="8"/>
  <c r="AL142" i="8"/>
  <c r="AI44" i="10"/>
  <c r="AM44" i="10" s="1"/>
  <c r="AQ44" i="10" s="1"/>
  <c r="AR44" i="10" s="1"/>
  <c r="AT44" i="10" s="1"/>
  <c r="AL417" i="9"/>
  <c r="AI117" i="10"/>
  <c r="AM118" i="10" s="1"/>
  <c r="AQ118" i="10" s="1"/>
  <c r="AR118" i="10" s="1"/>
  <c r="AT118" i="10" s="1"/>
  <c r="AL368" i="9"/>
  <c r="AT284" i="10"/>
  <c r="AK284" i="10"/>
  <c r="AZ397" i="8"/>
  <c r="AI388" i="10"/>
  <c r="AI242" i="10"/>
  <c r="AM243" i="10" s="1"/>
  <c r="AQ243" i="10" s="1"/>
  <c r="AR243" i="10" s="1"/>
  <c r="AT243" i="10" s="1"/>
  <c r="AI88" i="9"/>
  <c r="AI36" i="9"/>
  <c r="AM37" i="9" s="1"/>
  <c r="AQ37" i="9" s="1"/>
  <c r="AR37" i="9" s="1"/>
  <c r="AT37" i="9" s="1"/>
  <c r="AI38" i="8"/>
  <c r="AT368" i="10"/>
  <c r="AK367" i="10"/>
  <c r="AL47" i="8"/>
  <c r="AI138" i="9"/>
  <c r="AL412" i="9"/>
  <c r="AL162" i="10"/>
  <c r="AI164" i="9"/>
  <c r="AM164" i="9" s="1"/>
  <c r="AQ164" i="9" s="1"/>
  <c r="AR164" i="9" s="1"/>
  <c r="AT164" i="9" s="1"/>
  <c r="AL139" i="10"/>
  <c r="AI52" i="8"/>
  <c r="AM53" i="8" s="1"/>
  <c r="AR53" i="8" s="1"/>
  <c r="AT53" i="8" s="1"/>
  <c r="AW352" i="8"/>
  <c r="AL252" i="9"/>
  <c r="AW217" i="9"/>
  <c r="AL212" i="9"/>
  <c r="AL214" i="8"/>
  <c r="AL198" i="10"/>
  <c r="AZ237" i="8"/>
  <c r="AT294" i="8"/>
  <c r="AK294" i="8"/>
  <c r="AL62" i="8"/>
  <c r="AL297" i="10"/>
  <c r="AL392" i="9"/>
  <c r="AZ47" i="8"/>
  <c r="AK422" i="8"/>
  <c r="AT423" i="8"/>
  <c r="AT299" i="10"/>
  <c r="AK299" i="10"/>
  <c r="AZ367" i="10"/>
  <c r="AV322" i="10" l="1"/>
  <c r="AY322" i="10" s="1"/>
  <c r="AX322" i="10"/>
  <c r="AZ322" i="10"/>
  <c r="AW322" i="10"/>
  <c r="AX207" i="10"/>
  <c r="AV207" i="10"/>
  <c r="AY207" i="10" s="1"/>
  <c r="AW268" i="10"/>
  <c r="AW99" i="10"/>
  <c r="AZ253" i="10"/>
  <c r="AW39" i="9"/>
  <c r="AZ189" i="10"/>
  <c r="AZ397" i="9"/>
  <c r="AX397" i="9"/>
  <c r="AV397" i="9"/>
  <c r="AV357" i="9"/>
  <c r="AY357" i="9" s="1"/>
  <c r="AX357" i="9"/>
  <c r="AX357" i="10"/>
  <c r="AV357" i="10"/>
  <c r="AW254" i="8"/>
  <c r="AZ188" i="10"/>
  <c r="AZ233" i="8"/>
  <c r="AX187" i="9"/>
  <c r="AV187" i="9"/>
  <c r="AY187" i="9" s="1"/>
  <c r="AW27" i="10"/>
  <c r="AZ174" i="10"/>
  <c r="AW219" i="9"/>
  <c r="AZ183" i="10"/>
  <c r="AZ269" i="8"/>
  <c r="AZ254" i="8"/>
  <c r="AZ283" i="10"/>
  <c r="AV57" i="9"/>
  <c r="AY57" i="9" s="1"/>
  <c r="AX57" i="9"/>
  <c r="AZ202" i="9"/>
  <c r="AZ404" i="8"/>
  <c r="AW123" i="9"/>
  <c r="AW357" i="9"/>
  <c r="AZ374" i="9"/>
  <c r="AW338" i="10"/>
  <c r="AZ98" i="10"/>
  <c r="AZ409" i="8"/>
  <c r="AZ138" i="10"/>
  <c r="AZ264" i="9"/>
  <c r="AW93" i="10"/>
  <c r="AW178" i="10"/>
  <c r="AZ314" i="8"/>
  <c r="AZ338" i="10"/>
  <c r="AZ203" i="9"/>
  <c r="AZ193" i="9"/>
  <c r="AW169" i="8"/>
  <c r="AW223" i="9"/>
  <c r="AW314" i="8"/>
  <c r="AW404" i="8"/>
  <c r="AZ93" i="10"/>
  <c r="AZ348" i="9"/>
  <c r="AW103" i="10"/>
  <c r="AZ289" i="10"/>
  <c r="AZ354" i="8"/>
  <c r="AW28" i="10"/>
  <c r="AW193" i="9"/>
  <c r="AW188" i="10"/>
  <c r="AZ313" i="9"/>
  <c r="AZ223" i="9"/>
  <c r="AZ58" i="10"/>
  <c r="AW378" i="10"/>
  <c r="AW418" i="10"/>
  <c r="AZ259" i="10"/>
  <c r="AW354" i="8"/>
  <c r="AW409" i="8"/>
  <c r="AW193" i="8"/>
  <c r="AW133" i="9"/>
  <c r="AW138" i="10"/>
  <c r="AW358" i="10"/>
  <c r="AW128" i="10"/>
  <c r="D13" i="10"/>
  <c r="D16" i="10" s="1"/>
  <c r="AW388" i="8"/>
  <c r="AW253" i="10"/>
  <c r="AW58" i="10"/>
  <c r="AW294" i="10"/>
  <c r="AW274" i="9"/>
  <c r="AW98" i="10"/>
  <c r="AZ79" i="9"/>
  <c r="AW199" i="9"/>
  <c r="AW394" i="10"/>
  <c r="AZ193" i="8"/>
  <c r="AW189" i="10"/>
  <c r="AZ133" i="9"/>
  <c r="AW28" i="9"/>
  <c r="AW374" i="10"/>
  <c r="AW79" i="10"/>
  <c r="AZ159" i="9"/>
  <c r="AW264" i="9"/>
  <c r="AW43" i="9"/>
  <c r="AW389" i="9"/>
  <c r="AW304" i="9"/>
  <c r="AZ294" i="10"/>
  <c r="AW258" i="9"/>
  <c r="AZ254" i="10"/>
  <c r="AZ129" i="8"/>
  <c r="AW89" i="8"/>
  <c r="AW369" i="10"/>
  <c r="AZ28" i="9"/>
  <c r="AZ374" i="10"/>
  <c r="AZ283" i="8"/>
  <c r="AZ79" i="10"/>
  <c r="AW159" i="9"/>
  <c r="AZ43" i="9"/>
  <c r="AZ248" i="9"/>
  <c r="AZ114" i="10"/>
  <c r="AZ209" i="9"/>
  <c r="AZ233" i="10"/>
  <c r="AW313" i="9"/>
  <c r="D13" i="9"/>
  <c r="D12" i="10"/>
  <c r="D15" i="10" s="1"/>
  <c r="AZ389" i="9"/>
  <c r="AW154" i="9"/>
  <c r="AW279" i="10"/>
  <c r="AW233" i="9"/>
  <c r="AW58" i="9"/>
  <c r="AW334" i="9"/>
  <c r="AW273" i="10"/>
  <c r="D12" i="8"/>
  <c r="D15" i="8" s="1"/>
  <c r="AZ358" i="10"/>
  <c r="AZ128" i="9"/>
  <c r="AW308" i="9"/>
  <c r="AZ49" i="9"/>
  <c r="AZ279" i="10"/>
  <c r="AZ178" i="10"/>
  <c r="AZ194" i="10"/>
  <c r="AW403" i="9"/>
  <c r="AW209" i="9"/>
  <c r="AZ89" i="9"/>
  <c r="AW234" i="10"/>
  <c r="AW399" i="8"/>
  <c r="AW233" i="8"/>
  <c r="AW269" i="8"/>
  <c r="AW289" i="8"/>
  <c r="D12" i="9"/>
  <c r="D17" i="9" s="1"/>
  <c r="D18" i="11" s="1"/>
  <c r="AW79" i="9"/>
  <c r="D13" i="8"/>
  <c r="AW129" i="8"/>
  <c r="AW59" i="10"/>
  <c r="AX44" i="8"/>
  <c r="AV44" i="8"/>
  <c r="AY44" i="8" s="1"/>
  <c r="AZ44" i="8"/>
  <c r="AX218" i="9"/>
  <c r="AV218" i="9"/>
  <c r="AY218" i="9" s="1"/>
  <c r="AX353" i="8"/>
  <c r="AV353" i="8"/>
  <c r="AY353" i="8" s="1"/>
  <c r="AV53" i="8"/>
  <c r="AY53" i="8" s="1"/>
  <c r="AX53" i="8"/>
  <c r="AX229" i="10"/>
  <c r="AV229" i="10"/>
  <c r="AY229" i="10" s="1"/>
  <c r="AX303" i="10"/>
  <c r="AV303" i="10"/>
  <c r="AY303" i="10" s="1"/>
  <c r="AX93" i="9"/>
  <c r="AV93" i="9"/>
  <c r="AY93" i="9" s="1"/>
  <c r="AX154" i="8"/>
  <c r="AV154" i="8"/>
  <c r="AY154" i="8" s="1"/>
  <c r="AX203" i="10"/>
  <c r="AV203" i="10"/>
  <c r="AY203" i="10" s="1"/>
  <c r="AX173" i="8"/>
  <c r="AV173" i="8"/>
  <c r="AY173" i="8" s="1"/>
  <c r="AZ173" i="8"/>
  <c r="AX413" i="9"/>
  <c r="AV413" i="9"/>
  <c r="AY413" i="9" s="1"/>
  <c r="AX138" i="8"/>
  <c r="AV138" i="8"/>
  <c r="AY138" i="8" s="1"/>
  <c r="AX304" i="10"/>
  <c r="AV304" i="10"/>
  <c r="AY304" i="10" s="1"/>
  <c r="AV168" i="8"/>
  <c r="AY168" i="8" s="1"/>
  <c r="AX168" i="8"/>
  <c r="AX182" i="9"/>
  <c r="AV182" i="9"/>
  <c r="AY182" i="9" s="1"/>
  <c r="AX123" i="8"/>
  <c r="AV123" i="8"/>
  <c r="AY123" i="8" s="1"/>
  <c r="AX83" i="8"/>
  <c r="AV83" i="8"/>
  <c r="AY83" i="8" s="1"/>
  <c r="AV288" i="8"/>
  <c r="AY288" i="8" s="1"/>
  <c r="AZ288" i="8"/>
  <c r="AX288" i="8"/>
  <c r="AX338" i="8"/>
  <c r="AV338" i="8"/>
  <c r="AY338" i="8" s="1"/>
  <c r="AX274" i="8"/>
  <c r="AV274" i="8"/>
  <c r="AY274" i="8" s="1"/>
  <c r="AX379" i="10"/>
  <c r="AV379" i="10"/>
  <c r="AY379" i="10" s="1"/>
  <c r="AX54" i="8"/>
  <c r="AV54" i="8"/>
  <c r="AY54" i="8" s="1"/>
  <c r="AX324" i="9"/>
  <c r="AV324" i="9"/>
  <c r="AY324" i="9" s="1"/>
  <c r="AX143" i="8"/>
  <c r="AW143" i="8"/>
  <c r="AV143" i="8"/>
  <c r="AY143" i="8" s="1"/>
  <c r="AV299" i="8"/>
  <c r="AY299" i="8" s="1"/>
  <c r="AZ299" i="8"/>
  <c r="AX299" i="8"/>
  <c r="AW299" i="8"/>
  <c r="AX354" i="10"/>
  <c r="AV354" i="10"/>
  <c r="AY354" i="10" s="1"/>
  <c r="AX139" i="9"/>
  <c r="AV139" i="9"/>
  <c r="AY139" i="9" s="1"/>
  <c r="AV243" i="8"/>
  <c r="AY243" i="8" s="1"/>
  <c r="AX243" i="8"/>
  <c r="AX163" i="9"/>
  <c r="AV163" i="9"/>
  <c r="AY163" i="9" s="1"/>
  <c r="AX164" i="8"/>
  <c r="AW164" i="8"/>
  <c r="AV164" i="8"/>
  <c r="AY164" i="8" s="1"/>
  <c r="AX339" i="10"/>
  <c r="AV339" i="10"/>
  <c r="AY339" i="10" s="1"/>
  <c r="AX239" i="9"/>
  <c r="AV239" i="9"/>
  <c r="AY239" i="9" s="1"/>
  <c r="AV353" i="10"/>
  <c r="AY353" i="10" s="1"/>
  <c r="AX353" i="10"/>
  <c r="AV123" i="10"/>
  <c r="AY123" i="10" s="1"/>
  <c r="AX123" i="10"/>
  <c r="AV408" i="8"/>
  <c r="AY408" i="8" s="1"/>
  <c r="AX408" i="8"/>
  <c r="AX193" i="10"/>
  <c r="AV193" i="10"/>
  <c r="AY193" i="10" s="1"/>
  <c r="AX258" i="8"/>
  <c r="AV258" i="8"/>
  <c r="AY258" i="8" s="1"/>
  <c r="AX54" i="10"/>
  <c r="AV54" i="10"/>
  <c r="AY54" i="10" s="1"/>
  <c r="AX383" i="9"/>
  <c r="AV383" i="9"/>
  <c r="AY383" i="9" s="1"/>
  <c r="AX234" i="9"/>
  <c r="AV234" i="9"/>
  <c r="AY234" i="9" s="1"/>
  <c r="AX263" i="10"/>
  <c r="AV263" i="10"/>
  <c r="AY263" i="10" s="1"/>
  <c r="AV344" i="8"/>
  <c r="AY344" i="8" s="1"/>
  <c r="AX344" i="8"/>
  <c r="AX354" i="9"/>
  <c r="AV354" i="9"/>
  <c r="AY354" i="9" s="1"/>
  <c r="AX424" i="10"/>
  <c r="AV424" i="10"/>
  <c r="AY424" i="10" s="1"/>
  <c r="AV68" i="10"/>
  <c r="AY68" i="10" s="1"/>
  <c r="AX68" i="10"/>
  <c r="AX238" i="8"/>
  <c r="AV238" i="8"/>
  <c r="AY238" i="8" s="1"/>
  <c r="AX213" i="9"/>
  <c r="AV213" i="9"/>
  <c r="AY213" i="9" s="1"/>
  <c r="AX68" i="8"/>
  <c r="AV68" i="8"/>
  <c r="AY68" i="8" s="1"/>
  <c r="AX63" i="9"/>
  <c r="AV63" i="9"/>
  <c r="AY63" i="9" s="1"/>
  <c r="AX164" i="9"/>
  <c r="AV164" i="9"/>
  <c r="AY164" i="9" s="1"/>
  <c r="AX343" i="8"/>
  <c r="AV343" i="8"/>
  <c r="AY343" i="8" s="1"/>
  <c r="AV178" i="9"/>
  <c r="AY178" i="9" s="1"/>
  <c r="AX178" i="9"/>
  <c r="AX159" i="10"/>
  <c r="AV159" i="10"/>
  <c r="AY159" i="10" s="1"/>
  <c r="AV278" i="9"/>
  <c r="AY278" i="9" s="1"/>
  <c r="AX278" i="9"/>
  <c r="AX308" i="10"/>
  <c r="AV308" i="10"/>
  <c r="AY308" i="10" s="1"/>
  <c r="AX383" i="8"/>
  <c r="AV383" i="8"/>
  <c r="AY383" i="8" s="1"/>
  <c r="AX153" i="8"/>
  <c r="AV153" i="8"/>
  <c r="AY153" i="8" s="1"/>
  <c r="AV64" i="9"/>
  <c r="AY64" i="9" s="1"/>
  <c r="AX64" i="9"/>
  <c r="AX239" i="10"/>
  <c r="AV239" i="10"/>
  <c r="AY239" i="10" s="1"/>
  <c r="AV302" i="10"/>
  <c r="AY302" i="10" s="1"/>
  <c r="AX302" i="10"/>
  <c r="AX303" i="8"/>
  <c r="AV303" i="8"/>
  <c r="AY303" i="8" s="1"/>
  <c r="AX218" i="8"/>
  <c r="AV218" i="8"/>
  <c r="AY218" i="8" s="1"/>
  <c r="AV328" i="8"/>
  <c r="AY328" i="8" s="1"/>
  <c r="AX328" i="8"/>
  <c r="D16" i="9"/>
  <c r="AX293" i="8"/>
  <c r="AV293" i="8"/>
  <c r="AY293" i="8" s="1"/>
  <c r="AX53" i="9"/>
  <c r="AV53" i="9"/>
  <c r="AY53" i="9" s="1"/>
  <c r="AX403" i="10"/>
  <c r="AV403" i="10"/>
  <c r="AY403" i="10" s="1"/>
  <c r="AX48" i="8"/>
  <c r="AV48" i="8"/>
  <c r="AY48" i="8" s="1"/>
  <c r="AX83" i="9"/>
  <c r="AV83" i="9"/>
  <c r="AY83" i="9" s="1"/>
  <c r="AX113" i="9"/>
  <c r="AV113" i="9"/>
  <c r="AY113" i="9" s="1"/>
  <c r="AX384" i="9"/>
  <c r="AV384" i="9"/>
  <c r="AY384" i="9" s="1"/>
  <c r="AX73" i="9"/>
  <c r="AV73" i="9"/>
  <c r="AY73" i="9" s="1"/>
  <c r="AX189" i="8"/>
  <c r="AV189" i="8"/>
  <c r="AY189" i="8" s="1"/>
  <c r="AZ68" i="9"/>
  <c r="AX68" i="9"/>
  <c r="AV68" i="9"/>
  <c r="AY68" i="9" s="1"/>
  <c r="AV339" i="8"/>
  <c r="AY339" i="8" s="1"/>
  <c r="AX339" i="8"/>
  <c r="AW339" i="8"/>
  <c r="AZ273" i="8"/>
  <c r="AX273" i="8"/>
  <c r="AW273" i="8"/>
  <c r="AV273" i="8"/>
  <c r="AY273" i="8" s="1"/>
  <c r="AV124" i="9"/>
  <c r="AY124" i="9" s="1"/>
  <c r="AX124" i="9"/>
  <c r="AV134" i="10"/>
  <c r="AY134" i="10" s="1"/>
  <c r="AX134" i="10"/>
  <c r="AX38" i="8"/>
  <c r="AV38" i="8"/>
  <c r="AY38" i="8" s="1"/>
  <c r="AX378" i="8"/>
  <c r="AV378" i="8"/>
  <c r="AY378" i="8" s="1"/>
  <c r="AX364" i="10"/>
  <c r="AV364" i="10"/>
  <c r="AY364" i="10" s="1"/>
  <c r="AX239" i="8"/>
  <c r="AV239" i="8"/>
  <c r="AY239" i="8" s="1"/>
  <c r="D17" i="8"/>
  <c r="C18" i="11" s="1"/>
  <c r="AV262" i="10"/>
  <c r="AY262" i="10" s="1"/>
  <c r="AX262" i="10"/>
  <c r="AX259" i="9"/>
  <c r="AV259" i="9"/>
  <c r="AY259" i="9" s="1"/>
  <c r="AX94" i="8"/>
  <c r="AV94" i="8"/>
  <c r="AY94" i="8" s="1"/>
  <c r="AX69" i="9"/>
  <c r="AV69" i="9"/>
  <c r="AY69" i="9" s="1"/>
  <c r="AX64" i="8"/>
  <c r="AV64" i="8"/>
  <c r="AY64" i="8" s="1"/>
  <c r="AX144" i="9"/>
  <c r="AV144" i="9"/>
  <c r="AY144" i="9" s="1"/>
  <c r="AX73" i="8"/>
  <c r="AV73" i="8"/>
  <c r="AY73" i="8" s="1"/>
  <c r="AX104" i="9"/>
  <c r="AV104" i="9"/>
  <c r="AY104" i="9" s="1"/>
  <c r="AV34" i="8"/>
  <c r="AY34" i="8" s="1"/>
  <c r="AX34" i="8"/>
  <c r="AX37" i="9"/>
  <c r="AV37" i="9"/>
  <c r="AY37" i="9" s="1"/>
  <c r="AV118" i="10"/>
  <c r="AY118" i="10" s="1"/>
  <c r="AX118" i="10"/>
  <c r="AX134" i="9"/>
  <c r="AV134" i="9"/>
  <c r="AY134" i="9" s="1"/>
  <c r="AX413" i="10"/>
  <c r="AV413" i="10"/>
  <c r="AY413" i="10" s="1"/>
  <c r="AX84" i="8"/>
  <c r="AV84" i="8"/>
  <c r="AY84" i="8" s="1"/>
  <c r="AX138" i="9"/>
  <c r="AV138" i="9"/>
  <c r="AY138" i="9" s="1"/>
  <c r="AV139" i="10"/>
  <c r="AY139" i="10" s="1"/>
  <c r="AX139" i="10"/>
  <c r="AV363" i="9"/>
  <c r="AY363" i="9" s="1"/>
  <c r="AX363" i="9"/>
  <c r="AX333" i="10"/>
  <c r="AV333" i="10"/>
  <c r="AY333" i="10" s="1"/>
  <c r="AX344" i="10"/>
  <c r="AV344" i="10"/>
  <c r="AY344" i="10" s="1"/>
  <c r="AX49" i="10"/>
  <c r="AV49" i="10"/>
  <c r="AY49" i="10" s="1"/>
  <c r="AX334" i="8"/>
  <c r="AV334" i="8"/>
  <c r="AY334" i="8" s="1"/>
  <c r="AX199" i="8"/>
  <c r="AV199" i="8"/>
  <c r="AY199" i="8" s="1"/>
  <c r="AX168" i="10"/>
  <c r="AV168" i="10"/>
  <c r="AY168" i="10" s="1"/>
  <c r="AV369" i="9"/>
  <c r="AY369" i="9" s="1"/>
  <c r="AX369" i="9"/>
  <c r="AW343" i="10"/>
  <c r="AV343" i="10"/>
  <c r="AY343" i="10" s="1"/>
  <c r="AX343" i="10"/>
  <c r="AX268" i="9"/>
  <c r="AV268" i="9"/>
  <c r="AY268" i="9" s="1"/>
  <c r="AX369" i="8"/>
  <c r="AV369" i="8"/>
  <c r="AY369" i="8" s="1"/>
  <c r="AX214" i="8"/>
  <c r="AV214" i="8"/>
  <c r="AY214" i="8" s="1"/>
  <c r="AX163" i="10"/>
  <c r="AV163" i="10"/>
  <c r="AY163" i="10" s="1"/>
  <c r="AX253" i="8"/>
  <c r="AV253" i="8"/>
  <c r="AY253" i="8" s="1"/>
  <c r="AX418" i="9"/>
  <c r="AV418" i="9"/>
  <c r="AY418" i="9" s="1"/>
  <c r="D16" i="8"/>
  <c r="AX149" i="10"/>
  <c r="AV149" i="10"/>
  <c r="AY149" i="10" s="1"/>
  <c r="AX52" i="9"/>
  <c r="AV52" i="9"/>
  <c r="AY52" i="9" s="1"/>
  <c r="AV224" i="10"/>
  <c r="AY224" i="10" s="1"/>
  <c r="AZ224" i="10"/>
  <c r="AX224" i="10"/>
  <c r="AV139" i="8"/>
  <c r="AY139" i="8" s="1"/>
  <c r="AX139" i="8"/>
  <c r="AX74" i="9"/>
  <c r="AV74" i="9"/>
  <c r="AY74" i="9" s="1"/>
  <c r="AV58" i="8"/>
  <c r="AY58" i="8" s="1"/>
  <c r="AX58" i="8"/>
  <c r="AZ43" i="8"/>
  <c r="AX43" i="8"/>
  <c r="AV43" i="8"/>
  <c r="AY43" i="8" s="1"/>
  <c r="AX279" i="9"/>
  <c r="AW279" i="9"/>
  <c r="AV279" i="9"/>
  <c r="AY279" i="9" s="1"/>
  <c r="AV52" i="10"/>
  <c r="AY52" i="10" s="1"/>
  <c r="AX52" i="10"/>
  <c r="AX414" i="9"/>
  <c r="AV414" i="9"/>
  <c r="AY414" i="9" s="1"/>
  <c r="AX214" i="10"/>
  <c r="AV214" i="10"/>
  <c r="AY214" i="10" s="1"/>
  <c r="AX169" i="9"/>
  <c r="AV169" i="9"/>
  <c r="AY169" i="9" s="1"/>
  <c r="D32" i="11"/>
  <c r="AZ388" i="8"/>
  <c r="AW27" i="8"/>
  <c r="AX423" i="9"/>
  <c r="AV423" i="9"/>
  <c r="AY423" i="9" s="1"/>
  <c r="AZ169" i="8"/>
  <c r="AX73" i="10"/>
  <c r="AV73" i="10"/>
  <c r="AY73" i="10" s="1"/>
  <c r="AV373" i="10"/>
  <c r="AY373" i="10" s="1"/>
  <c r="AX373" i="10"/>
  <c r="AX44" i="9"/>
  <c r="AV44" i="9"/>
  <c r="AY44" i="9" s="1"/>
  <c r="AX243" i="9"/>
  <c r="AV243" i="9"/>
  <c r="AY243" i="9" s="1"/>
  <c r="AV348" i="10"/>
  <c r="AY348" i="10" s="1"/>
  <c r="AX348" i="10"/>
  <c r="AX349" i="10"/>
  <c r="AV349" i="10"/>
  <c r="AY349" i="10" s="1"/>
  <c r="AV74" i="8"/>
  <c r="AY74" i="8" s="1"/>
  <c r="AX74" i="8"/>
  <c r="AX319" i="8"/>
  <c r="AW319" i="8"/>
  <c r="AV319" i="8"/>
  <c r="AY319" i="8" s="1"/>
  <c r="AX198" i="9"/>
  <c r="AV198" i="9"/>
  <c r="AY198" i="9" s="1"/>
  <c r="AV323" i="9"/>
  <c r="AY323" i="9" s="1"/>
  <c r="AX323" i="9"/>
  <c r="AV379" i="8"/>
  <c r="AY379" i="8" s="1"/>
  <c r="AX379" i="8"/>
  <c r="AW379" i="8"/>
  <c r="AV169" i="10"/>
  <c r="AY169" i="10" s="1"/>
  <c r="AX169" i="10"/>
  <c r="AX149" i="8"/>
  <c r="AV149" i="8"/>
  <c r="AY149" i="8" s="1"/>
  <c r="AX324" i="8"/>
  <c r="AV324" i="8"/>
  <c r="AY324" i="8" s="1"/>
  <c r="AV288" i="10"/>
  <c r="AY288" i="10" s="1"/>
  <c r="AX288" i="10"/>
  <c r="AZ378" i="10"/>
  <c r="AZ288" i="9"/>
  <c r="AZ94" i="10"/>
  <c r="AX408" i="10"/>
  <c r="AV408" i="10"/>
  <c r="AY408" i="10" s="1"/>
  <c r="AX318" i="8"/>
  <c r="AV318" i="8"/>
  <c r="AY318" i="8" s="1"/>
  <c r="AX359" i="9"/>
  <c r="AV359" i="9"/>
  <c r="AY359" i="9" s="1"/>
  <c r="AX269" i="10"/>
  <c r="AV269" i="10"/>
  <c r="AY269" i="10" s="1"/>
  <c r="AW119" i="8"/>
  <c r="AX129" i="10"/>
  <c r="AV129" i="10"/>
  <c r="AY129" i="10" s="1"/>
  <c r="AZ208" i="9"/>
  <c r="AV219" i="8"/>
  <c r="AY219" i="8" s="1"/>
  <c r="AX219" i="8"/>
  <c r="AX148" i="10"/>
  <c r="AV148" i="10"/>
  <c r="AY148" i="10" s="1"/>
  <c r="AW153" i="10"/>
  <c r="AW148" i="8"/>
  <c r="AW109" i="9"/>
  <c r="AW109" i="10"/>
  <c r="AZ294" i="9"/>
  <c r="AW329" i="8"/>
  <c r="AZ264" i="8"/>
  <c r="AW293" i="9"/>
  <c r="AW314" i="9"/>
  <c r="AZ293" i="10"/>
  <c r="AW108" i="10"/>
  <c r="AX194" i="9"/>
  <c r="AV194" i="9"/>
  <c r="AY194" i="9" s="1"/>
  <c r="AX34" i="9"/>
  <c r="AV34" i="9"/>
  <c r="AY34" i="9" s="1"/>
  <c r="AX142" i="9"/>
  <c r="AV142" i="9"/>
  <c r="AY142" i="9" s="1"/>
  <c r="AX188" i="9"/>
  <c r="AV188" i="9"/>
  <c r="AY188" i="9" s="1"/>
  <c r="AV108" i="9"/>
  <c r="AY108" i="9" s="1"/>
  <c r="AX108" i="9"/>
  <c r="AX104" i="10"/>
  <c r="AV104" i="10"/>
  <c r="AY104" i="10" s="1"/>
  <c r="AX119" i="10"/>
  <c r="AV119" i="10"/>
  <c r="AY119" i="10" s="1"/>
  <c r="AZ258" i="10"/>
  <c r="AX258" i="10"/>
  <c r="AV258" i="10"/>
  <c r="AY258" i="10" s="1"/>
  <c r="AX238" i="9"/>
  <c r="AV238" i="9"/>
  <c r="AY238" i="9" s="1"/>
  <c r="AZ238" i="9"/>
  <c r="AX159" i="8"/>
  <c r="AV159" i="8"/>
  <c r="AY159" i="8" s="1"/>
  <c r="AX299" i="9"/>
  <c r="AV299" i="9"/>
  <c r="AY299" i="9" s="1"/>
  <c r="AW148" i="9"/>
  <c r="AV304" i="8"/>
  <c r="AY304" i="8" s="1"/>
  <c r="AX304" i="8"/>
  <c r="AX118" i="8"/>
  <c r="AW118" i="8"/>
  <c r="AV118" i="8"/>
  <c r="AY118" i="8" s="1"/>
  <c r="AX418" i="8"/>
  <c r="AV418" i="8"/>
  <c r="AY418" i="8" s="1"/>
  <c r="AW268" i="8"/>
  <c r="AW228" i="10"/>
  <c r="AZ383" i="10"/>
  <c r="AX113" i="10"/>
  <c r="AW113" i="10"/>
  <c r="AV113" i="10"/>
  <c r="AY113" i="10" s="1"/>
  <c r="AW183" i="9"/>
  <c r="AW279" i="8"/>
  <c r="AZ308" i="9"/>
  <c r="AX378" i="9"/>
  <c r="AV378" i="9"/>
  <c r="AY378" i="9" s="1"/>
  <c r="AX88" i="8"/>
  <c r="AV88" i="8"/>
  <c r="AY88" i="8" s="1"/>
  <c r="AV403" i="8"/>
  <c r="AY403" i="8" s="1"/>
  <c r="AX403" i="8"/>
  <c r="AX229" i="8"/>
  <c r="AV229" i="8"/>
  <c r="AY229" i="8" s="1"/>
  <c r="AX48" i="10"/>
  <c r="AV48" i="10"/>
  <c r="AY48" i="10" s="1"/>
  <c r="AX389" i="8"/>
  <c r="AV389" i="8"/>
  <c r="AY389" i="8" s="1"/>
  <c r="AZ268" i="10"/>
  <c r="AZ39" i="9"/>
  <c r="AV69" i="8"/>
  <c r="AY69" i="8" s="1"/>
  <c r="AX69" i="8"/>
  <c r="AX368" i="9"/>
  <c r="AV368" i="9"/>
  <c r="AY368" i="9" s="1"/>
  <c r="AX224" i="9"/>
  <c r="AV224" i="9"/>
  <c r="AY224" i="9" s="1"/>
  <c r="AW329" i="10"/>
  <c r="AX222" i="9"/>
  <c r="AV222" i="9"/>
  <c r="AY222" i="9" s="1"/>
  <c r="AX363" i="10"/>
  <c r="AV363" i="10"/>
  <c r="AY363" i="10" s="1"/>
  <c r="AZ258" i="9"/>
  <c r="AZ274" i="9"/>
  <c r="C32" i="11"/>
  <c r="AZ123" i="9"/>
  <c r="AZ89" i="8"/>
  <c r="AZ199" i="9"/>
  <c r="AW94" i="10"/>
  <c r="AX398" i="9"/>
  <c r="AV398" i="9"/>
  <c r="AY398" i="9" s="1"/>
  <c r="AZ234" i="10"/>
  <c r="AZ209" i="10"/>
  <c r="AX398" i="10"/>
  <c r="AV398" i="10"/>
  <c r="AY398" i="10" s="1"/>
  <c r="AW88" i="9"/>
  <c r="AW308" i="8"/>
  <c r="AV219" i="10"/>
  <c r="AY219" i="10" s="1"/>
  <c r="AZ219" i="10"/>
  <c r="AX219" i="10"/>
  <c r="AX133" i="8"/>
  <c r="AV133" i="8"/>
  <c r="AY133" i="8" s="1"/>
  <c r="AX303" i="9"/>
  <c r="AV303" i="9"/>
  <c r="AY303" i="9" s="1"/>
  <c r="AX72" i="9"/>
  <c r="AV72" i="9"/>
  <c r="AY72" i="9" s="1"/>
  <c r="AX373" i="8"/>
  <c r="AV373" i="8"/>
  <c r="AY373" i="8" s="1"/>
  <c r="AV249" i="9"/>
  <c r="AY249" i="9" s="1"/>
  <c r="AX249" i="9"/>
  <c r="AX313" i="8"/>
  <c r="AV313" i="8"/>
  <c r="AY313" i="8" s="1"/>
  <c r="AW29" i="8"/>
  <c r="AV163" i="8"/>
  <c r="AY163" i="8" s="1"/>
  <c r="AX163" i="8"/>
  <c r="AX78" i="9"/>
  <c r="AV78" i="9"/>
  <c r="AY78" i="9" s="1"/>
  <c r="AX94" i="9"/>
  <c r="AV94" i="9"/>
  <c r="AY94" i="9" s="1"/>
  <c r="AZ94" i="9"/>
  <c r="AX83" i="10"/>
  <c r="AV83" i="10"/>
  <c r="AY83" i="10" s="1"/>
  <c r="AX222" i="10"/>
  <c r="AV222" i="10"/>
  <c r="AY222" i="10" s="1"/>
  <c r="AX324" i="10"/>
  <c r="AV324" i="10"/>
  <c r="AY324" i="10" s="1"/>
  <c r="AX349" i="8"/>
  <c r="AV349" i="8"/>
  <c r="AY349" i="8" s="1"/>
  <c r="AX33" i="8"/>
  <c r="AW33" i="8"/>
  <c r="AV33" i="8"/>
  <c r="AY33" i="8" s="1"/>
  <c r="AX79" i="8"/>
  <c r="AV79" i="8"/>
  <c r="AY79" i="8" s="1"/>
  <c r="AX108" i="8"/>
  <c r="AV108" i="8"/>
  <c r="AY108" i="8" s="1"/>
  <c r="AV224" i="8"/>
  <c r="AY224" i="8" s="1"/>
  <c r="AX224" i="8"/>
  <c r="AX59" i="8"/>
  <c r="AV59" i="8"/>
  <c r="AY59" i="8" s="1"/>
  <c r="AZ298" i="9"/>
  <c r="AX384" i="10"/>
  <c r="AV384" i="10"/>
  <c r="AY384" i="10" s="1"/>
  <c r="AX62" i="9"/>
  <c r="AV62" i="9"/>
  <c r="AY62" i="9" s="1"/>
  <c r="AX328" i="9"/>
  <c r="AV328" i="9"/>
  <c r="AY328" i="9" s="1"/>
  <c r="AX364" i="9"/>
  <c r="AV364" i="9"/>
  <c r="AY364" i="9" s="1"/>
  <c r="AW383" i="10"/>
  <c r="AW63" i="10"/>
  <c r="AW128" i="9"/>
  <c r="AW348" i="9"/>
  <c r="AX133" i="10"/>
  <c r="AV133" i="10"/>
  <c r="AY133" i="10" s="1"/>
  <c r="AW174" i="10"/>
  <c r="AW49" i="9"/>
  <c r="AW194" i="10"/>
  <c r="AX298" i="10"/>
  <c r="AV298" i="10"/>
  <c r="AY298" i="10" s="1"/>
  <c r="AX349" i="9"/>
  <c r="AV349" i="9"/>
  <c r="AY349" i="9" s="1"/>
  <c r="AX249" i="8"/>
  <c r="AW249" i="8"/>
  <c r="AV249" i="8"/>
  <c r="AY249" i="8" s="1"/>
  <c r="AV103" i="9"/>
  <c r="AY103" i="9" s="1"/>
  <c r="AX103" i="9"/>
  <c r="AV93" i="8"/>
  <c r="AY93" i="8" s="1"/>
  <c r="AX93" i="8"/>
  <c r="AX244" i="8"/>
  <c r="AV244" i="8"/>
  <c r="AY244" i="8" s="1"/>
  <c r="AX62" i="10"/>
  <c r="AV62" i="10"/>
  <c r="AY62" i="10" s="1"/>
  <c r="AX188" i="8"/>
  <c r="AV188" i="8"/>
  <c r="AY188" i="8" s="1"/>
  <c r="AW254" i="10"/>
  <c r="AW249" i="10"/>
  <c r="AW288" i="9"/>
  <c r="AW173" i="9"/>
  <c r="AX158" i="8"/>
  <c r="AV158" i="8"/>
  <c r="AY158" i="8" s="1"/>
  <c r="AX174" i="9"/>
  <c r="AV174" i="9"/>
  <c r="AY174" i="9" s="1"/>
  <c r="AW149" i="9"/>
  <c r="AZ369" i="10"/>
  <c r="AX168" i="9"/>
  <c r="AV168" i="9"/>
  <c r="AY168" i="9" s="1"/>
  <c r="AW289" i="9"/>
  <c r="AX314" i="10"/>
  <c r="AV314" i="10"/>
  <c r="AY314" i="10" s="1"/>
  <c r="AV368" i="8"/>
  <c r="AY368" i="8" s="1"/>
  <c r="AX368" i="8"/>
  <c r="AX309" i="9"/>
  <c r="AV309" i="9"/>
  <c r="AY309" i="9" s="1"/>
  <c r="AX274" i="10"/>
  <c r="AV274" i="10"/>
  <c r="AY274" i="10" s="1"/>
  <c r="AZ69" i="10"/>
  <c r="AX69" i="10"/>
  <c r="AW69" i="10"/>
  <c r="AV69" i="10"/>
  <c r="AY69" i="10" s="1"/>
  <c r="AX263" i="8"/>
  <c r="AV263" i="8"/>
  <c r="AY263" i="8" s="1"/>
  <c r="AX269" i="9"/>
  <c r="AV269" i="9"/>
  <c r="AY269" i="9" s="1"/>
  <c r="AX143" i="9"/>
  <c r="AV143" i="9"/>
  <c r="AY143" i="9" s="1"/>
  <c r="AV313" i="10"/>
  <c r="AY313" i="10" s="1"/>
  <c r="AX313" i="10"/>
  <c r="AX344" i="9"/>
  <c r="AV344" i="9"/>
  <c r="AY344" i="9" s="1"/>
  <c r="AX298" i="8"/>
  <c r="AV298" i="8"/>
  <c r="AY298" i="8" s="1"/>
  <c r="AZ153" i="10"/>
  <c r="AW209" i="8"/>
  <c r="AZ148" i="8"/>
  <c r="AZ109" i="9"/>
  <c r="AW294" i="9"/>
  <c r="AZ329" i="8"/>
  <c r="AW264" i="8"/>
  <c r="AZ59" i="10"/>
  <c r="AZ293" i="9"/>
  <c r="D10" i="8"/>
  <c r="AZ314" i="9"/>
  <c r="AW293" i="10"/>
  <c r="AZ108" i="10"/>
  <c r="AV384" i="8"/>
  <c r="AY384" i="8" s="1"/>
  <c r="AX384" i="8"/>
  <c r="AY27" i="8"/>
  <c r="AX243" i="10"/>
  <c r="AV243" i="10"/>
  <c r="AY243" i="10" s="1"/>
  <c r="AV179" i="8"/>
  <c r="AY179" i="8" s="1"/>
  <c r="AX179" i="8"/>
  <c r="AX33" i="9"/>
  <c r="AV33" i="9"/>
  <c r="AY33" i="9" s="1"/>
  <c r="AX388" i="10"/>
  <c r="AV388" i="10"/>
  <c r="AY388" i="10" s="1"/>
  <c r="AV318" i="9"/>
  <c r="AY318" i="9" s="1"/>
  <c r="AZ318" i="9"/>
  <c r="AX318" i="9"/>
  <c r="AV323" i="8"/>
  <c r="AY323" i="8" s="1"/>
  <c r="AX323" i="8"/>
  <c r="AV238" i="10"/>
  <c r="AY238" i="10" s="1"/>
  <c r="AX238" i="10"/>
  <c r="AX154" i="10"/>
  <c r="AV154" i="10"/>
  <c r="AY154" i="10" s="1"/>
  <c r="AV29" i="10"/>
  <c r="AY29" i="10" s="1"/>
  <c r="AX29" i="10"/>
  <c r="AX394" i="9"/>
  <c r="AV394" i="9"/>
  <c r="AY394" i="9" s="1"/>
  <c r="AX143" i="10"/>
  <c r="AV143" i="10"/>
  <c r="AY143" i="10" s="1"/>
  <c r="AW298" i="9"/>
  <c r="AW409" i="9"/>
  <c r="AV244" i="9"/>
  <c r="AY244" i="9" s="1"/>
  <c r="AX244" i="9"/>
  <c r="AW244" i="9"/>
  <c r="AX99" i="8"/>
  <c r="AV99" i="8"/>
  <c r="AY99" i="8" s="1"/>
  <c r="AV144" i="8"/>
  <c r="AY144" i="8" s="1"/>
  <c r="AX144" i="8"/>
  <c r="AX118" i="9"/>
  <c r="AV118" i="9"/>
  <c r="AY118" i="9" s="1"/>
  <c r="AX358" i="8"/>
  <c r="AV358" i="8"/>
  <c r="AY358" i="8" s="1"/>
  <c r="AX334" i="10"/>
  <c r="AV334" i="10"/>
  <c r="AY334" i="10" s="1"/>
  <c r="AX194" i="8"/>
  <c r="AV194" i="8"/>
  <c r="AY194" i="8" s="1"/>
  <c r="AZ268" i="8"/>
  <c r="AZ228" i="10"/>
  <c r="AX124" i="8"/>
  <c r="AV124" i="8"/>
  <c r="AY124" i="8" s="1"/>
  <c r="AY27" i="10"/>
  <c r="AW203" i="8"/>
  <c r="AZ279" i="8"/>
  <c r="AW248" i="9"/>
  <c r="AX134" i="8"/>
  <c r="AV134" i="8"/>
  <c r="AY134" i="8" s="1"/>
  <c r="AV302" i="9"/>
  <c r="AY302" i="9" s="1"/>
  <c r="AX302" i="9"/>
  <c r="AX128" i="8"/>
  <c r="AV128" i="8"/>
  <c r="AY128" i="8" s="1"/>
  <c r="AV388" i="9"/>
  <c r="AY388" i="9" s="1"/>
  <c r="AX388" i="9"/>
  <c r="AX104" i="8"/>
  <c r="AV104" i="8"/>
  <c r="AY104" i="8" s="1"/>
  <c r="AV213" i="10"/>
  <c r="AY213" i="10" s="1"/>
  <c r="AX213" i="10"/>
  <c r="AZ329" i="10"/>
  <c r="AX399" i="10"/>
  <c r="AV399" i="10"/>
  <c r="AY399" i="10" s="1"/>
  <c r="AV114" i="8"/>
  <c r="AY114" i="8" s="1"/>
  <c r="AZ114" i="8"/>
  <c r="AX114" i="8"/>
  <c r="AZ233" i="9"/>
  <c r="AV318" i="10"/>
  <c r="AY318" i="10" s="1"/>
  <c r="AX318" i="10"/>
  <c r="AX174" i="8"/>
  <c r="AV174" i="8"/>
  <c r="AY174" i="8" s="1"/>
  <c r="AX399" i="9"/>
  <c r="AV399" i="9"/>
  <c r="AY399" i="9" s="1"/>
  <c r="AZ103" i="10"/>
  <c r="AW114" i="10"/>
  <c r="AX49" i="8"/>
  <c r="AV49" i="8"/>
  <c r="AY49" i="8" s="1"/>
  <c r="AW289" i="10"/>
  <c r="AZ403" i="9"/>
  <c r="AX144" i="10"/>
  <c r="AV144" i="10"/>
  <c r="AY144" i="10" s="1"/>
  <c r="AW89" i="9"/>
  <c r="AZ219" i="9"/>
  <c r="AX419" i="9"/>
  <c r="AV419" i="9"/>
  <c r="AY419" i="9" s="1"/>
  <c r="AZ419" i="9"/>
  <c r="AZ399" i="8"/>
  <c r="AZ28" i="10"/>
  <c r="AW374" i="9"/>
  <c r="AZ88" i="9"/>
  <c r="AZ308" i="8"/>
  <c r="AX99" i="9"/>
  <c r="AV99" i="9"/>
  <c r="AY99" i="9" s="1"/>
  <c r="AV262" i="9"/>
  <c r="AY262" i="9" s="1"/>
  <c r="AX262" i="9"/>
  <c r="AV98" i="8"/>
  <c r="AY98" i="8" s="1"/>
  <c r="AZ98" i="8"/>
  <c r="AX98" i="8"/>
  <c r="AV204" i="9"/>
  <c r="AY204" i="9" s="1"/>
  <c r="AX204" i="9"/>
  <c r="AX359" i="10"/>
  <c r="AV359" i="10"/>
  <c r="AY359" i="10" s="1"/>
  <c r="AZ359" i="10"/>
  <c r="AX309" i="8"/>
  <c r="AV309" i="8"/>
  <c r="AY309" i="8" s="1"/>
  <c r="AX198" i="10"/>
  <c r="AV198" i="10"/>
  <c r="AY198" i="10" s="1"/>
  <c r="AX183" i="8"/>
  <c r="AV183" i="8"/>
  <c r="AY183" i="8" s="1"/>
  <c r="AX124" i="10"/>
  <c r="AV124" i="10"/>
  <c r="AY124" i="10" s="1"/>
  <c r="AZ29" i="8"/>
  <c r="AX413" i="8"/>
  <c r="AV413" i="8"/>
  <c r="AY413" i="8" s="1"/>
  <c r="AX184" i="10"/>
  <c r="AV184" i="10"/>
  <c r="AY184" i="10" s="1"/>
  <c r="AX338" i="9"/>
  <c r="AW338" i="9"/>
  <c r="AV338" i="9"/>
  <c r="AY338" i="9" s="1"/>
  <c r="AX278" i="8"/>
  <c r="AV278" i="8"/>
  <c r="AY278" i="8" s="1"/>
  <c r="AZ208" i="10"/>
  <c r="AW208" i="10"/>
  <c r="AV208" i="10"/>
  <c r="AY208" i="10" s="1"/>
  <c r="AX208" i="10"/>
  <c r="AV248" i="8"/>
  <c r="AY248" i="8" s="1"/>
  <c r="AX248" i="8"/>
  <c r="AX299" i="10"/>
  <c r="AV299" i="10"/>
  <c r="AY299" i="10" s="1"/>
  <c r="AX294" i="8"/>
  <c r="AV294" i="8"/>
  <c r="AY294" i="8" s="1"/>
  <c r="AX184" i="9"/>
  <c r="AV184" i="9"/>
  <c r="AY184" i="9" s="1"/>
  <c r="AX33" i="10"/>
  <c r="AV33" i="10"/>
  <c r="AY33" i="10" s="1"/>
  <c r="AV48" i="9"/>
  <c r="AY48" i="9" s="1"/>
  <c r="AX48" i="9"/>
  <c r="AX204" i="10"/>
  <c r="AV204" i="10"/>
  <c r="AY204" i="10" s="1"/>
  <c r="AX319" i="9"/>
  <c r="AV319" i="9"/>
  <c r="AY319" i="9" s="1"/>
  <c r="AV259" i="8"/>
  <c r="AY259" i="8" s="1"/>
  <c r="AX259" i="8"/>
  <c r="AX264" i="10"/>
  <c r="AV264" i="10"/>
  <c r="AY264" i="10" s="1"/>
  <c r="AZ63" i="10"/>
  <c r="AX379" i="9"/>
  <c r="AV379" i="9"/>
  <c r="AY379" i="9" s="1"/>
  <c r="AX309" i="10"/>
  <c r="AV309" i="10"/>
  <c r="AY309" i="10" s="1"/>
  <c r="AZ304" i="9"/>
  <c r="AX63" i="8"/>
  <c r="AW63" i="8"/>
  <c r="AV63" i="8"/>
  <c r="AY63" i="8" s="1"/>
  <c r="AZ63" i="8"/>
  <c r="AX102" i="9"/>
  <c r="AV102" i="9"/>
  <c r="AY102" i="9" s="1"/>
  <c r="AV363" i="8"/>
  <c r="AY363" i="8" s="1"/>
  <c r="AX363" i="8"/>
  <c r="AX328" i="10"/>
  <c r="AV328" i="10"/>
  <c r="AY328" i="10" s="1"/>
  <c r="AV142" i="10"/>
  <c r="AY142" i="10" s="1"/>
  <c r="AX142" i="10"/>
  <c r="AV358" i="9"/>
  <c r="AY358" i="9" s="1"/>
  <c r="AX358" i="9"/>
  <c r="AX213" i="8"/>
  <c r="AV213" i="8"/>
  <c r="AY213" i="8" s="1"/>
  <c r="AX244" i="10"/>
  <c r="AV244" i="10"/>
  <c r="AY244" i="10" s="1"/>
  <c r="AX223" i="10"/>
  <c r="AV223" i="10"/>
  <c r="AY223" i="10" s="1"/>
  <c r="AX364" i="8"/>
  <c r="AV364" i="8"/>
  <c r="AY364" i="8" s="1"/>
  <c r="AV393" i="10"/>
  <c r="AY393" i="10" s="1"/>
  <c r="AX393" i="10"/>
  <c r="AZ58" i="9"/>
  <c r="AZ249" i="10"/>
  <c r="AW59" i="9"/>
  <c r="AX204" i="8"/>
  <c r="AV204" i="8"/>
  <c r="AY204" i="8" s="1"/>
  <c r="AZ173" i="9"/>
  <c r="AZ418" i="10"/>
  <c r="AV389" i="10"/>
  <c r="AY389" i="10" s="1"/>
  <c r="AX389" i="10"/>
  <c r="AX89" i="10"/>
  <c r="AV89" i="10"/>
  <c r="AY89" i="10" s="1"/>
  <c r="AZ149" i="9"/>
  <c r="AZ339" i="9"/>
  <c r="AZ129" i="9"/>
  <c r="AZ29" i="9"/>
  <c r="AZ289" i="9"/>
  <c r="AV393" i="9"/>
  <c r="AY393" i="9" s="1"/>
  <c r="AX393" i="9"/>
  <c r="AX74" i="10"/>
  <c r="AV74" i="10"/>
  <c r="AY74" i="10" s="1"/>
  <c r="AZ34" i="10"/>
  <c r="AX158" i="9"/>
  <c r="AV158" i="9"/>
  <c r="AY158" i="9" s="1"/>
  <c r="AV273" i="9"/>
  <c r="AY273" i="9" s="1"/>
  <c r="AX273" i="9"/>
  <c r="AX248" i="10"/>
  <c r="AV248" i="10"/>
  <c r="AY248" i="10" s="1"/>
  <c r="AX254" i="9"/>
  <c r="AV254" i="9"/>
  <c r="AY254" i="9" s="1"/>
  <c r="AV424" i="8"/>
  <c r="AY424" i="8" s="1"/>
  <c r="AX424" i="8"/>
  <c r="AW109" i="8"/>
  <c r="AX408" i="9"/>
  <c r="AV408" i="9"/>
  <c r="AY408" i="9" s="1"/>
  <c r="AZ334" i="9"/>
  <c r="AW179" i="9"/>
  <c r="AW329" i="9"/>
  <c r="AW98" i="9"/>
  <c r="AW348" i="8"/>
  <c r="AW424" i="9"/>
  <c r="AW38" i="10"/>
  <c r="AX333" i="8"/>
  <c r="AV333" i="8"/>
  <c r="AY333" i="8" s="1"/>
  <c r="AV119" i="9"/>
  <c r="AY119" i="9" s="1"/>
  <c r="AX119" i="9"/>
  <c r="AX28" i="8"/>
  <c r="AV28" i="8"/>
  <c r="AY28" i="8" s="1"/>
  <c r="AX113" i="8"/>
  <c r="AV113" i="8"/>
  <c r="AY113" i="8" s="1"/>
  <c r="AX423" i="8"/>
  <c r="AV423" i="8"/>
  <c r="AY423" i="8" s="1"/>
  <c r="AV368" i="10"/>
  <c r="AY368" i="10" s="1"/>
  <c r="AX368" i="10"/>
  <c r="AV284" i="10"/>
  <c r="AY284" i="10" s="1"/>
  <c r="AX284" i="10"/>
  <c r="AX153" i="9"/>
  <c r="AV153" i="9"/>
  <c r="AY153" i="9" s="1"/>
  <c r="AX319" i="10"/>
  <c r="AV319" i="10"/>
  <c r="AY319" i="10" s="1"/>
  <c r="AX323" i="10"/>
  <c r="AV323" i="10"/>
  <c r="AY323" i="10" s="1"/>
  <c r="AX199" i="10"/>
  <c r="AV199" i="10"/>
  <c r="AY199" i="10" s="1"/>
  <c r="AZ128" i="10"/>
  <c r="AX229" i="9"/>
  <c r="AV229" i="9"/>
  <c r="AY229" i="9" s="1"/>
  <c r="AZ203" i="8"/>
  <c r="AX218" i="10"/>
  <c r="AV218" i="10"/>
  <c r="AY218" i="10" s="1"/>
  <c r="AX359" i="8"/>
  <c r="AV359" i="8"/>
  <c r="AY359" i="8" s="1"/>
  <c r="AX353" i="9"/>
  <c r="AV353" i="9"/>
  <c r="AY353" i="9" s="1"/>
  <c r="AX398" i="8"/>
  <c r="AV398" i="8"/>
  <c r="AY398" i="8" s="1"/>
  <c r="AZ154" i="9"/>
  <c r="AV72" i="10"/>
  <c r="AY72" i="10" s="1"/>
  <c r="AX72" i="10"/>
  <c r="AX394" i="8"/>
  <c r="AV394" i="8"/>
  <c r="AY394" i="8" s="1"/>
  <c r="AV164" i="10"/>
  <c r="AY164" i="10" s="1"/>
  <c r="AX164" i="10"/>
  <c r="AV419" i="10"/>
  <c r="AY419" i="10" s="1"/>
  <c r="AX419" i="10"/>
  <c r="AX39" i="10"/>
  <c r="AV39" i="10"/>
  <c r="AY39" i="10" s="1"/>
  <c r="AX54" i="9"/>
  <c r="AV54" i="9"/>
  <c r="AY54" i="9" s="1"/>
  <c r="AX278" i="10"/>
  <c r="AV278" i="10"/>
  <c r="AY278" i="10" s="1"/>
  <c r="AX373" i="9"/>
  <c r="AV373" i="9"/>
  <c r="AY373" i="9" s="1"/>
  <c r="AX182" i="10"/>
  <c r="AV182" i="10"/>
  <c r="AY182" i="10" s="1"/>
  <c r="AV189" i="9"/>
  <c r="AY189" i="9" s="1"/>
  <c r="AX189" i="9"/>
  <c r="AX39" i="8"/>
  <c r="AV39" i="8"/>
  <c r="AY39" i="8" s="1"/>
  <c r="AX38" i="9"/>
  <c r="AV38" i="9"/>
  <c r="AY38" i="9" s="1"/>
  <c r="AV404" i="10"/>
  <c r="AY404" i="10" s="1"/>
  <c r="AX404" i="10"/>
  <c r="E32" i="11"/>
  <c r="AX374" i="8"/>
  <c r="AV374" i="8"/>
  <c r="AY374" i="8" s="1"/>
  <c r="AX43" i="10"/>
  <c r="AV43" i="10"/>
  <c r="AY43" i="10" s="1"/>
  <c r="AX284" i="9"/>
  <c r="AV284" i="9"/>
  <c r="AY284" i="9" s="1"/>
  <c r="AV102" i="10"/>
  <c r="AY102" i="10" s="1"/>
  <c r="AX102" i="10"/>
  <c r="AX198" i="8"/>
  <c r="AV198" i="8"/>
  <c r="AY198" i="8" s="1"/>
  <c r="AX414" i="8"/>
  <c r="AV414" i="8"/>
  <c r="AY414" i="8" s="1"/>
  <c r="AV419" i="8"/>
  <c r="AY419" i="8" s="1"/>
  <c r="AX419" i="8"/>
  <c r="AV184" i="8"/>
  <c r="AY184" i="8" s="1"/>
  <c r="AX184" i="8"/>
  <c r="AX114" i="9"/>
  <c r="AV114" i="9"/>
  <c r="AY114" i="9" s="1"/>
  <c r="AX263" i="9"/>
  <c r="AV263" i="9"/>
  <c r="AY263" i="9" s="1"/>
  <c r="AX53" i="10"/>
  <c r="AV53" i="10"/>
  <c r="AY53" i="10" s="1"/>
  <c r="AX173" i="10"/>
  <c r="AV173" i="10"/>
  <c r="AY173" i="10" s="1"/>
  <c r="AX214" i="9"/>
  <c r="AV214" i="9"/>
  <c r="AY214" i="9" s="1"/>
  <c r="AW283" i="10"/>
  <c r="AW283" i="8"/>
  <c r="AW203" i="9"/>
  <c r="AX223" i="8"/>
  <c r="AV223" i="8"/>
  <c r="AY223" i="8" s="1"/>
  <c r="AV37" i="10"/>
  <c r="AY37" i="10" s="1"/>
  <c r="AX37" i="10"/>
  <c r="AX78" i="8"/>
  <c r="AV78" i="8"/>
  <c r="AY78" i="8" s="1"/>
  <c r="AZ148" i="9"/>
  <c r="AW64" i="10"/>
  <c r="AV64" i="10"/>
  <c r="AY64" i="10" s="1"/>
  <c r="AX64" i="10"/>
  <c r="AZ409" i="9"/>
  <c r="AX179" i="10"/>
  <c r="AV179" i="10"/>
  <c r="AY179" i="10" s="1"/>
  <c r="AX284" i="8"/>
  <c r="AV284" i="8"/>
  <c r="AY284" i="8" s="1"/>
  <c r="AX228" i="8"/>
  <c r="AV228" i="8"/>
  <c r="AY228" i="8" s="1"/>
  <c r="AX44" i="10"/>
  <c r="AV44" i="10"/>
  <c r="AY44" i="10" s="1"/>
  <c r="AZ44" i="10"/>
  <c r="AV88" i="10"/>
  <c r="AY88" i="10" s="1"/>
  <c r="AX88" i="10"/>
  <c r="AX283" i="9"/>
  <c r="AV283" i="9"/>
  <c r="AY283" i="9" s="1"/>
  <c r="AX414" i="10"/>
  <c r="AV414" i="10"/>
  <c r="AY414" i="10" s="1"/>
  <c r="AX178" i="8"/>
  <c r="AV178" i="8"/>
  <c r="AY178" i="8" s="1"/>
  <c r="D10" i="9"/>
  <c r="D14" i="9"/>
  <c r="AV228" i="9"/>
  <c r="AY228" i="9" s="1"/>
  <c r="AX228" i="9"/>
  <c r="AV208" i="8"/>
  <c r="AY208" i="8" s="1"/>
  <c r="AX208" i="8"/>
  <c r="AV158" i="10"/>
  <c r="AY158" i="10" s="1"/>
  <c r="AZ158" i="10"/>
  <c r="AX158" i="10"/>
  <c r="AX423" i="10"/>
  <c r="AV423" i="10"/>
  <c r="AY423" i="10" s="1"/>
  <c r="AZ59" i="9"/>
  <c r="AX253" i="9"/>
  <c r="AV253" i="9"/>
  <c r="AY253" i="9" s="1"/>
  <c r="AX393" i="8"/>
  <c r="AW393" i="8"/>
  <c r="AV393" i="8"/>
  <c r="AY393" i="8" s="1"/>
  <c r="AX409" i="10"/>
  <c r="AV409" i="10"/>
  <c r="AY409" i="10" s="1"/>
  <c r="AW339" i="9"/>
  <c r="AW129" i="9"/>
  <c r="AW29" i="9"/>
  <c r="AZ119" i="8"/>
  <c r="AW208" i="9"/>
  <c r="AW34" i="10"/>
  <c r="AX78" i="10"/>
  <c r="AV78" i="10"/>
  <c r="AY78" i="10" s="1"/>
  <c r="AV84" i="10"/>
  <c r="AY84" i="10" s="1"/>
  <c r="AZ84" i="10"/>
  <c r="AX84" i="10"/>
  <c r="AX103" i="8"/>
  <c r="AV103" i="8"/>
  <c r="AY103" i="8" s="1"/>
  <c r="AV84" i="9"/>
  <c r="AY84" i="9" s="1"/>
  <c r="AX84" i="9"/>
  <c r="AZ109" i="8"/>
  <c r="AX333" i="9"/>
  <c r="AV333" i="9"/>
  <c r="AY333" i="9" s="1"/>
  <c r="AZ109" i="10"/>
  <c r="AZ99" i="10"/>
  <c r="AZ179" i="9"/>
  <c r="AZ329" i="9"/>
  <c r="AZ98" i="9"/>
  <c r="AZ348" i="8"/>
  <c r="AZ424" i="9"/>
  <c r="AZ38" i="10"/>
  <c r="AW298" i="8" l="1"/>
  <c r="AZ349" i="9"/>
  <c r="AZ328" i="9"/>
  <c r="AW219" i="10"/>
  <c r="AZ389" i="8"/>
  <c r="AZ413" i="10"/>
  <c r="D14" i="8"/>
  <c r="D17" i="10"/>
  <c r="E18" i="11" s="1"/>
  <c r="AW187" i="9"/>
  <c r="AZ357" i="9"/>
  <c r="AW299" i="10"/>
  <c r="AZ423" i="10"/>
  <c r="AW43" i="10"/>
  <c r="AZ244" i="10"/>
  <c r="AZ384" i="8"/>
  <c r="AZ298" i="8"/>
  <c r="AZ93" i="8"/>
  <c r="AZ118" i="10"/>
  <c r="AZ258" i="8"/>
  <c r="AZ123" i="10"/>
  <c r="AZ274" i="8"/>
  <c r="AY357" i="10"/>
  <c r="E12" i="10" s="1"/>
  <c r="AW357" i="10"/>
  <c r="AZ357" i="10"/>
  <c r="AW424" i="8"/>
  <c r="AW323" i="9"/>
  <c r="AW229" i="10"/>
  <c r="AY397" i="9"/>
  <c r="AW397" i="9"/>
  <c r="AW384" i="8"/>
  <c r="AW229" i="9"/>
  <c r="AW413" i="8"/>
  <c r="AW302" i="9"/>
  <c r="AW224" i="8"/>
  <c r="AW349" i="10"/>
  <c r="AZ134" i="9"/>
  <c r="AW144" i="9"/>
  <c r="AZ57" i="9"/>
  <c r="AZ319" i="10"/>
  <c r="AZ309" i="10"/>
  <c r="AZ299" i="10"/>
  <c r="AW169" i="10"/>
  <c r="D15" i="9"/>
  <c r="AW134" i="9"/>
  <c r="AZ239" i="8"/>
  <c r="AW48" i="8"/>
  <c r="AW53" i="8"/>
  <c r="AW57" i="9"/>
  <c r="AZ207" i="10"/>
  <c r="AZ423" i="8"/>
  <c r="AW319" i="9"/>
  <c r="AZ244" i="8"/>
  <c r="AZ418" i="8"/>
  <c r="D14" i="10"/>
  <c r="AW64" i="9"/>
  <c r="AW423" i="10"/>
  <c r="AZ359" i="8"/>
  <c r="AW93" i="8"/>
  <c r="AW118" i="10"/>
  <c r="AZ48" i="8"/>
  <c r="AZ54" i="10"/>
  <c r="AZ187" i="9"/>
  <c r="AW207" i="10"/>
  <c r="E11" i="10"/>
  <c r="F11" i="10" s="1"/>
  <c r="AW142" i="10"/>
  <c r="AZ288" i="10"/>
  <c r="AZ323" i="9"/>
  <c r="AZ163" i="10"/>
  <c r="AZ138" i="8"/>
  <c r="AZ229" i="10"/>
  <c r="AW419" i="8"/>
  <c r="AZ199" i="10"/>
  <c r="AW194" i="8"/>
  <c r="AZ179" i="8"/>
  <c r="AZ368" i="8"/>
  <c r="AW133" i="8"/>
  <c r="AZ229" i="8"/>
  <c r="AW159" i="8"/>
  <c r="AZ169" i="10"/>
  <c r="AZ139" i="8"/>
  <c r="AZ333" i="8"/>
  <c r="AZ213" i="8"/>
  <c r="AZ142" i="10"/>
  <c r="AW384" i="10"/>
  <c r="AZ189" i="8"/>
  <c r="AZ408" i="8"/>
  <c r="AZ214" i="9"/>
  <c r="AZ54" i="9"/>
  <c r="AW394" i="8"/>
  <c r="AZ28" i="8"/>
  <c r="AW204" i="8"/>
  <c r="AW213" i="8"/>
  <c r="AW213" i="10"/>
  <c r="AZ143" i="10"/>
  <c r="AW243" i="10"/>
  <c r="AZ324" i="8"/>
  <c r="AW53" i="9"/>
  <c r="AW333" i="9"/>
  <c r="AZ319" i="9"/>
  <c r="AZ188" i="8"/>
  <c r="AW349" i="8"/>
  <c r="AW418" i="8"/>
  <c r="AZ299" i="9"/>
  <c r="AZ149" i="8"/>
  <c r="AW413" i="10"/>
  <c r="AW44" i="8"/>
  <c r="AW84" i="10"/>
  <c r="AW44" i="10"/>
  <c r="AW359" i="8"/>
  <c r="AW273" i="9"/>
  <c r="AW399" i="10"/>
  <c r="AZ33" i="9"/>
  <c r="AZ158" i="8"/>
  <c r="AW349" i="9"/>
  <c r="AW288" i="10"/>
  <c r="AZ104" i="9"/>
  <c r="AZ424" i="10"/>
  <c r="AW228" i="9"/>
  <c r="AZ43" i="10"/>
  <c r="AZ373" i="9"/>
  <c r="AZ229" i="9"/>
  <c r="AW119" i="9"/>
  <c r="AZ363" i="8"/>
  <c r="AZ399" i="10"/>
  <c r="AW179" i="8"/>
  <c r="AZ313" i="10"/>
  <c r="AZ309" i="9"/>
  <c r="AW59" i="8"/>
  <c r="AW79" i="8"/>
  <c r="AW94" i="9"/>
  <c r="AW48" i="10"/>
  <c r="AW258" i="10"/>
  <c r="AW139" i="8"/>
  <c r="AW52" i="9"/>
  <c r="AW378" i="8"/>
  <c r="AW68" i="9"/>
  <c r="AW354" i="10"/>
  <c r="AZ84" i="9"/>
  <c r="AZ228" i="9"/>
  <c r="AZ102" i="10"/>
  <c r="AZ38" i="9"/>
  <c r="AZ218" i="10"/>
  <c r="AZ284" i="10"/>
  <c r="AZ269" i="9"/>
  <c r="AW62" i="10"/>
  <c r="AZ124" i="9"/>
  <c r="AZ339" i="8"/>
  <c r="AZ164" i="9"/>
  <c r="AZ344" i="8"/>
  <c r="AZ53" i="8"/>
  <c r="AW178" i="8"/>
  <c r="AZ228" i="8"/>
  <c r="AZ263" i="9"/>
  <c r="AZ398" i="8"/>
  <c r="AW183" i="8"/>
  <c r="AW399" i="9"/>
  <c r="AW314" i="10"/>
  <c r="AW133" i="10"/>
  <c r="AZ72" i="9"/>
  <c r="AW378" i="9"/>
  <c r="AZ239" i="9"/>
  <c r="AW283" i="9"/>
  <c r="AW84" i="9"/>
  <c r="AW414" i="10"/>
  <c r="AZ64" i="10"/>
  <c r="AW414" i="8"/>
  <c r="AW184" i="9"/>
  <c r="AW262" i="9"/>
  <c r="AZ213" i="10"/>
  <c r="AZ194" i="8"/>
  <c r="AZ118" i="9"/>
  <c r="AW309" i="9"/>
  <c r="AW174" i="9"/>
  <c r="AZ349" i="8"/>
  <c r="AW398" i="9"/>
  <c r="AZ113" i="10"/>
  <c r="AZ349" i="10"/>
  <c r="E11" i="9"/>
  <c r="F11" i="9" s="1"/>
  <c r="AW104" i="9"/>
  <c r="AZ144" i="9"/>
  <c r="AW239" i="8"/>
  <c r="AW73" i="9"/>
  <c r="AW424" i="10"/>
  <c r="AW193" i="10"/>
  <c r="AZ103" i="8"/>
  <c r="AZ414" i="10"/>
  <c r="AZ173" i="10"/>
  <c r="AW164" i="10"/>
  <c r="AW199" i="10"/>
  <c r="AW153" i="9"/>
  <c r="AW28" i="8"/>
  <c r="AW333" i="8"/>
  <c r="AZ254" i="9"/>
  <c r="AZ273" i="9"/>
  <c r="AZ102" i="9"/>
  <c r="AW259" i="8"/>
  <c r="AZ183" i="8"/>
  <c r="AZ399" i="9"/>
  <c r="AZ244" i="9"/>
  <c r="AW323" i="8"/>
  <c r="AZ243" i="10"/>
  <c r="AZ143" i="9"/>
  <c r="AZ314" i="10"/>
  <c r="AZ79" i="8"/>
  <c r="AZ222" i="10"/>
  <c r="AZ373" i="8"/>
  <c r="AZ378" i="9"/>
  <c r="AW324" i="8"/>
  <c r="AZ319" i="8"/>
  <c r="AW348" i="10"/>
  <c r="AZ214" i="10"/>
  <c r="AZ74" i="9"/>
  <c r="AW224" i="10"/>
  <c r="AZ343" i="10"/>
  <c r="AZ64" i="9"/>
  <c r="AZ178" i="9"/>
  <c r="AW54" i="10"/>
  <c r="AZ243" i="8"/>
  <c r="AZ354" i="10"/>
  <c r="AZ143" i="8"/>
  <c r="AZ168" i="8"/>
  <c r="AZ154" i="8"/>
  <c r="AZ208" i="8"/>
  <c r="AZ178" i="8"/>
  <c r="AZ283" i="9"/>
  <c r="AZ414" i="8"/>
  <c r="AZ404" i="10"/>
  <c r="AW389" i="10"/>
  <c r="AZ364" i="8"/>
  <c r="AZ328" i="10"/>
  <c r="AZ184" i="9"/>
  <c r="AZ248" i="8"/>
  <c r="AZ302" i="9"/>
  <c r="E12" i="9"/>
  <c r="E15" i="9" s="1"/>
  <c r="AW69" i="8"/>
  <c r="AZ403" i="8"/>
  <c r="AZ108" i="9"/>
  <c r="AW194" i="9"/>
  <c r="AZ262" i="10"/>
  <c r="AZ193" i="10"/>
  <c r="AZ353" i="10"/>
  <c r="AZ164" i="10"/>
  <c r="AZ248" i="10"/>
  <c r="AZ259" i="8"/>
  <c r="AZ124" i="8"/>
  <c r="AZ29" i="10"/>
  <c r="AZ323" i="8"/>
  <c r="AZ344" i="9"/>
  <c r="AZ219" i="8"/>
  <c r="AZ198" i="9"/>
  <c r="AZ74" i="8"/>
  <c r="AZ348" i="10"/>
  <c r="AZ73" i="10"/>
  <c r="AZ253" i="8"/>
  <c r="AZ363" i="9"/>
  <c r="AZ134" i="10"/>
  <c r="AZ293" i="8"/>
  <c r="AZ328" i="8"/>
  <c r="AZ302" i="10"/>
  <c r="AZ278" i="9"/>
  <c r="AW178" i="9"/>
  <c r="AZ68" i="8"/>
  <c r="AW234" i="9"/>
  <c r="AW139" i="9"/>
  <c r="AZ338" i="8"/>
  <c r="AZ304" i="10"/>
  <c r="AZ393" i="8"/>
  <c r="AW158" i="10"/>
  <c r="AW228" i="8"/>
  <c r="AZ37" i="10"/>
  <c r="AW263" i="9"/>
  <c r="AZ394" i="8"/>
  <c r="AW398" i="8"/>
  <c r="AW284" i="10"/>
  <c r="AW113" i="8"/>
  <c r="AZ119" i="9"/>
  <c r="E11" i="8"/>
  <c r="C7" i="11" s="1"/>
  <c r="AW248" i="10"/>
  <c r="AZ158" i="9"/>
  <c r="AZ393" i="10"/>
  <c r="AW363" i="8"/>
  <c r="AZ338" i="9"/>
  <c r="AZ144" i="10"/>
  <c r="AZ62" i="10"/>
  <c r="AZ133" i="10"/>
  <c r="AZ384" i="10"/>
  <c r="AW324" i="10"/>
  <c r="AW72" i="9"/>
  <c r="AZ48" i="10"/>
  <c r="AW304" i="8"/>
  <c r="AZ159" i="8"/>
  <c r="AZ379" i="8"/>
  <c r="AW169" i="9"/>
  <c r="AZ58" i="8"/>
  <c r="AZ149" i="10"/>
  <c r="AW253" i="8"/>
  <c r="AW363" i="9"/>
  <c r="AZ34" i="8"/>
  <c r="AW113" i="9"/>
  <c r="AW403" i="10"/>
  <c r="AZ218" i="8"/>
  <c r="AW302" i="10"/>
  <c r="AW278" i="9"/>
  <c r="AW68" i="8"/>
  <c r="AZ68" i="10"/>
  <c r="AZ234" i="9"/>
  <c r="AW239" i="9"/>
  <c r="AZ164" i="8"/>
  <c r="AW338" i="8"/>
  <c r="AW304" i="10"/>
  <c r="D7" i="11"/>
  <c r="E18" i="9"/>
  <c r="D25" i="11" s="1"/>
  <c r="AW184" i="8"/>
  <c r="AZ39" i="8"/>
  <c r="AZ182" i="10"/>
  <c r="AZ278" i="10"/>
  <c r="AZ39" i="10"/>
  <c r="AZ323" i="10"/>
  <c r="AW408" i="9"/>
  <c r="AW393" i="9"/>
  <c r="AW89" i="10"/>
  <c r="AW223" i="10"/>
  <c r="AZ379" i="9"/>
  <c r="AW48" i="9"/>
  <c r="AW309" i="8"/>
  <c r="AZ204" i="9"/>
  <c r="AW49" i="8"/>
  <c r="AW318" i="10"/>
  <c r="AW104" i="8"/>
  <c r="AW128" i="8"/>
  <c r="AW134" i="8"/>
  <c r="AW358" i="8"/>
  <c r="AZ144" i="8"/>
  <c r="AW238" i="10"/>
  <c r="AZ298" i="10"/>
  <c r="AW364" i="9"/>
  <c r="AW62" i="9"/>
  <c r="AZ108" i="8"/>
  <c r="AW83" i="10"/>
  <c r="AZ78" i="9"/>
  <c r="AW249" i="9"/>
  <c r="AZ398" i="10"/>
  <c r="AW222" i="9"/>
  <c r="AW368" i="9"/>
  <c r="AW104" i="10"/>
  <c r="AW188" i="9"/>
  <c r="AW34" i="9"/>
  <c r="AW269" i="10"/>
  <c r="AW318" i="8"/>
  <c r="AW243" i="9"/>
  <c r="AW373" i="10"/>
  <c r="AW423" i="9"/>
  <c r="AZ414" i="9"/>
  <c r="AW214" i="8"/>
  <c r="AW268" i="9"/>
  <c r="AZ369" i="9"/>
  <c r="AW199" i="8"/>
  <c r="AW49" i="10"/>
  <c r="AW333" i="10"/>
  <c r="AZ139" i="10"/>
  <c r="AW84" i="8"/>
  <c r="AW37" i="9"/>
  <c r="AW69" i="9"/>
  <c r="AW259" i="9"/>
  <c r="AW303" i="8"/>
  <c r="AW239" i="10"/>
  <c r="AW153" i="8"/>
  <c r="AW308" i="10"/>
  <c r="AW159" i="10"/>
  <c r="AW343" i="8"/>
  <c r="AW63" i="9"/>
  <c r="AW213" i="9"/>
  <c r="AW54" i="8"/>
  <c r="AW123" i="8"/>
  <c r="AW303" i="10"/>
  <c r="AW218" i="9"/>
  <c r="E18" i="8"/>
  <c r="C25" i="11" s="1"/>
  <c r="AW398" i="10"/>
  <c r="AZ373" i="10"/>
  <c r="AW344" i="8"/>
  <c r="AW123" i="10"/>
  <c r="AW274" i="8"/>
  <c r="AW138" i="8"/>
  <c r="AW173" i="8"/>
  <c r="AW154" i="8"/>
  <c r="AW88" i="10"/>
  <c r="AW179" i="10"/>
  <c r="AW214" i="9"/>
  <c r="AW198" i="8"/>
  <c r="AW39" i="8"/>
  <c r="AW72" i="10"/>
  <c r="AZ408" i="9"/>
  <c r="AW74" i="10"/>
  <c r="AZ223" i="10"/>
  <c r="AW204" i="10"/>
  <c r="AW294" i="8"/>
  <c r="AZ49" i="8"/>
  <c r="AW174" i="8"/>
  <c r="AZ104" i="8"/>
  <c r="AZ128" i="8"/>
  <c r="AZ134" i="8"/>
  <c r="AZ358" i="8"/>
  <c r="AW144" i="8"/>
  <c r="AW394" i="9"/>
  <c r="AW154" i="10"/>
  <c r="AZ388" i="10"/>
  <c r="E8" i="8"/>
  <c r="AW263" i="8"/>
  <c r="AW274" i="10"/>
  <c r="AW298" i="10"/>
  <c r="AZ364" i="9"/>
  <c r="AZ62" i="9"/>
  <c r="AW108" i="8"/>
  <c r="AW78" i="9"/>
  <c r="AW313" i="8"/>
  <c r="AW303" i="9"/>
  <c r="AZ368" i="9"/>
  <c r="AW88" i="8"/>
  <c r="AW148" i="10"/>
  <c r="AZ269" i="10"/>
  <c r="AZ318" i="8"/>
  <c r="AZ423" i="9"/>
  <c r="AW414" i="9"/>
  <c r="AZ214" i="8"/>
  <c r="AZ268" i="9"/>
  <c r="AW369" i="9"/>
  <c r="AZ199" i="8"/>
  <c r="AZ49" i="10"/>
  <c r="AZ333" i="10"/>
  <c r="AW139" i="10"/>
  <c r="AW364" i="10"/>
  <c r="AW38" i="8"/>
  <c r="AW384" i="9"/>
  <c r="AW83" i="9"/>
  <c r="AW328" i="8"/>
  <c r="AZ303" i="8"/>
  <c r="AZ239" i="10"/>
  <c r="AZ153" i="8"/>
  <c r="AZ308" i="10"/>
  <c r="AZ159" i="10"/>
  <c r="AZ343" i="8"/>
  <c r="AZ63" i="9"/>
  <c r="AZ213" i="9"/>
  <c r="AZ54" i="8"/>
  <c r="AW288" i="8"/>
  <c r="AZ123" i="8"/>
  <c r="AW168" i="8"/>
  <c r="AZ303" i="10"/>
  <c r="AZ218" i="9"/>
  <c r="AZ78" i="10"/>
  <c r="AW78" i="10"/>
  <c r="AW208" i="8"/>
  <c r="AZ88" i="10"/>
  <c r="AW409" i="10"/>
  <c r="AW78" i="8"/>
  <c r="AW284" i="9"/>
  <c r="AW182" i="10"/>
  <c r="AW278" i="10"/>
  <c r="AW39" i="10"/>
  <c r="AW184" i="10"/>
  <c r="AW284" i="8"/>
  <c r="AW53" i="10"/>
  <c r="AZ419" i="8"/>
  <c r="AW404" i="10"/>
  <c r="AZ72" i="10"/>
  <c r="AW218" i="10"/>
  <c r="AZ153" i="9"/>
  <c r="AZ368" i="10"/>
  <c r="AZ113" i="8"/>
  <c r="AW254" i="9"/>
  <c r="AZ74" i="10"/>
  <c r="AZ204" i="8"/>
  <c r="AW358" i="9"/>
  <c r="AW124" i="10"/>
  <c r="AW198" i="10"/>
  <c r="AW99" i="9"/>
  <c r="AW144" i="10"/>
  <c r="AW388" i="9"/>
  <c r="AW124" i="8"/>
  <c r="AW388" i="10"/>
  <c r="E12" i="8"/>
  <c r="AW344" i="9"/>
  <c r="AW143" i="9"/>
  <c r="AW168" i="9"/>
  <c r="AZ174" i="9"/>
  <c r="AZ249" i="8"/>
  <c r="AZ59" i="8"/>
  <c r="AZ33" i="8"/>
  <c r="AZ324" i="10"/>
  <c r="AZ83" i="10"/>
  <c r="AW373" i="8"/>
  <c r="AW363" i="10"/>
  <c r="AW389" i="8"/>
  <c r="AW229" i="8"/>
  <c r="AZ118" i="8"/>
  <c r="AW299" i="9"/>
  <c r="AW119" i="10"/>
  <c r="AW142" i="9"/>
  <c r="AW129" i="10"/>
  <c r="AW44" i="9"/>
  <c r="AZ169" i="9"/>
  <c r="AZ279" i="9"/>
  <c r="AW58" i="8"/>
  <c r="AZ52" i="9"/>
  <c r="AW73" i="8"/>
  <c r="AW64" i="8"/>
  <c r="AW94" i="8"/>
  <c r="AW189" i="8"/>
  <c r="AW293" i="8"/>
  <c r="AW354" i="9"/>
  <c r="AZ263" i="10"/>
  <c r="AW383" i="9"/>
  <c r="AW339" i="10"/>
  <c r="AW163" i="9"/>
  <c r="AW103" i="8"/>
  <c r="AW253" i="9"/>
  <c r="AZ53" i="10"/>
  <c r="AW353" i="9"/>
  <c r="AW323" i="10"/>
  <c r="AW33" i="10"/>
  <c r="AZ78" i="8"/>
  <c r="AZ223" i="8"/>
  <c r="AZ114" i="9"/>
  <c r="AZ198" i="8"/>
  <c r="AZ284" i="9"/>
  <c r="AZ374" i="8"/>
  <c r="AW189" i="9"/>
  <c r="AW419" i="10"/>
  <c r="AZ353" i="9"/>
  <c r="AW364" i="8"/>
  <c r="AW244" i="10"/>
  <c r="AZ204" i="10"/>
  <c r="AZ33" i="10"/>
  <c r="AZ294" i="8"/>
  <c r="AW248" i="8"/>
  <c r="AZ278" i="8"/>
  <c r="AZ184" i="10"/>
  <c r="AW359" i="10"/>
  <c r="AZ174" i="8"/>
  <c r="AW334" i="10"/>
  <c r="AW99" i="8"/>
  <c r="AZ394" i="9"/>
  <c r="AZ154" i="10"/>
  <c r="AZ263" i="8"/>
  <c r="AZ274" i="10"/>
  <c r="AW368" i="8"/>
  <c r="AW103" i="9"/>
  <c r="AW163" i="8"/>
  <c r="AZ313" i="8"/>
  <c r="AZ303" i="9"/>
  <c r="AW224" i="9"/>
  <c r="AZ88" i="8"/>
  <c r="AW238" i="9"/>
  <c r="AZ148" i="10"/>
  <c r="AW359" i="9"/>
  <c r="AW149" i="8"/>
  <c r="AW198" i="9"/>
  <c r="AW73" i="10"/>
  <c r="AW52" i="10"/>
  <c r="AW418" i="9"/>
  <c r="AW369" i="8"/>
  <c r="AW168" i="10"/>
  <c r="AW334" i="8"/>
  <c r="AW344" i="10"/>
  <c r="AZ138" i="9"/>
  <c r="AZ364" i="10"/>
  <c r="AZ38" i="8"/>
  <c r="AW124" i="9"/>
  <c r="AZ384" i="9"/>
  <c r="AZ83" i="9"/>
  <c r="AZ403" i="10"/>
  <c r="AW383" i="8"/>
  <c r="AW238" i="8"/>
  <c r="AW263" i="10"/>
  <c r="AW258" i="8"/>
  <c r="AW324" i="9"/>
  <c r="AZ379" i="10"/>
  <c r="AW83" i="8"/>
  <c r="AW182" i="9"/>
  <c r="AW413" i="9"/>
  <c r="AW203" i="10"/>
  <c r="AW93" i="9"/>
  <c r="AW353" i="8"/>
  <c r="E8" i="9"/>
  <c r="AW223" i="8"/>
  <c r="AW114" i="9"/>
  <c r="AW374" i="8"/>
  <c r="AW368" i="10"/>
  <c r="AW393" i="10"/>
  <c r="AW379" i="9"/>
  <c r="AW278" i="8"/>
  <c r="AZ409" i="10"/>
  <c r="AZ253" i="9"/>
  <c r="AZ333" i="9"/>
  <c r="AZ284" i="8"/>
  <c r="AW37" i="10"/>
  <c r="AW173" i="10"/>
  <c r="AW102" i="10"/>
  <c r="AW38" i="9"/>
  <c r="AW373" i="9"/>
  <c r="AW54" i="9"/>
  <c r="AW319" i="10"/>
  <c r="AW423" i="8"/>
  <c r="AZ424" i="8"/>
  <c r="AW158" i="9"/>
  <c r="AZ389" i="10"/>
  <c r="AZ358" i="9"/>
  <c r="AW328" i="10"/>
  <c r="AW102" i="9"/>
  <c r="AW309" i="10"/>
  <c r="AW264" i="10"/>
  <c r="AZ413" i="8"/>
  <c r="AZ124" i="10"/>
  <c r="AZ198" i="10"/>
  <c r="AW98" i="8"/>
  <c r="AZ99" i="9"/>
  <c r="AW419" i="9"/>
  <c r="AW114" i="8"/>
  <c r="AZ388" i="9"/>
  <c r="AW118" i="9"/>
  <c r="AW29" i="10"/>
  <c r="AW318" i="9"/>
  <c r="AW313" i="10"/>
  <c r="AZ168" i="9"/>
  <c r="AW158" i="8"/>
  <c r="AW188" i="8"/>
  <c r="AW244" i="8"/>
  <c r="AW328" i="9"/>
  <c r="AZ224" i="8"/>
  <c r="AW222" i="10"/>
  <c r="AZ133" i="8"/>
  <c r="AZ398" i="9"/>
  <c r="AZ363" i="10"/>
  <c r="AZ69" i="8"/>
  <c r="AW403" i="8"/>
  <c r="AZ304" i="8"/>
  <c r="AZ119" i="10"/>
  <c r="AW108" i="9"/>
  <c r="AZ142" i="9"/>
  <c r="AZ194" i="9"/>
  <c r="AW219" i="8"/>
  <c r="AZ129" i="10"/>
  <c r="AW408" i="10"/>
  <c r="AW74" i="8"/>
  <c r="AZ44" i="9"/>
  <c r="AW214" i="10"/>
  <c r="AW43" i="8"/>
  <c r="AW74" i="9"/>
  <c r="AW163" i="10"/>
  <c r="AW34" i="8"/>
  <c r="AZ73" i="8"/>
  <c r="AZ64" i="8"/>
  <c r="AZ94" i="8"/>
  <c r="AW262" i="10"/>
  <c r="AZ378" i="8"/>
  <c r="AW134" i="10"/>
  <c r="AZ73" i="9"/>
  <c r="AZ113" i="9"/>
  <c r="AZ53" i="9"/>
  <c r="AW218" i="8"/>
  <c r="AW164" i="9"/>
  <c r="AW68" i="10"/>
  <c r="AZ354" i="9"/>
  <c r="AZ383" i="9"/>
  <c r="AW408" i="8"/>
  <c r="AW353" i="10"/>
  <c r="AZ339" i="10"/>
  <c r="AZ163" i="9"/>
  <c r="AZ139" i="9"/>
  <c r="AW379" i="10"/>
  <c r="E8" i="10"/>
  <c r="E10" i="10" s="1"/>
  <c r="AZ179" i="10"/>
  <c r="AZ184" i="8"/>
  <c r="AZ189" i="9"/>
  <c r="AZ419" i="10"/>
  <c r="AZ393" i="9"/>
  <c r="AZ89" i="10"/>
  <c r="AZ264" i="10"/>
  <c r="AZ48" i="9"/>
  <c r="AZ309" i="8"/>
  <c r="AW204" i="9"/>
  <c r="AZ262" i="9"/>
  <c r="AZ318" i="10"/>
  <c r="E18" i="10"/>
  <c r="E25" i="11" s="1"/>
  <c r="AZ334" i="10"/>
  <c r="AZ99" i="8"/>
  <c r="AW143" i="10"/>
  <c r="AZ238" i="10"/>
  <c r="AW33" i="9"/>
  <c r="AW269" i="9"/>
  <c r="AZ103" i="9"/>
  <c r="AZ163" i="8"/>
  <c r="AZ249" i="9"/>
  <c r="AZ222" i="9"/>
  <c r="AZ224" i="9"/>
  <c r="AZ104" i="10"/>
  <c r="AZ188" i="9"/>
  <c r="AZ34" i="9"/>
  <c r="AZ359" i="9"/>
  <c r="AZ408" i="10"/>
  <c r="AZ243" i="9"/>
  <c r="AZ52" i="10"/>
  <c r="AW149" i="10"/>
  <c r="AZ418" i="9"/>
  <c r="AZ369" i="8"/>
  <c r="AZ168" i="10"/>
  <c r="AZ334" i="8"/>
  <c r="AZ344" i="10"/>
  <c r="AW138" i="9"/>
  <c r="AZ84" i="8"/>
  <c r="AZ37" i="9"/>
  <c r="AZ69" i="9"/>
  <c r="AZ259" i="9"/>
  <c r="AZ383" i="8"/>
  <c r="AZ238" i="8"/>
  <c r="AW243" i="8"/>
  <c r="AZ324" i="9"/>
  <c r="AZ83" i="8"/>
  <c r="AZ182" i="9"/>
  <c r="AZ413" i="9"/>
  <c r="AZ203" i="10"/>
  <c r="AZ93" i="9"/>
  <c r="AZ353" i="8"/>
  <c r="E10" i="8" l="1"/>
  <c r="E7" i="11"/>
  <c r="D8" i="11"/>
  <c r="F11" i="8"/>
  <c r="F12" i="9"/>
  <c r="E13" i="10"/>
  <c r="E9" i="11" s="1"/>
  <c r="E13" i="9"/>
  <c r="D11" i="11" s="1"/>
  <c r="D33" i="11"/>
  <c r="D12" i="11"/>
  <c r="F8" i="9"/>
  <c r="E15" i="10"/>
  <c r="F12" i="10"/>
  <c r="E8" i="11"/>
  <c r="C33" i="11"/>
  <c r="C12" i="11"/>
  <c r="F8" i="8"/>
  <c r="E13" i="8"/>
  <c r="E33" i="11"/>
  <c r="E12" i="11"/>
  <c r="F8" i="10"/>
  <c r="E15" i="8"/>
  <c r="F12" i="8"/>
  <c r="C8" i="11"/>
  <c r="E10" i="9"/>
  <c r="F13" i="10" l="1"/>
  <c r="E17" i="10"/>
  <c r="E19" i="11" s="1"/>
  <c r="F17" i="10"/>
  <c r="E14" i="10"/>
  <c r="E13" i="11" s="1"/>
  <c r="E16" i="10"/>
  <c r="E16" i="9"/>
  <c r="E17" i="9"/>
  <c r="D19" i="11" s="1"/>
  <c r="F17" i="9"/>
  <c r="E14" i="9"/>
  <c r="F14" i="9" s="1"/>
  <c r="F13" i="9"/>
  <c r="E11" i="11"/>
  <c r="D9" i="11"/>
  <c r="E16" i="8"/>
  <c r="C9" i="11"/>
  <c r="F13" i="8"/>
  <c r="C11" i="11"/>
  <c r="E17" i="8"/>
  <c r="C19" i="11" s="1"/>
  <c r="F17" i="8"/>
  <c r="F14" i="10"/>
  <c r="E10" i="11"/>
  <c r="E14" i="8"/>
  <c r="D10" i="11" l="1"/>
  <c r="D13" i="11"/>
  <c r="F14" i="8"/>
  <c r="C13" i="11"/>
  <c r="C10" i="11"/>
  <c r="G38" i="2"/>
  <c r="G37" i="2"/>
  <c r="I35" i="2"/>
  <c r="H35" i="2"/>
  <c r="G35" i="2"/>
  <c r="F35" i="2"/>
  <c r="I34" i="2"/>
  <c r="H34" i="2"/>
  <c r="G34" i="2"/>
  <c r="F34" i="2"/>
  <c r="I33" i="2"/>
  <c r="H33" i="2"/>
  <c r="G33" i="2"/>
  <c r="F33" i="2"/>
  <c r="I32" i="2"/>
  <c r="H32" i="2"/>
  <c r="G32" i="2"/>
  <c r="F32" i="2"/>
  <c r="F24" i="2"/>
  <c r="F17" i="2"/>
  <c r="F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ELITEBOOK 840 G5</author>
  </authors>
  <commentList>
    <comment ref="F10" authorId="0" shapeId="0" xr:uid="{D53512C2-1D03-40D8-859D-49D29D57EDB1}">
      <text>
        <r>
          <rPr>
            <b/>
            <sz val="9"/>
            <color indexed="81"/>
            <rFont val="Tahoma"/>
            <family val="2"/>
          </rPr>
          <t>ELITEBOOK 840 G5:</t>
        </r>
        <r>
          <rPr>
            <sz val="9"/>
            <color indexed="81"/>
            <rFont val="Tahoma"/>
            <family val="2"/>
          </rPr>
          <t xml:space="preserve">
This is the base case/ current assumption.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<sst xmlns="http://schemas.openxmlformats.org/spreadsheetml/2006/main" count="3054" uniqueCount="364">
  <si>
    <t>ABG Dormitory Insurance — Pricing, Dislocation &amp; Business Plan</t>
  </si>
  <si>
    <t>WHAT THIS IS</t>
  </si>
  <si>
    <t>A working rating and business-plan model. Change any assumption and every table, premium, dislocation figure and pro forma line recalculates.</t>
  </si>
  <si>
    <t>TAB GUIDE</t>
  </si>
  <si>
    <t>Assumptions</t>
  </si>
  <si>
    <t>ModelOutput</t>
  </si>
  <si>
    <t>GLM output: base loss costs by tier, and the rating factors. Blue = pasted from Python.</t>
  </si>
  <si>
    <t>RateBuildup</t>
  </si>
  <si>
    <t>Loss cost -&gt; premium: trend, claims handling, expenses, profit, policy fee.</t>
  </si>
  <si>
    <t>QuoteCalc</t>
  </si>
  <si>
    <t>Pick a student from the dropdowns and watch the premium build up coverage by coverage.</t>
  </si>
  <si>
    <t>Segments</t>
  </si>
  <si>
    <t>The engine. All 400 segments, each with its factors, loss cost and indicated premium.</t>
  </si>
  <si>
    <t>Dislocation</t>
  </si>
  <si>
    <t>Who pays more, who pays less, and what capping the change costs.</t>
  </si>
  <si>
    <t>ProFormaA/B/C</t>
  </si>
  <si>
    <t>Three-year business plan under each strategy. A = keep flat rate, B = new plan with +/-25% caps, C = new plan capping increases only.</t>
  </si>
  <si>
    <t>PlanCompare</t>
  </si>
  <si>
    <t>COLOR LEGEND</t>
  </si>
  <si>
    <t>Blue text</t>
  </si>
  <si>
    <t>Hardcoded input or model output. Safe to change only if you know the source.</t>
  </si>
  <si>
    <t>Black text</t>
  </si>
  <si>
    <t>Formula. Do not overwrite.</t>
  </si>
  <si>
    <t>Green text</t>
  </si>
  <si>
    <t>Link to another tab.</t>
  </si>
  <si>
    <t>Yellow fill</t>
  </si>
  <si>
    <t>1. Exposure is ONE policy-year per student. Verified: class and GPA are single-valued per student, and the data has no time dimension.</t>
  </si>
  <si>
    <t>4. The indicated premium is far above typical renters insurance (~$150-270/yr) because ABG's product is much richer ($150k guest medical vs $1-5k market) and dorm frequency runs high.</t>
  </si>
  <si>
    <t>Yellow cells are inputs. White cells with black text are derived — do not overwrite.</t>
  </si>
  <si>
    <t>PRICING</t>
  </si>
  <si>
    <t>Annual loss-cost trend</t>
  </si>
  <si>
    <t>Placeholder. Source needed (e.g. CPI medical + electronics).</t>
  </si>
  <si>
    <t>Years: experience mid -&gt; policy mid</t>
  </si>
  <si>
    <t>Experience period midpoint to first policy year midpoint.</t>
  </si>
  <si>
    <t>Loss adjustment expense (% of loss)</t>
  </si>
  <si>
    <t>Claims handling. TX filing gives loss+LAE combined only.</t>
  </si>
  <si>
    <t>Premium tax (% of premium)</t>
  </si>
  <si>
    <t>Allstate TX REN filing, Attachment I Exhibit 2: 1.8%.</t>
  </si>
  <si>
    <t>Other variable expense (% of premium)</t>
  </si>
  <si>
    <t>TX filing: licenses/fees 0.2% + other acq 4.7% + general 4.2%.</t>
  </si>
  <si>
    <t>Commission — new business</t>
  </si>
  <si>
    <t>TX filing Exhibit 2 gives 11.5% blended; NB/RN split is assumed.</t>
  </si>
  <si>
    <t>Commission — renewal</t>
  </si>
  <si>
    <t>Assumed lower than new business.</t>
  </si>
  <si>
    <t>Underwriting profit &amp; contingency</t>
  </si>
  <si>
    <t>TX filing Attachment II p.9 step (15): 7.7%.</t>
  </si>
  <si>
    <t>Fixed expense ($ per policy-year)</t>
  </si>
  <si>
    <t>Overhead / policy admin. Placeholder — filing is % based.</t>
  </si>
  <si>
    <t>Acquisition cost ($ per NEW policy)</t>
  </si>
  <si>
    <t>One-time marketing cost. Placeholder.</t>
  </si>
  <si>
    <t>Expected new-business share of book</t>
  </si>
  <si>
    <t>Used to blend commission and fixed cost into the filed rate.</t>
  </si>
  <si>
    <t>DERIVED — do not edit</t>
  </si>
  <si>
    <t>Variable expense V</t>
  </si>
  <si>
    <t>Tax + other + blended commission.</t>
  </si>
  <si>
    <t>Permissible loss ratio (1 - V - Q)</t>
  </si>
  <si>
    <t>Share of premium available for loss + LAE.</t>
  </si>
  <si>
    <t>Trend factor</t>
  </si>
  <si>
    <t>Brings experience losses to the policy period.</t>
  </si>
  <si>
    <t>Loss cost -&gt; premium multiplier</t>
  </si>
  <si>
    <t>Trend x (1+LAE) / permissible.</t>
  </si>
  <si>
    <t>Blended fixed cost per policy</t>
  </si>
  <si>
    <t>Fixed + expected share of acquisition.</t>
  </si>
  <si>
    <t>Policy fee (flat, per policy)</t>
  </si>
  <si>
    <t>TRANSITION</t>
  </si>
  <si>
    <t>Max renewal increase per year</t>
  </si>
  <si>
    <t>Max renewal decrease per year</t>
  </si>
  <si>
    <t>Today's flat premium (per student-year)</t>
  </si>
  <si>
    <t>MARKET &amp; RETENTION</t>
  </si>
  <si>
    <t>Base renewal rate at market price</t>
  </si>
  <si>
    <t>Base quote-to-bind rate at market</t>
  </si>
  <si>
    <t>Retention drop per +100% vs market</t>
  </si>
  <si>
    <t>Extra retention drop per +100% increase</t>
  </si>
  <si>
    <t>Rate-shock effect, on top of price-vs-market.</t>
  </si>
  <si>
    <t>How risk-based competitors are</t>
  </si>
  <si>
    <t>0 = competitors charge flat like ABG today; 1 = fully risk-based.</t>
  </si>
  <si>
    <t>Applicants per year</t>
  </si>
  <si>
    <t>Grad students still enrolled next year</t>
  </si>
  <si>
    <t>Retention floor</t>
  </si>
  <si>
    <t>Retention ceiling</t>
  </si>
  <si>
    <t>Conversion floor</t>
  </si>
  <si>
    <t>Conversion ceiling</t>
  </si>
  <si>
    <t>Model Output — from the M5 frequency x severity GLM</t>
  </si>
  <si>
    <t>BLUE = pasted from Python. To change these, refit the model in the notebook and repaste.</t>
  </si>
  <si>
    <t>Model: Poisson frequency x Gamma severity, GM/Liability capped at $50k per claim, rebalanced and loaded back to uncapped. Fit on all 10,000 students.</t>
  </si>
  <si>
    <t>BASE LOSS COST BY TIER AND COVERAGE ($ per policy-year)</t>
  </si>
  <si>
    <t>Base risk profile:</t>
  </si>
  <si>
    <t>Freshman / Junior / Senior (tier base class), Non-greek, on campus, sprinklered, GPA 2.0-3.0</t>
  </si>
  <si>
    <t>Tier</t>
  </si>
  <si>
    <t>Base class</t>
  </si>
  <si>
    <t>Personal Property</t>
  </si>
  <si>
    <t>Additional Living Expense</t>
  </si>
  <si>
    <t>Guest Medical</t>
  </si>
  <si>
    <t>Liability</t>
  </si>
  <si>
    <t>Tier 1</t>
  </si>
  <si>
    <t>Freshman</t>
  </si>
  <si>
    <t>Tier 2</t>
  </si>
  <si>
    <t>Junior</t>
  </si>
  <si>
    <t>Tier 3</t>
  </si>
  <si>
    <t>Senior</t>
  </si>
  <si>
    <t>RATING FACTORS (multiplicative, versus the base level within each coverage)</t>
  </si>
  <si>
    <t>Variable</t>
  </si>
  <si>
    <t>Level</t>
  </si>
  <si>
    <t>Base level (factor = 1.00)</t>
  </si>
  <si>
    <t>class_adj</t>
  </si>
  <si>
    <t>Sophomore</t>
  </si>
  <si>
    <t>Base (Freshman/Junior/Senior)</t>
  </si>
  <si>
    <t>Grad</t>
  </si>
  <si>
    <t>greek</t>
  </si>
  <si>
    <t>Greek</t>
  </si>
  <si>
    <t>Non-greek</t>
  </si>
  <si>
    <t>dist_band</t>
  </si>
  <si>
    <t>Off 0-1mi</t>
  </si>
  <si>
    <t>On campus</t>
  </si>
  <si>
    <t>Off 1-3mi</t>
  </si>
  <si>
    <t>Off 3-6mi</t>
  </si>
  <si>
    <t>Off 6+mi</t>
  </si>
  <si>
    <t>spr</t>
  </si>
  <si>
    <t>No</t>
  </si>
  <si>
    <t>Yes (sprinklered)</t>
  </si>
  <si>
    <t>gpa_band</t>
  </si>
  <si>
    <t>&lt;1.0</t>
  </si>
  <si>
    <t>2.0-3.0</t>
  </si>
  <si>
    <t>1.0-2.0</t>
  </si>
  <si>
    <t>3.0+</t>
  </si>
  <si>
    <t>Rate Build-up — from loss cost to filed premium</t>
  </si>
  <si>
    <t>Premium = (loss cost x trend x (1+LAE)) / (1 - V - Q)  +  policy fee</t>
  </si>
  <si>
    <t>STEP 1 — EXPENSE AND PROFIT PROVISIONS</t>
  </si>
  <si>
    <t>Premium tax</t>
  </si>
  <si>
    <t>% of premium</t>
  </si>
  <si>
    <t>Other variable expense</t>
  </si>
  <si>
    <t>Licenses, other acquisition, general expense</t>
  </si>
  <si>
    <t>Commission (blended NB/RN)</t>
  </si>
  <si>
    <t>Total variable expense V</t>
  </si>
  <si>
    <t>Sum of the three above</t>
  </si>
  <si>
    <t>Underwriting profit &amp; contingency Q</t>
  </si>
  <si>
    <t>Target return</t>
  </si>
  <si>
    <t>Share of premium left for loss + LAE</t>
  </si>
  <si>
    <t>STEP 2 — LOSS LOADINGS</t>
  </si>
  <si>
    <t>(1 + annual trend) ^ years</t>
  </si>
  <si>
    <t>Loss adjustment expense</t>
  </si>
  <si>
    <t>% of loss</t>
  </si>
  <si>
    <t>Trend x (1+LAE) / permissible</t>
  </si>
  <si>
    <t>Policy fee</t>
  </si>
  <si>
    <t>Fixed expense / permissible — flat per policy</t>
  </si>
  <si>
    <t>STEP 3 — GROSS BASE RATES BY TIER AND COVERAGE ($ per policy-year)</t>
  </si>
  <si>
    <t>Base policy total</t>
  </si>
  <si>
    <t>Quote Calculator — price a single student</t>
  </si>
  <si>
    <t>STUDENT PROFILE</t>
  </si>
  <si>
    <t>Class</t>
  </si>
  <si>
    <t>Greek status</t>
  </si>
  <si>
    <t>Distance band</t>
  </si>
  <si>
    <t>Sprinklered</t>
  </si>
  <si>
    <t>GPA band</t>
  </si>
  <si>
    <t>Tier (derived from class)</t>
  </si>
  <si>
    <t>Class adjustment</t>
  </si>
  <si>
    <t>PREMIUM BUILD-UP BY COVERAGE</t>
  </si>
  <si>
    <t>Step</t>
  </si>
  <si>
    <t>Source</t>
  </si>
  <si>
    <t>Total</t>
  </si>
  <si>
    <t>Base loss cost (tier)</t>
  </si>
  <si>
    <t>x Class factor</t>
  </si>
  <si>
    <t>x Greek factor</t>
  </si>
  <si>
    <t>x Distance factor</t>
  </si>
  <si>
    <t>x Sprinkler factor</t>
  </si>
  <si>
    <t>x GPA factor</t>
  </si>
  <si>
    <t>Expected loss cost</t>
  </si>
  <si>
    <t>product of the above</t>
  </si>
  <si>
    <t>x Trend / LAE / expense / profit</t>
  </si>
  <si>
    <t>Coverage premium</t>
  </si>
  <si>
    <t>+ Policy fee</t>
  </si>
  <si>
    <t>TOTAL ANNUAL PREMIUM</t>
  </si>
  <si>
    <t>COMPARISON TO TODAY</t>
  </si>
  <si>
    <t>Today's flat premium</t>
  </si>
  <si>
    <t>Same for every student under the current plan</t>
  </si>
  <si>
    <t>Change vs today</t>
  </si>
  <si>
    <t>Positive = this student is underpriced today</t>
  </si>
  <si>
    <t>Year-1 premium if capped</t>
  </si>
  <si>
    <t>Years to reach indicated</t>
  </si>
  <si>
    <t>Segment Engine — all 400 rating cells</t>
  </si>
  <si>
    <t>Weighted avg indicated premium</t>
  </si>
  <si>
    <t>Every student belongs to exactly one row. 375 of the 400 combinations occur in the book. Premium here reproduces the Python model exactly — see the check at AG1.</t>
  </si>
  <si>
    <t>Total students</t>
  </si>
  <si>
    <t>Weighted avg loss cost</t>
  </si>
  <si>
    <t>Class adj</t>
  </si>
  <si>
    <t>Students</t>
  </si>
  <si>
    <t>F class</t>
  </si>
  <si>
    <t>F Greek</t>
  </si>
  <si>
    <t>F sprinkler</t>
  </si>
  <si>
    <t>F GPA</t>
  </si>
  <si>
    <t>F dist PP</t>
  </si>
  <si>
    <t>F dist ALE</t>
  </si>
  <si>
    <t>F dist GM</t>
  </si>
  <si>
    <t>F dist LIAB</t>
  </si>
  <si>
    <t>Base PP</t>
  </si>
  <si>
    <t>Base ALE</t>
  </si>
  <si>
    <t>Base GM</t>
  </si>
  <si>
    <t>Base LIAB</t>
  </si>
  <si>
    <t>Loss cost PP</t>
  </si>
  <si>
    <t>Loss cost ALE</t>
  </si>
  <si>
    <t>Loss cost GM</t>
  </si>
  <si>
    <t>Loss cost LIAB</t>
  </si>
  <si>
    <t>Loss cost total</t>
  </si>
  <si>
    <t>Indicated premium</t>
  </si>
  <si>
    <t>Change vs flat</t>
  </si>
  <si>
    <t>Capped premium</t>
  </si>
  <si>
    <t>Years to indicated</t>
  </si>
  <si>
    <t>Model loss cost (Python)</t>
  </si>
  <si>
    <t>Check diff</t>
  </si>
  <si>
    <t>CHECK: max |Excel - Python| loss cost</t>
  </si>
  <si>
    <t>Yes</t>
  </si>
  <si>
    <t>Base</t>
  </si>
  <si>
    <t>Years left in school (helper for capping)</t>
  </si>
  <si>
    <t>Grad student</t>
  </si>
  <si>
    <t>Dislocation &amp; Capping</t>
  </si>
  <si>
    <t>How far each student moves off today's flat premium, and what capping that move costs.</t>
  </si>
  <si>
    <t>PREMIUM CHANGE DISTRIBUTION</t>
  </si>
  <si>
    <t>Share of book</t>
  </si>
  <si>
    <t>Avg new premium</t>
  </si>
  <si>
    <t>Premium $</t>
  </si>
  <si>
    <t>Decrease &gt; 50%</t>
  </si>
  <si>
    <t>Decrease 25-50%</t>
  </si>
  <si>
    <t>Decrease 10-25%</t>
  </si>
  <si>
    <t>Within +/-10%</t>
  </si>
  <si>
    <t>Increase 10-25%</t>
  </si>
  <si>
    <t>Increase 25-50%</t>
  </si>
  <si>
    <t>Increase 50-100%</t>
  </si>
  <si>
    <t>Increase &gt; 100%</t>
  </si>
  <si>
    <t>TOTAL</t>
  </si>
  <si>
    <t>WHO MOVES — BY GREEK STATUS AND LOCATION</t>
  </si>
  <si>
    <t>Segment</t>
  </si>
  <si>
    <t>Avg change</t>
  </si>
  <si>
    <t>Greek / Off campus</t>
  </si>
  <si>
    <t>Greek / On campus</t>
  </si>
  <si>
    <t>Non-greek / Off campus</t>
  </si>
  <si>
    <t>Non-greek / On campus</t>
  </si>
  <si>
    <t>CAPPING THE TRANSITION</t>
  </si>
  <si>
    <t>Indicated premium, year 1 (total)</t>
  </si>
  <si>
    <t>If everyone moved straight to the indicated rate</t>
  </si>
  <si>
    <t>Capped premium, year 1 (total)</t>
  </si>
  <si>
    <t>With the +/-25% cap applied</t>
  </si>
  <si>
    <t>Capping off-balance</t>
  </si>
  <si>
    <t>Premium given up in year 1 by capping</t>
  </si>
  <si>
    <t>Students capped on the way up</t>
  </si>
  <si>
    <t>Students capped on the way down</t>
  </si>
  <si>
    <t>Students reaching indicated before graduating</t>
  </si>
  <si>
    <t>Students graduating before they get there</t>
  </si>
  <si>
    <t>Pro Forma — Plan A. Keep the flat rate</t>
  </si>
  <si>
    <t>Three-year projection. Students age a class each year, seniors graduate out, and retention responds to how our price compares with the competition.</t>
  </si>
  <si>
    <t>PROJECTED UNDERWRITING RESULT</t>
  </si>
  <si>
    <t>Line</t>
  </si>
  <si>
    <t>Year 1</t>
  </si>
  <si>
    <t>Year 2</t>
  </si>
  <si>
    <t>Year 3</t>
  </si>
  <si>
    <t>3-year total</t>
  </si>
  <si>
    <t>Policies in force</t>
  </si>
  <si>
    <t xml:space="preserve">   of which new business</t>
  </si>
  <si>
    <t>Average premium</t>
  </si>
  <si>
    <t>Written premium</t>
  </si>
  <si>
    <t>Expected loss + LAE</t>
  </si>
  <si>
    <t>Expenses</t>
  </si>
  <si>
    <t>Underwriting profit</t>
  </si>
  <si>
    <t>Loss ratio</t>
  </si>
  <si>
    <t>Expense ratio</t>
  </si>
  <si>
    <t>High-risk share of book</t>
  </si>
  <si>
    <t>Combined ratio below 100% means the plan is profitable before investment income.</t>
  </si>
  <si>
    <t>YEAR 1</t>
  </si>
  <si>
    <t>YEAR 2</t>
  </si>
  <si>
    <t>YEAR 3</t>
  </si>
  <si>
    <t>Students (year 0)</t>
  </si>
  <si>
    <t>Loss cost (base)</t>
  </si>
  <si>
    <t>Offset</t>
  </si>
  <si>
    <t>Prev premium</t>
  </si>
  <si>
    <t>Loss cost (trended)</t>
  </si>
  <si>
    <t>Market price</t>
  </si>
  <si>
    <t>Charged — renewal</t>
  </si>
  <si>
    <t>Retention</t>
  </si>
  <si>
    <t>Conversion</t>
  </si>
  <si>
    <t>Renewal policies</t>
  </si>
  <si>
    <t>New policies</t>
  </si>
  <si>
    <t>Total policies</t>
  </si>
  <si>
    <t>Avg charged</t>
  </si>
  <si>
    <t>Loss + LAE</t>
  </si>
  <si>
    <t>Pro Forma — Plan B. New plan, +/-25% caps</t>
  </si>
  <si>
    <t>Pro Forma — Plan C. New plan, cap increases only</t>
  </si>
  <si>
    <t>Plan Comparison — the CEO slide</t>
  </si>
  <si>
    <t>All three strategies on the same assumptions. Change anything on Assumptions and this updates.</t>
  </si>
  <si>
    <t>THREE-YEAR TOTALS</t>
  </si>
  <si>
    <t>Measure</t>
  </si>
  <si>
    <t>A. Keep flat rate</t>
  </si>
  <si>
    <t>B. New plan, +/-25% caps</t>
  </si>
  <si>
    <t>C. New plan, cap increases only</t>
  </si>
  <si>
    <t>What it means</t>
  </si>
  <si>
    <t>Total premium over three years</t>
  </si>
  <si>
    <t>Claims plus claims handling</t>
  </si>
  <si>
    <t>Commission, tax, overhead, acquisition</t>
  </si>
  <si>
    <t>Premium less losses and expenses</t>
  </si>
  <si>
    <t>Below 100% = profitable</t>
  </si>
  <si>
    <t>Total policies across the three years</t>
  </si>
  <si>
    <t>Underwriting profit per policy</t>
  </si>
  <si>
    <t>Year</t>
  </si>
  <si>
    <t>HIGH-RISK SHARE OF THE BOOK (adverse selection)</t>
  </si>
  <si>
    <t>POLICIES IN FORCE</t>
  </si>
  <si>
    <t>The three plans side by side.</t>
  </si>
  <si>
    <t>Key assumptions: Edittable Cells</t>
  </si>
  <si>
    <t>KEY ASSUMPTIONS</t>
  </si>
  <si>
    <t>2. Today's flat premium (CURRENT_FLAT) is NOT given in the case. It defaults to the new plan's own average, which makes the rollout revenue-neutral.</t>
  </si>
  <si>
    <t>3. All expense, trend and market figures are cited values</t>
  </si>
  <si>
    <t>Capped rate on the way up.</t>
  </si>
  <si>
    <t>Capped rate on the way down.</t>
  </si>
  <si>
    <t>NOT GIVEN IN THE CASE. Defaults to the indicated average (revenue-neutral).</t>
  </si>
  <si>
    <t>Gross multiplier</t>
  </si>
  <si>
    <t>Fixed Expense/Permissible loss ratio</t>
  </si>
  <si>
    <t>RateBuildup (Assumptions)</t>
  </si>
  <si>
    <t>Years left to graduate</t>
  </si>
  <si>
    <t>Today's flat premium is not given in the case. We use the average indicated.</t>
  </si>
  <si>
    <t>Policies written</t>
  </si>
  <si>
    <t>Profit per policy</t>
  </si>
  <si>
    <t>PRO FORMA TABS — HOW THE COLUMNS WORK</t>
  </si>
  <si>
    <t>The three ProForma tabs are identical except for one column (Charged — renewal). Each projects the book forward three years at segment level.</t>
  </si>
  <si>
    <t>Columns A-J</t>
  </si>
  <si>
    <t>YEAR BLOCK — 14 COLUMNS, IN CALCULATION ORDER</t>
  </si>
  <si>
    <t>The ageing engine. Offset 0 (Freshman): zero, nobody ages into Freshman. Offsets 1-3: the row above, i.e. the class below them last year. Offset 4 (Grad): itself, x GRAD_CONTINUE. Seniors never appear as a source — that is how graduation is modelled. Retention is applied after ageing, so it reflects the price at the new class and tier.</t>
  </si>
  <si>
    <t>The applicant funnel mirrors the current book's segment mix (segment students / 10,000), scaled to APPLICANTS_PER_YEAR, times conversion. New business enters at its own class, not aged.</t>
  </si>
  <si>
    <t>Renewals + new business.</t>
  </si>
  <si>
    <t>Policy-weighted blend of what renewals and new business actually paid. This becomes next year's prior premium.</t>
  </si>
  <si>
    <t>Renewals at the capped rate + new business at the indicated rate.</t>
  </si>
  <si>
    <t>Total policies x trended loss cost x (1 + LAE). Renewal and new policies carry the same expected loss — the price differs, the risk does not.</t>
  </si>
  <si>
    <t>Four terms: renewals x charged x (tax + other + renewal commission), plus new x indicated x (tax + other + NB commission), plus all policies x fixed expense, plus new x acquisition cost. New business is dearer on both counts — this is the new-vs-renewal cost difference the case asks about.</t>
  </si>
  <si>
    <t>YEARS 2 AND 3</t>
  </si>
  <si>
    <t>What changes</t>
  </si>
  <si>
    <t>Only two columns change shape. Prev premium pulls last year's Avg charged from the source row instead of CURRENT_FLAT. Renewal policies draws on last year's Total policies instead of the year-0 student count — this is what compounds the book forward and lets Year 1 new business become Year 2 renewals. Everything else differs only by the trend exponent.</t>
  </si>
  <si>
    <t>SUMMARY BLOCK (rows 8-18)</t>
  </si>
  <si>
    <t>How it is built</t>
  </si>
  <si>
    <t>High-risk share</t>
  </si>
  <si>
    <t>Share of policies whose expected loss is more than twice the book average. Under the flat plan this climbs every year — low-risk students leave for a cheaper competitor, high-risk students stay. That is adverse selection, and it is the case against doing nothing.</t>
  </si>
  <si>
    <t>Segment keys, tier, class adjustment, year-0 student count, and base loss cost all linked from Segments. Column J is the offset 0-4 within the group; every ageing formula switches on it.</t>
  </si>
  <si>
    <t>What this cohort paid last year. Year 1 = CURRENT_FLAT. Freshmen have no renewals, so theirs is set to the indicated premium.</t>
  </si>
  <si>
    <t>Base loss cost inflated to the projection year at LOSS_TREND.</t>
  </si>
  <si>
    <t>Loss cost x GROSS_MULT + POLICY_FEE.</t>
  </si>
  <si>
    <t>What a competitor would charge: a blend of our indicated premium and a flat price, weighted by MARKET_RISK_WEIGHT.</t>
  </si>
  <si>
    <t>The renewal premium for this year</t>
  </si>
  <si>
    <t>Base renewal rate, less a penalty for pricing above market, less a rate-shock penalty for a large increase. Clamped between RET_FLOOR and RET_CEIL.</t>
  </si>
  <si>
    <t>Same shape for new business, but only the market term. A new applicant has no prior premium, so no rate shock applies.</t>
  </si>
  <si>
    <t>Each line is a SUM down the matching column for that year. Loss ratio, expense ratio and Combined ratio are then derived from those sums. Combined ratio below 100% means the plan is profitable before investment income.</t>
  </si>
  <si>
    <t>Combined ratio</t>
  </si>
  <si>
    <t>YEAR-BY-YEAR Combined ratio</t>
  </si>
  <si>
    <t>MARKET SENSITIVITY: 3-year underwriting profit</t>
  </si>
  <si>
    <t>Competitors flat</t>
  </si>
  <si>
    <t>Half risk-based</t>
  </si>
  <si>
    <t>Fully risk-based</t>
  </si>
  <si>
    <t>NEW PLAN (B) MINUS FLAT RATE (A)</t>
  </si>
  <si>
    <t>Price sensitivity</t>
  </si>
  <si>
    <t>New plan (B) profitable in</t>
  </si>
  <si>
    <t>Flat rate (A) profitable in</t>
  </si>
  <si>
    <t>Price elasticity.</t>
  </si>
  <si>
    <t>New-business applicants</t>
  </si>
  <si>
    <t>Probability of grads being enrolled</t>
  </si>
  <si>
    <t>Every lever. Yellow cells are the ones to edit. It also contains market sensitivity analsyis for the 3 plans with varying price elasticity and competitor behaviour.</t>
  </si>
  <si>
    <t>Plan C profitable in</t>
  </si>
  <si>
    <t>Notes: Based on existing assumptions, policyholders are insensitive to price plan A dominates. When competitors charge flat premiums for all policyholders plan A also dominates.</t>
  </si>
  <si>
    <t>These are the rates for the BASE risk in each tier. The factors from the ModelOutput tab then move an individual student up or down</t>
  </si>
  <si>
    <t>Weighted by the expected new book share</t>
  </si>
  <si>
    <t xml:space="preserve">Share of policies whose expected loss is more than twice the book average.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</si>
</sst>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;\(0.0%\);\-"/>
    <numFmt numFmtId="165" formatCode="0.0"/>
    <numFmt numFmtId="166" formatCode="0.00%;\(0.00%\);\-"/>
    <numFmt numFmtId="167" formatCode="\$#,##0.00;&quot;($&quot;#,##0.00\);\-"/>
    <numFmt numFmtId="168" formatCode="0.0000"/>
    <numFmt numFmtId="169" formatCode="#,##0;\(#,##0\);\-"/>
    <numFmt numFmtId="170" formatCode="0.00000000"/>
    <numFmt numFmtId="171" formatCode="\$#,##0;&quot;($&quot;#,##0\);\-"/>
    <numFmt numFmtId="172" formatCode="#,##0.0;\(#,##0.0\);\-"/>
  </numFmts>
  <fonts count="22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1F4E79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2"/>
      <color rgb="FF1F4E79"/>
      <name val="Arial"/>
      <charset val="1"/>
    </font>
    <font>
      <b/>
      <sz val="12"/>
      <name val="Arial"/>
      <charset val="1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5" tint="-0.24997711111789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theme="6" tint="0.59999389629810485"/>
        <bgColor rgb="FF00336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2EFDA"/>
      </patternFill>
    </fill>
    <fill>
      <patternFill patternType="solid">
        <fgColor theme="5" tint="0.59999389629810485"/>
        <bgColor rgb="FF00336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0" xfId="0" applyFont="1" applyFill="1"/>
    <xf numFmtId="0" fontId="0" fillId="2" borderId="0" xfId="0" applyFill="1"/>
    <xf numFmtId="164" fontId="7" fillId="3" borderId="1" xfId="0" applyNumberFormat="1" applyFont="1" applyFill="1" applyBorder="1"/>
    <xf numFmtId="165" fontId="7" fillId="3" borderId="1" xfId="0" applyNumberFormat="1" applyFont="1" applyFill="1" applyBorder="1"/>
    <xf numFmtId="166" fontId="7" fillId="3" borderId="1" xfId="0" applyNumberFormat="1" applyFont="1" applyFill="1" applyBorder="1"/>
    <xf numFmtId="167" fontId="7" fillId="3" borderId="1" xfId="0" applyNumberFormat="1" applyFont="1" applyFill="1" applyBorder="1"/>
    <xf numFmtId="166" fontId="4" fillId="0" borderId="1" xfId="0" applyNumberFormat="1" applyFont="1" applyBorder="1"/>
    <xf numFmtId="168" fontId="4" fillId="0" borderId="1" xfId="0" applyNumberFormat="1" applyFont="1" applyBorder="1"/>
    <xf numFmtId="167" fontId="4" fillId="0" borderId="1" xfId="0" applyNumberFormat="1" applyFont="1" applyBorder="1"/>
    <xf numFmtId="167" fontId="8" fillId="3" borderId="1" xfId="0" applyNumberFormat="1" applyFont="1" applyFill="1" applyBorder="1"/>
    <xf numFmtId="169" fontId="7" fillId="3" borderId="1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7" fontId="7" fillId="0" borderId="1" xfId="0" applyNumberFormat="1" applyFont="1" applyBorder="1"/>
    <xf numFmtId="168" fontId="7" fillId="0" borderId="1" xfId="0" applyNumberFormat="1" applyFont="1" applyBorder="1"/>
    <xf numFmtId="0" fontId="2" fillId="0" borderId="1" xfId="0" applyFont="1" applyBorder="1"/>
    <xf numFmtId="0" fontId="4" fillId="0" borderId="0" xfId="0" applyFont="1"/>
    <xf numFmtId="166" fontId="8" fillId="0" borderId="1" xfId="0" applyNumberFormat="1" applyFont="1" applyBorder="1"/>
    <xf numFmtId="168" fontId="8" fillId="0" borderId="1" xfId="0" applyNumberFormat="1" applyFont="1" applyBorder="1"/>
    <xf numFmtId="167" fontId="8" fillId="0" borderId="1" xfId="0" applyNumberFormat="1" applyFont="1" applyBorder="1"/>
    <xf numFmtId="167" fontId="3" fillId="0" borderId="1" xfId="0" applyNumberFormat="1" applyFont="1" applyBorder="1"/>
    <xf numFmtId="0" fontId="7" fillId="3" borderId="1" xfId="0" applyFont="1" applyFill="1" applyBorder="1"/>
    <xf numFmtId="1" fontId="4" fillId="0" borderId="1" xfId="0" applyNumberFormat="1" applyFont="1" applyBorder="1"/>
    <xf numFmtId="167" fontId="3" fillId="4" borderId="1" xfId="0" applyNumberFormat="1" applyFont="1" applyFill="1" applyBorder="1"/>
    <xf numFmtId="0" fontId="9" fillId="0" borderId="0" xfId="0" applyFont="1"/>
    <xf numFmtId="167" fontId="10" fillId="3" borderId="1" xfId="0" applyNumberFormat="1" applyFont="1" applyFill="1" applyBorder="1"/>
    <xf numFmtId="164" fontId="4" fillId="0" borderId="1" xfId="0" applyNumberFormat="1" applyFont="1" applyBorder="1"/>
    <xf numFmtId="167" fontId="3" fillId="3" borderId="1" xfId="0" applyNumberFormat="1" applyFont="1" applyFill="1" applyBorder="1"/>
    <xf numFmtId="169" fontId="4" fillId="0" borderId="1" xfId="0" applyNumberFormat="1" applyFont="1" applyBorder="1"/>
    <xf numFmtId="170" fontId="4" fillId="0" borderId="1" xfId="0" applyNumberFormat="1" applyFont="1" applyBorder="1"/>
    <xf numFmtId="0" fontId="4" fillId="4" borderId="1" xfId="0" applyFont="1" applyFill="1" applyBorder="1"/>
    <xf numFmtId="169" fontId="7" fillId="4" borderId="1" xfId="0" applyNumberFormat="1" applyFont="1" applyFill="1" applyBorder="1"/>
    <xf numFmtId="168" fontId="4" fillId="4" borderId="1" xfId="0" applyNumberFormat="1" applyFont="1" applyFill="1" applyBorder="1"/>
    <xf numFmtId="167" fontId="4" fillId="4" borderId="1" xfId="0" applyNumberFormat="1" applyFont="1" applyFill="1" applyBorder="1"/>
    <xf numFmtId="164" fontId="4" fillId="4" borderId="1" xfId="0" applyNumberFormat="1" applyFont="1" applyFill="1" applyBorder="1"/>
    <xf numFmtId="1" fontId="4" fillId="4" borderId="1" xfId="0" applyNumberFormat="1" applyFont="1" applyFill="1" applyBorder="1"/>
    <xf numFmtId="167" fontId="7" fillId="4" borderId="1" xfId="0" applyNumberFormat="1" applyFont="1" applyFill="1" applyBorder="1"/>
    <xf numFmtId="171" fontId="4" fillId="0" borderId="1" xfId="0" applyNumberFormat="1" applyFont="1" applyBorder="1"/>
    <xf numFmtId="0" fontId="3" fillId="4" borderId="1" xfId="0" applyFont="1" applyFill="1" applyBorder="1"/>
    <xf numFmtId="169" fontId="3" fillId="4" borderId="1" xfId="0" applyNumberFormat="1" applyFont="1" applyFill="1" applyBorder="1"/>
    <xf numFmtId="164" fontId="3" fillId="4" borderId="1" xfId="0" applyNumberFormat="1" applyFont="1" applyFill="1" applyBorder="1"/>
    <xf numFmtId="171" fontId="3" fillId="4" borderId="1" xfId="0" applyNumberFormat="1" applyFont="1" applyFill="1" applyBorder="1"/>
    <xf numFmtId="171" fontId="4" fillId="3" borderId="1" xfId="0" applyNumberFormat="1" applyFont="1" applyFill="1" applyBorder="1"/>
    <xf numFmtId="164" fontId="4" fillId="3" borderId="1" xfId="0" applyNumberFormat="1" applyFont="1" applyFill="1" applyBorder="1"/>
    <xf numFmtId="172" fontId="4" fillId="0" borderId="1" xfId="0" applyNumberFormat="1" applyFont="1" applyBorder="1"/>
    <xf numFmtId="172" fontId="3" fillId="0" borderId="1" xfId="0" applyNumberFormat="1" applyFont="1" applyBorder="1"/>
    <xf numFmtId="171" fontId="3" fillId="0" borderId="1" xfId="0" applyNumberFormat="1" applyFont="1" applyBorder="1"/>
    <xf numFmtId="171" fontId="4" fillId="5" borderId="1" xfId="0" applyNumberFormat="1" applyFont="1" applyFill="1" applyBorder="1"/>
    <xf numFmtId="171" fontId="3" fillId="5" borderId="1" xfId="0" applyNumberFormat="1" applyFont="1" applyFill="1" applyBorder="1"/>
    <xf numFmtId="164" fontId="4" fillId="5" borderId="1" xfId="0" applyNumberFormat="1" applyFont="1" applyFill="1" applyBorder="1"/>
    <xf numFmtId="164" fontId="3" fillId="5" borderId="1" xfId="0" applyNumberFormat="1" applyFont="1" applyFill="1" applyBorder="1"/>
    <xf numFmtId="0" fontId="6" fillId="2" borderId="0" xfId="0" applyFont="1" applyFill="1" applyAlignment="1">
      <alignment horizontal="center"/>
    </xf>
    <xf numFmtId="0" fontId="8" fillId="0" borderId="1" xfId="0" applyFont="1" applyBorder="1"/>
    <xf numFmtId="169" fontId="8" fillId="0" borderId="1" xfId="0" applyNumberFormat="1" applyFont="1" applyBorder="1"/>
    <xf numFmtId="0" fontId="8" fillId="4" borderId="1" xfId="0" applyFont="1" applyFill="1" applyBorder="1"/>
    <xf numFmtId="169" fontId="8" fillId="4" borderId="1" xfId="0" applyNumberFormat="1" applyFont="1" applyFill="1" applyBorder="1"/>
    <xf numFmtId="167" fontId="8" fillId="4" borderId="1" xfId="0" applyNumberFormat="1" applyFont="1" applyFill="1" applyBorder="1"/>
    <xf numFmtId="172" fontId="4" fillId="4" borderId="1" xfId="0" applyNumberFormat="1" applyFont="1" applyFill="1" applyBorder="1"/>
    <xf numFmtId="171" fontId="4" fillId="4" borderId="1" xfId="0" applyNumberFormat="1" applyFont="1" applyFill="1" applyBorder="1"/>
    <xf numFmtId="171" fontId="8" fillId="0" borderId="1" xfId="0" applyNumberFormat="1" applyFont="1" applyBorder="1"/>
    <xf numFmtId="171" fontId="8" fillId="5" borderId="1" xfId="0" applyNumberFormat="1" applyFont="1" applyFill="1" applyBorder="1"/>
    <xf numFmtId="164" fontId="8" fillId="5" borderId="1" xfId="0" applyNumberFormat="1" applyFont="1" applyFill="1" applyBorder="1"/>
    <xf numFmtId="172" fontId="8" fillId="0" borderId="1" xfId="0" applyNumberFormat="1" applyFont="1" applyBorder="1"/>
    <xf numFmtId="164" fontId="8" fillId="0" borderId="1" xfId="0" applyNumberFormat="1" applyFont="1" applyBorder="1"/>
    <xf numFmtId="167" fontId="0" fillId="0" borderId="0" xfId="0" applyNumberFormat="1"/>
    <xf numFmtId="167" fontId="4" fillId="7" borderId="1" xfId="0" applyNumberFormat="1" applyFont="1" applyFill="1" applyBorder="1"/>
    <xf numFmtId="167" fontId="4" fillId="8" borderId="1" xfId="0" applyNumberFormat="1" applyFont="1" applyFill="1" applyBorder="1"/>
    <xf numFmtId="0" fontId="11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7" fontId="4" fillId="10" borderId="1" xfId="0" applyNumberFormat="1" applyFont="1" applyFill="1" applyBorder="1"/>
    <xf numFmtId="167" fontId="4" fillId="11" borderId="1" xfId="0" applyNumberFormat="1" applyFont="1" applyFill="1" applyBorder="1"/>
    <xf numFmtId="2" fontId="4" fillId="0" borderId="1" xfId="0" applyNumberFormat="1" applyFont="1" applyBorder="1"/>
    <xf numFmtId="2" fontId="4" fillId="4" borderId="1" xfId="0" applyNumberFormat="1" applyFont="1" applyFill="1" applyBorder="1"/>
    <xf numFmtId="0" fontId="13" fillId="2" borderId="1" xfId="0" applyFont="1" applyFill="1" applyBorder="1"/>
    <xf numFmtId="0" fontId="14" fillId="0" borderId="0" xfId="0" applyFont="1"/>
    <xf numFmtId="0" fontId="15" fillId="0" borderId="0" xfId="0" applyFont="1"/>
    <xf numFmtId="0" fontId="13" fillId="2" borderId="0" xfId="0" applyFont="1" applyFill="1"/>
    <xf numFmtId="0" fontId="0" fillId="0" borderId="0" xfId="0" applyAlignment="1">
      <alignment horizontal="centerContinuous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168" fontId="0" fillId="0" borderId="0" xfId="0" applyNumberFormat="1"/>
    <xf numFmtId="0" fontId="17" fillId="0" borderId="0" xfId="0" applyFont="1"/>
    <xf numFmtId="0" fontId="20" fillId="0" borderId="0" xfId="0" applyFont="1" applyAlignment="1">
      <alignment vertical="top" wrapText="1"/>
    </xf>
    <xf numFmtId="0" fontId="13" fillId="2" borderId="1" xfId="0" applyFont="1" applyFill="1" applyBorder="1" applyAlignment="1">
      <alignment horizontal="center" vertical="center" wrapText="1"/>
    </xf>
    <xf numFmtId="167" fontId="21" fillId="0" borderId="1" xfId="0" applyNumberFormat="1" applyFont="1" applyBorder="1"/>
    <xf numFmtId="0" fontId="14" fillId="0" borderId="0" xfId="0" applyFont="1" applyAlignment="1">
      <alignment horizontal="centerContinuous" vertical="top" wrapText="1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000"/>
      <rgbColor rgb="FFFF9900"/>
      <rgbColor rgb="FFFF6600"/>
      <rgbColor rgb="FF595959"/>
      <rgbColor rgb="FFB3B3B3"/>
      <rgbColor rgb="FF003366"/>
      <rgbColor rgb="FF2E8B57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High-risk share of the book</a:t>
            </a:r>
          </a:p>
        </c:rich>
      </c:tx>
      <c:layout>
        <c:manualLayout>
          <c:xMode val="edge"/>
          <c:yMode val="edge"/>
          <c:x val="0.25204301292713377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PlanCompare!$C$22</c:f>
              <c:strCache>
                <c:ptCount val="1"/>
                <c:pt idx="0">
                  <c:v>A. Keep flat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GH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PlanCompare!$B$23:$B$25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PlanCompare!$C$23:$C$25</c:f>
              <c:numCache>
                <c:formatCode>0.0%;\(0.0%\);\-</c:formatCode>
                <c:ptCount val="3"/>
                <c:pt idx="0">
                  <c:v>0.17654516189534883</c:v>
                </c:pt>
                <c:pt idx="1">
                  <c:v>0.24486047478110129</c:v>
                </c:pt>
                <c:pt idx="2">
                  <c:v>0.28696251978167447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1-4410-9F8B-252F1C4754E1}"/>
            </c:ext>
          </c:extLst>
        </c:ser>
        <c:ser>
          <c:idx val="1"/>
          <c:order val="1"/>
          <c:tx>
            <c:strRef>
              <c:f>PlanCompare!$D$22</c:f>
              <c:strCache>
                <c:ptCount val="1"/>
                <c:pt idx="0">
                  <c:v>B. New plan, +/-25% caps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GH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PlanCompare!$B$23:$B$25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PlanCompare!$D$23:$D$25</c:f>
              <c:numCache>
                <c:formatCode>0.0%;\(0.0%\);\-</c:formatCode>
                <c:ptCount val="3"/>
                <c:pt idx="0">
                  <c:v>7.0310501639964301E-2</c:v>
                </c:pt>
                <c:pt idx="1">
                  <c:v>4.5553887132974591E-2</c:v>
                </c:pt>
                <c:pt idx="2">
                  <c:v>2.3692283686721195E-2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1-4410-9F8B-252F1C4754E1}"/>
            </c:ext>
          </c:extLst>
        </c:ser>
        <c:ser>
          <c:idx val="2"/>
          <c:order val="2"/>
          <c:tx>
            <c:strRef>
              <c:f>PlanCompare!$E$22</c:f>
              <c:strCache>
                <c:ptCount val="1"/>
                <c:pt idx="0">
                  <c:v>C. New plan, cap increases only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GH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PlanCompare!$B$23:$B$25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PlanCompare!$E$23:$E$25</c:f>
              <c:numCache>
                <c:formatCode>0.0%;\(0.0%\);\-</c:formatCode>
                <c:ptCount val="3"/>
                <c:pt idx="0">
                  <c:v>6.6184109115843492E-2</c:v>
                </c:pt>
                <c:pt idx="1">
                  <c:v>4.4063627983978414E-2</c:v>
                </c:pt>
                <c:pt idx="2">
                  <c:v>2.3296730583540835E-2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41-4410-9F8B-252F1C475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49270"/>
        <c:axId val="89566687"/>
      </c:barChart>
      <c:catAx>
        <c:axId val="52349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GH"/>
          </a:p>
        </c:txPr>
        <c:crossAx val="89566687"/>
        <c:crosses val="autoZero"/>
        <c:auto val="1"/>
        <c:lblAlgn val="ctr"/>
        <c:lblOffset val="100"/>
        <c:noMultiLvlLbl val="0"/>
      </c:catAx>
      <c:valAx>
        <c:axId val="895666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Share of policies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GH"/>
          </a:p>
        </c:txPr>
        <c:crossAx val="523492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G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Year-By-Year</a:t>
            </a:r>
            <a:r>
              <a:rPr lang="en-GB" baseline="0"/>
              <a:t> Combined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PlanCompare!$C$16</c:f>
              <c:strCache>
                <c:ptCount val="1"/>
                <c:pt idx="0">
                  <c:v>A. Keep flat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PlanCompare!$B$17:$B$19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PlanCompare!$C$17:$C$19</c:f>
              <c:numCache>
                <c:formatCode>0.0%;\(0.0%\);\-</c:formatCode>
                <c:ptCount val="3"/>
                <c:pt idx="0">
                  <c:v>1.1272936750233886</c:v>
                </c:pt>
                <c:pt idx="1">
                  <c:v>1.3051221837798015</c:v>
                </c:pt>
                <c:pt idx="2">
                  <c:v>1.4011656364901159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D-4310-8B78-8B68FA2910C2}"/>
            </c:ext>
          </c:extLst>
        </c:ser>
        <c:ser>
          <c:idx val="1"/>
          <c:order val="1"/>
          <c:tx>
            <c:strRef>
              <c:f>PlanCompare!$D$16</c:f>
              <c:strCache>
                <c:ptCount val="1"/>
                <c:pt idx="0">
                  <c:v>B. New plan, +/-25% caps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PlanCompare!$B$17:$B$19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PlanCompare!$D$17:$D$19</c:f>
              <c:numCache>
                <c:formatCode>0.0%;\(0.0%\);\-</c:formatCode>
                <c:ptCount val="3"/>
                <c:pt idx="0">
                  <c:v>0.96956612717235136</c:v>
                </c:pt>
                <c:pt idx="1">
                  <c:v>0.97168385505848276</c:v>
                </c:pt>
                <c:pt idx="2">
                  <c:v>0.92225089733317245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D-4310-8B78-8B68FA2910C2}"/>
            </c:ext>
          </c:extLst>
        </c:ser>
        <c:ser>
          <c:idx val="2"/>
          <c:order val="2"/>
          <c:tx>
            <c:strRef>
              <c:f>PlanCompare!$E$16</c:f>
              <c:strCache>
                <c:ptCount val="1"/>
                <c:pt idx="0">
                  <c:v>C. New plan, cap increases only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PlanCompare!$B$17:$B$19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PlanCompare!$E$17:$E$19</c:f>
              <c:numCache>
                <c:formatCode>0.0%;\(0.0%\);\-</c:formatCode>
                <c:ptCount val="3"/>
                <c:pt idx="0">
                  <c:v>1.0559576291238142</c:v>
                </c:pt>
                <c:pt idx="1">
                  <c:v>0.97542580731900796</c:v>
                </c:pt>
                <c:pt idx="2">
                  <c:v>0.92164643397304447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D-4310-8B78-8B68FA29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525999"/>
        <c:axId val="857606991"/>
      </c:lineChart>
      <c:catAx>
        <c:axId val="77152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857606991"/>
        <c:crosses val="autoZero"/>
        <c:auto val="1"/>
        <c:lblAlgn val="ctr"/>
        <c:lblOffset val="100"/>
        <c:noMultiLvlLbl val="0"/>
      </c:catAx>
      <c:valAx>
        <c:axId val="85760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(0.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77152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Policies in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PlanCompare!$C$30</c:f>
              <c:strCache>
                <c:ptCount val="1"/>
                <c:pt idx="0">
                  <c:v>A. Keep flat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PlanCompare!$B$31:$B$33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PlanCompare!$C$31:$C$33</c:f>
              <c:numCache>
                <c:formatCode>#,##0.0;\(#,##0.0\);\-</c:formatCode>
                <c:ptCount val="3"/>
                <c:pt idx="0">
                  <c:v>8108.456174703746</c:v>
                </c:pt>
                <c:pt idx="1">
                  <c:v>7223.459226387301</c:v>
                </c:pt>
                <c:pt idx="2">
                  <c:v>6552.1823876194421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7-4A67-80E3-E2DBBA98BBC3}"/>
            </c:ext>
          </c:extLst>
        </c:ser>
        <c:ser>
          <c:idx val="1"/>
          <c:order val="1"/>
          <c:tx>
            <c:strRef>
              <c:f>PlanCompare!$D$30</c:f>
              <c:strCache>
                <c:ptCount val="1"/>
                <c:pt idx="0">
                  <c:v>B. New plan, +/-25% caps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PlanCompare!$B$31:$B$33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PlanCompare!$D$31:$D$33</c:f>
              <c:numCache>
                <c:formatCode>#,##0.0;\(#,##0.0\);\-</c:formatCode>
                <c:ptCount val="3"/>
                <c:pt idx="0">
                  <c:v>10672.8484374367</c:v>
                </c:pt>
                <c:pt idx="1">
                  <c:v>11361.870680313192</c:v>
                </c:pt>
                <c:pt idx="2">
                  <c:v>11322.32791894957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7-4A67-80E3-E2DBBA98BBC3}"/>
            </c:ext>
          </c:extLst>
        </c:ser>
        <c:ser>
          <c:idx val="2"/>
          <c:order val="2"/>
          <c:tx>
            <c:strRef>
              <c:f>PlanCompare!$E$30</c:f>
              <c:strCache>
                <c:ptCount val="1"/>
                <c:pt idx="0">
                  <c:v>C. New plan, cap increases only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PlanCompare!$B$31:$B$33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PlanCompare!$E$31:$E$33</c:f>
              <c:numCache>
                <c:formatCode>#,##0.0;\(#,##0.0\);\-</c:formatCode>
                <c:ptCount val="3"/>
                <c:pt idx="0">
                  <c:v>11338.27043361751</c:v>
                </c:pt>
                <c:pt idx="1">
                  <c:v>11746.136173322635</c:v>
                </c:pt>
                <c:pt idx="2">
                  <c:v>11514.568711171731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27-4A67-80E3-E2DBBA98B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456319"/>
        <c:axId val="857506191"/>
      </c:lineChart>
      <c:catAx>
        <c:axId val="7194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857506191"/>
        <c:crosses val="autoZero"/>
        <c:auto val="1"/>
        <c:lblAlgn val="ctr"/>
        <c:lblOffset val="100"/>
        <c:noMultiLvlLbl val="0"/>
      </c:catAx>
      <c:valAx>
        <c:axId val="8575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71945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Indicated premium vs Today's flat premium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Indicated premium vs Today's flat premium</a:t>
          </a:r>
        </a:p>
      </cx:txPr>
    </cx:title>
    <cx:plotArea>
      <cx:plotAreaRegion>
        <cx:series layoutId="funnel" uniqueId="{029E7F2E-520F-474A-8AEE-895BF5EB0A56}">
          <cx:dataPt idx="0">
            <cx:spPr>
              <a:solidFill>
                <a:srgbClr val="9BBB59">
                  <a:lumMod val="50000"/>
                </a:srgbClr>
              </a:solidFill>
            </cx:spPr>
          </cx:dataPt>
          <cx:dataPt idx="1">
            <cx:spPr>
              <a:solidFill>
                <a:srgbClr val="9BBB59">
                  <a:lumMod val="75000"/>
                </a:srgbClr>
              </a:solidFill>
            </cx:spPr>
          </cx:dataPt>
          <cx:dataPt idx="2">
            <cx:spPr>
              <a:solidFill>
                <a:srgbClr val="9BBB59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FFFFFF">
                  <a:lumMod val="65000"/>
                </a:srgbClr>
              </a:solidFill>
            </cx:spPr>
          </cx:dataPt>
          <cx:dataPt idx="4">
            <cx:spPr>
              <a:solidFill>
                <a:srgbClr val="C0504D">
                  <a:lumMod val="40000"/>
                  <a:lumOff val="60000"/>
                </a:srgbClr>
              </a:solidFill>
            </cx:spPr>
          </cx:dataPt>
          <cx:dataPt idx="5">
            <cx:spPr>
              <a:solidFill>
                <a:srgbClr val="C0504D">
                  <a:lumMod val="60000"/>
                  <a:lumOff val="40000"/>
                </a:srgbClr>
              </a:solidFill>
            </cx:spPr>
          </cx:dataPt>
          <cx:dataPt idx="6">
            <cx:spPr>
              <a:solidFill>
                <a:srgbClr val="C0504D">
                  <a:lumMod val="75000"/>
                </a:srgbClr>
              </a:solidFill>
            </cx:spPr>
          </cx:dataPt>
          <cx:dataPt idx="7">
            <cx:spPr>
              <a:solidFill>
                <a:srgbClr val="C0504D">
                  <a:lumMod val="5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476249</xdr:colOff>
      <xdr:row>4</xdr:row>
      <xdr:rowOff>171450</xdr:rowOff>
    </xdr:from>
    <xdr:to>
      <xdr:col>17</xdr:col>
      <xdr:colOff>117473</xdr:colOff>
      <xdr:row>17</xdr:row>
      <xdr:rowOff>92075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B4AD08-96CA-94CB-ACD0-B77F5DF1F2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6749" y="952500"/>
              <a:ext cx="5041899" cy="2587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514349</xdr:colOff>
      <xdr:row>19</xdr:row>
      <xdr:rowOff>65310</xdr:rowOff>
    </xdr:from>
    <xdr:to>
      <xdr:col>17</xdr:col>
      <xdr:colOff>76199</xdr:colOff>
      <xdr:row>30</xdr:row>
      <xdr:rowOff>2670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523874</xdr:colOff>
      <xdr:row>1</xdr:row>
      <xdr:rowOff>161926</xdr:rowOff>
    </xdr:from>
    <xdr:to>
      <xdr:col>17</xdr:col>
      <xdr:colOff>85725</xdr:colOff>
      <xdr:row>18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F0A3E6-9126-F75D-916B-55C16EFFD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542926</xdr:colOff>
      <xdr:row>31</xdr:row>
      <xdr:rowOff>103187</xdr:rowOff>
    </xdr:from>
    <xdr:to>
      <xdr:col>17</xdr:col>
      <xdr:colOff>101601</xdr:colOff>
      <xdr:row>46</xdr:row>
      <xdr:rowOff>134937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E7E5ED-9074-5A78-6DCE-A622DC30C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C58"/>
  <sheetViews>
    <sheetView showGridLines="0" topLeftCell="A44" zoomScaleNormal="100" workbookViewId="0">
      <selection activeCell="C49" sqref="C49"/>
    </sheetView>
  </sheetViews>
  <sheetFormatPr defaultColWidth="8.6328125" defaultRowHeight="14.5" x14ac:dyDescent="0.35"/>
  <cols>
    <col min="1" max="1" width="3" customWidth="1"/>
    <col min="2" max="2" width="86.1796875" bestFit="1" customWidth="1"/>
    <col min="3" max="3" width="95" customWidth="1"/>
  </cols>
  <sheetData>
    <row r="2" spans="2:3" ht="17.25" customHeight="1" x14ac:dyDescent="0.4">
      <c r="B2" s="1" t="s">
        <v>0</v>
      </c>
    </row>
    <row r="3" spans="2:3" ht="15" customHeight="1" x14ac:dyDescent="0.35">
      <c r="B3" s="2"/>
    </row>
    <row r="5" spans="2:3" ht="13.5" customHeight="1" x14ac:dyDescent="0.35">
      <c r="B5" s="3"/>
      <c r="C5" s="4"/>
    </row>
    <row r="6" spans="2:3" ht="15" customHeight="1" x14ac:dyDescent="0.35">
      <c r="B6" s="5" t="s">
        <v>1</v>
      </c>
    </row>
    <row r="7" spans="2:3" ht="27.75" customHeight="1" x14ac:dyDescent="0.35">
      <c r="B7" s="3"/>
      <c r="C7" s="4" t="s">
        <v>2</v>
      </c>
    </row>
    <row r="8" spans="2:3" ht="13.5" customHeight="1" x14ac:dyDescent="0.35">
      <c r="B8" s="3"/>
      <c r="C8" s="4"/>
    </row>
    <row r="9" spans="2:3" ht="15" customHeight="1" x14ac:dyDescent="0.35">
      <c r="B9" s="5" t="s">
        <v>3</v>
      </c>
    </row>
    <row r="10" spans="2:3" ht="13.5" customHeight="1" x14ac:dyDescent="0.35">
      <c r="B10" s="3" t="s">
        <v>4</v>
      </c>
      <c r="C10" s="4" t="s">
        <v>358</v>
      </c>
    </row>
    <row r="11" spans="2:3" ht="13.5" customHeight="1" x14ac:dyDescent="0.35">
      <c r="B11" s="3" t="s">
        <v>5</v>
      </c>
      <c r="C11" s="4" t="s">
        <v>6</v>
      </c>
    </row>
    <row r="12" spans="2:3" ht="13.5" customHeight="1" x14ac:dyDescent="0.35">
      <c r="B12" s="3" t="s">
        <v>7</v>
      </c>
      <c r="C12" s="4" t="s">
        <v>8</v>
      </c>
    </row>
    <row r="13" spans="2:3" ht="13.5" customHeight="1" x14ac:dyDescent="0.35">
      <c r="B13" s="3" t="s">
        <v>9</v>
      </c>
      <c r="C13" s="4" t="s">
        <v>10</v>
      </c>
    </row>
    <row r="14" spans="2:3" ht="13.5" customHeight="1" x14ac:dyDescent="0.35">
      <c r="B14" s="3" t="s">
        <v>11</v>
      </c>
      <c r="C14" s="4" t="s">
        <v>12</v>
      </c>
    </row>
    <row r="15" spans="2:3" ht="13.5" customHeight="1" x14ac:dyDescent="0.35">
      <c r="B15" s="3" t="s">
        <v>13</v>
      </c>
      <c r="C15" s="4" t="s">
        <v>14</v>
      </c>
    </row>
    <row r="16" spans="2:3" ht="27.75" customHeight="1" x14ac:dyDescent="0.35">
      <c r="B16" s="3" t="s">
        <v>15</v>
      </c>
      <c r="C16" s="4" t="s">
        <v>16</v>
      </c>
    </row>
    <row r="17" spans="2:3" ht="13.5" customHeight="1" x14ac:dyDescent="0.35">
      <c r="B17" s="3" t="s">
        <v>17</v>
      </c>
      <c r="C17" s="4" t="s">
        <v>303</v>
      </c>
    </row>
    <row r="18" spans="2:3" ht="13.5" customHeight="1" x14ac:dyDescent="0.35">
      <c r="B18" s="3"/>
      <c r="C18" s="4"/>
    </row>
    <row r="19" spans="2:3" ht="15" customHeight="1" x14ac:dyDescent="0.35">
      <c r="B19" s="5" t="s">
        <v>18</v>
      </c>
    </row>
    <row r="20" spans="2:3" ht="13.5" customHeight="1" x14ac:dyDescent="0.35">
      <c r="B20" s="3" t="s">
        <v>19</v>
      </c>
      <c r="C20" s="4" t="s">
        <v>20</v>
      </c>
    </row>
    <row r="21" spans="2:3" ht="13.5" customHeight="1" x14ac:dyDescent="0.35">
      <c r="B21" s="3" t="s">
        <v>21</v>
      </c>
      <c r="C21" s="4" t="s">
        <v>22</v>
      </c>
    </row>
    <row r="22" spans="2:3" ht="13.5" customHeight="1" x14ac:dyDescent="0.35">
      <c r="B22" s="3" t="s">
        <v>23</v>
      </c>
      <c r="C22" s="4" t="s">
        <v>24</v>
      </c>
    </row>
    <row r="23" spans="2:3" ht="13.5" customHeight="1" x14ac:dyDescent="0.35">
      <c r="B23" s="3" t="s">
        <v>25</v>
      </c>
      <c r="C23" s="4" t="s">
        <v>304</v>
      </c>
    </row>
    <row r="24" spans="2:3" ht="13.5" customHeight="1" x14ac:dyDescent="0.35">
      <c r="B24" s="3"/>
      <c r="C24" s="4"/>
    </row>
    <row r="25" spans="2:3" ht="15" customHeight="1" x14ac:dyDescent="0.35">
      <c r="B25" s="5" t="s">
        <v>305</v>
      </c>
    </row>
    <row r="26" spans="2:3" ht="27.75" customHeight="1" x14ac:dyDescent="0.35">
      <c r="B26" s="3"/>
      <c r="C26" s="4" t="s">
        <v>26</v>
      </c>
    </row>
    <row r="27" spans="2:3" ht="27.75" customHeight="1" x14ac:dyDescent="0.35">
      <c r="B27" s="3"/>
      <c r="C27" s="4" t="s">
        <v>306</v>
      </c>
    </row>
    <row r="28" spans="2:3" ht="13.5" customHeight="1" x14ac:dyDescent="0.35">
      <c r="B28" s="3"/>
      <c r="C28" s="4" t="s">
        <v>307</v>
      </c>
    </row>
    <row r="29" spans="2:3" ht="27.75" customHeight="1" x14ac:dyDescent="0.35">
      <c r="B29" s="3"/>
      <c r="C29" s="4" t="s">
        <v>27</v>
      </c>
    </row>
    <row r="32" spans="2:3" x14ac:dyDescent="0.35">
      <c r="B32" s="5" t="s">
        <v>318</v>
      </c>
      <c r="C32" s="86"/>
    </row>
    <row r="33" spans="2:3" ht="33.5" customHeight="1" x14ac:dyDescent="0.35">
      <c r="B33" s="85"/>
      <c r="C33" s="4" t="s">
        <v>319</v>
      </c>
    </row>
    <row r="34" spans="2:3" ht="25" x14ac:dyDescent="0.35">
      <c r="B34" s="87" t="s">
        <v>320</v>
      </c>
      <c r="C34" s="88" t="s">
        <v>336</v>
      </c>
    </row>
    <row r="35" spans="2:3" x14ac:dyDescent="0.35">
      <c r="B35" s="85"/>
      <c r="C35" s="4"/>
    </row>
    <row r="36" spans="2:3" x14ac:dyDescent="0.35">
      <c r="B36" s="5" t="s">
        <v>321</v>
      </c>
      <c r="C36" s="4"/>
    </row>
    <row r="37" spans="2:3" ht="25" x14ac:dyDescent="0.35">
      <c r="B37" s="87" t="s">
        <v>272</v>
      </c>
      <c r="C37" s="88" t="s">
        <v>337</v>
      </c>
    </row>
    <row r="38" spans="2:3" x14ac:dyDescent="0.35">
      <c r="B38" s="87" t="s">
        <v>273</v>
      </c>
      <c r="C38" s="88" t="s">
        <v>338</v>
      </c>
    </row>
    <row r="39" spans="2:3" x14ac:dyDescent="0.35">
      <c r="B39" s="87" t="s">
        <v>203</v>
      </c>
      <c r="C39" s="88" t="s">
        <v>339</v>
      </c>
    </row>
    <row r="40" spans="2:3" ht="25" x14ac:dyDescent="0.35">
      <c r="B40" s="87" t="s">
        <v>274</v>
      </c>
      <c r="C40" s="88" t="s">
        <v>340</v>
      </c>
    </row>
    <row r="41" spans="2:3" x14ac:dyDescent="0.35">
      <c r="B41" s="87" t="s">
        <v>275</v>
      </c>
      <c r="C41" s="88" t="s">
        <v>341</v>
      </c>
    </row>
    <row r="42" spans="2:3" ht="25" x14ac:dyDescent="0.35">
      <c r="B42" s="87" t="s">
        <v>276</v>
      </c>
      <c r="C42" s="88" t="s">
        <v>342</v>
      </c>
    </row>
    <row r="43" spans="2:3" ht="25" x14ac:dyDescent="0.35">
      <c r="B43" s="87" t="s">
        <v>277</v>
      </c>
      <c r="C43" s="88" t="s">
        <v>343</v>
      </c>
    </row>
    <row r="44" spans="2:3" ht="50" x14ac:dyDescent="0.35">
      <c r="B44" s="87" t="s">
        <v>278</v>
      </c>
      <c r="C44" s="91" t="s">
        <v>322</v>
      </c>
    </row>
    <row r="45" spans="2:3" ht="25" x14ac:dyDescent="0.35">
      <c r="B45" s="87" t="s">
        <v>279</v>
      </c>
      <c r="C45" s="91" t="s">
        <v>323</v>
      </c>
    </row>
    <row r="46" spans="2:3" x14ac:dyDescent="0.35">
      <c r="B46" s="87" t="s">
        <v>280</v>
      </c>
      <c r="C46" s="91" t="s">
        <v>324</v>
      </c>
    </row>
    <row r="47" spans="2:3" x14ac:dyDescent="0.35">
      <c r="B47" s="87" t="s">
        <v>281</v>
      </c>
      <c r="C47" s="91" t="s">
        <v>325</v>
      </c>
    </row>
    <row r="48" spans="2:3" x14ac:dyDescent="0.35">
      <c r="B48" s="87" t="s">
        <v>258</v>
      </c>
      <c r="C48" s="91" t="s">
        <v>326</v>
      </c>
    </row>
    <row r="49" spans="2:3" ht="25" x14ac:dyDescent="0.35">
      <c r="B49" s="87" t="s">
        <v>282</v>
      </c>
      <c r="C49" s="91" t="s">
        <v>327</v>
      </c>
    </row>
    <row r="50" spans="2:3" ht="37.5" x14ac:dyDescent="0.35">
      <c r="B50" s="87" t="s">
        <v>260</v>
      </c>
      <c r="C50" s="91" t="s">
        <v>328</v>
      </c>
    </row>
    <row r="51" spans="2:3" x14ac:dyDescent="0.35">
      <c r="B51" s="85"/>
      <c r="C51" s="91"/>
    </row>
    <row r="52" spans="2:3" x14ac:dyDescent="0.35">
      <c r="B52" s="5" t="s">
        <v>329</v>
      </c>
      <c r="C52" s="91"/>
    </row>
    <row r="53" spans="2:3" ht="50" x14ac:dyDescent="0.35">
      <c r="B53" s="87" t="s">
        <v>330</v>
      </c>
      <c r="C53" s="91" t="s">
        <v>331</v>
      </c>
    </row>
    <row r="54" spans="2:3" x14ac:dyDescent="0.35">
      <c r="B54" s="85"/>
      <c r="C54" s="91"/>
    </row>
    <row r="55" spans="2:3" x14ac:dyDescent="0.35">
      <c r="B55" s="5" t="s">
        <v>332</v>
      </c>
      <c r="C55" s="91"/>
    </row>
    <row r="56" spans="2:3" ht="25" x14ac:dyDescent="0.35">
      <c r="B56" s="87" t="s">
        <v>333</v>
      </c>
      <c r="C56" s="91" t="s">
        <v>344</v>
      </c>
    </row>
    <row r="57" spans="2:3" ht="37.5" x14ac:dyDescent="0.35">
      <c r="B57" s="87" t="s">
        <v>334</v>
      </c>
      <c r="C57" s="91" t="s">
        <v>335</v>
      </c>
    </row>
    <row r="58" spans="2:3" x14ac:dyDescent="0.35">
      <c r="B58" s="85"/>
      <c r="C58" s="8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2:I41"/>
  <sheetViews>
    <sheetView showGridLines="0" topLeftCell="A20" zoomScaleNormal="100" workbookViewId="0">
      <selection activeCell="D46" sqref="D46"/>
    </sheetView>
  </sheetViews>
  <sheetFormatPr defaultColWidth="8.6328125" defaultRowHeight="14.5" x14ac:dyDescent="0.35"/>
  <cols>
    <col min="1" max="1" width="3" customWidth="1"/>
    <col min="2" max="2" width="34" customWidth="1"/>
    <col min="3" max="3" width="14" customWidth="1"/>
    <col min="4" max="4" width="62" customWidth="1"/>
    <col min="5" max="5" width="3" customWidth="1"/>
    <col min="6" max="6" width="30" customWidth="1"/>
    <col min="7" max="9" width="17" customWidth="1"/>
  </cols>
  <sheetData>
    <row r="2" spans="2:9" ht="17.25" customHeight="1" x14ac:dyDescent="0.4">
      <c r="B2" s="1" t="s">
        <v>4</v>
      </c>
    </row>
    <row r="3" spans="2:9" ht="15" customHeight="1" x14ac:dyDescent="0.35">
      <c r="B3" s="2" t="s">
        <v>28</v>
      </c>
    </row>
    <row r="5" spans="2:9" ht="15" customHeight="1" x14ac:dyDescent="0.35">
      <c r="B5" s="6" t="s">
        <v>29</v>
      </c>
      <c r="C5" s="7"/>
      <c r="D5" s="7"/>
      <c r="F5" s="6" t="s">
        <v>347</v>
      </c>
      <c r="G5" s="6"/>
      <c r="H5" s="6"/>
      <c r="I5" s="6"/>
    </row>
    <row r="6" spans="2:9" ht="15" customHeight="1" x14ac:dyDescent="0.35">
      <c r="B6" s="3" t="s">
        <v>30</v>
      </c>
      <c r="C6" s="8">
        <v>0.03</v>
      </c>
      <c r="D6" s="2" t="s">
        <v>31</v>
      </c>
      <c r="F6" s="2"/>
    </row>
    <row r="7" spans="2:9" ht="15" customHeight="1" x14ac:dyDescent="0.35">
      <c r="B7" s="3" t="s">
        <v>32</v>
      </c>
      <c r="C7" s="9">
        <v>1.5</v>
      </c>
      <c r="D7" s="2" t="s">
        <v>33</v>
      </c>
      <c r="F7" s="2"/>
    </row>
    <row r="8" spans="2:9" ht="15" customHeight="1" x14ac:dyDescent="0.35">
      <c r="B8" s="3" t="s">
        <v>34</v>
      </c>
      <c r="C8" s="8">
        <v>0.12</v>
      </c>
      <c r="D8" s="2" t="s">
        <v>35</v>
      </c>
    </row>
    <row r="9" spans="2:9" ht="15" customHeight="1" x14ac:dyDescent="0.35">
      <c r="B9" s="3" t="s">
        <v>36</v>
      </c>
      <c r="C9" s="10">
        <v>1.7999999999999999E-2</v>
      </c>
      <c r="D9" s="2" t="s">
        <v>37</v>
      </c>
      <c r="F9" s="17" t="s">
        <v>289</v>
      </c>
      <c r="G9" s="17" t="s">
        <v>348</v>
      </c>
      <c r="H9" s="17" t="s">
        <v>349</v>
      </c>
      <c r="I9" s="17" t="s">
        <v>350</v>
      </c>
    </row>
    <row r="10" spans="2:9" ht="15" customHeight="1" x14ac:dyDescent="0.35">
      <c r="B10" s="3" t="s">
        <v>38</v>
      </c>
      <c r="C10" s="10">
        <v>9.0999999999999998E-2</v>
      </c>
      <c r="D10" s="2" t="s">
        <v>39</v>
      </c>
      <c r="F10" s="67">
        <f>PlanCompare!C10</f>
        <v>-8687023.8960192222</v>
      </c>
      <c r="G10" s="8">
        <v>0</v>
      </c>
      <c r="H10" s="8">
        <v>0.5</v>
      </c>
      <c r="I10" s="8">
        <v>1</v>
      </c>
    </row>
    <row r="11" spans="2:9" ht="15" customHeight="1" x14ac:dyDescent="0.35">
      <c r="B11" s="3" t="s">
        <v>40</v>
      </c>
      <c r="C11" s="10">
        <v>0.115</v>
      </c>
      <c r="D11" s="2" t="s">
        <v>41</v>
      </c>
      <c r="F11" s="8">
        <v>0</v>
      </c>
      <c r="G11" s="67">
        <f t="dataTable" ref="G11:I14" dt2D="1" dtr="1" r1="C33" r2="C31"/>
        <v>4030441.9209776847</v>
      </c>
      <c r="H11" s="67">
        <v>4030441.9209776847</v>
      </c>
      <c r="I11" s="67">
        <v>4030441.9209776847</v>
      </c>
    </row>
    <row r="12" spans="2:9" ht="15" customHeight="1" x14ac:dyDescent="0.35">
      <c r="B12" s="3" t="s">
        <v>42</v>
      </c>
      <c r="C12" s="10">
        <v>0.08</v>
      </c>
      <c r="D12" s="2" t="s">
        <v>43</v>
      </c>
      <c r="F12" s="8">
        <v>0.25</v>
      </c>
      <c r="G12" s="67">
        <v>4030441.9209776847</v>
      </c>
      <c r="H12" s="67">
        <v>-3121800.8679255517</v>
      </c>
      <c r="I12" s="67">
        <v>-8664773.6851876564</v>
      </c>
    </row>
    <row r="13" spans="2:9" ht="15" customHeight="1" x14ac:dyDescent="0.35">
      <c r="B13" s="3" t="s">
        <v>44</v>
      </c>
      <c r="C13" s="10">
        <v>7.6999999999999999E-2</v>
      </c>
      <c r="D13" s="2" t="s">
        <v>45</v>
      </c>
      <c r="F13" s="8">
        <v>0.5</v>
      </c>
      <c r="G13" s="67">
        <v>4030441.9209776847</v>
      </c>
      <c r="H13" s="67">
        <v>-8687023.8960192222</v>
      </c>
      <c r="I13" s="67">
        <v>-13253530.360628545</v>
      </c>
    </row>
    <row r="14" spans="2:9" ht="15" customHeight="1" x14ac:dyDescent="0.35">
      <c r="B14" s="3" t="s">
        <v>46</v>
      </c>
      <c r="C14" s="11">
        <v>20</v>
      </c>
      <c r="D14" s="2" t="s">
        <v>47</v>
      </c>
      <c r="F14" s="8">
        <v>1</v>
      </c>
      <c r="G14" s="67">
        <v>4030441.9209776847</v>
      </c>
      <c r="H14" s="67">
        <v>-14723742.091990294</v>
      </c>
      <c r="I14" s="67">
        <v>-17245062.092689022</v>
      </c>
    </row>
    <row r="15" spans="2:9" ht="15" customHeight="1" x14ac:dyDescent="0.35">
      <c r="B15" s="3" t="s">
        <v>48</v>
      </c>
      <c r="C15" s="11">
        <v>25</v>
      </c>
      <c r="D15" s="2" t="s">
        <v>49</v>
      </c>
    </row>
    <row r="16" spans="2:9" ht="15" customHeight="1" x14ac:dyDescent="0.35">
      <c r="B16" s="3" t="s">
        <v>50</v>
      </c>
      <c r="C16" s="8">
        <v>0.4</v>
      </c>
      <c r="D16" s="2" t="s">
        <v>51</v>
      </c>
      <c r="F16" s="17" t="s">
        <v>290</v>
      </c>
      <c r="G16" s="17" t="s">
        <v>348</v>
      </c>
      <c r="H16" s="17" t="s">
        <v>349</v>
      </c>
      <c r="I16" s="17" t="s">
        <v>350</v>
      </c>
    </row>
    <row r="17" spans="2:9" ht="15" customHeight="1" x14ac:dyDescent="0.35">
      <c r="B17" s="6" t="s">
        <v>52</v>
      </c>
      <c r="C17" s="7"/>
      <c r="D17" s="7"/>
      <c r="F17" s="67">
        <f>PlanCompare!D10</f>
        <v>1548746.7381190439</v>
      </c>
      <c r="G17" s="8">
        <v>0</v>
      </c>
      <c r="H17" s="8">
        <v>0.5</v>
      </c>
      <c r="I17" s="8">
        <v>1</v>
      </c>
    </row>
    <row r="18" spans="2:9" ht="15" customHeight="1" x14ac:dyDescent="0.35">
      <c r="B18" s="3" t="s">
        <v>53</v>
      </c>
      <c r="C18" s="12">
        <f>PREMIUM_TAX+OTHER_VARIABLE+EXPECTED_NB_SHARE*COMMISSION_NB+(1-EXPECTED_NB_SHARE)*COMMISSION_RN</f>
        <v>0.20300000000000001</v>
      </c>
      <c r="D18" s="2" t="s">
        <v>54</v>
      </c>
      <c r="F18" s="8">
        <v>0</v>
      </c>
      <c r="G18" s="67">
        <f t="dataTable" ref="G18:I21" dt2D="1" dtr="1" r1="C33" r2="C31"/>
        <v>3262189.7295000236</v>
      </c>
      <c r="H18" s="67">
        <v>3262189.7295000236</v>
      </c>
      <c r="I18" s="67">
        <v>3262189.7295000236</v>
      </c>
    </row>
    <row r="19" spans="2:9" ht="15" customHeight="1" x14ac:dyDescent="0.35">
      <c r="B19" s="3" t="s">
        <v>55</v>
      </c>
      <c r="C19" s="12">
        <f>1-VAR_EXPENSE-PROFIT_LOAD</f>
        <v>0.72</v>
      </c>
      <c r="D19" s="2" t="s">
        <v>56</v>
      </c>
      <c r="F19" s="8">
        <v>0.25</v>
      </c>
      <c r="G19" s="67">
        <v>2659874.98282969</v>
      </c>
      <c r="H19" s="67">
        <v>2157694.1154305968</v>
      </c>
      <c r="I19" s="67">
        <v>2282637.1918768357</v>
      </c>
    </row>
    <row r="20" spans="2:9" ht="15" customHeight="1" x14ac:dyDescent="0.35">
      <c r="B20" s="3" t="s">
        <v>57</v>
      </c>
      <c r="C20" s="13">
        <f>(1+LOSS_TREND)^TREND_YEARS</f>
        <v>1.0453358312044987</v>
      </c>
      <c r="D20" s="2" t="s">
        <v>58</v>
      </c>
      <c r="F20" s="8">
        <v>0.5</v>
      </c>
      <c r="G20" s="67">
        <v>3090664.5186663293</v>
      </c>
      <c r="H20" s="67">
        <v>1548746.7381190439</v>
      </c>
      <c r="I20" s="67">
        <v>1786279.5626473315</v>
      </c>
    </row>
    <row r="21" spans="2:9" ht="15" customHeight="1" x14ac:dyDescent="0.35">
      <c r="B21" s="3" t="s">
        <v>311</v>
      </c>
      <c r="C21" s="13">
        <f>TREND_FACTOR*(1+LAE_RATIO)/PERMISSIBLE</f>
        <v>1.6260779596514425</v>
      </c>
      <c r="D21" s="2" t="s">
        <v>60</v>
      </c>
      <c r="F21" s="8">
        <v>1</v>
      </c>
      <c r="G21" s="67">
        <v>3777631.202281469</v>
      </c>
      <c r="H21" s="67">
        <v>1359203.8045189953</v>
      </c>
      <c r="I21" s="67">
        <v>1584661.4042272279</v>
      </c>
    </row>
    <row r="22" spans="2:9" ht="15" customHeight="1" x14ac:dyDescent="0.35">
      <c r="B22" s="3" t="s">
        <v>61</v>
      </c>
      <c r="C22" s="14">
        <f>FIXED_PER_POLICY+EXPECTED_NB_SHARE*NB_ACQUISITION</f>
        <v>30</v>
      </c>
      <c r="D22" s="2" t="s">
        <v>62</v>
      </c>
    </row>
    <row r="23" spans="2:9" ht="25.5" customHeight="1" x14ac:dyDescent="0.35">
      <c r="B23" s="3" t="s">
        <v>63</v>
      </c>
      <c r="C23" s="14">
        <f>FIXED_BLENDED/PERMISSIBLE</f>
        <v>41.666666666666671</v>
      </c>
      <c r="D23" s="2" t="s">
        <v>312</v>
      </c>
      <c r="F23" s="17" t="s">
        <v>291</v>
      </c>
      <c r="G23" s="17" t="s">
        <v>348</v>
      </c>
      <c r="H23" s="17" t="s">
        <v>349</v>
      </c>
      <c r="I23" s="17" t="s">
        <v>350</v>
      </c>
    </row>
    <row r="24" spans="2:9" ht="15" customHeight="1" x14ac:dyDescent="0.35">
      <c r="B24" s="6" t="s">
        <v>64</v>
      </c>
      <c r="C24" s="7"/>
      <c r="D24" s="7"/>
      <c r="F24" s="67">
        <f>PlanCompare!E10</f>
        <v>540129.11615120806</v>
      </c>
      <c r="G24" s="8">
        <v>0</v>
      </c>
      <c r="H24" s="8">
        <v>0.5</v>
      </c>
      <c r="I24" s="8">
        <v>1</v>
      </c>
    </row>
    <row r="25" spans="2:9" ht="15" customHeight="1" x14ac:dyDescent="0.35">
      <c r="B25" s="3" t="s">
        <v>65</v>
      </c>
      <c r="C25" s="8">
        <v>0.25</v>
      </c>
      <c r="D25" s="2" t="s">
        <v>308</v>
      </c>
      <c r="F25" s="8">
        <v>0</v>
      </c>
      <c r="G25" s="67">
        <f t="dataTable" ref="G25:I28" dt2D="1" dtr="1" r1="C33" r2="C31"/>
        <v>1953151.0541633638</v>
      </c>
      <c r="H25" s="67">
        <v>1953151.0541633638</v>
      </c>
      <c r="I25" s="67">
        <v>1953151.0541633638</v>
      </c>
    </row>
    <row r="26" spans="2:9" ht="15" customHeight="1" x14ac:dyDescent="0.35">
      <c r="B26" s="3" t="s">
        <v>66</v>
      </c>
      <c r="C26" s="8">
        <v>0.25</v>
      </c>
      <c r="D26" s="2" t="s">
        <v>309</v>
      </c>
      <c r="F26" s="8">
        <v>0.25</v>
      </c>
      <c r="G26" s="67">
        <v>1303793.3513784576</v>
      </c>
      <c r="H26" s="67">
        <v>1013667.7664988898</v>
      </c>
      <c r="I26" s="67">
        <v>1451655.0576955262</v>
      </c>
    </row>
    <row r="27" spans="2:9" ht="15" customHeight="1" x14ac:dyDescent="0.35">
      <c r="B27" s="3" t="s">
        <v>67</v>
      </c>
      <c r="C27" s="15">
        <f>Segments!$AH$1</f>
        <v>1426.2297754450396</v>
      </c>
      <c r="D27" s="2" t="s">
        <v>310</v>
      </c>
      <c r="F27" s="8">
        <v>0.5</v>
      </c>
      <c r="G27" s="67">
        <v>1693070.7369753229</v>
      </c>
      <c r="H27" s="67">
        <v>540129.11615120806</v>
      </c>
      <c r="I27" s="67">
        <v>1374062.5851879064</v>
      </c>
    </row>
    <row r="28" spans="2:9" ht="15" customHeight="1" x14ac:dyDescent="0.35">
      <c r="B28" s="6" t="s">
        <v>68</v>
      </c>
      <c r="C28" s="7"/>
      <c r="D28" s="7"/>
      <c r="F28" s="8">
        <v>1</v>
      </c>
      <c r="G28" s="67">
        <v>2416561.7066004826</v>
      </c>
      <c r="H28" s="67">
        <v>560016.16969228722</v>
      </c>
      <c r="I28" s="67">
        <v>1381031.3818692635</v>
      </c>
    </row>
    <row r="29" spans="2:9" ht="15" customHeight="1" x14ac:dyDescent="0.35">
      <c r="B29" s="3" t="s">
        <v>69</v>
      </c>
      <c r="C29" s="8">
        <v>0.85</v>
      </c>
      <c r="D29" s="2"/>
    </row>
    <row r="30" spans="2:9" ht="15" customHeight="1" x14ac:dyDescent="0.35">
      <c r="B30" s="3" t="s">
        <v>70</v>
      </c>
      <c r="C30" s="8">
        <v>0.35</v>
      </c>
      <c r="D30" s="2"/>
      <c r="F30" s="6" t="s">
        <v>351</v>
      </c>
      <c r="G30" s="6"/>
      <c r="H30" s="6"/>
      <c r="I30" s="6"/>
    </row>
    <row r="31" spans="2:9" ht="15" customHeight="1" x14ac:dyDescent="0.35">
      <c r="B31" s="3" t="s">
        <v>71</v>
      </c>
      <c r="C31" s="8">
        <v>0.5</v>
      </c>
      <c r="D31" s="2" t="s">
        <v>355</v>
      </c>
      <c r="F31" s="17" t="s">
        <v>352</v>
      </c>
      <c r="G31" s="17" t="s">
        <v>348</v>
      </c>
      <c r="H31" s="17" t="s">
        <v>349</v>
      </c>
      <c r="I31" s="17" t="s">
        <v>350</v>
      </c>
    </row>
    <row r="32" spans="2:9" ht="15" customHeight="1" x14ac:dyDescent="0.35">
      <c r="B32" s="3" t="s">
        <v>72</v>
      </c>
      <c r="C32" s="8">
        <v>0.3</v>
      </c>
      <c r="D32" s="2" t="s">
        <v>73</v>
      </c>
      <c r="F32" s="68">
        <f>F18</f>
        <v>0</v>
      </c>
      <c r="G32" s="67">
        <f t="shared" ref="G32:I35" si="0">G18-G11</f>
        <v>-768252.19147766102</v>
      </c>
      <c r="H32" s="67">
        <f t="shared" si="0"/>
        <v>-768252.19147766102</v>
      </c>
      <c r="I32" s="67">
        <f t="shared" si="0"/>
        <v>-768252.19147766102</v>
      </c>
    </row>
    <row r="33" spans="2:9" ht="15" customHeight="1" x14ac:dyDescent="0.35">
      <c r="B33" s="3" t="s">
        <v>74</v>
      </c>
      <c r="C33" s="8">
        <v>0.5</v>
      </c>
      <c r="D33" s="2" t="s">
        <v>75</v>
      </c>
      <c r="F33" s="68">
        <f>F19</f>
        <v>0.25</v>
      </c>
      <c r="G33" s="67">
        <f t="shared" si="0"/>
        <v>-1370566.9381479947</v>
      </c>
      <c r="H33" s="67">
        <f t="shared" si="0"/>
        <v>5279494.983356148</v>
      </c>
      <c r="I33" s="67">
        <f t="shared" si="0"/>
        <v>10947410.877064493</v>
      </c>
    </row>
    <row r="34" spans="2:9" ht="15" customHeight="1" x14ac:dyDescent="0.35">
      <c r="B34" s="3" t="s">
        <v>76</v>
      </c>
      <c r="C34" s="16">
        <v>12000</v>
      </c>
      <c r="D34" s="2" t="s">
        <v>356</v>
      </c>
      <c r="F34" s="68">
        <f>F20</f>
        <v>0.5</v>
      </c>
      <c r="G34" s="67">
        <f t="shared" si="0"/>
        <v>-939777.40231135534</v>
      </c>
      <c r="H34" s="67">
        <f t="shared" si="0"/>
        <v>10235770.634138266</v>
      </c>
      <c r="I34" s="67">
        <f t="shared" si="0"/>
        <v>15039809.923275877</v>
      </c>
    </row>
    <row r="35" spans="2:9" ht="15" customHeight="1" x14ac:dyDescent="0.35">
      <c r="B35" s="3" t="s">
        <v>77</v>
      </c>
      <c r="C35" s="8">
        <v>0.5</v>
      </c>
      <c r="D35" s="2" t="s">
        <v>357</v>
      </c>
      <c r="F35" s="68">
        <f>F21</f>
        <v>1</v>
      </c>
      <c r="G35" s="67">
        <f t="shared" si="0"/>
        <v>-252810.71869621566</v>
      </c>
      <c r="H35" s="67">
        <f t="shared" si="0"/>
        <v>16082945.89650929</v>
      </c>
      <c r="I35" s="67">
        <f t="shared" si="0"/>
        <v>18829723.496916249</v>
      </c>
    </row>
    <row r="36" spans="2:9" ht="15" customHeight="1" x14ac:dyDescent="0.35">
      <c r="B36" s="3" t="s">
        <v>78</v>
      </c>
      <c r="C36" s="8">
        <v>0.3</v>
      </c>
      <c r="D36" s="2"/>
    </row>
    <row r="37" spans="2:9" ht="15" customHeight="1" x14ac:dyDescent="0.35">
      <c r="B37" s="3" t="s">
        <v>79</v>
      </c>
      <c r="C37" s="8">
        <v>0.95</v>
      </c>
      <c r="D37" s="2"/>
      <c r="F37" s="3" t="s">
        <v>353</v>
      </c>
      <c r="G37" s="3" t="str">
        <f>COUNTIF(G18:I21,"&gt;0")&amp;" of 12 scenarios"</f>
        <v>12 of 12 scenarios</v>
      </c>
    </row>
    <row r="38" spans="2:9" ht="15" customHeight="1" x14ac:dyDescent="0.35">
      <c r="B38" s="3" t="s">
        <v>80</v>
      </c>
      <c r="C38" s="8">
        <v>0.02</v>
      </c>
      <c r="D38" s="2"/>
      <c r="F38" s="3" t="s">
        <v>354</v>
      </c>
      <c r="G38" s="3" t="str">
        <f>COUNTIF(G11:I14,"&gt;0")&amp;" of 12 scenarios"</f>
        <v>6 of 12 scenarios</v>
      </c>
    </row>
    <row r="39" spans="2:9" ht="15" customHeight="1" x14ac:dyDescent="0.35">
      <c r="B39" s="3" t="s">
        <v>81</v>
      </c>
      <c r="C39" s="8">
        <v>0.9</v>
      </c>
      <c r="D39" s="2"/>
      <c r="F39" s="90" t="s">
        <v>359</v>
      </c>
      <c r="G39" s="3" t="str">
        <f>COUNTIF(G25:I28,"&gt;0")&amp;" of 12 scenarios"</f>
        <v>12 of 12 scenarios</v>
      </c>
    </row>
    <row r="41" spans="2:9" x14ac:dyDescent="0.35">
      <c r="F41" s="2" t="s">
        <v>360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8"/>
  <sheetViews>
    <sheetView showGridLines="0" zoomScaleNormal="100" workbookViewId="0">
      <selection activeCell="K12" sqref="K12"/>
    </sheetView>
  </sheetViews>
  <sheetFormatPr defaultColWidth="8.6328125" defaultRowHeight="14.5" x14ac:dyDescent="0.35"/>
  <cols>
    <col min="1" max="1" width="3" customWidth="1"/>
    <col min="2" max="2" width="22" customWidth="1"/>
    <col min="3" max="3" width="16" customWidth="1"/>
    <col min="4" max="7" width="13" customWidth="1"/>
    <col min="8" max="8" width="55" customWidth="1"/>
  </cols>
  <sheetData>
    <row r="2" spans="2:8" ht="17.25" customHeight="1" x14ac:dyDescent="0.4">
      <c r="B2" s="1" t="s">
        <v>82</v>
      </c>
    </row>
    <row r="3" spans="2:8" ht="15" customHeight="1" x14ac:dyDescent="0.35">
      <c r="B3" s="2" t="s">
        <v>83</v>
      </c>
    </row>
    <row r="4" spans="2:8" ht="15" customHeight="1" x14ac:dyDescent="0.35">
      <c r="B4" s="2" t="s">
        <v>84</v>
      </c>
    </row>
    <row r="6" spans="2:8" ht="15" customHeight="1" x14ac:dyDescent="0.35">
      <c r="B6" s="6" t="s">
        <v>85</v>
      </c>
      <c r="C6" s="7"/>
      <c r="D6" s="7"/>
      <c r="E6" s="7"/>
      <c r="F6" s="7"/>
      <c r="G6" s="7"/>
      <c r="H6" s="7"/>
    </row>
    <row r="7" spans="2:8" ht="15" customHeight="1" x14ac:dyDescent="0.35">
      <c r="B7" s="3" t="s">
        <v>86</v>
      </c>
      <c r="C7" s="2" t="s">
        <v>87</v>
      </c>
    </row>
    <row r="8" spans="2:8" ht="44.5" customHeight="1" x14ac:dyDescent="0.35">
      <c r="B8" s="17" t="s">
        <v>88</v>
      </c>
      <c r="C8" s="17" t="s">
        <v>89</v>
      </c>
      <c r="D8" s="17" t="s">
        <v>90</v>
      </c>
      <c r="E8" s="17" t="s">
        <v>91</v>
      </c>
      <c r="F8" s="17" t="s">
        <v>92</v>
      </c>
      <c r="G8" s="17" t="s">
        <v>93</v>
      </c>
      <c r="H8" s="92" t="s">
        <v>159</v>
      </c>
    </row>
    <row r="9" spans="2:8" ht="15" customHeight="1" x14ac:dyDescent="0.35">
      <c r="B9" s="18" t="s">
        <v>94</v>
      </c>
      <c r="C9" s="19" t="s">
        <v>95</v>
      </c>
      <c r="D9" s="20">
        <v>36.175496869914397</v>
      </c>
      <c r="E9" s="20">
        <v>106.647084447761</v>
      </c>
      <c r="F9" s="20">
        <v>123.726482920496</v>
      </c>
      <c r="G9" s="20">
        <v>20.551544113210401</v>
      </c>
      <c r="H9" s="93">
        <f>SUM(D9:G9)</f>
        <v>287.10060835138182</v>
      </c>
    </row>
    <row r="10" spans="2:8" ht="15" customHeight="1" x14ac:dyDescent="0.35">
      <c r="B10" s="18" t="s">
        <v>96</v>
      </c>
      <c r="C10" s="19" t="s">
        <v>97</v>
      </c>
      <c r="D10" s="20">
        <v>42.8051506068728</v>
      </c>
      <c r="E10" s="20">
        <v>126.191618818284</v>
      </c>
      <c r="F10" s="20">
        <v>146.401050261042</v>
      </c>
      <c r="G10" s="20">
        <v>24.317895180076398</v>
      </c>
      <c r="H10" s="93">
        <f t="shared" ref="H10:H11" si="0">SUM(D10:G10)</f>
        <v>339.71571486627516</v>
      </c>
    </row>
    <row r="11" spans="2:8" ht="15" customHeight="1" x14ac:dyDescent="0.35">
      <c r="B11" s="18" t="s">
        <v>98</v>
      </c>
      <c r="C11" s="19" t="s">
        <v>99</v>
      </c>
      <c r="D11" s="20">
        <v>40.009437343712797</v>
      </c>
      <c r="E11" s="20">
        <v>117.949723218616</v>
      </c>
      <c r="F11" s="20">
        <v>136.83922529015501</v>
      </c>
      <c r="G11" s="20">
        <v>22.729631592092201</v>
      </c>
      <c r="H11" s="93">
        <f t="shared" si="0"/>
        <v>317.52801744457599</v>
      </c>
    </row>
    <row r="12" spans="2:8" x14ac:dyDescent="0.35">
      <c r="H12" s="71"/>
    </row>
    <row r="13" spans="2:8" ht="15" customHeight="1" x14ac:dyDescent="0.35">
      <c r="B13" s="6" t="s">
        <v>100</v>
      </c>
      <c r="C13" s="7"/>
      <c r="D13" s="7"/>
      <c r="E13" s="7"/>
      <c r="F13" s="7"/>
      <c r="G13" s="7"/>
      <c r="H13" s="7"/>
    </row>
    <row r="14" spans="2:8" ht="15" customHeight="1" x14ac:dyDescent="0.35">
      <c r="B14" s="2"/>
    </row>
    <row r="15" spans="2:8" ht="30" customHeight="1" x14ac:dyDescent="0.35">
      <c r="B15" s="17" t="s">
        <v>101</v>
      </c>
      <c r="C15" s="17" t="s">
        <v>102</v>
      </c>
      <c r="D15" s="17" t="s">
        <v>90</v>
      </c>
      <c r="E15" s="17" t="s">
        <v>91</v>
      </c>
      <c r="F15" s="17" t="s">
        <v>92</v>
      </c>
      <c r="G15" s="17" t="s">
        <v>93</v>
      </c>
      <c r="H15" s="17" t="s">
        <v>103</v>
      </c>
    </row>
    <row r="16" spans="2:8" ht="15" customHeight="1" x14ac:dyDescent="0.35">
      <c r="B16" s="19" t="s">
        <v>104</v>
      </c>
      <c r="C16" s="18" t="s">
        <v>105</v>
      </c>
      <c r="D16" s="21">
        <v>0.98982624281990295</v>
      </c>
      <c r="E16" s="21">
        <v>0.98982624281990295</v>
      </c>
      <c r="F16" s="21">
        <v>0.98982624281990395</v>
      </c>
      <c r="G16" s="21">
        <v>0.98982624281990395</v>
      </c>
      <c r="H16" s="22" t="s">
        <v>106</v>
      </c>
    </row>
    <row r="17" spans="2:9" ht="15" customHeight="1" x14ac:dyDescent="0.35">
      <c r="B17" s="19" t="s">
        <v>104</v>
      </c>
      <c r="C17" s="18" t="s">
        <v>107</v>
      </c>
      <c r="D17" s="21">
        <v>1.1906804269762199</v>
      </c>
      <c r="E17" s="21">
        <v>1.1906804269762199</v>
      </c>
      <c r="F17" s="21">
        <v>1.1906804269762199</v>
      </c>
      <c r="G17" s="21">
        <v>1.1906804269762199</v>
      </c>
      <c r="H17" s="22" t="s">
        <v>106</v>
      </c>
    </row>
    <row r="18" spans="2:9" ht="15" customHeight="1" x14ac:dyDescent="0.35">
      <c r="B18" s="19" t="s">
        <v>108</v>
      </c>
      <c r="C18" s="18" t="s">
        <v>109</v>
      </c>
      <c r="D18" s="21">
        <v>4.3562312213391099</v>
      </c>
      <c r="E18" s="21">
        <v>4.3562312213391099</v>
      </c>
      <c r="F18" s="21">
        <v>4.3562312213391099</v>
      </c>
      <c r="G18" s="21">
        <v>4.3562312213391099</v>
      </c>
      <c r="H18" s="22" t="s">
        <v>110</v>
      </c>
    </row>
    <row r="19" spans="2:9" ht="15" customHeight="1" x14ac:dyDescent="0.35">
      <c r="B19" s="19" t="s">
        <v>111</v>
      </c>
      <c r="C19" s="18" t="s">
        <v>112</v>
      </c>
      <c r="D19" s="21">
        <v>1.9771404201318099</v>
      </c>
      <c r="E19" s="21">
        <v>1.9459582144513401</v>
      </c>
      <c r="F19" s="21">
        <v>2.5135188217196598</v>
      </c>
      <c r="G19" s="21">
        <v>3.16845056067557</v>
      </c>
      <c r="H19" s="22" t="s">
        <v>113</v>
      </c>
    </row>
    <row r="20" spans="2:9" ht="15" customHeight="1" x14ac:dyDescent="0.35">
      <c r="B20" s="19" t="s">
        <v>111</v>
      </c>
      <c r="C20" s="18" t="s">
        <v>114</v>
      </c>
      <c r="D20" s="21">
        <v>1.7006219753182299</v>
      </c>
      <c r="E20" s="21">
        <v>1.6738008433039699</v>
      </c>
      <c r="F20" s="21">
        <v>2.1619836912278898</v>
      </c>
      <c r="G20" s="21">
        <v>2.7253181394344401</v>
      </c>
      <c r="H20" s="22" t="s">
        <v>113</v>
      </c>
    </row>
    <row r="21" spans="2:9" ht="15" customHeight="1" x14ac:dyDescent="0.35">
      <c r="B21" s="19" t="s">
        <v>111</v>
      </c>
      <c r="C21" s="18" t="s">
        <v>115</v>
      </c>
      <c r="D21" s="21">
        <v>1.95077419049637</v>
      </c>
      <c r="E21" s="21">
        <v>1.9200078162799401</v>
      </c>
      <c r="F21" s="21">
        <v>2.4799996979530001</v>
      </c>
      <c r="G21" s="21">
        <v>3.1261975703362501</v>
      </c>
      <c r="H21" s="22" t="s">
        <v>113</v>
      </c>
    </row>
    <row r="22" spans="2:9" ht="15" customHeight="1" x14ac:dyDescent="0.35">
      <c r="B22" s="19" t="s">
        <v>111</v>
      </c>
      <c r="C22" s="18" t="s">
        <v>116</v>
      </c>
      <c r="D22" s="21">
        <v>2.2239289154388602</v>
      </c>
      <c r="E22" s="21">
        <v>2.18885451801426</v>
      </c>
      <c r="F22" s="21">
        <v>2.8272585650489699</v>
      </c>
      <c r="G22" s="21">
        <v>3.5639394892119598</v>
      </c>
      <c r="H22" s="22" t="s">
        <v>113</v>
      </c>
      <c r="I22" s="89"/>
    </row>
    <row r="23" spans="2:9" ht="15" customHeight="1" x14ac:dyDescent="0.35">
      <c r="B23" s="19" t="s">
        <v>117</v>
      </c>
      <c r="C23" s="18" t="s">
        <v>118</v>
      </c>
      <c r="D23" s="21">
        <v>1.5400747552012299</v>
      </c>
      <c r="E23" s="21">
        <v>1.5400747552012299</v>
      </c>
      <c r="F23" s="21">
        <v>1.5400747552012299</v>
      </c>
      <c r="G23" s="21">
        <v>1.5400747552012299</v>
      </c>
      <c r="H23" s="22" t="s">
        <v>119</v>
      </c>
    </row>
    <row r="24" spans="2:9" ht="15" customHeight="1" x14ac:dyDescent="0.35">
      <c r="B24" s="19" t="s">
        <v>120</v>
      </c>
      <c r="C24" s="18" t="s">
        <v>121</v>
      </c>
      <c r="D24" s="21">
        <v>1.12144800201769</v>
      </c>
      <c r="E24" s="21">
        <v>1.12144800201769</v>
      </c>
      <c r="F24" s="21">
        <v>1.12144800201769</v>
      </c>
      <c r="G24" s="21">
        <v>1.12144800201769</v>
      </c>
      <c r="H24" s="22" t="s">
        <v>122</v>
      </c>
    </row>
    <row r="25" spans="2:9" ht="15" customHeight="1" x14ac:dyDescent="0.35">
      <c r="B25" s="19" t="s">
        <v>120</v>
      </c>
      <c r="C25" s="18" t="s">
        <v>123</v>
      </c>
      <c r="D25" s="21">
        <v>1.01762556011242</v>
      </c>
      <c r="E25" s="21">
        <v>1.01762556011242</v>
      </c>
      <c r="F25" s="21">
        <v>1.01762556011242</v>
      </c>
      <c r="G25" s="21">
        <v>1.01762556011242</v>
      </c>
      <c r="H25" s="22" t="s">
        <v>122</v>
      </c>
    </row>
    <row r="26" spans="2:9" ht="15" customHeight="1" x14ac:dyDescent="0.35">
      <c r="B26" s="19" t="s">
        <v>120</v>
      </c>
      <c r="C26" s="18" t="s">
        <v>124</v>
      </c>
      <c r="D26" s="21">
        <v>0.87654761766211098</v>
      </c>
      <c r="E26" s="21">
        <v>0.87654761766211098</v>
      </c>
      <c r="F26" s="21">
        <v>0.87654761766211098</v>
      </c>
      <c r="G26" s="21">
        <v>0.87654761766211098</v>
      </c>
      <c r="H26" s="22" t="s">
        <v>122</v>
      </c>
    </row>
    <row r="28" spans="2:9" ht="15" customHeight="1" x14ac:dyDescent="0.35">
      <c r="B2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5"/>
  <sheetViews>
    <sheetView showGridLines="0" zoomScaleNormal="100" workbookViewId="0">
      <selection activeCell="C15" sqref="C15"/>
    </sheetView>
  </sheetViews>
  <sheetFormatPr defaultColWidth="8.6328125" defaultRowHeight="14.5" x14ac:dyDescent="0.35"/>
  <cols>
    <col min="1" max="1" width="3" customWidth="1"/>
    <col min="2" max="2" width="40" customWidth="1"/>
    <col min="3" max="3" width="14" customWidth="1"/>
    <col min="4" max="4" width="60" customWidth="1"/>
    <col min="5" max="5" width="8.453125" bestFit="1" customWidth="1"/>
    <col min="6" max="6" width="8.26953125" bestFit="1" customWidth="1"/>
    <col min="7" max="7" width="6.6328125" bestFit="1" customWidth="1"/>
    <col min="8" max="8" width="11.26953125" bestFit="1" customWidth="1"/>
  </cols>
  <sheetData>
    <row r="2" spans="2:4" ht="17.25" customHeight="1" x14ac:dyDescent="0.4">
      <c r="B2" s="1" t="s">
        <v>125</v>
      </c>
    </row>
    <row r="3" spans="2:4" ht="15" customHeight="1" x14ac:dyDescent="0.35">
      <c r="B3" s="2" t="s">
        <v>126</v>
      </c>
    </row>
    <row r="5" spans="2:4" ht="15" customHeight="1" x14ac:dyDescent="0.35">
      <c r="B5" s="6" t="s">
        <v>127</v>
      </c>
      <c r="C5" s="7"/>
      <c r="D5" s="7"/>
    </row>
    <row r="6" spans="2:4" ht="15" customHeight="1" x14ac:dyDescent="0.35">
      <c r="B6" s="23" t="s">
        <v>128</v>
      </c>
      <c r="C6" s="24">
        <f>PREMIUM_TAX</f>
        <v>1.7999999999999999E-2</v>
      </c>
      <c r="D6" s="2" t="s">
        <v>129</v>
      </c>
    </row>
    <row r="7" spans="2:4" ht="15" customHeight="1" x14ac:dyDescent="0.35">
      <c r="B7" s="23" t="s">
        <v>130</v>
      </c>
      <c r="C7" s="24">
        <f>OTHER_VARIABLE</f>
        <v>9.0999999999999998E-2</v>
      </c>
      <c r="D7" s="2" t="s">
        <v>131</v>
      </c>
    </row>
    <row r="8" spans="2:4" ht="15" customHeight="1" x14ac:dyDescent="0.35">
      <c r="B8" s="23" t="s">
        <v>132</v>
      </c>
      <c r="C8" s="24">
        <f>EXPECTED_NB_SHARE*COMMISSION_NB+(1-EXPECTED_NB_SHARE)*COMMISSION_RN</f>
        <v>9.4E-2</v>
      </c>
      <c r="D8" s="81" t="s">
        <v>362</v>
      </c>
    </row>
    <row r="9" spans="2:4" ht="15" customHeight="1" x14ac:dyDescent="0.35">
      <c r="B9" s="3" t="s">
        <v>133</v>
      </c>
      <c r="C9" s="24">
        <f>VAR_EXPENSE</f>
        <v>0.20300000000000001</v>
      </c>
      <c r="D9" s="2" t="s">
        <v>134</v>
      </c>
    </row>
    <row r="10" spans="2:4" ht="15" customHeight="1" x14ac:dyDescent="0.35">
      <c r="B10" s="23" t="s">
        <v>135</v>
      </c>
      <c r="C10" s="24">
        <f>PROFIT_LOAD</f>
        <v>7.6999999999999999E-2</v>
      </c>
      <c r="D10" s="2" t="s">
        <v>136</v>
      </c>
    </row>
    <row r="11" spans="2:4" ht="15" customHeight="1" x14ac:dyDescent="0.35">
      <c r="B11" s="3" t="s">
        <v>55</v>
      </c>
      <c r="C11" s="24">
        <f>PERMISSIBLE</f>
        <v>0.72</v>
      </c>
      <c r="D11" s="2" t="s">
        <v>137</v>
      </c>
    </row>
    <row r="13" spans="2:4" ht="15" customHeight="1" x14ac:dyDescent="0.35">
      <c r="B13" s="6" t="s">
        <v>138</v>
      </c>
      <c r="C13" s="7"/>
      <c r="D13" s="7"/>
    </row>
    <row r="14" spans="2:4" ht="15" customHeight="1" x14ac:dyDescent="0.35">
      <c r="B14" s="23" t="s">
        <v>57</v>
      </c>
      <c r="C14" s="25">
        <f>TREND_FACTOR</f>
        <v>1.0453358312044987</v>
      </c>
      <c r="D14" s="2" t="s">
        <v>139</v>
      </c>
    </row>
    <row r="15" spans="2:4" ht="15" customHeight="1" x14ac:dyDescent="0.35">
      <c r="B15" s="23" t="s">
        <v>140</v>
      </c>
      <c r="C15" s="24">
        <f>LAE_RATIO</f>
        <v>0.12</v>
      </c>
      <c r="D15" s="2" t="s">
        <v>141</v>
      </c>
    </row>
    <row r="16" spans="2:4" ht="15" customHeight="1" x14ac:dyDescent="0.35">
      <c r="B16" s="3" t="s">
        <v>59</v>
      </c>
      <c r="C16" s="25">
        <f>GROSS_MULT</f>
        <v>1.6260779596514425</v>
      </c>
      <c r="D16" s="2" t="s">
        <v>142</v>
      </c>
    </row>
    <row r="17" spans="2:8" ht="15" customHeight="1" x14ac:dyDescent="0.35">
      <c r="B17" s="3" t="s">
        <v>143</v>
      </c>
      <c r="C17" s="26">
        <f>POLICY_FEE</f>
        <v>41.666666666666671</v>
      </c>
      <c r="D17" s="2" t="s">
        <v>144</v>
      </c>
    </row>
    <row r="19" spans="2:8" ht="15" customHeight="1" x14ac:dyDescent="0.35">
      <c r="B19" s="6" t="s">
        <v>145</v>
      </c>
      <c r="C19" s="7"/>
      <c r="D19" s="7"/>
    </row>
    <row r="20" spans="2:8" ht="41.5" customHeight="1" x14ac:dyDescent="0.35">
      <c r="B20" s="17" t="s">
        <v>88</v>
      </c>
      <c r="C20" s="17" t="s">
        <v>90</v>
      </c>
      <c r="D20" s="17" t="s">
        <v>91</v>
      </c>
      <c r="E20" s="17" t="s">
        <v>92</v>
      </c>
      <c r="F20" s="17" t="s">
        <v>93</v>
      </c>
      <c r="G20" s="17" t="s">
        <v>143</v>
      </c>
      <c r="H20" s="17" t="s">
        <v>146</v>
      </c>
    </row>
    <row r="21" spans="2:8" ht="15" customHeight="1" x14ac:dyDescent="0.35">
      <c r="B21" s="18" t="s">
        <v>94</v>
      </c>
      <c r="C21" s="26">
        <f>ModelOutput!$D$9*GROSS_MULT</f>
        <v>58.824178139607547</v>
      </c>
      <c r="D21" s="26">
        <f>ModelOutput!$E$9*GROSS_MULT</f>
        <v>173.41647348159029</v>
      </c>
      <c r="E21" s="26">
        <f>ModelOutput!$F$9*GROSS_MULT</f>
        <v>201.18890690220917</v>
      </c>
      <c r="F21" s="26">
        <f>ModelOutput!$G$9*GROSS_MULT</f>
        <v>33.418412919295783</v>
      </c>
      <c r="G21" s="26">
        <f>POLICY_FEE</f>
        <v>41.666666666666671</v>
      </c>
      <c r="H21" s="27">
        <f>SUM(C21:G21)</f>
        <v>508.51463810936946</v>
      </c>
    </row>
    <row r="22" spans="2:8" ht="15" customHeight="1" x14ac:dyDescent="0.35">
      <c r="B22" s="18" t="s">
        <v>96</v>
      </c>
      <c r="C22" s="26">
        <f>ModelOutput!$D$10*GROSS_MULT</f>
        <v>69.604511961396426</v>
      </c>
      <c r="D22" s="26">
        <f>ModelOutput!$E$10*GROSS_MULT</f>
        <v>205.19741005314782</v>
      </c>
      <c r="E22" s="26">
        <f>ModelOutput!$F$10*GROSS_MULT</f>
        <v>238.05952109930345</v>
      </c>
      <c r="F22" s="26">
        <f>ModelOutput!$G$10*GROSS_MULT</f>
        <v>39.542793377436276</v>
      </c>
      <c r="G22" s="26">
        <f>POLICY_FEE</f>
        <v>41.666666666666671</v>
      </c>
      <c r="H22" s="27">
        <f>SUM(C22:G22)</f>
        <v>594.07090315795062</v>
      </c>
    </row>
    <row r="23" spans="2:8" ht="15" customHeight="1" x14ac:dyDescent="0.35">
      <c r="B23" s="18" t="s">
        <v>98</v>
      </c>
      <c r="C23" s="26">
        <f>ModelOutput!$D$11*GROSS_MULT</f>
        <v>65.05846424266673</v>
      </c>
      <c r="D23" s="26">
        <f>ModelOutput!$E$11*GROSS_MULT</f>
        <v>191.79544527277949</v>
      </c>
      <c r="E23" s="26">
        <f>ModelOutput!$F$11*GROSS_MULT</f>
        <v>222.51124826009934</v>
      </c>
      <c r="F23" s="26">
        <f>ModelOutput!$G$11*GROSS_MULT</f>
        <v>36.960152962898256</v>
      </c>
      <c r="G23" s="26">
        <f>POLICY_FEE</f>
        <v>41.666666666666671</v>
      </c>
      <c r="H23" s="27">
        <f>SUM(C23:G23)</f>
        <v>557.99197740511045</v>
      </c>
    </row>
    <row r="24" spans="2:8" x14ac:dyDescent="0.35">
      <c r="H24" s="71"/>
    </row>
    <row r="25" spans="2:8" ht="15" customHeight="1" x14ac:dyDescent="0.35">
      <c r="B25" s="81" t="s">
        <v>361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showGridLines="0" zoomScaleNormal="100" workbookViewId="0">
      <selection activeCell="I33" sqref="I33"/>
    </sheetView>
  </sheetViews>
  <sheetFormatPr defaultColWidth="8.6328125" defaultRowHeight="14.5" x14ac:dyDescent="0.35"/>
  <cols>
    <col min="1" max="1" width="3" customWidth="1"/>
    <col min="2" max="2" width="26" customWidth="1"/>
    <col min="3" max="3" width="22.36328125" bestFit="1" customWidth="1"/>
    <col min="4" max="4" width="13" customWidth="1"/>
    <col min="5" max="5" width="18.6328125" customWidth="1"/>
    <col min="6" max="7" width="13" customWidth="1"/>
    <col min="8" max="8" width="15" customWidth="1"/>
    <col min="9" max="9" width="40" customWidth="1"/>
  </cols>
  <sheetData>
    <row r="2" spans="2:9" ht="17.25" customHeight="1" x14ac:dyDescent="0.4">
      <c r="B2" s="1" t="s">
        <v>147</v>
      </c>
    </row>
    <row r="3" spans="2:9" ht="15" customHeight="1" x14ac:dyDescent="0.35">
      <c r="B3" s="2"/>
    </row>
    <row r="5" spans="2:9" ht="15" customHeight="1" x14ac:dyDescent="0.35">
      <c r="B5" s="6" t="s">
        <v>148</v>
      </c>
      <c r="C5" s="7"/>
      <c r="D5" s="7"/>
      <c r="E5" s="7"/>
      <c r="F5" s="7"/>
      <c r="G5" s="7"/>
      <c r="H5" s="7"/>
      <c r="I5" s="7"/>
    </row>
    <row r="6" spans="2:9" ht="15" customHeight="1" x14ac:dyDescent="0.35">
      <c r="B6" s="3" t="s">
        <v>149</v>
      </c>
      <c r="C6" s="28" t="s">
        <v>97</v>
      </c>
    </row>
    <row r="7" spans="2:9" ht="15" customHeight="1" x14ac:dyDescent="0.35">
      <c r="B7" s="3" t="s">
        <v>150</v>
      </c>
      <c r="C7" s="28" t="s">
        <v>110</v>
      </c>
    </row>
    <row r="8" spans="2:9" ht="15" customHeight="1" x14ac:dyDescent="0.35">
      <c r="B8" s="3" t="s">
        <v>151</v>
      </c>
      <c r="C8" s="28" t="s">
        <v>113</v>
      </c>
    </row>
    <row r="9" spans="2:9" ht="15" customHeight="1" x14ac:dyDescent="0.35">
      <c r="B9" s="3" t="s">
        <v>152</v>
      </c>
      <c r="C9" s="28" t="s">
        <v>210</v>
      </c>
    </row>
    <row r="10" spans="2:9" ht="15" customHeight="1" x14ac:dyDescent="0.35">
      <c r="B10" s="3" t="s">
        <v>153</v>
      </c>
      <c r="C10" s="28" t="s">
        <v>124</v>
      </c>
    </row>
    <row r="12" spans="2:9" ht="15" customHeight="1" x14ac:dyDescent="0.35">
      <c r="B12" s="3" t="s">
        <v>154</v>
      </c>
      <c r="C12" s="29">
        <f>IF(OR($C$6="Freshman",$C$6="Sophomore"),1,IF($C$6="Junior",2,3))</f>
        <v>2</v>
      </c>
    </row>
    <row r="13" spans="2:9" ht="15" customHeight="1" x14ac:dyDescent="0.35">
      <c r="B13" s="3" t="s">
        <v>155</v>
      </c>
      <c r="C13" s="19" t="str">
        <f>IF($C$6="Sophomore","Sophomore",IF($C$6="Grad student","Grad","Base"))</f>
        <v>Base</v>
      </c>
    </row>
    <row r="15" spans="2:9" ht="15" customHeight="1" x14ac:dyDescent="0.35">
      <c r="B15" s="6" t="s">
        <v>156</v>
      </c>
      <c r="C15" s="7"/>
      <c r="D15" s="7"/>
      <c r="E15" s="7"/>
      <c r="F15" s="7"/>
      <c r="G15" s="7"/>
      <c r="H15" s="7"/>
      <c r="I15" s="7"/>
    </row>
    <row r="16" spans="2:9" ht="49.5" customHeight="1" x14ac:dyDescent="0.35">
      <c r="B16" s="17" t="s">
        <v>157</v>
      </c>
      <c r="C16" s="17" t="s">
        <v>158</v>
      </c>
      <c r="D16" s="17" t="s">
        <v>90</v>
      </c>
      <c r="E16" s="17" t="s">
        <v>91</v>
      </c>
      <c r="F16" s="17" t="s">
        <v>92</v>
      </c>
      <c r="G16" s="17" t="s">
        <v>93</v>
      </c>
      <c r="H16" s="17" t="s">
        <v>159</v>
      </c>
    </row>
    <row r="17" spans="2:9" ht="15" customHeight="1" x14ac:dyDescent="0.35">
      <c r="B17" s="23" t="s">
        <v>160</v>
      </c>
      <c r="C17" s="2" t="s">
        <v>5</v>
      </c>
      <c r="D17" s="26">
        <f>INDEX(ModelOutput!$D$9:$D$11,MATCH("Tier "&amp;$C$12,ModelOutput!$B$9:$B$11,0))</f>
        <v>42.8051506068728</v>
      </c>
      <c r="E17" s="26">
        <f>INDEX(ModelOutput!$E$9:$E$11,MATCH("Tier "&amp;$C$12,ModelOutput!$B$9:$B$11,0))</f>
        <v>126.191618818284</v>
      </c>
      <c r="F17" s="26">
        <f>INDEX(ModelOutput!$F$9:$F$11,MATCH("Tier "&amp;$C$12,ModelOutput!$B$9:$B$11,0))</f>
        <v>146.401050261042</v>
      </c>
      <c r="G17" s="26">
        <f>INDEX(ModelOutput!$G$9:$G$11,MATCH("Tier "&amp;$C$12,ModelOutput!$B$9:$B$11,0))</f>
        <v>24.317895180076398</v>
      </c>
    </row>
    <row r="18" spans="2:9" ht="15" customHeight="1" x14ac:dyDescent="0.35">
      <c r="B18" s="23" t="s">
        <v>161</v>
      </c>
      <c r="C18" s="2" t="s">
        <v>5</v>
      </c>
      <c r="D18" s="13">
        <f>IF($C$13="Base",1,INDEX(ModelOutput!$D$16:$D$26,MATCH($C$13,ModelOutput!$C$16:$C$26,0)))</f>
        <v>1</v>
      </c>
      <c r="E18" s="13">
        <f>IF($C$13="Base",1,INDEX(ModelOutput!$E$16:$E$26,MATCH($C$13,ModelOutput!$C$16:$C$26,0)))</f>
        <v>1</v>
      </c>
      <c r="F18" s="13">
        <f>IF($C$13="Base",1,INDEX(ModelOutput!$F$16:$F$26,MATCH($C$13,ModelOutput!$C$16:$C$26,0)))</f>
        <v>1</v>
      </c>
      <c r="G18" s="13">
        <f>IF($C$13="Base",1,INDEX(ModelOutput!$G$16:$G$26,MATCH($C$13,ModelOutput!$C$16:$C$26,0)))</f>
        <v>1</v>
      </c>
    </row>
    <row r="19" spans="2:9" ht="15" customHeight="1" x14ac:dyDescent="0.35">
      <c r="B19" s="23" t="s">
        <v>162</v>
      </c>
      <c r="C19" s="2" t="s">
        <v>5</v>
      </c>
      <c r="D19" s="13">
        <f>IF($C$7="Non-greek",1,INDEX(ModelOutput!$D$16:$D$26,MATCH($C$7,ModelOutput!$C$16:$C$26,0)))</f>
        <v>1</v>
      </c>
      <c r="E19" s="13">
        <f>IF($C$7="Non-greek",1,INDEX(ModelOutput!$E$16:$E$26,MATCH($C$7,ModelOutput!$C$16:$C$26,0)))</f>
        <v>1</v>
      </c>
      <c r="F19" s="13">
        <f>IF($C$7="Non-greek",1,INDEX(ModelOutput!$F$16:$F$26,MATCH($C$7,ModelOutput!$C$16:$C$26,0)))</f>
        <v>1</v>
      </c>
      <c r="G19" s="13">
        <f>IF($C$7="Non-greek",1,INDEX(ModelOutput!$G$16:$G$26,MATCH($C$7,ModelOutput!$C$16:$C$26,0)))</f>
        <v>1</v>
      </c>
    </row>
    <row r="20" spans="2:9" ht="15" customHeight="1" x14ac:dyDescent="0.35">
      <c r="B20" s="23" t="s">
        <v>163</v>
      </c>
      <c r="C20" s="2" t="s">
        <v>5</v>
      </c>
      <c r="D20" s="13">
        <f>IF($C$8="On campus",1,INDEX(ModelOutput!$D$16:$D$26,MATCH($C$8,ModelOutput!$C$16:$C$26,0)))</f>
        <v>1</v>
      </c>
      <c r="E20" s="13">
        <f>IF($C$8="On campus",1,INDEX(ModelOutput!$E$16:$E$26,MATCH($C$8,ModelOutput!$C$16:$C$26,0)))</f>
        <v>1</v>
      </c>
      <c r="F20" s="13">
        <f>IF($C$8="On campus",1,INDEX(ModelOutput!$F$16:$F$26,MATCH($C$8,ModelOutput!$C$16:$C$26,0)))</f>
        <v>1</v>
      </c>
      <c r="G20" s="13">
        <f>IF($C$8="On campus",1,INDEX(ModelOutput!$G$16:$G$26,MATCH($C$8,ModelOutput!$C$16:$C$26,0)))</f>
        <v>1</v>
      </c>
    </row>
    <row r="21" spans="2:9" ht="15" customHeight="1" x14ac:dyDescent="0.35">
      <c r="B21" s="23" t="s">
        <v>164</v>
      </c>
      <c r="C21" s="2" t="s">
        <v>5</v>
      </c>
      <c r="D21" s="13">
        <f>IF($C$9="Yes",1,INDEX(ModelOutput!$D$16:$D$26,MATCH($C$9,ModelOutput!$C$16:$C$26,0)))</f>
        <v>1</v>
      </c>
      <c r="E21" s="13">
        <f>IF($C$9="Yes",1,INDEX(ModelOutput!$E$16:$E$26,MATCH($C$9,ModelOutput!$C$16:$C$26,0)))</f>
        <v>1</v>
      </c>
      <c r="F21" s="13">
        <f>IF($C$9="Yes",1,INDEX(ModelOutput!$F$16:$F$26,MATCH($C$9,ModelOutput!$C$16:$C$26,0)))</f>
        <v>1</v>
      </c>
      <c r="G21" s="13">
        <f>IF($C$9="Yes",1,INDEX(ModelOutput!$G$16:$G$26,MATCH($C$9,ModelOutput!$C$16:$C$26,0)))</f>
        <v>1</v>
      </c>
    </row>
    <row r="22" spans="2:9" ht="15" customHeight="1" x14ac:dyDescent="0.35">
      <c r="B22" s="23" t="s">
        <v>165</v>
      </c>
      <c r="C22" s="2" t="s">
        <v>5</v>
      </c>
      <c r="D22" s="13">
        <f>IF($C$10="2.0-3.0",1,INDEX(ModelOutput!$D$16:$D$26,MATCH($C$10,ModelOutput!$C$16:$C$26,0)))</f>
        <v>0.87654761766211098</v>
      </c>
      <c r="E22" s="13">
        <f>IF($C$10="2.0-3.0",1,INDEX(ModelOutput!$E$16:$E$26,MATCH($C$10,ModelOutput!$C$16:$C$26,0)))</f>
        <v>0.87654761766211098</v>
      </c>
      <c r="F22" s="13">
        <f>IF($C$10="2.0-3.0",1,INDEX(ModelOutput!$F$16:$F$26,MATCH($C$10,ModelOutput!$C$16:$C$26,0)))</f>
        <v>0.87654761766211098</v>
      </c>
      <c r="G22" s="13">
        <f>IF($C$10="2.0-3.0",1,INDEX(ModelOutput!$G$16:$G$26,MATCH($C$10,ModelOutput!$C$16:$C$26,0)))</f>
        <v>0.87654761766211098</v>
      </c>
    </row>
    <row r="23" spans="2:9" ht="15" customHeight="1" x14ac:dyDescent="0.35">
      <c r="B23" s="3" t="s">
        <v>166</v>
      </c>
      <c r="C23" s="2" t="s">
        <v>167</v>
      </c>
      <c r="D23" s="30">
        <f>D17*D18*D19*D20*D21*D22</f>
        <v>37.520752788122216</v>
      </c>
      <c r="E23" s="30">
        <f>E17*E18*E19*E20*E21*E22</f>
        <v>110.61296284409205</v>
      </c>
      <c r="F23" s="30">
        <f>F17*F18*F19*F20*F21*F22</f>
        <v>128.32749182954734</v>
      </c>
      <c r="G23" s="30">
        <f>G17*G18*G19*G20*G21*G22</f>
        <v>21.315793086652899</v>
      </c>
      <c r="H23" s="30">
        <f>SUM(D23:G23)</f>
        <v>297.77700054841449</v>
      </c>
    </row>
    <row r="24" spans="2:9" ht="15" customHeight="1" x14ac:dyDescent="0.35">
      <c r="B24" s="23" t="s">
        <v>168</v>
      </c>
      <c r="C24" s="2" t="s">
        <v>313</v>
      </c>
      <c r="D24" s="25">
        <f>GROSS_MULT</f>
        <v>1.6260779596514425</v>
      </c>
      <c r="E24" s="25">
        <f>GROSS_MULT</f>
        <v>1.6260779596514425</v>
      </c>
      <c r="F24" s="25">
        <f>GROSS_MULT</f>
        <v>1.6260779596514425</v>
      </c>
      <c r="G24" s="25">
        <f>GROSS_MULT</f>
        <v>1.6260779596514425</v>
      </c>
    </row>
    <row r="25" spans="2:9" ht="15" customHeight="1" x14ac:dyDescent="0.35">
      <c r="B25" s="3" t="s">
        <v>169</v>
      </c>
      <c r="D25" s="27">
        <f>D23*D24</f>
        <v>61.01166913829595</v>
      </c>
      <c r="E25" s="27">
        <f>E23*E24</f>
        <v>179.86530093252202</v>
      </c>
      <c r="F25" s="27">
        <f>F23*F24</f>
        <v>208.67050608137751</v>
      </c>
      <c r="G25" s="27">
        <f>G23*G24</f>
        <v>34.661141330696871</v>
      </c>
      <c r="H25" s="27">
        <f>SUM(D25:G25)</f>
        <v>484.20861748289235</v>
      </c>
    </row>
    <row r="26" spans="2:9" ht="15" customHeight="1" x14ac:dyDescent="0.35">
      <c r="B26" s="23" t="s">
        <v>170</v>
      </c>
      <c r="C26" s="2" t="s">
        <v>4</v>
      </c>
      <c r="H26" s="26">
        <f>POLICY_FEE</f>
        <v>41.666666666666671</v>
      </c>
    </row>
    <row r="27" spans="2:9" ht="15" customHeight="1" x14ac:dyDescent="0.35">
      <c r="B27" s="31" t="s">
        <v>171</v>
      </c>
      <c r="H27" s="32">
        <f>H25+H26</f>
        <v>525.87528414955898</v>
      </c>
    </row>
    <row r="29" spans="2:9" ht="15" customHeight="1" x14ac:dyDescent="0.35">
      <c r="B29" s="6" t="s">
        <v>172</v>
      </c>
      <c r="C29" s="7"/>
      <c r="D29" s="7"/>
      <c r="E29" s="7"/>
      <c r="F29" s="7"/>
      <c r="G29" s="7"/>
      <c r="H29" s="7"/>
      <c r="I29" s="7"/>
    </row>
    <row r="30" spans="2:9" ht="15" customHeight="1" x14ac:dyDescent="0.35">
      <c r="B30" s="3" t="s">
        <v>173</v>
      </c>
      <c r="H30" s="14">
        <f>CURRENT_FLAT</f>
        <v>1426.2297754450396</v>
      </c>
      <c r="I30" s="2" t="s">
        <v>174</v>
      </c>
    </row>
    <row r="31" spans="2:9" ht="15" customHeight="1" x14ac:dyDescent="0.35">
      <c r="B31" s="3" t="s">
        <v>175</v>
      </c>
      <c r="H31" s="33">
        <f>H27/CURRENT_FLAT-1</f>
        <v>-0.63128291583628926</v>
      </c>
      <c r="I31" s="2" t="s">
        <v>176</v>
      </c>
    </row>
    <row r="32" spans="2:9" ht="15" customHeight="1" x14ac:dyDescent="0.35">
      <c r="B32" s="3" t="s">
        <v>177</v>
      </c>
      <c r="H32" s="14">
        <f>MEDIAN(CURRENT_FLAT*(1-CAP_DOWN),H27,CURRENT_FLAT*(1+CAP_UP))</f>
        <v>1069.6723315837799</v>
      </c>
      <c r="I32" s="2"/>
    </row>
    <row r="33" spans="2:9" ht="15" customHeight="1" x14ac:dyDescent="0.35">
      <c r="B33" s="3" t="s">
        <v>178</v>
      </c>
      <c r="H33" s="29">
        <f>IF(H27&gt;CURRENT_FLAT,ROUNDUP(LN(H27/CURRENT_FLAT)/LN(1+CAP_UP),0),IF(H27&lt;CURRENT_FLAT,ROUNDUP(LN(H27/CURRENT_FLAT)/LN(1-CAP_DOWN),0),0))</f>
        <v>4</v>
      </c>
      <c r="I33" s="2"/>
    </row>
  </sheetData>
  <dataValidations count="5">
    <dataValidation type="list" sqref="C6" xr:uid="{00000000-0002-0000-0400-000000000000}">
      <formula1>"Freshman,Sophomore,Junior,Senior,Grad student"</formula1>
      <formula2>0</formula2>
    </dataValidation>
    <dataValidation type="list" sqref="C7" xr:uid="{00000000-0002-0000-0400-000001000000}">
      <formula1>"Non-greek,Greek"</formula1>
      <formula2>0</formula2>
    </dataValidation>
    <dataValidation type="list" sqref="C8" xr:uid="{00000000-0002-0000-0400-000002000000}">
      <formula1>"On campus,Off 0-1mi,Off 1-3mi,Off 3-6mi,Off 6+mi"</formula1>
      <formula2>0</formula2>
    </dataValidation>
    <dataValidation type="list" sqref="C9" xr:uid="{00000000-0002-0000-0400-000003000000}">
      <formula1>"Yes,No"</formula1>
      <formula2>0</formula2>
    </dataValidation>
    <dataValidation type="list" sqref="C10" xr:uid="{00000000-0002-0000-0400-000004000000}">
      <formula1>"&lt;1.0,1.0-2.0,2.0-3.0,3.0+"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04"/>
  <sheetViews>
    <sheetView showGridLines="0" zoomScaleNormal="100" workbookViewId="0">
      <pane ySplit="4" topLeftCell="A5" activePane="bottomLeft" state="frozen"/>
      <selection pane="bottomLeft" activeCell="X5" sqref="X5"/>
    </sheetView>
  </sheetViews>
  <sheetFormatPr defaultColWidth="8.6328125" defaultRowHeight="14.5" x14ac:dyDescent="0.35"/>
  <cols>
    <col min="1" max="1" width="11" customWidth="1"/>
    <col min="2" max="2" width="13" customWidth="1"/>
    <col min="3" max="3" width="11" customWidth="1"/>
    <col min="4" max="4" width="10" customWidth="1"/>
    <col min="5" max="5" width="13" customWidth="1"/>
    <col min="6" max="6" width="6" customWidth="1"/>
    <col min="7" max="7" width="11" customWidth="1"/>
    <col min="8" max="8" width="16.81640625" customWidth="1"/>
    <col min="9" max="10" width="9" customWidth="1"/>
    <col min="11" max="11" width="10" customWidth="1"/>
    <col min="12" max="12" width="9" customWidth="1"/>
    <col min="13" max="17" width="10" customWidth="1"/>
    <col min="18" max="18" width="13.7265625" customWidth="1"/>
    <col min="19" max="20" width="10" customWidth="1"/>
    <col min="21" max="24" width="12" customWidth="1"/>
    <col min="25" max="25" width="13" customWidth="1"/>
    <col min="26" max="26" width="14" customWidth="1"/>
    <col min="27" max="27" width="12" customWidth="1"/>
    <col min="28" max="28" width="13" customWidth="1"/>
    <col min="29" max="29" width="11" customWidth="1"/>
    <col min="30" max="30" width="13" customWidth="1"/>
    <col min="31" max="31" width="11" customWidth="1"/>
    <col min="32" max="32" width="22.1796875" bestFit="1" customWidth="1"/>
    <col min="33" max="33" width="34" customWidth="1"/>
    <col min="34" max="34" width="16" customWidth="1"/>
  </cols>
  <sheetData>
    <row r="1" spans="1:34" ht="17.25" customHeight="1" x14ac:dyDescent="0.4">
      <c r="B1" s="1" t="s">
        <v>179</v>
      </c>
      <c r="AG1" s="3" t="s">
        <v>180</v>
      </c>
      <c r="AH1" s="34">
        <f>SUMPRODUCT($H$5:$H$404,$Z$5:$Z$404)/SUM($H$5:$H$404)</f>
        <v>1426.2297754450396</v>
      </c>
    </row>
    <row r="2" spans="1:34" ht="15" customHeight="1" x14ac:dyDescent="0.35">
      <c r="B2" s="2" t="s">
        <v>181</v>
      </c>
      <c r="AG2" s="3" t="s">
        <v>182</v>
      </c>
      <c r="AH2" s="35">
        <f>SUM($H$5:$H$404)</f>
        <v>10000</v>
      </c>
    </row>
    <row r="3" spans="1:34" ht="15" customHeight="1" x14ac:dyDescent="0.35">
      <c r="AG3" s="3" t="s">
        <v>183</v>
      </c>
      <c r="AH3" s="14">
        <f>SUMPRODUCT($H$5:$H$404,$Y$5:$Y$404)/SUM($H$5:$H$404)</f>
        <v>851.47400255960622</v>
      </c>
    </row>
    <row r="4" spans="1:34" ht="48" customHeight="1" x14ac:dyDescent="0.35">
      <c r="A4" s="17" t="s">
        <v>109</v>
      </c>
      <c r="B4" s="17" t="s">
        <v>151</v>
      </c>
      <c r="C4" s="17" t="s">
        <v>152</v>
      </c>
      <c r="D4" s="17" t="s">
        <v>153</v>
      </c>
      <c r="E4" s="17" t="s">
        <v>149</v>
      </c>
      <c r="F4" s="17" t="s">
        <v>88</v>
      </c>
      <c r="G4" s="17" t="s">
        <v>184</v>
      </c>
      <c r="H4" s="17" t="s">
        <v>185</v>
      </c>
      <c r="I4" s="17" t="s">
        <v>186</v>
      </c>
      <c r="J4" s="17" t="s">
        <v>187</v>
      </c>
      <c r="K4" s="17" t="s">
        <v>188</v>
      </c>
      <c r="L4" s="17" t="s">
        <v>189</v>
      </c>
      <c r="M4" s="17" t="s">
        <v>190</v>
      </c>
      <c r="N4" s="17" t="s">
        <v>191</v>
      </c>
      <c r="O4" s="17" t="s">
        <v>192</v>
      </c>
      <c r="P4" s="17" t="s">
        <v>193</v>
      </c>
      <c r="Q4" s="74" t="s">
        <v>194</v>
      </c>
      <c r="R4" s="74" t="s">
        <v>195</v>
      </c>
      <c r="S4" s="74" t="s">
        <v>196</v>
      </c>
      <c r="T4" s="74" t="s">
        <v>197</v>
      </c>
      <c r="U4" s="75" t="s">
        <v>198</v>
      </c>
      <c r="V4" s="75" t="s">
        <v>199</v>
      </c>
      <c r="W4" s="75" t="s">
        <v>200</v>
      </c>
      <c r="X4" s="75" t="s">
        <v>201</v>
      </c>
      <c r="Y4" s="17" t="s">
        <v>202</v>
      </c>
      <c r="Z4" s="17" t="s">
        <v>203</v>
      </c>
      <c r="AA4" s="17" t="s">
        <v>204</v>
      </c>
      <c r="AB4" s="17" t="s">
        <v>205</v>
      </c>
      <c r="AC4" s="17" t="s">
        <v>206</v>
      </c>
      <c r="AD4" s="17" t="s">
        <v>207</v>
      </c>
      <c r="AE4" s="17" t="s">
        <v>208</v>
      </c>
      <c r="AF4" s="80" t="s">
        <v>314</v>
      </c>
      <c r="AG4" s="3" t="s">
        <v>209</v>
      </c>
      <c r="AH4" s="36" cm="1">
        <f t="array" ref="AH4">SUMPRODUCT(MAX(ABS($AE$5:$AE$404)))</f>
        <v>2.8194335754960775E-11</v>
      </c>
    </row>
    <row r="5" spans="1:34" ht="15" customHeight="1" x14ac:dyDescent="0.35">
      <c r="A5" s="19" t="s">
        <v>110</v>
      </c>
      <c r="B5" s="19" t="s">
        <v>113</v>
      </c>
      <c r="C5" s="19" t="s">
        <v>210</v>
      </c>
      <c r="D5" s="19" t="s">
        <v>121</v>
      </c>
      <c r="E5" s="19" t="s">
        <v>95</v>
      </c>
      <c r="F5" s="19">
        <v>1</v>
      </c>
      <c r="G5" s="19" t="s">
        <v>211</v>
      </c>
      <c r="H5" s="16">
        <v>61</v>
      </c>
      <c r="I5" s="13">
        <f>IF($G5="Base",1,INDEX(ModelOutput!$D$16:$D$26,MATCH($G5,ModelOutput!$C$16:$C$26,0)))</f>
        <v>1</v>
      </c>
      <c r="J5" s="13">
        <f>IF($A5="Non-greek",1,INDEX(ModelOutput!$D$16:$D$26,MATCH($A5,ModelOutput!$C$16:$C$26,0)))</f>
        <v>1</v>
      </c>
      <c r="K5" s="13">
        <f>IF($C5="Yes",1,INDEX(ModelOutput!$D$16:$D$26,MATCH($C5,ModelOutput!$C$16:$C$26,0)))</f>
        <v>1</v>
      </c>
      <c r="L5" s="13">
        <f>IF($D5="2.0-3.0",1,INDEX(ModelOutput!$D$16:$D$26,MATCH($D5,ModelOutput!$C$16:$C$26,0)))</f>
        <v>1.12144800201769</v>
      </c>
      <c r="M5" s="13">
        <f>IF($B5="On campus",1,INDEX(ModelOutput!$D$16:$D$26,MATCH($B5,ModelOutput!$C$16:$C$26,0)))</f>
        <v>1</v>
      </c>
      <c r="N5" s="13">
        <f>IF($B5="On campus",1,INDEX(ModelOutput!$E$16:$E$26,MATCH($B5,ModelOutput!$C$16:$C$26,0)))</f>
        <v>1</v>
      </c>
      <c r="O5" s="13">
        <f>IF($B5="On campus",1,INDEX(ModelOutput!$F$16:$F$26,MATCH($B5,ModelOutput!$C$16:$C$26,0)))</f>
        <v>1</v>
      </c>
      <c r="P5" s="13">
        <f>IF($B5="On campus",1,INDEX(ModelOutput!$G$16:$G$26,MATCH($B5,ModelOutput!$C$16:$C$26,0)))</f>
        <v>1</v>
      </c>
      <c r="Q5" s="72">
        <f>INDEX(ModelOutput!$D$9:$D$11,MATCH("Tier "&amp;$F5,ModelOutput!$B$9:$B$11,0))</f>
        <v>36.175496869914397</v>
      </c>
      <c r="R5" s="72">
        <f>INDEX(ModelOutput!$E$9:$E$11,MATCH("Tier "&amp;$F5,ModelOutput!$B$9:$B$11,0))</f>
        <v>106.647084447761</v>
      </c>
      <c r="S5" s="72">
        <f>INDEX(ModelOutput!$F$9:$F$11,MATCH("Tier "&amp;$F5,ModelOutput!$B$9:$B$11,0))</f>
        <v>123.726482920496</v>
      </c>
      <c r="T5" s="72">
        <f>INDEX(ModelOutput!$G$9:$G$11,MATCH("Tier "&amp;$F5,ModelOutput!$B$9:$B$11,0))</f>
        <v>20.551544113210401</v>
      </c>
      <c r="U5" s="76">
        <f t="shared" ref="U5:U68" si="0">$Q5*$I5*$J5*$K5*$L5*$M5</f>
        <v>40.568938686762699</v>
      </c>
      <c r="V5" s="76">
        <f t="shared" ref="V5:V68" si="1">$R5*$I5*$J5*$K5*$L5*$N5</f>
        <v>119.59915977495343</v>
      </c>
      <c r="W5" s="76">
        <f t="shared" ref="W5:W68" si="2">$S5*$I5*$J5*$K5*$L5*$O5</f>
        <v>138.75281706786609</v>
      </c>
      <c r="X5" s="76">
        <f t="shared" ref="X5:X68" si="3">$T5*$I5*$J5*$K5*$L5*$P5</f>
        <v>23.047488084138223</v>
      </c>
      <c r="Y5" s="27">
        <f t="shared" ref="Y5:Y68" si="4">SUM(U5:X5)</f>
        <v>321.9684036137204</v>
      </c>
      <c r="Z5" s="27">
        <f t="shared" ref="Z5:Z68" si="5">$Y5*GROSS_MULT+POLICY_FEE</f>
        <v>565.21239148709719</v>
      </c>
      <c r="AA5" s="33">
        <f t="shared" ref="AA5:AA68" si="6">$Z5/CURRENT_FLAT-1</f>
        <v>-0.60370173080229739</v>
      </c>
      <c r="AB5" s="14">
        <f t="shared" ref="AB5:AB68" si="7">MEDIAN(CURRENT_FLAT*(1-CAP_DOWN),$Z5,CURRENT_FLAT*(1+CAP_UP))</f>
        <v>1069.6723315837799</v>
      </c>
      <c r="AC5" s="29">
        <f t="shared" ref="AC5:AC68" si="8">IF($Z5&gt;CURRENT_FLAT,ROUNDUP(LN($Z5/CURRENT_FLAT)/LN(1+CAP_UP),0),IF($Z5&lt;CURRENT_FLAT,ROUNDUP(LN($Z5/CURRENT_FLAT)/LN(1-CAP_DOWN),0),0))</f>
        <v>4</v>
      </c>
      <c r="AD5" s="20">
        <v>321.96840361372102</v>
      </c>
      <c r="AE5" s="78">
        <f t="shared" ref="AE5:AE68" si="9">$Y5-$AD5</f>
        <v>-6.2527760746888816E-13</v>
      </c>
      <c r="AF5" s="29">
        <f t="shared" ref="AF5:AF68" si="10">IF($E5="Freshman",4,IF($E5="Sophomore",3,IF($E5="Junior",2,IF($E5="Senior",1,2))))</f>
        <v>4</v>
      </c>
      <c r="AG5" s="2"/>
    </row>
    <row r="6" spans="1:34" ht="15" customHeight="1" x14ac:dyDescent="0.35">
      <c r="A6" s="19" t="s">
        <v>110</v>
      </c>
      <c r="B6" s="19" t="s">
        <v>113</v>
      </c>
      <c r="C6" s="19" t="s">
        <v>210</v>
      </c>
      <c r="D6" s="19" t="s">
        <v>121</v>
      </c>
      <c r="E6" s="19" t="s">
        <v>105</v>
      </c>
      <c r="F6" s="19">
        <v>1</v>
      </c>
      <c r="G6" s="19" t="s">
        <v>105</v>
      </c>
      <c r="H6" s="16">
        <v>79</v>
      </c>
      <c r="I6" s="13">
        <f>IF($G6="Base",1,INDEX(ModelOutput!$D$16:$D$26,MATCH($G6,ModelOutput!$C$16:$C$26,0)))</f>
        <v>0.98982624281990295</v>
      </c>
      <c r="J6" s="13">
        <f>IF($A6="Non-greek",1,INDEX(ModelOutput!$D$16:$D$26,MATCH($A6,ModelOutput!$C$16:$C$26,0)))</f>
        <v>1</v>
      </c>
      <c r="K6" s="13">
        <f>IF($C6="Yes",1,INDEX(ModelOutput!$D$16:$D$26,MATCH($C6,ModelOutput!$C$16:$C$26,0)))</f>
        <v>1</v>
      </c>
      <c r="L6" s="13">
        <f>IF($D6="2.0-3.0",1,INDEX(ModelOutput!$D$16:$D$26,MATCH($D6,ModelOutput!$C$16:$C$26,0)))</f>
        <v>1.12144800201769</v>
      </c>
      <c r="M6" s="13">
        <f>IF($B6="On campus",1,INDEX(ModelOutput!$D$16:$D$26,MATCH($B6,ModelOutput!$C$16:$C$26,0)))</f>
        <v>1</v>
      </c>
      <c r="N6" s="13">
        <f>IF($B6="On campus",1,INDEX(ModelOutput!$E$16:$E$26,MATCH($B6,ModelOutput!$C$16:$C$26,0)))</f>
        <v>1</v>
      </c>
      <c r="O6" s="13">
        <f>IF($B6="On campus",1,INDEX(ModelOutput!$F$16:$F$26,MATCH($B6,ModelOutput!$C$16:$C$26,0)))</f>
        <v>1</v>
      </c>
      <c r="P6" s="13">
        <f>IF($B6="On campus",1,INDEX(ModelOutput!$G$16:$G$26,MATCH($B6,ModelOutput!$C$16:$C$26,0)))</f>
        <v>1</v>
      </c>
      <c r="Q6" s="72">
        <f>INDEX(ModelOutput!$D$9:$D$11,MATCH("Tier "&amp;$F6,ModelOutput!$B$9:$B$11,0))</f>
        <v>36.175496869914397</v>
      </c>
      <c r="R6" s="72">
        <f>INDEX(ModelOutput!$E$9:$E$11,MATCH("Tier "&amp;$F6,ModelOutput!$B$9:$B$11,0))</f>
        <v>106.647084447761</v>
      </c>
      <c r="S6" s="72">
        <f>INDEX(ModelOutput!$F$9:$F$11,MATCH("Tier "&amp;$F6,ModelOutput!$B$9:$B$11,0))</f>
        <v>123.726482920496</v>
      </c>
      <c r="T6" s="72">
        <f>INDEX(ModelOutput!$G$9:$G$11,MATCH("Tier "&amp;$F6,ModelOutput!$B$9:$B$11,0))</f>
        <v>20.551544113210401</v>
      </c>
      <c r="U6" s="76">
        <f t="shared" si="0"/>
        <v>40.156200155509332</v>
      </c>
      <c r="V6" s="76">
        <f t="shared" si="1"/>
        <v>118.38238696445944</v>
      </c>
      <c r="W6" s="76">
        <f t="shared" si="2"/>
        <v>137.34117959896318</v>
      </c>
      <c r="X6" s="76">
        <f t="shared" si="3"/>
        <v>22.813008536759018</v>
      </c>
      <c r="Y6" s="27">
        <f t="shared" si="4"/>
        <v>318.69277525569095</v>
      </c>
      <c r="Z6" s="27">
        <f t="shared" si="5"/>
        <v>559.88596441009634</v>
      </c>
      <c r="AA6" s="33">
        <f t="shared" si="6"/>
        <v>-0.60743635138637464</v>
      </c>
      <c r="AB6" s="14">
        <f t="shared" si="7"/>
        <v>1069.6723315837799</v>
      </c>
      <c r="AC6" s="29">
        <f t="shared" si="8"/>
        <v>4</v>
      </c>
      <c r="AD6" s="20">
        <v>318.692775255691</v>
      </c>
      <c r="AE6" s="78">
        <f t="shared" si="9"/>
        <v>0</v>
      </c>
      <c r="AF6" s="29">
        <f t="shared" si="10"/>
        <v>3</v>
      </c>
    </row>
    <row r="7" spans="1:34" ht="15" customHeight="1" x14ac:dyDescent="0.35">
      <c r="A7" s="19" t="s">
        <v>110</v>
      </c>
      <c r="B7" s="19" t="s">
        <v>113</v>
      </c>
      <c r="C7" s="19" t="s">
        <v>210</v>
      </c>
      <c r="D7" s="19" t="s">
        <v>121</v>
      </c>
      <c r="E7" s="19" t="s">
        <v>97</v>
      </c>
      <c r="F7" s="19">
        <v>2</v>
      </c>
      <c r="G7" s="19" t="s">
        <v>211</v>
      </c>
      <c r="H7" s="16">
        <v>79</v>
      </c>
      <c r="I7" s="13">
        <f>IF($G7="Base",1,INDEX(ModelOutput!$D$16:$D$26,MATCH($G7,ModelOutput!$C$16:$C$26,0)))</f>
        <v>1</v>
      </c>
      <c r="J7" s="13">
        <f>IF($A7="Non-greek",1,INDEX(ModelOutput!$D$16:$D$26,MATCH($A7,ModelOutput!$C$16:$C$26,0)))</f>
        <v>1</v>
      </c>
      <c r="K7" s="13">
        <f>IF($C7="Yes",1,INDEX(ModelOutput!$D$16:$D$26,MATCH($C7,ModelOutput!$C$16:$C$26,0)))</f>
        <v>1</v>
      </c>
      <c r="L7" s="13">
        <f>IF($D7="2.0-3.0",1,INDEX(ModelOutput!$D$16:$D$26,MATCH($D7,ModelOutput!$C$16:$C$26,0)))</f>
        <v>1.12144800201769</v>
      </c>
      <c r="M7" s="13">
        <f>IF($B7="On campus",1,INDEX(ModelOutput!$D$16:$D$26,MATCH($B7,ModelOutput!$C$16:$C$26,0)))</f>
        <v>1</v>
      </c>
      <c r="N7" s="13">
        <f>IF($B7="On campus",1,INDEX(ModelOutput!$E$16:$E$26,MATCH($B7,ModelOutput!$C$16:$C$26,0)))</f>
        <v>1</v>
      </c>
      <c r="O7" s="13">
        <f>IF($B7="On campus",1,INDEX(ModelOutput!$F$16:$F$26,MATCH($B7,ModelOutput!$C$16:$C$26,0)))</f>
        <v>1</v>
      </c>
      <c r="P7" s="13">
        <f>IF($B7="On campus",1,INDEX(ModelOutput!$G$16:$G$26,MATCH($B7,ModelOutput!$C$16:$C$26,0)))</f>
        <v>1</v>
      </c>
      <c r="Q7" s="72">
        <f>INDEX(ModelOutput!$D$9:$D$11,MATCH("Tier "&amp;$F7,ModelOutput!$B$9:$B$11,0))</f>
        <v>42.8051506068728</v>
      </c>
      <c r="R7" s="72">
        <f>INDEX(ModelOutput!$E$9:$E$11,MATCH("Tier "&amp;$F7,ModelOutput!$B$9:$B$11,0))</f>
        <v>126.191618818284</v>
      </c>
      <c r="S7" s="72">
        <f>INDEX(ModelOutput!$F$9:$F$11,MATCH("Tier "&amp;$F7,ModelOutput!$B$9:$B$11,0))</f>
        <v>146.401050261042</v>
      </c>
      <c r="T7" s="72">
        <f>INDEX(ModelOutput!$G$9:$G$11,MATCH("Tier "&amp;$F7,ModelOutput!$B$9:$B$11,0))</f>
        <v>24.317895180076398</v>
      </c>
      <c r="U7" s="76">
        <f t="shared" si="0"/>
        <v>48.003750624143812</v>
      </c>
      <c r="V7" s="76">
        <f t="shared" si="1"/>
        <v>141.51733879514254</v>
      </c>
      <c r="W7" s="76">
        <f t="shared" si="2"/>
        <v>164.18116530853698</v>
      </c>
      <c r="X7" s="76">
        <f t="shared" si="3"/>
        <v>27.271254962972289</v>
      </c>
      <c r="Y7" s="27">
        <f t="shared" si="4"/>
        <v>380.97350969079559</v>
      </c>
      <c r="Z7" s="27">
        <f t="shared" si="5"/>
        <v>661.15929398592459</v>
      </c>
      <c r="AA7" s="33">
        <f t="shared" si="6"/>
        <v>-0.53642862786284429</v>
      </c>
      <c r="AB7" s="14">
        <f t="shared" si="7"/>
        <v>1069.6723315837799</v>
      </c>
      <c r="AC7" s="29">
        <f t="shared" si="8"/>
        <v>3</v>
      </c>
      <c r="AD7" s="20">
        <v>380.97350969079599</v>
      </c>
      <c r="AE7" s="78">
        <f t="shared" si="9"/>
        <v>0</v>
      </c>
      <c r="AF7" s="29">
        <f t="shared" si="10"/>
        <v>2</v>
      </c>
      <c r="AG7" s="3" t="s">
        <v>212</v>
      </c>
    </row>
    <row r="8" spans="1:34" ht="15" customHeight="1" x14ac:dyDescent="0.35">
      <c r="A8" s="19" t="s">
        <v>110</v>
      </c>
      <c r="B8" s="19" t="s">
        <v>113</v>
      </c>
      <c r="C8" s="19" t="s">
        <v>210</v>
      </c>
      <c r="D8" s="19" t="s">
        <v>121</v>
      </c>
      <c r="E8" s="19" t="s">
        <v>99</v>
      </c>
      <c r="F8" s="19">
        <v>3</v>
      </c>
      <c r="G8" s="19" t="s">
        <v>211</v>
      </c>
      <c r="H8" s="16">
        <v>58</v>
      </c>
      <c r="I8" s="13">
        <f>IF($G8="Base",1,INDEX(ModelOutput!$D$16:$D$26,MATCH($G8,ModelOutput!$C$16:$C$26,0)))</f>
        <v>1</v>
      </c>
      <c r="J8" s="13">
        <f>IF($A8="Non-greek",1,INDEX(ModelOutput!$D$16:$D$26,MATCH($A8,ModelOutput!$C$16:$C$26,0)))</f>
        <v>1</v>
      </c>
      <c r="K8" s="13">
        <f>IF($C8="Yes",1,INDEX(ModelOutput!$D$16:$D$26,MATCH($C8,ModelOutput!$C$16:$C$26,0)))</f>
        <v>1</v>
      </c>
      <c r="L8" s="13">
        <f>IF($D8="2.0-3.0",1,INDEX(ModelOutput!$D$16:$D$26,MATCH($D8,ModelOutput!$C$16:$C$26,0)))</f>
        <v>1.12144800201769</v>
      </c>
      <c r="M8" s="13">
        <f>IF($B8="On campus",1,INDEX(ModelOutput!$D$16:$D$26,MATCH($B8,ModelOutput!$C$16:$C$26,0)))</f>
        <v>1</v>
      </c>
      <c r="N8" s="13">
        <f>IF($B8="On campus",1,INDEX(ModelOutput!$E$16:$E$26,MATCH($B8,ModelOutput!$C$16:$C$26,0)))</f>
        <v>1</v>
      </c>
      <c r="O8" s="13">
        <f>IF($B8="On campus",1,INDEX(ModelOutput!$F$16:$F$26,MATCH($B8,ModelOutput!$C$16:$C$26,0)))</f>
        <v>1</v>
      </c>
      <c r="P8" s="13">
        <f>IF($B8="On campus",1,INDEX(ModelOutput!$G$16:$G$26,MATCH($B8,ModelOutput!$C$16:$C$26,0)))</f>
        <v>1</v>
      </c>
      <c r="Q8" s="72">
        <f>INDEX(ModelOutput!$D$9:$D$11,MATCH("Tier "&amp;$F8,ModelOutput!$B$9:$B$11,0))</f>
        <v>40.009437343712797</v>
      </c>
      <c r="R8" s="72">
        <f>INDEX(ModelOutput!$E$9:$E$11,MATCH("Tier "&amp;$F8,ModelOutput!$B$9:$B$11,0))</f>
        <v>117.949723218616</v>
      </c>
      <c r="S8" s="72">
        <f>INDEX(ModelOutput!$F$9:$F$11,MATCH("Tier "&amp;$F8,ModelOutput!$B$9:$B$11,0))</f>
        <v>136.83922529015501</v>
      </c>
      <c r="T8" s="72">
        <f>INDEX(ModelOutput!$G$9:$G$11,MATCH("Tier "&amp;$F8,ModelOutput!$B$9:$B$11,0))</f>
        <v>22.729631592092201</v>
      </c>
      <c r="U8" s="76">
        <f t="shared" si="0"/>
        <v>44.868503570958673</v>
      </c>
      <c r="V8" s="76">
        <f t="shared" si="1"/>
        <v>132.27448144205647</v>
      </c>
      <c r="W8" s="76">
        <f t="shared" si="2"/>
        <v>153.45807579929289</v>
      </c>
      <c r="X8" s="76">
        <f t="shared" si="3"/>
        <v>25.490099935549964</v>
      </c>
      <c r="Y8" s="27">
        <f t="shared" si="4"/>
        <v>356.09116074785794</v>
      </c>
      <c r="Z8" s="27">
        <f t="shared" si="5"/>
        <v>620.69865478545728</v>
      </c>
      <c r="AA8" s="33">
        <f t="shared" si="6"/>
        <v>-0.56479757646920881</v>
      </c>
      <c r="AB8" s="14">
        <f t="shared" si="7"/>
        <v>1069.6723315837799</v>
      </c>
      <c r="AC8" s="29">
        <f t="shared" si="8"/>
        <v>3</v>
      </c>
      <c r="AD8" s="20">
        <v>356.09116074785902</v>
      </c>
      <c r="AE8" s="78">
        <f t="shared" si="9"/>
        <v>-1.0800249583553523E-12</v>
      </c>
      <c r="AF8" s="29">
        <f t="shared" si="10"/>
        <v>1</v>
      </c>
    </row>
    <row r="9" spans="1:34" ht="15" customHeight="1" x14ac:dyDescent="0.35">
      <c r="A9" s="19" t="s">
        <v>110</v>
      </c>
      <c r="B9" s="19" t="s">
        <v>113</v>
      </c>
      <c r="C9" s="19" t="s">
        <v>210</v>
      </c>
      <c r="D9" s="19" t="s">
        <v>121</v>
      </c>
      <c r="E9" s="19" t="s">
        <v>213</v>
      </c>
      <c r="F9" s="19">
        <v>3</v>
      </c>
      <c r="G9" s="19" t="s">
        <v>107</v>
      </c>
      <c r="H9" s="16">
        <v>48</v>
      </c>
      <c r="I9" s="13">
        <f>IF($G9="Base",1,INDEX(ModelOutput!$D$16:$D$26,MATCH($G9,ModelOutput!$C$16:$C$26,0)))</f>
        <v>1.1906804269762199</v>
      </c>
      <c r="J9" s="13">
        <f>IF($A9="Non-greek",1,INDEX(ModelOutput!$D$16:$D$26,MATCH($A9,ModelOutput!$C$16:$C$26,0)))</f>
        <v>1</v>
      </c>
      <c r="K9" s="13">
        <f>IF($C9="Yes",1,INDEX(ModelOutput!$D$16:$D$26,MATCH($C9,ModelOutput!$C$16:$C$26,0)))</f>
        <v>1</v>
      </c>
      <c r="L9" s="13">
        <f>IF($D9="2.0-3.0",1,INDEX(ModelOutput!$D$16:$D$26,MATCH($D9,ModelOutput!$C$16:$C$26,0)))</f>
        <v>1.12144800201769</v>
      </c>
      <c r="M9" s="13">
        <f>IF($B9="On campus",1,INDEX(ModelOutput!$D$16:$D$26,MATCH($B9,ModelOutput!$C$16:$C$26,0)))</f>
        <v>1</v>
      </c>
      <c r="N9" s="13">
        <f>IF($B9="On campus",1,INDEX(ModelOutput!$E$16:$E$26,MATCH($B9,ModelOutput!$C$16:$C$26,0)))</f>
        <v>1</v>
      </c>
      <c r="O9" s="13">
        <f>IF($B9="On campus",1,INDEX(ModelOutput!$F$16:$F$26,MATCH($B9,ModelOutput!$C$16:$C$26,0)))</f>
        <v>1</v>
      </c>
      <c r="P9" s="13">
        <f>IF($B9="On campus",1,INDEX(ModelOutput!$G$16:$G$26,MATCH($B9,ModelOutput!$C$16:$C$26,0)))</f>
        <v>1</v>
      </c>
      <c r="Q9" s="72">
        <f>INDEX(ModelOutput!$D$9:$D$11,MATCH("Tier "&amp;$F9,ModelOutput!$B$9:$B$11,0))</f>
        <v>40.009437343712797</v>
      </c>
      <c r="R9" s="72">
        <f>INDEX(ModelOutput!$E$9:$E$11,MATCH("Tier "&amp;$F9,ModelOutput!$B$9:$B$11,0))</f>
        <v>117.949723218616</v>
      </c>
      <c r="S9" s="72">
        <f>INDEX(ModelOutput!$F$9:$F$11,MATCH("Tier "&amp;$F9,ModelOutput!$B$9:$B$11,0))</f>
        <v>136.83922529015501</v>
      </c>
      <c r="T9" s="72">
        <f>INDEX(ModelOutput!$G$9:$G$11,MATCH("Tier "&amp;$F9,ModelOutput!$B$9:$B$11,0))</f>
        <v>22.729631592092201</v>
      </c>
      <c r="U9" s="76">
        <f t="shared" si="0"/>
        <v>53.424048989653116</v>
      </c>
      <c r="V9" s="76">
        <f t="shared" si="1"/>
        <v>157.49663604148586</v>
      </c>
      <c r="W9" s="76">
        <f t="shared" si="2"/>
        <v>182.7195272156512</v>
      </c>
      <c r="X9" s="76">
        <f t="shared" si="3"/>
        <v>30.350563074927145</v>
      </c>
      <c r="Y9" s="27">
        <f t="shared" si="4"/>
        <v>423.99077532171731</v>
      </c>
      <c r="Z9" s="27">
        <f t="shared" si="5"/>
        <v>731.10872151283786</v>
      </c>
      <c r="AA9" s="33">
        <f t="shared" si="6"/>
        <v>-0.48738363614326918</v>
      </c>
      <c r="AB9" s="14">
        <f t="shared" si="7"/>
        <v>1069.6723315837799</v>
      </c>
      <c r="AC9" s="29">
        <f t="shared" si="8"/>
        <v>3</v>
      </c>
      <c r="AD9" s="20">
        <v>423.99077532171901</v>
      </c>
      <c r="AE9" s="78">
        <f t="shared" si="9"/>
        <v>-1.7053025658242404E-12</v>
      </c>
      <c r="AF9" s="29">
        <f t="shared" si="10"/>
        <v>2</v>
      </c>
    </row>
    <row r="10" spans="1:34" ht="15" customHeight="1" x14ac:dyDescent="0.35">
      <c r="A10" s="37" t="s">
        <v>110</v>
      </c>
      <c r="B10" s="37" t="s">
        <v>113</v>
      </c>
      <c r="C10" s="37" t="s">
        <v>210</v>
      </c>
      <c r="D10" s="37" t="s">
        <v>123</v>
      </c>
      <c r="E10" s="37" t="s">
        <v>95</v>
      </c>
      <c r="F10" s="37">
        <v>1</v>
      </c>
      <c r="G10" s="37" t="s">
        <v>211</v>
      </c>
      <c r="H10" s="38">
        <v>188</v>
      </c>
      <c r="I10" s="39">
        <f>IF($G10="Base",1,INDEX(ModelOutput!$D$16:$D$26,MATCH($G10,ModelOutput!$C$16:$C$26,0)))</f>
        <v>1</v>
      </c>
      <c r="J10" s="39">
        <f>IF($A10="Non-greek",1,INDEX(ModelOutput!$D$16:$D$26,MATCH($A10,ModelOutput!$C$16:$C$26,0)))</f>
        <v>1</v>
      </c>
      <c r="K10" s="39">
        <f>IF($C10="Yes",1,INDEX(ModelOutput!$D$16:$D$26,MATCH($C10,ModelOutput!$C$16:$C$26,0)))</f>
        <v>1</v>
      </c>
      <c r="L10" s="39">
        <f>IF($D10="2.0-3.0",1,INDEX(ModelOutput!$D$16:$D$26,MATCH($D10,ModelOutput!$C$16:$C$26,0)))</f>
        <v>1.01762556011242</v>
      </c>
      <c r="M10" s="39">
        <f>IF($B10="On campus",1,INDEX(ModelOutput!$D$16:$D$26,MATCH($B10,ModelOutput!$C$16:$C$26,0)))</f>
        <v>1</v>
      </c>
      <c r="N10" s="39">
        <f>IF($B10="On campus",1,INDEX(ModelOutput!$E$16:$E$26,MATCH($B10,ModelOutput!$C$16:$C$26,0)))</f>
        <v>1</v>
      </c>
      <c r="O10" s="39">
        <f>IF($B10="On campus",1,INDEX(ModelOutput!$F$16:$F$26,MATCH($B10,ModelOutput!$C$16:$C$26,0)))</f>
        <v>1</v>
      </c>
      <c r="P10" s="39">
        <f>IF($B10="On campus",1,INDEX(ModelOutput!$G$16:$G$26,MATCH($B10,ModelOutput!$C$16:$C$26,0)))</f>
        <v>1</v>
      </c>
      <c r="Q10" s="73">
        <f>INDEX(ModelOutput!$D$9:$D$11,MATCH("Tier "&amp;$F10,ModelOutput!$B$9:$B$11,0))</f>
        <v>36.175496869914397</v>
      </c>
      <c r="R10" s="73">
        <f>INDEX(ModelOutput!$E$9:$E$11,MATCH("Tier "&amp;$F10,ModelOutput!$B$9:$B$11,0))</f>
        <v>106.647084447761</v>
      </c>
      <c r="S10" s="73">
        <f>INDEX(ModelOutput!$F$9:$F$11,MATCH("Tier "&amp;$F10,ModelOutput!$B$9:$B$11,0))</f>
        <v>123.726482920496</v>
      </c>
      <c r="T10" s="73">
        <f>INDEX(ModelOutput!$G$9:$G$11,MATCH("Tier "&amp;$F10,ModelOutput!$B$9:$B$11,0))</f>
        <v>20.551544113210401</v>
      </c>
      <c r="U10" s="77">
        <f t="shared" si="0"/>
        <v>36.813110264591735</v>
      </c>
      <c r="V10" s="77">
        <f t="shared" si="1"/>
        <v>108.52679904550935</v>
      </c>
      <c r="W10" s="77">
        <f t="shared" si="2"/>
        <v>125.90723148270951</v>
      </c>
      <c r="X10" s="77">
        <f t="shared" si="3"/>
        <v>20.913776589380841</v>
      </c>
      <c r="Y10" s="30">
        <f t="shared" si="4"/>
        <v>292.16091738219143</v>
      </c>
      <c r="Z10" s="30">
        <f t="shared" si="5"/>
        <v>516.74309509339412</v>
      </c>
      <c r="AA10" s="41">
        <f t="shared" si="6"/>
        <v>-0.6376859437448289</v>
      </c>
      <c r="AB10" s="40">
        <f t="shared" si="7"/>
        <v>1069.6723315837799</v>
      </c>
      <c r="AC10" s="42">
        <f t="shared" si="8"/>
        <v>4</v>
      </c>
      <c r="AD10" s="43">
        <v>292.16091738219097</v>
      </c>
      <c r="AE10" s="79">
        <f t="shared" si="9"/>
        <v>4.5474735088646412E-13</v>
      </c>
      <c r="AF10" s="29">
        <f t="shared" si="10"/>
        <v>4</v>
      </c>
    </row>
    <row r="11" spans="1:34" ht="15" customHeight="1" x14ac:dyDescent="0.35">
      <c r="A11" s="37" t="s">
        <v>110</v>
      </c>
      <c r="B11" s="37" t="s">
        <v>113</v>
      </c>
      <c r="C11" s="37" t="s">
        <v>210</v>
      </c>
      <c r="D11" s="37" t="s">
        <v>123</v>
      </c>
      <c r="E11" s="37" t="s">
        <v>105</v>
      </c>
      <c r="F11" s="37">
        <v>1</v>
      </c>
      <c r="G11" s="37" t="s">
        <v>105</v>
      </c>
      <c r="H11" s="38">
        <v>216</v>
      </c>
      <c r="I11" s="39">
        <f>IF($G11="Base",1,INDEX(ModelOutput!$D$16:$D$26,MATCH($G11,ModelOutput!$C$16:$C$26,0)))</f>
        <v>0.98982624281990295</v>
      </c>
      <c r="J11" s="39">
        <f>IF($A11="Non-greek",1,INDEX(ModelOutput!$D$16:$D$26,MATCH($A11,ModelOutput!$C$16:$C$26,0)))</f>
        <v>1</v>
      </c>
      <c r="K11" s="39">
        <f>IF($C11="Yes",1,INDEX(ModelOutput!$D$16:$D$26,MATCH($C11,ModelOutput!$C$16:$C$26,0)))</f>
        <v>1</v>
      </c>
      <c r="L11" s="39">
        <f>IF($D11="2.0-3.0",1,INDEX(ModelOutput!$D$16:$D$26,MATCH($D11,ModelOutput!$C$16:$C$26,0)))</f>
        <v>1.01762556011242</v>
      </c>
      <c r="M11" s="39">
        <f>IF($B11="On campus",1,INDEX(ModelOutput!$D$16:$D$26,MATCH($B11,ModelOutput!$C$16:$C$26,0)))</f>
        <v>1</v>
      </c>
      <c r="N11" s="39">
        <f>IF($B11="On campus",1,INDEX(ModelOutput!$E$16:$E$26,MATCH($B11,ModelOutput!$C$16:$C$26,0)))</f>
        <v>1</v>
      </c>
      <c r="O11" s="39">
        <f>IF($B11="On campus",1,INDEX(ModelOutput!$F$16:$F$26,MATCH($B11,ModelOutput!$C$16:$C$26,0)))</f>
        <v>1</v>
      </c>
      <c r="P11" s="39">
        <f>IF($B11="On campus",1,INDEX(ModelOutput!$G$16:$G$26,MATCH($B11,ModelOutput!$C$16:$C$26,0)))</f>
        <v>1</v>
      </c>
      <c r="Q11" s="73">
        <f>INDEX(ModelOutput!$D$9:$D$11,MATCH("Tier "&amp;$F11,ModelOutput!$B$9:$B$11,0))</f>
        <v>36.175496869914397</v>
      </c>
      <c r="R11" s="73">
        <f>INDEX(ModelOutput!$E$9:$E$11,MATCH("Tier "&amp;$F11,ModelOutput!$B$9:$B$11,0))</f>
        <v>106.647084447761</v>
      </c>
      <c r="S11" s="73">
        <f>INDEX(ModelOutput!$F$9:$F$11,MATCH("Tier "&amp;$F11,ModelOutput!$B$9:$B$11,0))</f>
        <v>123.726482920496</v>
      </c>
      <c r="T11" s="73">
        <f>INDEX(ModelOutput!$G$9:$G$11,MATCH("Tier "&amp;$F11,ModelOutput!$B$9:$B$11,0))</f>
        <v>20.551544113210401</v>
      </c>
      <c r="U11" s="77">
        <f t="shared" si="0"/>
        <v>36.438582619715646</v>
      </c>
      <c r="V11" s="77">
        <f t="shared" si="1"/>
        <v>107.42267374448716</v>
      </c>
      <c r="W11" s="77">
        <f t="shared" si="2"/>
        <v>124.62628188238614</v>
      </c>
      <c r="X11" s="77">
        <f t="shared" si="3"/>
        <v>20.701004904641682</v>
      </c>
      <c r="Y11" s="30">
        <f t="shared" si="4"/>
        <v>289.18854315123065</v>
      </c>
      <c r="Z11" s="30">
        <f t="shared" si="5"/>
        <v>511.90978286859297</v>
      </c>
      <c r="AA11" s="41">
        <f t="shared" si="6"/>
        <v>-0.64107481719847215</v>
      </c>
      <c r="AB11" s="40">
        <f t="shared" si="7"/>
        <v>1069.6723315837799</v>
      </c>
      <c r="AC11" s="42">
        <f t="shared" si="8"/>
        <v>4</v>
      </c>
      <c r="AD11" s="43">
        <v>289.18854315123099</v>
      </c>
      <c r="AE11" s="79">
        <f t="shared" si="9"/>
        <v>0</v>
      </c>
      <c r="AF11" s="29">
        <f t="shared" si="10"/>
        <v>3</v>
      </c>
    </row>
    <row r="12" spans="1:34" ht="15" customHeight="1" x14ac:dyDescent="0.35">
      <c r="A12" s="37" t="s">
        <v>110</v>
      </c>
      <c r="B12" s="37" t="s">
        <v>113</v>
      </c>
      <c r="C12" s="37" t="s">
        <v>210</v>
      </c>
      <c r="D12" s="37" t="s">
        <v>123</v>
      </c>
      <c r="E12" s="37" t="s">
        <v>97</v>
      </c>
      <c r="F12" s="37">
        <v>2</v>
      </c>
      <c r="G12" s="37" t="s">
        <v>211</v>
      </c>
      <c r="H12" s="38">
        <v>194</v>
      </c>
      <c r="I12" s="39">
        <f>IF($G12="Base",1,INDEX(ModelOutput!$D$16:$D$26,MATCH($G12,ModelOutput!$C$16:$C$26,0)))</f>
        <v>1</v>
      </c>
      <c r="J12" s="39">
        <f>IF($A12="Non-greek",1,INDEX(ModelOutput!$D$16:$D$26,MATCH($A12,ModelOutput!$C$16:$C$26,0)))</f>
        <v>1</v>
      </c>
      <c r="K12" s="39">
        <f>IF($C12="Yes",1,INDEX(ModelOutput!$D$16:$D$26,MATCH($C12,ModelOutput!$C$16:$C$26,0)))</f>
        <v>1</v>
      </c>
      <c r="L12" s="39">
        <f>IF($D12="2.0-3.0",1,INDEX(ModelOutput!$D$16:$D$26,MATCH($D12,ModelOutput!$C$16:$C$26,0)))</f>
        <v>1.01762556011242</v>
      </c>
      <c r="M12" s="39">
        <f>IF($B12="On campus",1,INDEX(ModelOutput!$D$16:$D$26,MATCH($B12,ModelOutput!$C$16:$C$26,0)))</f>
        <v>1</v>
      </c>
      <c r="N12" s="39">
        <f>IF($B12="On campus",1,INDEX(ModelOutput!$E$16:$E$26,MATCH($B12,ModelOutput!$C$16:$C$26,0)))</f>
        <v>1</v>
      </c>
      <c r="O12" s="39">
        <f>IF($B12="On campus",1,INDEX(ModelOutput!$F$16:$F$26,MATCH($B12,ModelOutput!$C$16:$C$26,0)))</f>
        <v>1</v>
      </c>
      <c r="P12" s="39">
        <f>IF($B12="On campus",1,INDEX(ModelOutput!$G$16:$G$26,MATCH($B12,ModelOutput!$C$16:$C$26,0)))</f>
        <v>1</v>
      </c>
      <c r="Q12" s="73">
        <f>INDEX(ModelOutput!$D$9:$D$11,MATCH("Tier "&amp;$F12,ModelOutput!$B$9:$B$11,0))</f>
        <v>42.8051506068728</v>
      </c>
      <c r="R12" s="73">
        <f>INDEX(ModelOutput!$E$9:$E$11,MATCH("Tier "&amp;$F12,ModelOutput!$B$9:$B$11,0))</f>
        <v>126.191618818284</v>
      </c>
      <c r="S12" s="73">
        <f>INDEX(ModelOutput!$F$9:$F$11,MATCH("Tier "&amp;$F12,ModelOutput!$B$9:$B$11,0))</f>
        <v>146.401050261042</v>
      </c>
      <c r="T12" s="73">
        <f>INDEX(ModelOutput!$G$9:$G$11,MATCH("Tier "&amp;$F12,ModelOutput!$B$9:$B$11,0))</f>
        <v>24.317895180076398</v>
      </c>
      <c r="U12" s="77">
        <f t="shared" si="0"/>
        <v>43.559615362015428</v>
      </c>
      <c r="V12" s="77">
        <f t="shared" si="1"/>
        <v>128.41581678144925</v>
      </c>
      <c r="W12" s="77">
        <f t="shared" si="2"/>
        <v>148.98145077293941</v>
      </c>
      <c r="X12" s="77">
        <f t="shared" si="3"/>
        <v>24.746511703380364</v>
      </c>
      <c r="Y12" s="30">
        <f t="shared" si="4"/>
        <v>345.70339461978443</v>
      </c>
      <c r="Z12" s="30">
        <f t="shared" si="5"/>
        <v>603.8073372345832</v>
      </c>
      <c r="AA12" s="41">
        <f t="shared" si="6"/>
        <v>-0.57664091184313437</v>
      </c>
      <c r="AB12" s="40">
        <f t="shared" si="7"/>
        <v>1069.6723315837799</v>
      </c>
      <c r="AC12" s="42">
        <f t="shared" si="8"/>
        <v>3</v>
      </c>
      <c r="AD12" s="43">
        <v>345.703394619785</v>
      </c>
      <c r="AE12" s="79">
        <f t="shared" si="9"/>
        <v>-5.6843418860808015E-13</v>
      </c>
      <c r="AF12" s="29">
        <f t="shared" si="10"/>
        <v>2</v>
      </c>
    </row>
    <row r="13" spans="1:34" ht="15" customHeight="1" x14ac:dyDescent="0.35">
      <c r="A13" s="37" t="s">
        <v>110</v>
      </c>
      <c r="B13" s="37" t="s">
        <v>113</v>
      </c>
      <c r="C13" s="37" t="s">
        <v>210</v>
      </c>
      <c r="D13" s="37" t="s">
        <v>123</v>
      </c>
      <c r="E13" s="37" t="s">
        <v>99</v>
      </c>
      <c r="F13" s="37">
        <v>3</v>
      </c>
      <c r="G13" s="37" t="s">
        <v>211</v>
      </c>
      <c r="H13" s="38">
        <v>209</v>
      </c>
      <c r="I13" s="39">
        <f>IF($G13="Base",1,INDEX(ModelOutput!$D$16:$D$26,MATCH($G13,ModelOutput!$C$16:$C$26,0)))</f>
        <v>1</v>
      </c>
      <c r="J13" s="39">
        <f>IF($A13="Non-greek",1,INDEX(ModelOutput!$D$16:$D$26,MATCH($A13,ModelOutput!$C$16:$C$26,0)))</f>
        <v>1</v>
      </c>
      <c r="K13" s="39">
        <f>IF($C13="Yes",1,INDEX(ModelOutput!$D$16:$D$26,MATCH($C13,ModelOutput!$C$16:$C$26,0)))</f>
        <v>1</v>
      </c>
      <c r="L13" s="39">
        <f>IF($D13="2.0-3.0",1,INDEX(ModelOutput!$D$16:$D$26,MATCH($D13,ModelOutput!$C$16:$C$26,0)))</f>
        <v>1.01762556011242</v>
      </c>
      <c r="M13" s="39">
        <f>IF($B13="On campus",1,INDEX(ModelOutput!$D$16:$D$26,MATCH($B13,ModelOutput!$C$16:$C$26,0)))</f>
        <v>1</v>
      </c>
      <c r="N13" s="39">
        <f>IF($B13="On campus",1,INDEX(ModelOutput!$E$16:$E$26,MATCH($B13,ModelOutput!$C$16:$C$26,0)))</f>
        <v>1</v>
      </c>
      <c r="O13" s="39">
        <f>IF($B13="On campus",1,INDEX(ModelOutput!$F$16:$F$26,MATCH($B13,ModelOutput!$C$16:$C$26,0)))</f>
        <v>1</v>
      </c>
      <c r="P13" s="39">
        <f>IF($B13="On campus",1,INDEX(ModelOutput!$G$16:$G$26,MATCH($B13,ModelOutput!$C$16:$C$26,0)))</f>
        <v>1</v>
      </c>
      <c r="Q13" s="73">
        <f>INDEX(ModelOutput!$D$9:$D$11,MATCH("Tier "&amp;$F13,ModelOutput!$B$9:$B$11,0))</f>
        <v>40.009437343712797</v>
      </c>
      <c r="R13" s="73">
        <f>INDEX(ModelOutput!$E$9:$E$11,MATCH("Tier "&amp;$F13,ModelOutput!$B$9:$B$11,0))</f>
        <v>117.949723218616</v>
      </c>
      <c r="S13" s="73">
        <f>INDEX(ModelOutput!$F$9:$F$11,MATCH("Tier "&amp;$F13,ModelOutput!$B$9:$B$11,0))</f>
        <v>136.83922529015501</v>
      </c>
      <c r="T13" s="73">
        <f>INDEX(ModelOutput!$G$9:$G$11,MATCH("Tier "&amp;$F13,ModelOutput!$B$9:$B$11,0))</f>
        <v>22.729631592092201</v>
      </c>
      <c r="U13" s="77">
        <f t="shared" si="0"/>
        <v>40.714626086678507</v>
      </c>
      <c r="V13" s="77">
        <f t="shared" si="1"/>
        <v>120.02865315544902</v>
      </c>
      <c r="W13" s="77">
        <f t="shared" si="2"/>
        <v>139.25109328124361</v>
      </c>
      <c r="X13" s="77">
        <f t="shared" si="3"/>
        <v>23.130254080051781</v>
      </c>
      <c r="Y13" s="30">
        <f t="shared" si="4"/>
        <v>323.12462660342288</v>
      </c>
      <c r="Z13" s="30">
        <f t="shared" si="5"/>
        <v>567.09250020709476</v>
      </c>
      <c r="AA13" s="41">
        <f t="shared" si="6"/>
        <v>-0.60238349390080592</v>
      </c>
      <c r="AB13" s="40">
        <f t="shared" si="7"/>
        <v>1069.6723315837799</v>
      </c>
      <c r="AC13" s="42">
        <f t="shared" si="8"/>
        <v>4</v>
      </c>
      <c r="AD13" s="43">
        <v>323.12462660342402</v>
      </c>
      <c r="AE13" s="79">
        <f t="shared" si="9"/>
        <v>-1.1368683772161603E-12</v>
      </c>
      <c r="AF13" s="29">
        <f t="shared" si="10"/>
        <v>1</v>
      </c>
    </row>
    <row r="14" spans="1:34" ht="15" customHeight="1" x14ac:dyDescent="0.35">
      <c r="A14" s="37" t="s">
        <v>110</v>
      </c>
      <c r="B14" s="37" t="s">
        <v>113</v>
      </c>
      <c r="C14" s="37" t="s">
        <v>210</v>
      </c>
      <c r="D14" s="37" t="s">
        <v>123</v>
      </c>
      <c r="E14" s="37" t="s">
        <v>213</v>
      </c>
      <c r="F14" s="37">
        <v>3</v>
      </c>
      <c r="G14" s="37" t="s">
        <v>107</v>
      </c>
      <c r="H14" s="38">
        <v>113</v>
      </c>
      <c r="I14" s="39">
        <f>IF($G14="Base",1,INDEX(ModelOutput!$D$16:$D$26,MATCH($G14,ModelOutput!$C$16:$C$26,0)))</f>
        <v>1.1906804269762199</v>
      </c>
      <c r="J14" s="39">
        <f>IF($A14="Non-greek",1,INDEX(ModelOutput!$D$16:$D$26,MATCH($A14,ModelOutput!$C$16:$C$26,0)))</f>
        <v>1</v>
      </c>
      <c r="K14" s="39">
        <f>IF($C14="Yes",1,INDEX(ModelOutput!$D$16:$D$26,MATCH($C14,ModelOutput!$C$16:$C$26,0)))</f>
        <v>1</v>
      </c>
      <c r="L14" s="39">
        <f>IF($D14="2.0-3.0",1,INDEX(ModelOutput!$D$16:$D$26,MATCH($D14,ModelOutput!$C$16:$C$26,0)))</f>
        <v>1.01762556011242</v>
      </c>
      <c r="M14" s="39">
        <f>IF($B14="On campus",1,INDEX(ModelOutput!$D$16:$D$26,MATCH($B14,ModelOutput!$C$16:$C$26,0)))</f>
        <v>1</v>
      </c>
      <c r="N14" s="39">
        <f>IF($B14="On campus",1,INDEX(ModelOutput!$E$16:$E$26,MATCH($B14,ModelOutput!$C$16:$C$26,0)))</f>
        <v>1</v>
      </c>
      <c r="O14" s="39">
        <f>IF($B14="On campus",1,INDEX(ModelOutput!$F$16:$F$26,MATCH($B14,ModelOutput!$C$16:$C$26,0)))</f>
        <v>1</v>
      </c>
      <c r="P14" s="39">
        <f>IF($B14="On campus",1,INDEX(ModelOutput!$G$16:$G$26,MATCH($B14,ModelOutput!$C$16:$C$26,0)))</f>
        <v>1</v>
      </c>
      <c r="Q14" s="73">
        <f>INDEX(ModelOutput!$D$9:$D$11,MATCH("Tier "&amp;$F14,ModelOutput!$B$9:$B$11,0))</f>
        <v>40.009437343712797</v>
      </c>
      <c r="R14" s="73">
        <f>INDEX(ModelOutput!$E$9:$E$11,MATCH("Tier "&amp;$F14,ModelOutput!$B$9:$B$11,0))</f>
        <v>117.949723218616</v>
      </c>
      <c r="S14" s="73">
        <f>INDEX(ModelOutput!$F$9:$F$11,MATCH("Tier "&amp;$F14,ModelOutput!$B$9:$B$11,0))</f>
        <v>136.83922529015501</v>
      </c>
      <c r="T14" s="73">
        <f>INDEX(ModelOutput!$G$9:$G$11,MATCH("Tier "&amp;$F14,ModelOutput!$B$9:$B$11,0))</f>
        <v>22.729631592092201</v>
      </c>
      <c r="U14" s="77">
        <f t="shared" si="0"/>
        <v>48.478108373063506</v>
      </c>
      <c r="V14" s="77">
        <f t="shared" si="1"/>
        <v>142.91576798851065</v>
      </c>
      <c r="W14" s="77">
        <f t="shared" si="2"/>
        <v>165.80355120501659</v>
      </c>
      <c r="X14" s="77">
        <f t="shared" si="3"/>
        <v>27.540740804104509</v>
      </c>
      <c r="Y14" s="30">
        <f t="shared" si="4"/>
        <v>384.73816837069523</v>
      </c>
      <c r="Z14" s="30">
        <f t="shared" si="5"/>
        <v>667.28092249091992</v>
      </c>
      <c r="AA14" s="41">
        <f t="shared" si="6"/>
        <v>-0.53213645235901619</v>
      </c>
      <c r="AB14" s="40">
        <f t="shared" si="7"/>
        <v>1069.6723315837799</v>
      </c>
      <c r="AC14" s="42">
        <f t="shared" si="8"/>
        <v>3</v>
      </c>
      <c r="AD14" s="43">
        <v>384.73816837069597</v>
      </c>
      <c r="AE14" s="79">
        <f t="shared" si="9"/>
        <v>-7.3896444519050419E-13</v>
      </c>
      <c r="AF14" s="29">
        <f t="shared" si="10"/>
        <v>2</v>
      </c>
    </row>
    <row r="15" spans="1:34" ht="15" customHeight="1" x14ac:dyDescent="0.35">
      <c r="A15" s="19" t="s">
        <v>110</v>
      </c>
      <c r="B15" s="19" t="s">
        <v>113</v>
      </c>
      <c r="C15" s="19" t="s">
        <v>210</v>
      </c>
      <c r="D15" s="19" t="s">
        <v>122</v>
      </c>
      <c r="E15" s="19" t="s">
        <v>95</v>
      </c>
      <c r="F15" s="19">
        <v>1</v>
      </c>
      <c r="G15" s="19" t="s">
        <v>211</v>
      </c>
      <c r="H15" s="16">
        <v>348</v>
      </c>
      <c r="I15" s="13">
        <f>IF($G15="Base",1,INDEX(ModelOutput!$D$16:$D$26,MATCH($G15,ModelOutput!$C$16:$C$26,0)))</f>
        <v>1</v>
      </c>
      <c r="J15" s="13">
        <f>IF($A15="Non-greek",1,INDEX(ModelOutput!$D$16:$D$26,MATCH($A15,ModelOutput!$C$16:$C$26,0)))</f>
        <v>1</v>
      </c>
      <c r="K15" s="13">
        <f>IF($C15="Yes",1,INDEX(ModelOutput!$D$16:$D$26,MATCH($C15,ModelOutput!$C$16:$C$26,0)))</f>
        <v>1</v>
      </c>
      <c r="L15" s="13">
        <f>IF($D15="2.0-3.0",1,INDEX(ModelOutput!$D$16:$D$26,MATCH($D15,ModelOutput!$C$16:$C$26,0)))</f>
        <v>1</v>
      </c>
      <c r="M15" s="13">
        <f>IF($B15="On campus",1,INDEX(ModelOutput!$D$16:$D$26,MATCH($B15,ModelOutput!$C$16:$C$26,0)))</f>
        <v>1</v>
      </c>
      <c r="N15" s="13">
        <f>IF($B15="On campus",1,INDEX(ModelOutput!$E$16:$E$26,MATCH($B15,ModelOutput!$C$16:$C$26,0)))</f>
        <v>1</v>
      </c>
      <c r="O15" s="13">
        <f>IF($B15="On campus",1,INDEX(ModelOutput!$F$16:$F$26,MATCH($B15,ModelOutput!$C$16:$C$26,0)))</f>
        <v>1</v>
      </c>
      <c r="P15" s="13">
        <f>IF($B15="On campus",1,INDEX(ModelOutput!$G$16:$G$26,MATCH($B15,ModelOutput!$C$16:$C$26,0)))</f>
        <v>1</v>
      </c>
      <c r="Q15" s="72">
        <f>INDEX(ModelOutput!$D$9:$D$11,MATCH("Tier "&amp;$F15,ModelOutput!$B$9:$B$11,0))</f>
        <v>36.175496869914397</v>
      </c>
      <c r="R15" s="72">
        <f>INDEX(ModelOutput!$E$9:$E$11,MATCH("Tier "&amp;$F15,ModelOutput!$B$9:$B$11,0))</f>
        <v>106.647084447761</v>
      </c>
      <c r="S15" s="72">
        <f>INDEX(ModelOutput!$F$9:$F$11,MATCH("Tier "&amp;$F15,ModelOutput!$B$9:$B$11,0))</f>
        <v>123.726482920496</v>
      </c>
      <c r="T15" s="72">
        <f>INDEX(ModelOutput!$G$9:$G$11,MATCH("Tier "&amp;$F15,ModelOutput!$B$9:$B$11,0))</f>
        <v>20.551544113210401</v>
      </c>
      <c r="U15" s="76">
        <f t="shared" si="0"/>
        <v>36.175496869914397</v>
      </c>
      <c r="V15" s="76">
        <f t="shared" si="1"/>
        <v>106.647084447761</v>
      </c>
      <c r="W15" s="76">
        <f t="shared" si="2"/>
        <v>123.726482920496</v>
      </c>
      <c r="X15" s="76">
        <f t="shared" si="3"/>
        <v>20.551544113210401</v>
      </c>
      <c r="Y15" s="27">
        <f t="shared" si="4"/>
        <v>287.10060835138182</v>
      </c>
      <c r="Z15" s="27">
        <f t="shared" si="5"/>
        <v>508.51463810936951</v>
      </c>
      <c r="AA15" s="33">
        <f t="shared" si="6"/>
        <v>-0.64345532054910781</v>
      </c>
      <c r="AB15" s="14">
        <f t="shared" si="7"/>
        <v>1069.6723315837799</v>
      </c>
      <c r="AC15" s="29">
        <f t="shared" si="8"/>
        <v>4</v>
      </c>
      <c r="AD15" s="20">
        <v>287.10060835138103</v>
      </c>
      <c r="AE15" s="78">
        <f t="shared" si="9"/>
        <v>7.9580786405131221E-13</v>
      </c>
      <c r="AF15" s="29">
        <f t="shared" si="10"/>
        <v>4</v>
      </c>
    </row>
    <row r="16" spans="1:34" ht="15" customHeight="1" x14ac:dyDescent="0.35">
      <c r="A16" s="19" t="s">
        <v>110</v>
      </c>
      <c r="B16" s="19" t="s">
        <v>113</v>
      </c>
      <c r="C16" s="19" t="s">
        <v>210</v>
      </c>
      <c r="D16" s="19" t="s">
        <v>122</v>
      </c>
      <c r="E16" s="19" t="s">
        <v>105</v>
      </c>
      <c r="F16" s="19">
        <v>1</v>
      </c>
      <c r="G16" s="19" t="s">
        <v>105</v>
      </c>
      <c r="H16" s="16">
        <v>328</v>
      </c>
      <c r="I16" s="13">
        <f>IF($G16="Base",1,INDEX(ModelOutput!$D$16:$D$26,MATCH($G16,ModelOutput!$C$16:$C$26,0)))</f>
        <v>0.98982624281990295</v>
      </c>
      <c r="J16" s="13">
        <f>IF($A16="Non-greek",1,INDEX(ModelOutput!$D$16:$D$26,MATCH($A16,ModelOutput!$C$16:$C$26,0)))</f>
        <v>1</v>
      </c>
      <c r="K16" s="13">
        <f>IF($C16="Yes",1,INDEX(ModelOutput!$D$16:$D$26,MATCH($C16,ModelOutput!$C$16:$C$26,0)))</f>
        <v>1</v>
      </c>
      <c r="L16" s="13">
        <f>IF($D16="2.0-3.0",1,INDEX(ModelOutput!$D$16:$D$26,MATCH($D16,ModelOutput!$C$16:$C$26,0)))</f>
        <v>1</v>
      </c>
      <c r="M16" s="13">
        <f>IF($B16="On campus",1,INDEX(ModelOutput!$D$16:$D$26,MATCH($B16,ModelOutput!$C$16:$C$26,0)))</f>
        <v>1</v>
      </c>
      <c r="N16" s="13">
        <f>IF($B16="On campus",1,INDEX(ModelOutput!$E$16:$E$26,MATCH($B16,ModelOutput!$C$16:$C$26,0)))</f>
        <v>1</v>
      </c>
      <c r="O16" s="13">
        <f>IF($B16="On campus",1,INDEX(ModelOutput!$F$16:$F$26,MATCH($B16,ModelOutput!$C$16:$C$26,0)))</f>
        <v>1</v>
      </c>
      <c r="P16" s="13">
        <f>IF($B16="On campus",1,INDEX(ModelOutput!$G$16:$G$26,MATCH($B16,ModelOutput!$C$16:$C$26,0)))</f>
        <v>1</v>
      </c>
      <c r="Q16" s="72">
        <f>INDEX(ModelOutput!$D$9:$D$11,MATCH("Tier "&amp;$F16,ModelOutput!$B$9:$B$11,0))</f>
        <v>36.175496869914397</v>
      </c>
      <c r="R16" s="72">
        <f>INDEX(ModelOutput!$E$9:$E$11,MATCH("Tier "&amp;$F16,ModelOutput!$B$9:$B$11,0))</f>
        <v>106.647084447761</v>
      </c>
      <c r="S16" s="72">
        <f>INDEX(ModelOutput!$F$9:$F$11,MATCH("Tier "&amp;$F16,ModelOutput!$B$9:$B$11,0))</f>
        <v>123.726482920496</v>
      </c>
      <c r="T16" s="72">
        <f>INDEX(ModelOutput!$G$9:$G$11,MATCH("Tier "&amp;$F16,ModelOutput!$B$9:$B$11,0))</f>
        <v>20.551544113210401</v>
      </c>
      <c r="U16" s="76">
        <f t="shared" si="0"/>
        <v>35.80745614889053</v>
      </c>
      <c r="V16" s="76">
        <f t="shared" si="1"/>
        <v>105.56208290662418</v>
      </c>
      <c r="W16" s="76">
        <f t="shared" si="2"/>
        <v>122.46771972651544</v>
      </c>
      <c r="X16" s="76">
        <f t="shared" si="3"/>
        <v>20.342457693726544</v>
      </c>
      <c r="Y16" s="27">
        <f t="shared" si="4"/>
        <v>284.17971647575672</v>
      </c>
      <c r="Z16" s="27">
        <f t="shared" si="5"/>
        <v>503.76504020789059</v>
      </c>
      <c r="AA16" s="33">
        <f t="shared" si="6"/>
        <v>-0.64678549776406391</v>
      </c>
      <c r="AB16" s="14">
        <f t="shared" si="7"/>
        <v>1069.6723315837799</v>
      </c>
      <c r="AC16" s="29">
        <f t="shared" si="8"/>
        <v>4</v>
      </c>
      <c r="AD16" s="20">
        <v>284.17971647575598</v>
      </c>
      <c r="AE16" s="78">
        <f t="shared" si="9"/>
        <v>7.3896444519050419E-13</v>
      </c>
      <c r="AF16" s="29">
        <f t="shared" si="10"/>
        <v>3</v>
      </c>
    </row>
    <row r="17" spans="1:32" ht="15" customHeight="1" x14ac:dyDescent="0.35">
      <c r="A17" s="19" t="s">
        <v>110</v>
      </c>
      <c r="B17" s="19" t="s">
        <v>113</v>
      </c>
      <c r="C17" s="19" t="s">
        <v>210</v>
      </c>
      <c r="D17" s="19" t="s">
        <v>122</v>
      </c>
      <c r="E17" s="19" t="s">
        <v>97</v>
      </c>
      <c r="F17" s="19">
        <v>2</v>
      </c>
      <c r="G17" s="19" t="s">
        <v>211</v>
      </c>
      <c r="H17" s="16">
        <v>358</v>
      </c>
      <c r="I17" s="13">
        <f>IF($G17="Base",1,INDEX(ModelOutput!$D$16:$D$26,MATCH($G17,ModelOutput!$C$16:$C$26,0)))</f>
        <v>1</v>
      </c>
      <c r="J17" s="13">
        <f>IF($A17="Non-greek",1,INDEX(ModelOutput!$D$16:$D$26,MATCH($A17,ModelOutput!$C$16:$C$26,0)))</f>
        <v>1</v>
      </c>
      <c r="K17" s="13">
        <f>IF($C17="Yes",1,INDEX(ModelOutput!$D$16:$D$26,MATCH($C17,ModelOutput!$C$16:$C$26,0)))</f>
        <v>1</v>
      </c>
      <c r="L17" s="13">
        <f>IF($D17="2.0-3.0",1,INDEX(ModelOutput!$D$16:$D$26,MATCH($D17,ModelOutput!$C$16:$C$26,0)))</f>
        <v>1</v>
      </c>
      <c r="M17" s="13">
        <f>IF($B17="On campus",1,INDEX(ModelOutput!$D$16:$D$26,MATCH($B17,ModelOutput!$C$16:$C$26,0)))</f>
        <v>1</v>
      </c>
      <c r="N17" s="13">
        <f>IF($B17="On campus",1,INDEX(ModelOutput!$E$16:$E$26,MATCH($B17,ModelOutput!$C$16:$C$26,0)))</f>
        <v>1</v>
      </c>
      <c r="O17" s="13">
        <f>IF($B17="On campus",1,INDEX(ModelOutput!$F$16:$F$26,MATCH($B17,ModelOutput!$C$16:$C$26,0)))</f>
        <v>1</v>
      </c>
      <c r="P17" s="13">
        <f>IF($B17="On campus",1,INDEX(ModelOutput!$G$16:$G$26,MATCH($B17,ModelOutput!$C$16:$C$26,0)))</f>
        <v>1</v>
      </c>
      <c r="Q17" s="72">
        <f>INDEX(ModelOutput!$D$9:$D$11,MATCH("Tier "&amp;$F17,ModelOutput!$B$9:$B$11,0))</f>
        <v>42.8051506068728</v>
      </c>
      <c r="R17" s="72">
        <f>INDEX(ModelOutput!$E$9:$E$11,MATCH("Tier "&amp;$F17,ModelOutput!$B$9:$B$11,0))</f>
        <v>126.191618818284</v>
      </c>
      <c r="S17" s="72">
        <f>INDEX(ModelOutput!$F$9:$F$11,MATCH("Tier "&amp;$F17,ModelOutput!$B$9:$B$11,0))</f>
        <v>146.401050261042</v>
      </c>
      <c r="T17" s="72">
        <f>INDEX(ModelOutput!$G$9:$G$11,MATCH("Tier "&amp;$F17,ModelOutput!$B$9:$B$11,0))</f>
        <v>24.317895180076398</v>
      </c>
      <c r="U17" s="76">
        <f t="shared" si="0"/>
        <v>42.8051506068728</v>
      </c>
      <c r="V17" s="76">
        <f t="shared" si="1"/>
        <v>126.191618818284</v>
      </c>
      <c r="W17" s="76">
        <f t="shared" si="2"/>
        <v>146.401050261042</v>
      </c>
      <c r="X17" s="76">
        <f t="shared" si="3"/>
        <v>24.317895180076398</v>
      </c>
      <c r="Y17" s="27">
        <f t="shared" si="4"/>
        <v>339.71571486627516</v>
      </c>
      <c r="Z17" s="27">
        <f t="shared" si="5"/>
        <v>594.07090315795062</v>
      </c>
      <c r="AA17" s="33">
        <f t="shared" si="6"/>
        <v>-0.58346760572112077</v>
      </c>
      <c r="AB17" s="14">
        <f t="shared" si="7"/>
        <v>1069.6723315837799</v>
      </c>
      <c r="AC17" s="29">
        <f t="shared" si="8"/>
        <v>4</v>
      </c>
      <c r="AD17" s="20">
        <v>339.71571486627499</v>
      </c>
      <c r="AE17" s="78">
        <f t="shared" si="9"/>
        <v>0</v>
      </c>
      <c r="AF17" s="29">
        <f t="shared" si="10"/>
        <v>2</v>
      </c>
    </row>
    <row r="18" spans="1:32" ht="15" customHeight="1" x14ac:dyDescent="0.35">
      <c r="A18" s="19" t="s">
        <v>110</v>
      </c>
      <c r="B18" s="19" t="s">
        <v>113</v>
      </c>
      <c r="C18" s="19" t="s">
        <v>210</v>
      </c>
      <c r="D18" s="19" t="s">
        <v>122</v>
      </c>
      <c r="E18" s="19" t="s">
        <v>99</v>
      </c>
      <c r="F18" s="19">
        <v>3</v>
      </c>
      <c r="G18" s="19" t="s">
        <v>211</v>
      </c>
      <c r="H18" s="16">
        <v>343</v>
      </c>
      <c r="I18" s="13">
        <f>IF($G18="Base",1,INDEX(ModelOutput!$D$16:$D$26,MATCH($G18,ModelOutput!$C$16:$C$26,0)))</f>
        <v>1</v>
      </c>
      <c r="J18" s="13">
        <f>IF($A18="Non-greek",1,INDEX(ModelOutput!$D$16:$D$26,MATCH($A18,ModelOutput!$C$16:$C$26,0)))</f>
        <v>1</v>
      </c>
      <c r="K18" s="13">
        <f>IF($C18="Yes",1,INDEX(ModelOutput!$D$16:$D$26,MATCH($C18,ModelOutput!$C$16:$C$26,0)))</f>
        <v>1</v>
      </c>
      <c r="L18" s="13">
        <f>IF($D18="2.0-3.0",1,INDEX(ModelOutput!$D$16:$D$26,MATCH($D18,ModelOutput!$C$16:$C$26,0)))</f>
        <v>1</v>
      </c>
      <c r="M18" s="13">
        <f>IF($B18="On campus",1,INDEX(ModelOutput!$D$16:$D$26,MATCH($B18,ModelOutput!$C$16:$C$26,0)))</f>
        <v>1</v>
      </c>
      <c r="N18" s="13">
        <f>IF($B18="On campus",1,INDEX(ModelOutput!$E$16:$E$26,MATCH($B18,ModelOutput!$C$16:$C$26,0)))</f>
        <v>1</v>
      </c>
      <c r="O18" s="13">
        <f>IF($B18="On campus",1,INDEX(ModelOutput!$F$16:$F$26,MATCH($B18,ModelOutput!$C$16:$C$26,0)))</f>
        <v>1</v>
      </c>
      <c r="P18" s="13">
        <f>IF($B18="On campus",1,INDEX(ModelOutput!$G$16:$G$26,MATCH($B18,ModelOutput!$C$16:$C$26,0)))</f>
        <v>1</v>
      </c>
      <c r="Q18" s="72">
        <f>INDEX(ModelOutput!$D$9:$D$11,MATCH("Tier "&amp;$F18,ModelOutput!$B$9:$B$11,0))</f>
        <v>40.009437343712797</v>
      </c>
      <c r="R18" s="72">
        <f>INDEX(ModelOutput!$E$9:$E$11,MATCH("Tier "&amp;$F18,ModelOutput!$B$9:$B$11,0))</f>
        <v>117.949723218616</v>
      </c>
      <c r="S18" s="72">
        <f>INDEX(ModelOutput!$F$9:$F$11,MATCH("Tier "&amp;$F18,ModelOutput!$B$9:$B$11,0))</f>
        <v>136.83922529015501</v>
      </c>
      <c r="T18" s="72">
        <f>INDEX(ModelOutput!$G$9:$G$11,MATCH("Tier "&amp;$F18,ModelOutput!$B$9:$B$11,0))</f>
        <v>22.729631592092201</v>
      </c>
      <c r="U18" s="76">
        <f t="shared" si="0"/>
        <v>40.009437343712797</v>
      </c>
      <c r="V18" s="76">
        <f t="shared" si="1"/>
        <v>117.949723218616</v>
      </c>
      <c r="W18" s="76">
        <f t="shared" si="2"/>
        <v>136.83922529015501</v>
      </c>
      <c r="X18" s="76">
        <f t="shared" si="3"/>
        <v>22.729631592092201</v>
      </c>
      <c r="Y18" s="27">
        <f t="shared" si="4"/>
        <v>317.52801744457599</v>
      </c>
      <c r="Z18" s="27">
        <f t="shared" si="5"/>
        <v>557.99197740511045</v>
      </c>
      <c r="AA18" s="33">
        <f t="shared" si="6"/>
        <v>-0.60876431903758632</v>
      </c>
      <c r="AB18" s="14">
        <f t="shared" si="7"/>
        <v>1069.6723315837799</v>
      </c>
      <c r="AC18" s="29">
        <f t="shared" si="8"/>
        <v>4</v>
      </c>
      <c r="AD18" s="20">
        <v>317.52801744457702</v>
      </c>
      <c r="AE18" s="78">
        <f t="shared" si="9"/>
        <v>-1.0231815394945443E-12</v>
      </c>
      <c r="AF18" s="29">
        <f t="shared" si="10"/>
        <v>1</v>
      </c>
    </row>
    <row r="19" spans="1:32" ht="15" customHeight="1" x14ac:dyDescent="0.35">
      <c r="A19" s="19" t="s">
        <v>110</v>
      </c>
      <c r="B19" s="19" t="s">
        <v>113</v>
      </c>
      <c r="C19" s="19" t="s">
        <v>210</v>
      </c>
      <c r="D19" s="19" t="s">
        <v>122</v>
      </c>
      <c r="E19" s="19" t="s">
        <v>213</v>
      </c>
      <c r="F19" s="19">
        <v>3</v>
      </c>
      <c r="G19" s="19" t="s">
        <v>107</v>
      </c>
      <c r="H19" s="16">
        <v>146</v>
      </c>
      <c r="I19" s="13">
        <f>IF($G19="Base",1,INDEX(ModelOutput!$D$16:$D$26,MATCH($G19,ModelOutput!$C$16:$C$26,0)))</f>
        <v>1.1906804269762199</v>
      </c>
      <c r="J19" s="13">
        <f>IF($A19="Non-greek",1,INDEX(ModelOutput!$D$16:$D$26,MATCH($A19,ModelOutput!$C$16:$C$26,0)))</f>
        <v>1</v>
      </c>
      <c r="K19" s="13">
        <f>IF($C19="Yes",1,INDEX(ModelOutput!$D$16:$D$26,MATCH($C19,ModelOutput!$C$16:$C$26,0)))</f>
        <v>1</v>
      </c>
      <c r="L19" s="13">
        <f>IF($D19="2.0-3.0",1,INDEX(ModelOutput!$D$16:$D$26,MATCH($D19,ModelOutput!$C$16:$C$26,0)))</f>
        <v>1</v>
      </c>
      <c r="M19" s="13">
        <f>IF($B19="On campus",1,INDEX(ModelOutput!$D$16:$D$26,MATCH($B19,ModelOutput!$C$16:$C$26,0)))</f>
        <v>1</v>
      </c>
      <c r="N19" s="13">
        <f>IF($B19="On campus",1,INDEX(ModelOutput!$E$16:$E$26,MATCH($B19,ModelOutput!$C$16:$C$26,0)))</f>
        <v>1</v>
      </c>
      <c r="O19" s="13">
        <f>IF($B19="On campus",1,INDEX(ModelOutput!$F$16:$F$26,MATCH($B19,ModelOutput!$C$16:$C$26,0)))</f>
        <v>1</v>
      </c>
      <c r="P19" s="13">
        <f>IF($B19="On campus",1,INDEX(ModelOutput!$G$16:$G$26,MATCH($B19,ModelOutput!$C$16:$C$26,0)))</f>
        <v>1</v>
      </c>
      <c r="Q19" s="72">
        <f>INDEX(ModelOutput!$D$9:$D$11,MATCH("Tier "&amp;$F19,ModelOutput!$B$9:$B$11,0))</f>
        <v>40.009437343712797</v>
      </c>
      <c r="R19" s="72">
        <f>INDEX(ModelOutput!$E$9:$E$11,MATCH("Tier "&amp;$F19,ModelOutput!$B$9:$B$11,0))</f>
        <v>117.949723218616</v>
      </c>
      <c r="S19" s="72">
        <f>INDEX(ModelOutput!$F$9:$F$11,MATCH("Tier "&amp;$F19,ModelOutput!$B$9:$B$11,0))</f>
        <v>136.83922529015501</v>
      </c>
      <c r="T19" s="72">
        <f>INDEX(ModelOutput!$G$9:$G$11,MATCH("Tier "&amp;$F19,ModelOutput!$B$9:$B$11,0))</f>
        <v>22.729631592092201</v>
      </c>
      <c r="U19" s="76">
        <f t="shared" si="0"/>
        <v>47.638453939490269</v>
      </c>
      <c r="V19" s="76">
        <f t="shared" si="1"/>
        <v>140.44042680366866</v>
      </c>
      <c r="W19" s="76">
        <f t="shared" si="2"/>
        <v>162.93178719557693</v>
      </c>
      <c r="X19" s="76">
        <f t="shared" si="3"/>
        <v>27.063727449084517</v>
      </c>
      <c r="Y19" s="27">
        <f t="shared" si="4"/>
        <v>378.0743953878204</v>
      </c>
      <c r="Z19" s="27">
        <f t="shared" si="5"/>
        <v>656.44510811534633</v>
      </c>
      <c r="AA19" s="33">
        <f t="shared" si="6"/>
        <v>-0.53973397595733852</v>
      </c>
      <c r="AB19" s="14">
        <f t="shared" si="7"/>
        <v>1069.6723315837799</v>
      </c>
      <c r="AC19" s="29">
        <f t="shared" si="8"/>
        <v>3</v>
      </c>
      <c r="AD19" s="20">
        <v>378.07439538782103</v>
      </c>
      <c r="AE19" s="78">
        <f t="shared" si="9"/>
        <v>-6.2527760746888816E-13</v>
      </c>
      <c r="AF19" s="29">
        <f t="shared" si="10"/>
        <v>2</v>
      </c>
    </row>
    <row r="20" spans="1:32" ht="15" customHeight="1" x14ac:dyDescent="0.35">
      <c r="A20" s="37" t="s">
        <v>110</v>
      </c>
      <c r="B20" s="37" t="s">
        <v>113</v>
      </c>
      <c r="C20" s="37" t="s">
        <v>210</v>
      </c>
      <c r="D20" s="37" t="s">
        <v>124</v>
      </c>
      <c r="E20" s="37" t="s">
        <v>95</v>
      </c>
      <c r="F20" s="37">
        <v>1</v>
      </c>
      <c r="G20" s="37" t="s">
        <v>211</v>
      </c>
      <c r="H20" s="38">
        <v>217</v>
      </c>
      <c r="I20" s="39">
        <f>IF($G20="Base",1,INDEX(ModelOutput!$D$16:$D$26,MATCH($G20,ModelOutput!$C$16:$C$26,0)))</f>
        <v>1</v>
      </c>
      <c r="J20" s="39">
        <f>IF($A20="Non-greek",1,INDEX(ModelOutput!$D$16:$D$26,MATCH($A20,ModelOutput!$C$16:$C$26,0)))</f>
        <v>1</v>
      </c>
      <c r="K20" s="39">
        <f>IF($C20="Yes",1,INDEX(ModelOutput!$D$16:$D$26,MATCH($C20,ModelOutput!$C$16:$C$26,0)))</f>
        <v>1</v>
      </c>
      <c r="L20" s="39">
        <f>IF($D20="2.0-3.0",1,INDEX(ModelOutput!$D$16:$D$26,MATCH($D20,ModelOutput!$C$16:$C$26,0)))</f>
        <v>0.87654761766211098</v>
      </c>
      <c r="M20" s="39">
        <f>IF($B20="On campus",1,INDEX(ModelOutput!$D$16:$D$26,MATCH($B20,ModelOutput!$C$16:$C$26,0)))</f>
        <v>1</v>
      </c>
      <c r="N20" s="39">
        <f>IF($B20="On campus",1,INDEX(ModelOutput!$E$16:$E$26,MATCH($B20,ModelOutput!$C$16:$C$26,0)))</f>
        <v>1</v>
      </c>
      <c r="O20" s="39">
        <f>IF($B20="On campus",1,INDEX(ModelOutput!$F$16:$F$26,MATCH($B20,ModelOutput!$C$16:$C$26,0)))</f>
        <v>1</v>
      </c>
      <c r="P20" s="39">
        <f>IF($B20="On campus",1,INDEX(ModelOutput!$G$16:$G$26,MATCH($B20,ModelOutput!$C$16:$C$26,0)))</f>
        <v>1</v>
      </c>
      <c r="Q20" s="73">
        <f>INDEX(ModelOutput!$D$9:$D$11,MATCH("Tier "&amp;$F20,ModelOutput!$B$9:$B$11,0))</f>
        <v>36.175496869914397</v>
      </c>
      <c r="R20" s="73">
        <f>INDEX(ModelOutput!$E$9:$E$11,MATCH("Tier "&amp;$F20,ModelOutput!$B$9:$B$11,0))</f>
        <v>106.647084447761</v>
      </c>
      <c r="S20" s="73">
        <f>INDEX(ModelOutput!$F$9:$F$11,MATCH("Tier "&amp;$F20,ModelOutput!$B$9:$B$11,0))</f>
        <v>123.726482920496</v>
      </c>
      <c r="T20" s="73">
        <f>INDEX(ModelOutput!$G$9:$G$11,MATCH("Tier "&amp;$F20,ModelOutput!$B$9:$B$11,0))</f>
        <v>20.551544113210401</v>
      </c>
      <c r="U20" s="77">
        <f t="shared" si="0"/>
        <v>31.709545599066619</v>
      </c>
      <c r="V20" s="77">
        <f t="shared" si="1"/>
        <v>93.481247803294877</v>
      </c>
      <c r="W20" s="77">
        <f t="shared" si="2"/>
        <v>108.45215384567263</v>
      </c>
      <c r="X20" s="77">
        <f t="shared" si="3"/>
        <v>18.014407031712359</v>
      </c>
      <c r="Y20" s="30">
        <f t="shared" si="4"/>
        <v>251.65735427974647</v>
      </c>
      <c r="Z20" s="30">
        <f t="shared" si="5"/>
        <v>450.88114384515706</v>
      </c>
      <c r="AA20" s="41">
        <f t="shared" si="6"/>
        <v>-0.68386500435775543</v>
      </c>
      <c r="AB20" s="40">
        <f t="shared" si="7"/>
        <v>1069.6723315837799</v>
      </c>
      <c r="AC20" s="42">
        <f t="shared" si="8"/>
        <v>5</v>
      </c>
      <c r="AD20" s="43">
        <v>251.65735427974599</v>
      </c>
      <c r="AE20" s="79">
        <f t="shared" si="9"/>
        <v>4.8316906031686813E-13</v>
      </c>
      <c r="AF20" s="29">
        <f t="shared" si="10"/>
        <v>4</v>
      </c>
    </row>
    <row r="21" spans="1:32" ht="15" customHeight="1" x14ac:dyDescent="0.35">
      <c r="A21" s="37" t="s">
        <v>110</v>
      </c>
      <c r="B21" s="37" t="s">
        <v>113</v>
      </c>
      <c r="C21" s="37" t="s">
        <v>210</v>
      </c>
      <c r="D21" s="37" t="s">
        <v>124</v>
      </c>
      <c r="E21" s="37" t="s">
        <v>105</v>
      </c>
      <c r="F21" s="37">
        <v>1</v>
      </c>
      <c r="G21" s="37" t="s">
        <v>105</v>
      </c>
      <c r="H21" s="38">
        <v>216</v>
      </c>
      <c r="I21" s="39">
        <f>IF($G21="Base",1,INDEX(ModelOutput!$D$16:$D$26,MATCH($G21,ModelOutput!$C$16:$C$26,0)))</f>
        <v>0.98982624281990295</v>
      </c>
      <c r="J21" s="39">
        <f>IF($A21="Non-greek",1,INDEX(ModelOutput!$D$16:$D$26,MATCH($A21,ModelOutput!$C$16:$C$26,0)))</f>
        <v>1</v>
      </c>
      <c r="K21" s="39">
        <f>IF($C21="Yes",1,INDEX(ModelOutput!$D$16:$D$26,MATCH($C21,ModelOutput!$C$16:$C$26,0)))</f>
        <v>1</v>
      </c>
      <c r="L21" s="39">
        <f>IF($D21="2.0-3.0",1,INDEX(ModelOutput!$D$16:$D$26,MATCH($D21,ModelOutput!$C$16:$C$26,0)))</f>
        <v>0.87654761766211098</v>
      </c>
      <c r="M21" s="39">
        <f>IF($B21="On campus",1,INDEX(ModelOutput!$D$16:$D$26,MATCH($B21,ModelOutput!$C$16:$C$26,0)))</f>
        <v>1</v>
      </c>
      <c r="N21" s="39">
        <f>IF($B21="On campus",1,INDEX(ModelOutput!$E$16:$E$26,MATCH($B21,ModelOutput!$C$16:$C$26,0)))</f>
        <v>1</v>
      </c>
      <c r="O21" s="39">
        <f>IF($B21="On campus",1,INDEX(ModelOutput!$F$16:$F$26,MATCH($B21,ModelOutput!$C$16:$C$26,0)))</f>
        <v>1</v>
      </c>
      <c r="P21" s="39">
        <f>IF($B21="On campus",1,INDEX(ModelOutput!$G$16:$G$26,MATCH($B21,ModelOutput!$C$16:$C$26,0)))</f>
        <v>1</v>
      </c>
      <c r="Q21" s="73">
        <f>INDEX(ModelOutput!$D$9:$D$11,MATCH("Tier "&amp;$F21,ModelOutput!$B$9:$B$11,0))</f>
        <v>36.175496869914397</v>
      </c>
      <c r="R21" s="73">
        <f>INDEX(ModelOutput!$E$9:$E$11,MATCH("Tier "&amp;$F21,ModelOutput!$B$9:$B$11,0))</f>
        <v>106.647084447761</v>
      </c>
      <c r="S21" s="73">
        <f>INDEX(ModelOutput!$F$9:$F$11,MATCH("Tier "&amp;$F21,ModelOutput!$B$9:$B$11,0))</f>
        <v>123.726482920496</v>
      </c>
      <c r="T21" s="73">
        <f>INDEX(ModelOutput!$G$9:$G$11,MATCH("Tier "&amp;$F21,ModelOutput!$B$9:$B$11,0))</f>
        <v>20.551544113210401</v>
      </c>
      <c r="U21" s="77">
        <f t="shared" si="0"/>
        <v>31.386940381850501</v>
      </c>
      <c r="V21" s="77">
        <f t="shared" si="1"/>
        <v>92.53019228725168</v>
      </c>
      <c r="W21" s="77">
        <f t="shared" si="2"/>
        <v>107.34878796678822</v>
      </c>
      <c r="X21" s="77">
        <f t="shared" si="3"/>
        <v>17.831132828828284</v>
      </c>
      <c r="Y21" s="30">
        <f t="shared" si="4"/>
        <v>249.0970534647187</v>
      </c>
      <c r="Z21" s="30">
        <f t="shared" si="5"/>
        <v>446.71789511976277</v>
      </c>
      <c r="AA21" s="41">
        <f t="shared" si="6"/>
        <v>-0.68678406326191777</v>
      </c>
      <c r="AB21" s="40">
        <f t="shared" si="7"/>
        <v>1069.6723315837799</v>
      </c>
      <c r="AC21" s="42">
        <f t="shared" si="8"/>
        <v>5</v>
      </c>
      <c r="AD21" s="43">
        <v>249.09705346471799</v>
      </c>
      <c r="AE21" s="79">
        <f t="shared" si="9"/>
        <v>7.1054273576010019E-13</v>
      </c>
      <c r="AF21" s="29">
        <f t="shared" si="10"/>
        <v>3</v>
      </c>
    </row>
    <row r="22" spans="1:32" ht="15" customHeight="1" x14ac:dyDescent="0.35">
      <c r="A22" s="37" t="s">
        <v>110</v>
      </c>
      <c r="B22" s="37" t="s">
        <v>113</v>
      </c>
      <c r="C22" s="37" t="s">
        <v>210</v>
      </c>
      <c r="D22" s="37" t="s">
        <v>124</v>
      </c>
      <c r="E22" s="37" t="s">
        <v>97</v>
      </c>
      <c r="F22" s="37">
        <v>2</v>
      </c>
      <c r="G22" s="37" t="s">
        <v>211</v>
      </c>
      <c r="H22" s="38">
        <v>207</v>
      </c>
      <c r="I22" s="39">
        <f>IF($G22="Base",1,INDEX(ModelOutput!$D$16:$D$26,MATCH($G22,ModelOutput!$C$16:$C$26,0)))</f>
        <v>1</v>
      </c>
      <c r="J22" s="39">
        <f>IF($A22="Non-greek",1,INDEX(ModelOutput!$D$16:$D$26,MATCH($A22,ModelOutput!$C$16:$C$26,0)))</f>
        <v>1</v>
      </c>
      <c r="K22" s="39">
        <f>IF($C22="Yes",1,INDEX(ModelOutput!$D$16:$D$26,MATCH($C22,ModelOutput!$C$16:$C$26,0)))</f>
        <v>1</v>
      </c>
      <c r="L22" s="39">
        <f>IF($D22="2.0-3.0",1,INDEX(ModelOutput!$D$16:$D$26,MATCH($D22,ModelOutput!$C$16:$C$26,0)))</f>
        <v>0.87654761766211098</v>
      </c>
      <c r="M22" s="39">
        <f>IF($B22="On campus",1,INDEX(ModelOutput!$D$16:$D$26,MATCH($B22,ModelOutput!$C$16:$C$26,0)))</f>
        <v>1</v>
      </c>
      <c r="N22" s="39">
        <f>IF($B22="On campus",1,INDEX(ModelOutput!$E$16:$E$26,MATCH($B22,ModelOutput!$C$16:$C$26,0)))</f>
        <v>1</v>
      </c>
      <c r="O22" s="39">
        <f>IF($B22="On campus",1,INDEX(ModelOutput!$F$16:$F$26,MATCH($B22,ModelOutput!$C$16:$C$26,0)))</f>
        <v>1</v>
      </c>
      <c r="P22" s="39">
        <f>IF($B22="On campus",1,INDEX(ModelOutput!$G$16:$G$26,MATCH($B22,ModelOutput!$C$16:$C$26,0)))</f>
        <v>1</v>
      </c>
      <c r="Q22" s="73">
        <f>INDEX(ModelOutput!$D$9:$D$11,MATCH("Tier "&amp;$F22,ModelOutput!$B$9:$B$11,0))</f>
        <v>42.8051506068728</v>
      </c>
      <c r="R22" s="73">
        <f>INDEX(ModelOutput!$E$9:$E$11,MATCH("Tier "&amp;$F22,ModelOutput!$B$9:$B$11,0))</f>
        <v>126.191618818284</v>
      </c>
      <c r="S22" s="73">
        <f>INDEX(ModelOutput!$F$9:$F$11,MATCH("Tier "&amp;$F22,ModelOutput!$B$9:$B$11,0))</f>
        <v>146.401050261042</v>
      </c>
      <c r="T22" s="73">
        <f>INDEX(ModelOutput!$G$9:$G$11,MATCH("Tier "&amp;$F22,ModelOutput!$B$9:$B$11,0))</f>
        <v>24.317895180076398</v>
      </c>
      <c r="U22" s="77">
        <f t="shared" si="0"/>
        <v>37.520752788122216</v>
      </c>
      <c r="V22" s="77">
        <f t="shared" si="1"/>
        <v>110.61296284409205</v>
      </c>
      <c r="W22" s="77">
        <f t="shared" si="2"/>
        <v>128.32749182954734</v>
      </c>
      <c r="X22" s="77">
        <f t="shared" si="3"/>
        <v>21.315793086652899</v>
      </c>
      <c r="Y22" s="30">
        <f t="shared" si="4"/>
        <v>297.77700054841449</v>
      </c>
      <c r="Z22" s="30">
        <f t="shared" si="5"/>
        <v>525.87528414955898</v>
      </c>
      <c r="AA22" s="41">
        <f t="shared" si="6"/>
        <v>-0.63128291583628926</v>
      </c>
      <c r="AB22" s="40">
        <f t="shared" si="7"/>
        <v>1069.6723315837799</v>
      </c>
      <c r="AC22" s="42">
        <f t="shared" si="8"/>
        <v>4</v>
      </c>
      <c r="AD22" s="43">
        <v>297.77700054841398</v>
      </c>
      <c r="AE22" s="79">
        <f t="shared" si="9"/>
        <v>5.1159076974727213E-13</v>
      </c>
      <c r="AF22" s="29">
        <f t="shared" si="10"/>
        <v>2</v>
      </c>
    </row>
    <row r="23" spans="1:32" ht="15" customHeight="1" x14ac:dyDescent="0.35">
      <c r="A23" s="37" t="s">
        <v>110</v>
      </c>
      <c r="B23" s="37" t="s">
        <v>113</v>
      </c>
      <c r="C23" s="37" t="s">
        <v>210</v>
      </c>
      <c r="D23" s="37" t="s">
        <v>124</v>
      </c>
      <c r="E23" s="37" t="s">
        <v>99</v>
      </c>
      <c r="F23" s="37">
        <v>3</v>
      </c>
      <c r="G23" s="37" t="s">
        <v>211</v>
      </c>
      <c r="H23" s="38">
        <v>197</v>
      </c>
      <c r="I23" s="39">
        <f>IF($G23="Base",1,INDEX(ModelOutput!$D$16:$D$26,MATCH($G23,ModelOutput!$C$16:$C$26,0)))</f>
        <v>1</v>
      </c>
      <c r="J23" s="39">
        <f>IF($A23="Non-greek",1,INDEX(ModelOutput!$D$16:$D$26,MATCH($A23,ModelOutput!$C$16:$C$26,0)))</f>
        <v>1</v>
      </c>
      <c r="K23" s="39">
        <f>IF($C23="Yes",1,INDEX(ModelOutput!$D$16:$D$26,MATCH($C23,ModelOutput!$C$16:$C$26,0)))</f>
        <v>1</v>
      </c>
      <c r="L23" s="39">
        <f>IF($D23="2.0-3.0",1,INDEX(ModelOutput!$D$16:$D$26,MATCH($D23,ModelOutput!$C$16:$C$26,0)))</f>
        <v>0.87654761766211098</v>
      </c>
      <c r="M23" s="39">
        <f>IF($B23="On campus",1,INDEX(ModelOutput!$D$16:$D$26,MATCH($B23,ModelOutput!$C$16:$C$26,0)))</f>
        <v>1</v>
      </c>
      <c r="N23" s="39">
        <f>IF($B23="On campus",1,INDEX(ModelOutput!$E$16:$E$26,MATCH($B23,ModelOutput!$C$16:$C$26,0)))</f>
        <v>1</v>
      </c>
      <c r="O23" s="39">
        <f>IF($B23="On campus",1,INDEX(ModelOutput!$F$16:$F$26,MATCH($B23,ModelOutput!$C$16:$C$26,0)))</f>
        <v>1</v>
      </c>
      <c r="P23" s="39">
        <f>IF($B23="On campus",1,INDEX(ModelOutput!$G$16:$G$26,MATCH($B23,ModelOutput!$C$16:$C$26,0)))</f>
        <v>1</v>
      </c>
      <c r="Q23" s="73">
        <f>INDEX(ModelOutput!$D$9:$D$11,MATCH("Tier "&amp;$F23,ModelOutput!$B$9:$B$11,0))</f>
        <v>40.009437343712797</v>
      </c>
      <c r="R23" s="73">
        <f>INDEX(ModelOutput!$E$9:$E$11,MATCH("Tier "&amp;$F23,ModelOutput!$B$9:$B$11,0))</f>
        <v>117.949723218616</v>
      </c>
      <c r="S23" s="73">
        <f>INDEX(ModelOutput!$F$9:$F$11,MATCH("Tier "&amp;$F23,ModelOutput!$B$9:$B$11,0))</f>
        <v>136.83922529015501</v>
      </c>
      <c r="T23" s="73">
        <f>INDEX(ModelOutput!$G$9:$G$11,MATCH("Tier "&amp;$F23,ModelOutput!$B$9:$B$11,0))</f>
        <v>22.729631592092201</v>
      </c>
      <c r="U23" s="77">
        <f t="shared" si="0"/>
        <v>35.070176987632948</v>
      </c>
      <c r="V23" s="77">
        <f t="shared" si="1"/>
        <v>103.38854889118323</v>
      </c>
      <c r="W23" s="77">
        <f t="shared" si="2"/>
        <v>119.94609693081426</v>
      </c>
      <c r="X23" s="77">
        <f t="shared" si="3"/>
        <v>19.923604422385871</v>
      </c>
      <c r="Y23" s="30">
        <f t="shared" si="4"/>
        <v>278.32842723201634</v>
      </c>
      <c r="Z23" s="30">
        <f t="shared" si="5"/>
        <v>494.25038773309882</v>
      </c>
      <c r="AA23" s="41">
        <f t="shared" si="6"/>
        <v>-0.65345668962851844</v>
      </c>
      <c r="AB23" s="40">
        <f t="shared" si="7"/>
        <v>1069.6723315837799</v>
      </c>
      <c r="AC23" s="42">
        <f t="shared" si="8"/>
        <v>4</v>
      </c>
      <c r="AD23" s="43">
        <v>278.32842723201702</v>
      </c>
      <c r="AE23" s="79">
        <f t="shared" si="9"/>
        <v>-6.8212102632969618E-13</v>
      </c>
      <c r="AF23" s="29">
        <f t="shared" si="10"/>
        <v>1</v>
      </c>
    </row>
    <row r="24" spans="1:32" ht="15" customHeight="1" x14ac:dyDescent="0.35">
      <c r="A24" s="37" t="s">
        <v>110</v>
      </c>
      <c r="B24" s="37" t="s">
        <v>113</v>
      </c>
      <c r="C24" s="37" t="s">
        <v>210</v>
      </c>
      <c r="D24" s="37" t="s">
        <v>124</v>
      </c>
      <c r="E24" s="37" t="s">
        <v>213</v>
      </c>
      <c r="F24" s="37">
        <v>3</v>
      </c>
      <c r="G24" s="37" t="s">
        <v>107</v>
      </c>
      <c r="H24" s="38">
        <v>86</v>
      </c>
      <c r="I24" s="39">
        <f>IF($G24="Base",1,INDEX(ModelOutput!$D$16:$D$26,MATCH($G24,ModelOutput!$C$16:$C$26,0)))</f>
        <v>1.1906804269762199</v>
      </c>
      <c r="J24" s="39">
        <f>IF($A24="Non-greek",1,INDEX(ModelOutput!$D$16:$D$26,MATCH($A24,ModelOutput!$C$16:$C$26,0)))</f>
        <v>1</v>
      </c>
      <c r="K24" s="39">
        <f>IF($C24="Yes",1,INDEX(ModelOutput!$D$16:$D$26,MATCH($C24,ModelOutput!$C$16:$C$26,0)))</f>
        <v>1</v>
      </c>
      <c r="L24" s="39">
        <f>IF($D24="2.0-3.0",1,INDEX(ModelOutput!$D$16:$D$26,MATCH($D24,ModelOutput!$C$16:$C$26,0)))</f>
        <v>0.87654761766211098</v>
      </c>
      <c r="M24" s="39">
        <f>IF($B24="On campus",1,INDEX(ModelOutput!$D$16:$D$26,MATCH($B24,ModelOutput!$C$16:$C$26,0)))</f>
        <v>1</v>
      </c>
      <c r="N24" s="39">
        <f>IF($B24="On campus",1,INDEX(ModelOutput!$E$16:$E$26,MATCH($B24,ModelOutput!$C$16:$C$26,0)))</f>
        <v>1</v>
      </c>
      <c r="O24" s="39">
        <f>IF($B24="On campus",1,INDEX(ModelOutput!$F$16:$F$26,MATCH($B24,ModelOutput!$C$16:$C$26,0)))</f>
        <v>1</v>
      </c>
      <c r="P24" s="39">
        <f>IF($B24="On campus",1,INDEX(ModelOutput!$G$16:$G$26,MATCH($B24,ModelOutput!$C$16:$C$26,0)))</f>
        <v>1</v>
      </c>
      <c r="Q24" s="73">
        <f>INDEX(ModelOutput!$D$9:$D$11,MATCH("Tier "&amp;$F24,ModelOutput!$B$9:$B$11,0))</f>
        <v>40.009437343712797</v>
      </c>
      <c r="R24" s="73">
        <f>INDEX(ModelOutput!$E$9:$E$11,MATCH("Tier "&amp;$F24,ModelOutput!$B$9:$B$11,0))</f>
        <v>117.949723218616</v>
      </c>
      <c r="S24" s="73">
        <f>INDEX(ModelOutput!$F$9:$F$11,MATCH("Tier "&amp;$F24,ModelOutput!$B$9:$B$11,0))</f>
        <v>136.83922529015501</v>
      </c>
      <c r="T24" s="73">
        <f>INDEX(ModelOutput!$G$9:$G$11,MATCH("Tier "&amp;$F24,ModelOutput!$B$9:$B$11,0))</f>
        <v>22.729631592092201</v>
      </c>
      <c r="U24" s="77">
        <f t="shared" si="0"/>
        <v>41.7573733097664</v>
      </c>
      <c r="V24" s="77">
        <f t="shared" si="1"/>
        <v>123.10272153820584</v>
      </c>
      <c r="W24" s="77">
        <f t="shared" si="2"/>
        <v>142.81746990771299</v>
      </c>
      <c r="X24" s="77">
        <f t="shared" si="3"/>
        <v>23.722645820551712</v>
      </c>
      <c r="Y24" s="30">
        <f t="shared" si="4"/>
        <v>331.40021057623693</v>
      </c>
      <c r="Z24" s="30">
        <f t="shared" si="5"/>
        <v>580.54924490853239</v>
      </c>
      <c r="AA24" s="41">
        <f t="shared" si="6"/>
        <v>-0.59294830685512911</v>
      </c>
      <c r="AB24" s="40">
        <f t="shared" si="7"/>
        <v>1069.6723315837799</v>
      </c>
      <c r="AC24" s="42">
        <f t="shared" si="8"/>
        <v>4</v>
      </c>
      <c r="AD24" s="43">
        <v>331.40021057623801</v>
      </c>
      <c r="AE24" s="79">
        <f t="shared" si="9"/>
        <v>-1.0800249583553523E-12</v>
      </c>
      <c r="AF24" s="29">
        <f t="shared" si="10"/>
        <v>2</v>
      </c>
    </row>
    <row r="25" spans="1:32" ht="15" customHeight="1" x14ac:dyDescent="0.35">
      <c r="A25" s="19" t="s">
        <v>110</v>
      </c>
      <c r="B25" s="19" t="s">
        <v>113</v>
      </c>
      <c r="C25" s="19" t="s">
        <v>118</v>
      </c>
      <c r="D25" s="19" t="s">
        <v>121</v>
      </c>
      <c r="E25" s="19" t="s">
        <v>95</v>
      </c>
      <c r="F25" s="19">
        <v>1</v>
      </c>
      <c r="G25" s="19" t="s">
        <v>211</v>
      </c>
      <c r="H25" s="16">
        <v>24</v>
      </c>
      <c r="I25" s="13">
        <f>IF($G25="Base",1,INDEX(ModelOutput!$D$16:$D$26,MATCH($G25,ModelOutput!$C$16:$C$26,0)))</f>
        <v>1</v>
      </c>
      <c r="J25" s="13">
        <f>IF($A25="Non-greek",1,INDEX(ModelOutput!$D$16:$D$26,MATCH($A25,ModelOutput!$C$16:$C$26,0)))</f>
        <v>1</v>
      </c>
      <c r="K25" s="13">
        <f>IF($C25="Yes",1,INDEX(ModelOutput!$D$16:$D$26,MATCH($C25,ModelOutput!$C$16:$C$26,0)))</f>
        <v>1.5400747552012299</v>
      </c>
      <c r="L25" s="13">
        <f>IF($D25="2.0-3.0",1,INDEX(ModelOutput!$D$16:$D$26,MATCH($D25,ModelOutput!$C$16:$C$26,0)))</f>
        <v>1.12144800201769</v>
      </c>
      <c r="M25" s="13">
        <f>IF($B25="On campus",1,INDEX(ModelOutput!$D$16:$D$26,MATCH($B25,ModelOutput!$C$16:$C$26,0)))</f>
        <v>1</v>
      </c>
      <c r="N25" s="13">
        <f>IF($B25="On campus",1,INDEX(ModelOutput!$E$16:$E$26,MATCH($B25,ModelOutput!$C$16:$C$26,0)))</f>
        <v>1</v>
      </c>
      <c r="O25" s="13">
        <f>IF($B25="On campus",1,INDEX(ModelOutput!$F$16:$F$26,MATCH($B25,ModelOutput!$C$16:$C$26,0)))</f>
        <v>1</v>
      </c>
      <c r="P25" s="13">
        <f>IF($B25="On campus",1,INDEX(ModelOutput!$G$16:$G$26,MATCH($B25,ModelOutput!$C$16:$C$26,0)))</f>
        <v>1</v>
      </c>
      <c r="Q25" s="72">
        <f>INDEX(ModelOutput!$D$9:$D$11,MATCH("Tier "&amp;$F25,ModelOutput!$B$9:$B$11,0))</f>
        <v>36.175496869914397</v>
      </c>
      <c r="R25" s="72">
        <f>INDEX(ModelOutput!$E$9:$E$11,MATCH("Tier "&amp;$F25,ModelOutput!$B$9:$B$11,0))</f>
        <v>106.647084447761</v>
      </c>
      <c r="S25" s="72">
        <f>INDEX(ModelOutput!$F$9:$F$11,MATCH("Tier "&amp;$F25,ModelOutput!$B$9:$B$11,0))</f>
        <v>123.726482920496</v>
      </c>
      <c r="T25" s="72">
        <f>INDEX(ModelOutput!$G$9:$G$11,MATCH("Tier "&amp;$F25,ModelOutput!$B$9:$B$11,0))</f>
        <v>20.551544113210401</v>
      </c>
      <c r="U25" s="76">
        <f t="shared" si="0"/>
        <v>62.47919831678977</v>
      </c>
      <c r="V25" s="76">
        <f t="shared" si="1"/>
        <v>184.19164671268419</v>
      </c>
      <c r="W25" s="76">
        <f t="shared" si="2"/>
        <v>213.68971077927489</v>
      </c>
      <c r="X25" s="76">
        <f t="shared" si="3"/>
        <v>35.494854569182436</v>
      </c>
      <c r="Y25" s="27">
        <f t="shared" si="4"/>
        <v>495.85541037793126</v>
      </c>
      <c r="Z25" s="27">
        <f t="shared" si="5"/>
        <v>847.96622065614179</v>
      </c>
      <c r="AA25" s="33">
        <f t="shared" si="6"/>
        <v>-0.40544908313140282</v>
      </c>
      <c r="AB25" s="14">
        <f t="shared" si="7"/>
        <v>1069.6723315837799</v>
      </c>
      <c r="AC25" s="29">
        <f t="shared" si="8"/>
        <v>2</v>
      </c>
      <c r="AD25" s="20">
        <v>495.85541037793098</v>
      </c>
      <c r="AE25" s="78">
        <f t="shared" si="9"/>
        <v>0</v>
      </c>
      <c r="AF25" s="29">
        <f t="shared" si="10"/>
        <v>4</v>
      </c>
    </row>
    <row r="26" spans="1:32" ht="15" customHeight="1" x14ac:dyDescent="0.35">
      <c r="A26" s="19" t="s">
        <v>110</v>
      </c>
      <c r="B26" s="19" t="s">
        <v>113</v>
      </c>
      <c r="C26" s="19" t="s">
        <v>118</v>
      </c>
      <c r="D26" s="19" t="s">
        <v>121</v>
      </c>
      <c r="E26" s="19" t="s">
        <v>105</v>
      </c>
      <c r="F26" s="19">
        <v>1</v>
      </c>
      <c r="G26" s="19" t="s">
        <v>105</v>
      </c>
      <c r="H26" s="16">
        <v>19</v>
      </c>
      <c r="I26" s="13">
        <f>IF($G26="Base",1,INDEX(ModelOutput!$D$16:$D$26,MATCH($G26,ModelOutput!$C$16:$C$26,0)))</f>
        <v>0.98982624281990295</v>
      </c>
      <c r="J26" s="13">
        <f>IF($A26="Non-greek",1,INDEX(ModelOutput!$D$16:$D$26,MATCH($A26,ModelOutput!$C$16:$C$26,0)))</f>
        <v>1</v>
      </c>
      <c r="K26" s="13">
        <f>IF($C26="Yes",1,INDEX(ModelOutput!$D$16:$D$26,MATCH($C26,ModelOutput!$C$16:$C$26,0)))</f>
        <v>1.5400747552012299</v>
      </c>
      <c r="L26" s="13">
        <f>IF($D26="2.0-3.0",1,INDEX(ModelOutput!$D$16:$D$26,MATCH($D26,ModelOutput!$C$16:$C$26,0)))</f>
        <v>1.12144800201769</v>
      </c>
      <c r="M26" s="13">
        <f>IF($B26="On campus",1,INDEX(ModelOutput!$D$16:$D$26,MATCH($B26,ModelOutput!$C$16:$C$26,0)))</f>
        <v>1</v>
      </c>
      <c r="N26" s="13">
        <f>IF($B26="On campus",1,INDEX(ModelOutput!$E$16:$E$26,MATCH($B26,ModelOutput!$C$16:$C$26,0)))</f>
        <v>1</v>
      </c>
      <c r="O26" s="13">
        <f>IF($B26="On campus",1,INDEX(ModelOutput!$F$16:$F$26,MATCH($B26,ModelOutput!$C$16:$C$26,0)))</f>
        <v>1</v>
      </c>
      <c r="P26" s="13">
        <f>IF($B26="On campus",1,INDEX(ModelOutput!$G$16:$G$26,MATCH($B26,ModelOutput!$C$16:$C$26,0)))</f>
        <v>1</v>
      </c>
      <c r="Q26" s="72">
        <f>INDEX(ModelOutput!$D$9:$D$11,MATCH("Tier "&amp;$F26,ModelOutput!$B$9:$B$11,0))</f>
        <v>36.175496869914397</v>
      </c>
      <c r="R26" s="72">
        <f>INDEX(ModelOutput!$E$9:$E$11,MATCH("Tier "&amp;$F26,ModelOutput!$B$9:$B$11,0))</f>
        <v>106.647084447761</v>
      </c>
      <c r="S26" s="72">
        <f>INDEX(ModelOutput!$F$9:$F$11,MATCH("Tier "&amp;$F26,ModelOutput!$B$9:$B$11,0))</f>
        <v>123.726482920496</v>
      </c>
      <c r="T26" s="72">
        <f>INDEX(ModelOutput!$G$9:$G$11,MATCH("Tier "&amp;$F26,ModelOutput!$B$9:$B$11,0))</f>
        <v>20.551544113210401</v>
      </c>
      <c r="U26" s="76">
        <f t="shared" si="0"/>
        <v>61.843550124307633</v>
      </c>
      <c r="V26" s="76">
        <f t="shared" si="1"/>
        <v>182.31772562442714</v>
      </c>
      <c r="W26" s="76">
        <f t="shared" si="2"/>
        <v>211.51568354992139</v>
      </c>
      <c r="X26" s="76">
        <f t="shared" si="3"/>
        <v>35.133738537652711</v>
      </c>
      <c r="Y26" s="27">
        <f t="shared" si="4"/>
        <v>490.81069783630886</v>
      </c>
      <c r="Z26" s="27">
        <f t="shared" si="5"/>
        <v>839.76312477943247</v>
      </c>
      <c r="AA26" s="33">
        <f t="shared" si="6"/>
        <v>-0.41120067801319504</v>
      </c>
      <c r="AB26" s="14">
        <f t="shared" si="7"/>
        <v>1069.6723315837799</v>
      </c>
      <c r="AC26" s="29">
        <f t="shared" si="8"/>
        <v>2</v>
      </c>
      <c r="AD26" s="20">
        <v>490.81069783630898</v>
      </c>
      <c r="AE26" s="78">
        <f t="shared" si="9"/>
        <v>0</v>
      </c>
      <c r="AF26" s="29">
        <f t="shared" si="10"/>
        <v>3</v>
      </c>
    </row>
    <row r="27" spans="1:32" ht="15" customHeight="1" x14ac:dyDescent="0.35">
      <c r="A27" s="19" t="s">
        <v>110</v>
      </c>
      <c r="B27" s="19" t="s">
        <v>113</v>
      </c>
      <c r="C27" s="19" t="s">
        <v>118</v>
      </c>
      <c r="D27" s="19" t="s">
        <v>121</v>
      </c>
      <c r="E27" s="19" t="s">
        <v>97</v>
      </c>
      <c r="F27" s="19">
        <v>2</v>
      </c>
      <c r="G27" s="19" t="s">
        <v>211</v>
      </c>
      <c r="H27" s="16">
        <v>31</v>
      </c>
      <c r="I27" s="13">
        <f>IF($G27="Base",1,INDEX(ModelOutput!$D$16:$D$26,MATCH($G27,ModelOutput!$C$16:$C$26,0)))</f>
        <v>1</v>
      </c>
      <c r="J27" s="13">
        <f>IF($A27="Non-greek",1,INDEX(ModelOutput!$D$16:$D$26,MATCH($A27,ModelOutput!$C$16:$C$26,0)))</f>
        <v>1</v>
      </c>
      <c r="K27" s="13">
        <f>IF($C27="Yes",1,INDEX(ModelOutput!$D$16:$D$26,MATCH($C27,ModelOutput!$C$16:$C$26,0)))</f>
        <v>1.5400747552012299</v>
      </c>
      <c r="L27" s="13">
        <f>IF($D27="2.0-3.0",1,INDEX(ModelOutput!$D$16:$D$26,MATCH($D27,ModelOutput!$C$16:$C$26,0)))</f>
        <v>1.12144800201769</v>
      </c>
      <c r="M27" s="13">
        <f>IF($B27="On campus",1,INDEX(ModelOutput!$D$16:$D$26,MATCH($B27,ModelOutput!$C$16:$C$26,0)))</f>
        <v>1</v>
      </c>
      <c r="N27" s="13">
        <f>IF($B27="On campus",1,INDEX(ModelOutput!$E$16:$E$26,MATCH($B27,ModelOutput!$C$16:$C$26,0)))</f>
        <v>1</v>
      </c>
      <c r="O27" s="13">
        <f>IF($B27="On campus",1,INDEX(ModelOutput!$F$16:$F$26,MATCH($B27,ModelOutput!$C$16:$C$26,0)))</f>
        <v>1</v>
      </c>
      <c r="P27" s="13">
        <f>IF($B27="On campus",1,INDEX(ModelOutput!$G$16:$G$26,MATCH($B27,ModelOutput!$C$16:$C$26,0)))</f>
        <v>1</v>
      </c>
      <c r="Q27" s="72">
        <f>INDEX(ModelOutput!$D$9:$D$11,MATCH("Tier "&amp;$F27,ModelOutput!$B$9:$B$11,0))</f>
        <v>42.8051506068728</v>
      </c>
      <c r="R27" s="72">
        <f>INDEX(ModelOutput!$E$9:$E$11,MATCH("Tier "&amp;$F27,ModelOutput!$B$9:$B$11,0))</f>
        <v>126.191618818284</v>
      </c>
      <c r="S27" s="72">
        <f>INDEX(ModelOutput!$F$9:$F$11,MATCH("Tier "&amp;$F27,ModelOutput!$B$9:$B$11,0))</f>
        <v>146.401050261042</v>
      </c>
      <c r="T27" s="72">
        <f>INDEX(ModelOutput!$G$9:$G$11,MATCH("Tier "&amp;$F27,ModelOutput!$B$9:$B$11,0))</f>
        <v>24.317895180076398</v>
      </c>
      <c r="U27" s="76">
        <f t="shared" si="0"/>
        <v>73.929364491219175</v>
      </c>
      <c r="V27" s="76">
        <f t="shared" si="1"/>
        <v>217.94728090165864</v>
      </c>
      <c r="W27" s="76">
        <f t="shared" si="2"/>
        <v>252.85126797119776</v>
      </c>
      <c r="X27" s="76">
        <f t="shared" si="3"/>
        <v>41.999771311129876</v>
      </c>
      <c r="Y27" s="27">
        <f t="shared" si="4"/>
        <v>586.72768467520541</v>
      </c>
      <c r="Z27" s="27">
        <f t="shared" si="5"/>
        <v>995.73162303433958</v>
      </c>
      <c r="AA27" s="33">
        <f t="shared" si="6"/>
        <v>-0.30184347559029734</v>
      </c>
      <c r="AB27" s="14">
        <f t="shared" si="7"/>
        <v>1069.6723315837799</v>
      </c>
      <c r="AC27" s="29">
        <f t="shared" si="8"/>
        <v>2</v>
      </c>
      <c r="AD27" s="20">
        <v>586.72768467520598</v>
      </c>
      <c r="AE27" s="78">
        <f t="shared" si="9"/>
        <v>0</v>
      </c>
      <c r="AF27" s="29">
        <f t="shared" si="10"/>
        <v>2</v>
      </c>
    </row>
    <row r="28" spans="1:32" ht="15" customHeight="1" x14ac:dyDescent="0.35">
      <c r="A28" s="19" t="s">
        <v>110</v>
      </c>
      <c r="B28" s="19" t="s">
        <v>113</v>
      </c>
      <c r="C28" s="19" t="s">
        <v>118</v>
      </c>
      <c r="D28" s="19" t="s">
        <v>121</v>
      </c>
      <c r="E28" s="19" t="s">
        <v>99</v>
      </c>
      <c r="F28" s="19">
        <v>3</v>
      </c>
      <c r="G28" s="19" t="s">
        <v>211</v>
      </c>
      <c r="H28" s="16">
        <v>29</v>
      </c>
      <c r="I28" s="13">
        <f>IF($G28="Base",1,INDEX(ModelOutput!$D$16:$D$26,MATCH($G28,ModelOutput!$C$16:$C$26,0)))</f>
        <v>1</v>
      </c>
      <c r="J28" s="13">
        <f>IF($A28="Non-greek",1,INDEX(ModelOutput!$D$16:$D$26,MATCH($A28,ModelOutput!$C$16:$C$26,0)))</f>
        <v>1</v>
      </c>
      <c r="K28" s="13">
        <f>IF($C28="Yes",1,INDEX(ModelOutput!$D$16:$D$26,MATCH($C28,ModelOutput!$C$16:$C$26,0)))</f>
        <v>1.5400747552012299</v>
      </c>
      <c r="L28" s="13">
        <f>IF($D28="2.0-3.0",1,INDEX(ModelOutput!$D$16:$D$26,MATCH($D28,ModelOutput!$C$16:$C$26,0)))</f>
        <v>1.12144800201769</v>
      </c>
      <c r="M28" s="13">
        <f>IF($B28="On campus",1,INDEX(ModelOutput!$D$16:$D$26,MATCH($B28,ModelOutput!$C$16:$C$26,0)))</f>
        <v>1</v>
      </c>
      <c r="N28" s="13">
        <f>IF($B28="On campus",1,INDEX(ModelOutput!$E$16:$E$26,MATCH($B28,ModelOutput!$C$16:$C$26,0)))</f>
        <v>1</v>
      </c>
      <c r="O28" s="13">
        <f>IF($B28="On campus",1,INDEX(ModelOutput!$F$16:$F$26,MATCH($B28,ModelOutput!$C$16:$C$26,0)))</f>
        <v>1</v>
      </c>
      <c r="P28" s="13">
        <f>IF($B28="On campus",1,INDEX(ModelOutput!$G$16:$G$26,MATCH($B28,ModelOutput!$C$16:$C$26,0)))</f>
        <v>1</v>
      </c>
      <c r="Q28" s="72">
        <f>INDEX(ModelOutput!$D$9:$D$11,MATCH("Tier "&amp;$F28,ModelOutput!$B$9:$B$11,0))</f>
        <v>40.009437343712797</v>
      </c>
      <c r="R28" s="72">
        <f>INDEX(ModelOutput!$E$9:$E$11,MATCH("Tier "&amp;$F28,ModelOutput!$B$9:$B$11,0))</f>
        <v>117.949723218616</v>
      </c>
      <c r="S28" s="72">
        <f>INDEX(ModelOutput!$F$9:$F$11,MATCH("Tier "&amp;$F28,ModelOutput!$B$9:$B$11,0))</f>
        <v>136.83922529015501</v>
      </c>
      <c r="T28" s="72">
        <f>INDEX(ModelOutput!$G$9:$G$11,MATCH("Tier "&amp;$F28,ModelOutput!$B$9:$B$11,0))</f>
        <v>22.729631592092201</v>
      </c>
      <c r="U28" s="76">
        <f t="shared" si="0"/>
        <v>69.100849653289686</v>
      </c>
      <c r="V28" s="76">
        <f t="shared" si="1"/>
        <v>203.71258962624472</v>
      </c>
      <c r="W28" s="76">
        <f t="shared" si="2"/>
        <v>236.33690852024779</v>
      </c>
      <c r="X28" s="76">
        <f t="shared" si="3"/>
        <v>39.256659418296998</v>
      </c>
      <c r="Y28" s="27">
        <f t="shared" si="4"/>
        <v>548.40700721807923</v>
      </c>
      <c r="Z28" s="27">
        <f t="shared" si="5"/>
        <v>933.41921402239484</v>
      </c>
      <c r="AA28" s="33">
        <f t="shared" si="6"/>
        <v>-0.34553377717056044</v>
      </c>
      <c r="AB28" s="14">
        <f t="shared" si="7"/>
        <v>1069.6723315837799</v>
      </c>
      <c r="AC28" s="29">
        <f t="shared" si="8"/>
        <v>2</v>
      </c>
      <c r="AD28" s="20">
        <v>548.40700721808105</v>
      </c>
      <c r="AE28" s="78">
        <f t="shared" si="9"/>
        <v>-1.8189894035458565E-12</v>
      </c>
      <c r="AF28" s="29">
        <f t="shared" si="10"/>
        <v>1</v>
      </c>
    </row>
    <row r="29" spans="1:32" ht="15" customHeight="1" x14ac:dyDescent="0.35">
      <c r="A29" s="19" t="s">
        <v>110</v>
      </c>
      <c r="B29" s="19" t="s">
        <v>113</v>
      </c>
      <c r="C29" s="19" t="s">
        <v>118</v>
      </c>
      <c r="D29" s="19" t="s">
        <v>121</v>
      </c>
      <c r="E29" s="19" t="s">
        <v>213</v>
      </c>
      <c r="F29" s="19">
        <v>3</v>
      </c>
      <c r="G29" s="19" t="s">
        <v>107</v>
      </c>
      <c r="H29" s="16">
        <v>17</v>
      </c>
      <c r="I29" s="13">
        <f>IF($G29="Base",1,INDEX(ModelOutput!$D$16:$D$26,MATCH($G29,ModelOutput!$C$16:$C$26,0)))</f>
        <v>1.1906804269762199</v>
      </c>
      <c r="J29" s="13">
        <f>IF($A29="Non-greek",1,INDEX(ModelOutput!$D$16:$D$26,MATCH($A29,ModelOutput!$C$16:$C$26,0)))</f>
        <v>1</v>
      </c>
      <c r="K29" s="13">
        <f>IF($C29="Yes",1,INDEX(ModelOutput!$D$16:$D$26,MATCH($C29,ModelOutput!$C$16:$C$26,0)))</f>
        <v>1.5400747552012299</v>
      </c>
      <c r="L29" s="13">
        <f>IF($D29="2.0-3.0",1,INDEX(ModelOutput!$D$16:$D$26,MATCH($D29,ModelOutput!$C$16:$C$26,0)))</f>
        <v>1.12144800201769</v>
      </c>
      <c r="M29" s="13">
        <f>IF($B29="On campus",1,INDEX(ModelOutput!$D$16:$D$26,MATCH($B29,ModelOutput!$C$16:$C$26,0)))</f>
        <v>1</v>
      </c>
      <c r="N29" s="13">
        <f>IF($B29="On campus",1,INDEX(ModelOutput!$E$16:$E$26,MATCH($B29,ModelOutput!$C$16:$C$26,0)))</f>
        <v>1</v>
      </c>
      <c r="O29" s="13">
        <f>IF($B29="On campus",1,INDEX(ModelOutput!$F$16:$F$26,MATCH($B29,ModelOutput!$C$16:$C$26,0)))</f>
        <v>1</v>
      </c>
      <c r="P29" s="13">
        <f>IF($B29="On campus",1,INDEX(ModelOutput!$G$16:$G$26,MATCH($B29,ModelOutput!$C$16:$C$26,0)))</f>
        <v>1</v>
      </c>
      <c r="Q29" s="72">
        <f>INDEX(ModelOutput!$D$9:$D$11,MATCH("Tier "&amp;$F29,ModelOutput!$B$9:$B$11,0))</f>
        <v>40.009437343712797</v>
      </c>
      <c r="R29" s="72">
        <f>INDEX(ModelOutput!$E$9:$E$11,MATCH("Tier "&amp;$F29,ModelOutput!$B$9:$B$11,0))</f>
        <v>117.949723218616</v>
      </c>
      <c r="S29" s="72">
        <f>INDEX(ModelOutput!$F$9:$F$11,MATCH("Tier "&amp;$F29,ModelOutput!$B$9:$B$11,0))</f>
        <v>136.83922529015501</v>
      </c>
      <c r="T29" s="72">
        <f>INDEX(ModelOutput!$G$9:$G$11,MATCH("Tier "&amp;$F29,ModelOutput!$B$9:$B$11,0))</f>
        <v>22.729631592092201</v>
      </c>
      <c r="U29" s="76">
        <f t="shared" si="0"/>
        <v>82.277029169598535</v>
      </c>
      <c r="V29" s="76">
        <f t="shared" si="1"/>
        <v>242.55659319660853</v>
      </c>
      <c r="W29" s="76">
        <f t="shared" si="2"/>
        <v>281.40173114712849</v>
      </c>
      <c r="X29" s="76">
        <f t="shared" si="3"/>
        <v>46.742135997837913</v>
      </c>
      <c r="Y29" s="27">
        <f t="shared" si="4"/>
        <v>652.97748951117342</v>
      </c>
      <c r="Z29" s="27">
        <f t="shared" si="5"/>
        <v>1103.4589705093167</v>
      </c>
      <c r="AA29" s="33">
        <f t="shared" si="6"/>
        <v>-0.22631052197392654</v>
      </c>
      <c r="AB29" s="14">
        <f t="shared" si="7"/>
        <v>1103.4589705093167</v>
      </c>
      <c r="AC29" s="29">
        <f t="shared" si="8"/>
        <v>1</v>
      </c>
      <c r="AD29" s="20">
        <v>652.97748951117603</v>
      </c>
      <c r="AE29" s="78">
        <f t="shared" si="9"/>
        <v>-2.6147972675971687E-12</v>
      </c>
      <c r="AF29" s="29">
        <f t="shared" si="10"/>
        <v>2</v>
      </c>
    </row>
    <row r="30" spans="1:32" ht="15" customHeight="1" x14ac:dyDescent="0.35">
      <c r="A30" s="37" t="s">
        <v>110</v>
      </c>
      <c r="B30" s="37" t="s">
        <v>113</v>
      </c>
      <c r="C30" s="37" t="s">
        <v>118</v>
      </c>
      <c r="D30" s="37" t="s">
        <v>123</v>
      </c>
      <c r="E30" s="37" t="s">
        <v>95</v>
      </c>
      <c r="F30" s="37">
        <v>1</v>
      </c>
      <c r="G30" s="37" t="s">
        <v>211</v>
      </c>
      <c r="H30" s="38">
        <v>80</v>
      </c>
      <c r="I30" s="39">
        <f>IF($G30="Base",1,INDEX(ModelOutput!$D$16:$D$26,MATCH($G30,ModelOutput!$C$16:$C$26,0)))</f>
        <v>1</v>
      </c>
      <c r="J30" s="39">
        <f>IF($A30="Non-greek",1,INDEX(ModelOutput!$D$16:$D$26,MATCH($A30,ModelOutput!$C$16:$C$26,0)))</f>
        <v>1</v>
      </c>
      <c r="K30" s="39">
        <f>IF($C30="Yes",1,INDEX(ModelOutput!$D$16:$D$26,MATCH($C30,ModelOutput!$C$16:$C$26,0)))</f>
        <v>1.5400747552012299</v>
      </c>
      <c r="L30" s="39">
        <f>IF($D30="2.0-3.0",1,INDEX(ModelOutput!$D$16:$D$26,MATCH($D30,ModelOutput!$C$16:$C$26,0)))</f>
        <v>1.01762556011242</v>
      </c>
      <c r="M30" s="39">
        <f>IF($B30="On campus",1,INDEX(ModelOutput!$D$16:$D$26,MATCH($B30,ModelOutput!$C$16:$C$26,0)))</f>
        <v>1</v>
      </c>
      <c r="N30" s="39">
        <f>IF($B30="On campus",1,INDEX(ModelOutput!$E$16:$E$26,MATCH($B30,ModelOutput!$C$16:$C$26,0)))</f>
        <v>1</v>
      </c>
      <c r="O30" s="39">
        <f>IF($B30="On campus",1,INDEX(ModelOutput!$F$16:$F$26,MATCH($B30,ModelOutput!$C$16:$C$26,0)))</f>
        <v>1</v>
      </c>
      <c r="P30" s="39">
        <f>IF($B30="On campus",1,INDEX(ModelOutput!$G$16:$G$26,MATCH($B30,ModelOutput!$C$16:$C$26,0)))</f>
        <v>1</v>
      </c>
      <c r="Q30" s="73">
        <f>INDEX(ModelOutput!$D$9:$D$11,MATCH("Tier "&amp;$F30,ModelOutput!$B$9:$B$11,0))</f>
        <v>36.175496869914397</v>
      </c>
      <c r="R30" s="73">
        <f>INDEX(ModelOutput!$E$9:$E$11,MATCH("Tier "&amp;$F30,ModelOutput!$B$9:$B$11,0))</f>
        <v>106.647084447761</v>
      </c>
      <c r="S30" s="73">
        <f>INDEX(ModelOutput!$F$9:$F$11,MATCH("Tier "&amp;$F30,ModelOutput!$B$9:$B$11,0))</f>
        <v>123.726482920496</v>
      </c>
      <c r="T30" s="73">
        <f>INDEX(ModelOutput!$G$9:$G$11,MATCH("Tier "&amp;$F30,ModelOutput!$B$9:$B$11,0))</f>
        <v>20.551544113210401</v>
      </c>
      <c r="U30" s="77">
        <f t="shared" si="0"/>
        <v>56.694941778937</v>
      </c>
      <c r="V30" s="77">
        <f t="shared" si="1"/>
        <v>167.13938347278588</v>
      </c>
      <c r="W30" s="77">
        <f t="shared" si="2"/>
        <v>193.90654870379842</v>
      </c>
      <c r="X30" s="77">
        <f t="shared" si="3"/>
        <v>32.208779361223918</v>
      </c>
      <c r="Y30" s="30">
        <f t="shared" si="4"/>
        <v>449.94965331674518</v>
      </c>
      <c r="Z30" s="30">
        <f t="shared" si="5"/>
        <v>773.31988087783361</v>
      </c>
      <c r="AA30" s="41">
        <f t="shared" si="6"/>
        <v>-0.45778731155957852</v>
      </c>
      <c r="AB30" s="40">
        <f t="shared" si="7"/>
        <v>1069.6723315837799</v>
      </c>
      <c r="AC30" s="42">
        <f t="shared" si="8"/>
        <v>3</v>
      </c>
      <c r="AD30" s="43">
        <v>449.94965331674399</v>
      </c>
      <c r="AE30" s="79">
        <f t="shared" si="9"/>
        <v>1.1937117960769683E-12</v>
      </c>
      <c r="AF30" s="29">
        <f t="shared" si="10"/>
        <v>4</v>
      </c>
    </row>
    <row r="31" spans="1:32" ht="15" customHeight="1" x14ac:dyDescent="0.35">
      <c r="A31" s="37" t="s">
        <v>110</v>
      </c>
      <c r="B31" s="37" t="s">
        <v>113</v>
      </c>
      <c r="C31" s="37" t="s">
        <v>118</v>
      </c>
      <c r="D31" s="37" t="s">
        <v>123</v>
      </c>
      <c r="E31" s="37" t="s">
        <v>105</v>
      </c>
      <c r="F31" s="37">
        <v>1</v>
      </c>
      <c r="G31" s="37" t="s">
        <v>105</v>
      </c>
      <c r="H31" s="38">
        <v>84</v>
      </c>
      <c r="I31" s="39">
        <f>IF($G31="Base",1,INDEX(ModelOutput!$D$16:$D$26,MATCH($G31,ModelOutput!$C$16:$C$26,0)))</f>
        <v>0.98982624281990295</v>
      </c>
      <c r="J31" s="39">
        <f>IF($A31="Non-greek",1,INDEX(ModelOutput!$D$16:$D$26,MATCH($A31,ModelOutput!$C$16:$C$26,0)))</f>
        <v>1</v>
      </c>
      <c r="K31" s="39">
        <f>IF($C31="Yes",1,INDEX(ModelOutput!$D$16:$D$26,MATCH($C31,ModelOutput!$C$16:$C$26,0)))</f>
        <v>1.5400747552012299</v>
      </c>
      <c r="L31" s="39">
        <f>IF($D31="2.0-3.0",1,INDEX(ModelOutput!$D$16:$D$26,MATCH($D31,ModelOutput!$C$16:$C$26,0)))</f>
        <v>1.01762556011242</v>
      </c>
      <c r="M31" s="39">
        <f>IF($B31="On campus",1,INDEX(ModelOutput!$D$16:$D$26,MATCH($B31,ModelOutput!$C$16:$C$26,0)))</f>
        <v>1</v>
      </c>
      <c r="N31" s="39">
        <f>IF($B31="On campus",1,INDEX(ModelOutput!$E$16:$E$26,MATCH($B31,ModelOutput!$C$16:$C$26,0)))</f>
        <v>1</v>
      </c>
      <c r="O31" s="39">
        <f>IF($B31="On campus",1,INDEX(ModelOutput!$F$16:$F$26,MATCH($B31,ModelOutput!$C$16:$C$26,0)))</f>
        <v>1</v>
      </c>
      <c r="P31" s="39">
        <f>IF($B31="On campus",1,INDEX(ModelOutput!$G$16:$G$26,MATCH($B31,ModelOutput!$C$16:$C$26,0)))</f>
        <v>1</v>
      </c>
      <c r="Q31" s="73">
        <f>INDEX(ModelOutput!$D$9:$D$11,MATCH("Tier "&amp;$F31,ModelOutput!$B$9:$B$11,0))</f>
        <v>36.175496869914397</v>
      </c>
      <c r="R31" s="73">
        <f>INDEX(ModelOutput!$E$9:$E$11,MATCH("Tier "&amp;$F31,ModelOutput!$B$9:$B$11,0))</f>
        <v>106.647084447761</v>
      </c>
      <c r="S31" s="73">
        <f>INDEX(ModelOutput!$F$9:$F$11,MATCH("Tier "&amp;$F31,ModelOutput!$B$9:$B$11,0))</f>
        <v>123.726482920496</v>
      </c>
      <c r="T31" s="73">
        <f>INDEX(ModelOutput!$G$9:$G$11,MATCH("Tier "&amp;$F31,ModelOutput!$B$9:$B$11,0))</f>
        <v>20.551544113210401</v>
      </c>
      <c r="U31" s="77">
        <f t="shared" si="0"/>
        <v>56.118141207938365</v>
      </c>
      <c r="V31" s="77">
        <f t="shared" si="1"/>
        <v>165.43894797010265</v>
      </c>
      <c r="W31" s="77">
        <f t="shared" si="2"/>
        <v>191.93379056165531</v>
      </c>
      <c r="X31" s="77">
        <f t="shared" si="3"/>
        <v>31.881095060935497</v>
      </c>
      <c r="Y31" s="30">
        <f t="shared" si="4"/>
        <v>445.37197480063179</v>
      </c>
      <c r="Z31" s="30">
        <f t="shared" si="5"/>
        <v>765.8762187364116</v>
      </c>
      <c r="AA31" s="41">
        <f t="shared" si="6"/>
        <v>-0.46300643001410613</v>
      </c>
      <c r="AB31" s="40">
        <f t="shared" si="7"/>
        <v>1069.6723315837799</v>
      </c>
      <c r="AC31" s="42">
        <f t="shared" si="8"/>
        <v>3</v>
      </c>
      <c r="AD31" s="43">
        <v>445.37197480063099</v>
      </c>
      <c r="AE31" s="79">
        <f t="shared" si="9"/>
        <v>7.9580786405131221E-13</v>
      </c>
      <c r="AF31" s="29">
        <f t="shared" si="10"/>
        <v>3</v>
      </c>
    </row>
    <row r="32" spans="1:32" ht="15" customHeight="1" x14ac:dyDescent="0.35">
      <c r="A32" s="37" t="s">
        <v>110</v>
      </c>
      <c r="B32" s="37" t="s">
        <v>113</v>
      </c>
      <c r="C32" s="37" t="s">
        <v>118</v>
      </c>
      <c r="D32" s="37" t="s">
        <v>123</v>
      </c>
      <c r="E32" s="37" t="s">
        <v>97</v>
      </c>
      <c r="F32" s="37">
        <v>2</v>
      </c>
      <c r="G32" s="37" t="s">
        <v>211</v>
      </c>
      <c r="H32" s="38">
        <v>76</v>
      </c>
      <c r="I32" s="39">
        <f>IF($G32="Base",1,INDEX(ModelOutput!$D$16:$D$26,MATCH($G32,ModelOutput!$C$16:$C$26,0)))</f>
        <v>1</v>
      </c>
      <c r="J32" s="39">
        <f>IF($A32="Non-greek",1,INDEX(ModelOutput!$D$16:$D$26,MATCH($A32,ModelOutput!$C$16:$C$26,0)))</f>
        <v>1</v>
      </c>
      <c r="K32" s="39">
        <f>IF($C32="Yes",1,INDEX(ModelOutput!$D$16:$D$26,MATCH($C32,ModelOutput!$C$16:$C$26,0)))</f>
        <v>1.5400747552012299</v>
      </c>
      <c r="L32" s="39">
        <f>IF($D32="2.0-3.0",1,INDEX(ModelOutput!$D$16:$D$26,MATCH($D32,ModelOutput!$C$16:$C$26,0)))</f>
        <v>1.01762556011242</v>
      </c>
      <c r="M32" s="39">
        <f>IF($B32="On campus",1,INDEX(ModelOutput!$D$16:$D$26,MATCH($B32,ModelOutput!$C$16:$C$26,0)))</f>
        <v>1</v>
      </c>
      <c r="N32" s="39">
        <f>IF($B32="On campus",1,INDEX(ModelOutput!$E$16:$E$26,MATCH($B32,ModelOutput!$C$16:$C$26,0)))</f>
        <v>1</v>
      </c>
      <c r="O32" s="39">
        <f>IF($B32="On campus",1,INDEX(ModelOutput!$F$16:$F$26,MATCH($B32,ModelOutput!$C$16:$C$26,0)))</f>
        <v>1</v>
      </c>
      <c r="P32" s="39">
        <f>IF($B32="On campus",1,INDEX(ModelOutput!$G$16:$G$26,MATCH($B32,ModelOutput!$C$16:$C$26,0)))</f>
        <v>1</v>
      </c>
      <c r="Q32" s="73">
        <f>INDEX(ModelOutput!$D$9:$D$11,MATCH("Tier "&amp;$F32,ModelOutput!$B$9:$B$11,0))</f>
        <v>42.8051506068728</v>
      </c>
      <c r="R32" s="73">
        <f>INDEX(ModelOutput!$E$9:$E$11,MATCH("Tier "&amp;$F32,ModelOutput!$B$9:$B$11,0))</f>
        <v>126.191618818284</v>
      </c>
      <c r="S32" s="73">
        <f>INDEX(ModelOutput!$F$9:$F$11,MATCH("Tier "&amp;$F32,ModelOutput!$B$9:$B$11,0))</f>
        <v>146.401050261042</v>
      </c>
      <c r="T32" s="73">
        <f>INDEX(ModelOutput!$G$9:$G$11,MATCH("Tier "&amp;$F32,ModelOutput!$B$9:$B$11,0))</f>
        <v>24.317895180076398</v>
      </c>
      <c r="U32" s="77">
        <f t="shared" si="0"/>
        <v>67.085063965315655</v>
      </c>
      <c r="V32" s="77">
        <f t="shared" si="1"/>
        <v>197.76995759365647</v>
      </c>
      <c r="W32" s="77">
        <f t="shared" si="2"/>
        <v>229.44257132865877</v>
      </c>
      <c r="X32" s="77">
        <f t="shared" si="3"/>
        <v>38.11147795366788</v>
      </c>
      <c r="Y32" s="30">
        <f t="shared" si="4"/>
        <v>532.40907084129879</v>
      </c>
      <c r="Z32" s="30">
        <f t="shared" si="5"/>
        <v>907.40532228020606</v>
      </c>
      <c r="AA32" s="41">
        <f t="shared" si="6"/>
        <v>-0.36377339899732497</v>
      </c>
      <c r="AB32" s="40">
        <f t="shared" si="7"/>
        <v>1069.6723315837799</v>
      </c>
      <c r="AC32" s="42">
        <f t="shared" si="8"/>
        <v>2</v>
      </c>
      <c r="AD32" s="43">
        <v>532.40907084129799</v>
      </c>
      <c r="AE32" s="79">
        <f t="shared" si="9"/>
        <v>0</v>
      </c>
      <c r="AF32" s="29">
        <f t="shared" si="10"/>
        <v>2</v>
      </c>
    </row>
    <row r="33" spans="1:32" ht="15" customHeight="1" x14ac:dyDescent="0.35">
      <c r="A33" s="37" t="s">
        <v>110</v>
      </c>
      <c r="B33" s="37" t="s">
        <v>113</v>
      </c>
      <c r="C33" s="37" t="s">
        <v>118</v>
      </c>
      <c r="D33" s="37" t="s">
        <v>123</v>
      </c>
      <c r="E33" s="37" t="s">
        <v>99</v>
      </c>
      <c r="F33" s="37">
        <v>3</v>
      </c>
      <c r="G33" s="37" t="s">
        <v>211</v>
      </c>
      <c r="H33" s="38">
        <v>90</v>
      </c>
      <c r="I33" s="39">
        <f>IF($G33="Base",1,INDEX(ModelOutput!$D$16:$D$26,MATCH($G33,ModelOutput!$C$16:$C$26,0)))</f>
        <v>1</v>
      </c>
      <c r="J33" s="39">
        <f>IF($A33="Non-greek",1,INDEX(ModelOutput!$D$16:$D$26,MATCH($A33,ModelOutput!$C$16:$C$26,0)))</f>
        <v>1</v>
      </c>
      <c r="K33" s="39">
        <f>IF($C33="Yes",1,INDEX(ModelOutput!$D$16:$D$26,MATCH($C33,ModelOutput!$C$16:$C$26,0)))</f>
        <v>1.5400747552012299</v>
      </c>
      <c r="L33" s="39">
        <f>IF($D33="2.0-3.0",1,INDEX(ModelOutput!$D$16:$D$26,MATCH($D33,ModelOutput!$C$16:$C$26,0)))</f>
        <v>1.01762556011242</v>
      </c>
      <c r="M33" s="39">
        <f>IF($B33="On campus",1,INDEX(ModelOutput!$D$16:$D$26,MATCH($B33,ModelOutput!$C$16:$C$26,0)))</f>
        <v>1</v>
      </c>
      <c r="N33" s="39">
        <f>IF($B33="On campus",1,INDEX(ModelOutput!$E$16:$E$26,MATCH($B33,ModelOutput!$C$16:$C$26,0)))</f>
        <v>1</v>
      </c>
      <c r="O33" s="39">
        <f>IF($B33="On campus",1,INDEX(ModelOutput!$F$16:$F$26,MATCH($B33,ModelOutput!$C$16:$C$26,0)))</f>
        <v>1</v>
      </c>
      <c r="P33" s="39">
        <f>IF($B33="On campus",1,INDEX(ModelOutput!$G$16:$G$26,MATCH($B33,ModelOutput!$C$16:$C$26,0)))</f>
        <v>1</v>
      </c>
      <c r="Q33" s="73">
        <f>INDEX(ModelOutput!$D$9:$D$11,MATCH("Tier "&amp;$F33,ModelOutput!$B$9:$B$11,0))</f>
        <v>40.009437343712797</v>
      </c>
      <c r="R33" s="73">
        <f>INDEX(ModelOutput!$E$9:$E$11,MATCH("Tier "&amp;$F33,ModelOutput!$B$9:$B$11,0))</f>
        <v>117.949723218616</v>
      </c>
      <c r="S33" s="73">
        <f>INDEX(ModelOutput!$F$9:$F$11,MATCH("Tier "&amp;$F33,ModelOutput!$B$9:$B$11,0))</f>
        <v>136.83922529015501</v>
      </c>
      <c r="T33" s="73">
        <f>INDEX(ModelOutput!$G$9:$G$11,MATCH("Tier "&amp;$F33,ModelOutput!$B$9:$B$11,0))</f>
        <v>22.729631592092201</v>
      </c>
      <c r="U33" s="77">
        <f t="shared" si="0"/>
        <v>62.703567803551017</v>
      </c>
      <c r="V33" s="77">
        <f t="shared" si="1"/>
        <v>184.85309862551148</v>
      </c>
      <c r="W33" s="77">
        <f t="shared" si="2"/>
        <v>214.45709339661491</v>
      </c>
      <c r="X33" s="77">
        <f t="shared" si="3"/>
        <v>35.622320390077995</v>
      </c>
      <c r="Y33" s="30">
        <f t="shared" si="4"/>
        <v>497.63608021575544</v>
      </c>
      <c r="Z33" s="30">
        <f t="shared" si="5"/>
        <v>850.86172863284378</v>
      </c>
      <c r="AA33" s="41">
        <f t="shared" si="6"/>
        <v>-0.40341889975804102</v>
      </c>
      <c r="AB33" s="40">
        <f t="shared" si="7"/>
        <v>1069.6723315837799</v>
      </c>
      <c r="AC33" s="42">
        <f t="shared" si="8"/>
        <v>2</v>
      </c>
      <c r="AD33" s="43">
        <v>497.63608021575601</v>
      </c>
      <c r="AE33" s="79">
        <f t="shared" si="9"/>
        <v>-5.6843418860808015E-13</v>
      </c>
      <c r="AF33" s="29">
        <f t="shared" si="10"/>
        <v>1</v>
      </c>
    </row>
    <row r="34" spans="1:32" ht="15" customHeight="1" x14ac:dyDescent="0.35">
      <c r="A34" s="37" t="s">
        <v>110</v>
      </c>
      <c r="B34" s="37" t="s">
        <v>113</v>
      </c>
      <c r="C34" s="37" t="s">
        <v>118</v>
      </c>
      <c r="D34" s="37" t="s">
        <v>123</v>
      </c>
      <c r="E34" s="37" t="s">
        <v>213</v>
      </c>
      <c r="F34" s="37">
        <v>3</v>
      </c>
      <c r="G34" s="37" t="s">
        <v>107</v>
      </c>
      <c r="H34" s="38">
        <v>40</v>
      </c>
      <c r="I34" s="39">
        <f>IF($G34="Base",1,INDEX(ModelOutput!$D$16:$D$26,MATCH($G34,ModelOutput!$C$16:$C$26,0)))</f>
        <v>1.1906804269762199</v>
      </c>
      <c r="J34" s="39">
        <f>IF($A34="Non-greek",1,INDEX(ModelOutput!$D$16:$D$26,MATCH($A34,ModelOutput!$C$16:$C$26,0)))</f>
        <v>1</v>
      </c>
      <c r="K34" s="39">
        <f>IF($C34="Yes",1,INDEX(ModelOutput!$D$16:$D$26,MATCH($C34,ModelOutput!$C$16:$C$26,0)))</f>
        <v>1.5400747552012299</v>
      </c>
      <c r="L34" s="39">
        <f>IF($D34="2.0-3.0",1,INDEX(ModelOutput!$D$16:$D$26,MATCH($D34,ModelOutput!$C$16:$C$26,0)))</f>
        <v>1.01762556011242</v>
      </c>
      <c r="M34" s="39">
        <f>IF($B34="On campus",1,INDEX(ModelOutput!$D$16:$D$26,MATCH($B34,ModelOutput!$C$16:$C$26,0)))</f>
        <v>1</v>
      </c>
      <c r="N34" s="39">
        <f>IF($B34="On campus",1,INDEX(ModelOutput!$E$16:$E$26,MATCH($B34,ModelOutput!$C$16:$C$26,0)))</f>
        <v>1</v>
      </c>
      <c r="O34" s="39">
        <f>IF($B34="On campus",1,INDEX(ModelOutput!$F$16:$F$26,MATCH($B34,ModelOutput!$C$16:$C$26,0)))</f>
        <v>1</v>
      </c>
      <c r="P34" s="39">
        <f>IF($B34="On campus",1,INDEX(ModelOutput!$G$16:$G$26,MATCH($B34,ModelOutput!$C$16:$C$26,0)))</f>
        <v>1</v>
      </c>
      <c r="Q34" s="73">
        <f>INDEX(ModelOutput!$D$9:$D$11,MATCH("Tier "&amp;$F34,ModelOutput!$B$9:$B$11,0))</f>
        <v>40.009437343712797</v>
      </c>
      <c r="R34" s="73">
        <f>INDEX(ModelOutput!$E$9:$E$11,MATCH("Tier "&amp;$F34,ModelOutput!$B$9:$B$11,0))</f>
        <v>117.949723218616</v>
      </c>
      <c r="S34" s="73">
        <f>INDEX(ModelOutput!$F$9:$F$11,MATCH("Tier "&amp;$F34,ModelOutput!$B$9:$B$11,0))</f>
        <v>136.83922529015501</v>
      </c>
      <c r="T34" s="73">
        <f>INDEX(ModelOutput!$G$9:$G$11,MATCH("Tier "&amp;$F34,ModelOutput!$B$9:$B$11,0))</f>
        <v>22.729631592092201</v>
      </c>
      <c r="U34" s="77">
        <f t="shared" si="0"/>
        <v>74.659910885264466</v>
      </c>
      <c r="V34" s="77">
        <f t="shared" si="1"/>
        <v>220.10096639930131</v>
      </c>
      <c r="W34" s="77">
        <f t="shared" si="2"/>
        <v>255.34986353356052</v>
      </c>
      <c r="X34" s="77">
        <f t="shared" si="3"/>
        <v>42.414799651941777</v>
      </c>
      <c r="Y34" s="30">
        <f t="shared" si="4"/>
        <v>592.52554047006799</v>
      </c>
      <c r="Z34" s="30">
        <f t="shared" si="5"/>
        <v>1005.1593885556031</v>
      </c>
      <c r="AA34" s="41">
        <f t="shared" si="6"/>
        <v>-0.29523320445195878</v>
      </c>
      <c r="AB34" s="40">
        <f t="shared" si="7"/>
        <v>1069.6723315837799</v>
      </c>
      <c r="AC34" s="42">
        <f t="shared" si="8"/>
        <v>2</v>
      </c>
      <c r="AD34" s="43">
        <v>592.52554047006902</v>
      </c>
      <c r="AE34" s="79">
        <f t="shared" si="9"/>
        <v>-1.0231815394945443E-12</v>
      </c>
      <c r="AF34" s="29">
        <f t="shared" si="10"/>
        <v>2</v>
      </c>
    </row>
    <row r="35" spans="1:32" ht="15" customHeight="1" x14ac:dyDescent="0.35">
      <c r="A35" s="19" t="s">
        <v>110</v>
      </c>
      <c r="B35" s="19" t="s">
        <v>113</v>
      </c>
      <c r="C35" s="19" t="s">
        <v>118</v>
      </c>
      <c r="D35" s="19" t="s">
        <v>122</v>
      </c>
      <c r="E35" s="19" t="s">
        <v>95</v>
      </c>
      <c r="F35" s="19">
        <v>1</v>
      </c>
      <c r="G35" s="19" t="s">
        <v>211</v>
      </c>
      <c r="H35" s="16">
        <v>143</v>
      </c>
      <c r="I35" s="13">
        <f>IF($G35="Base",1,INDEX(ModelOutput!$D$16:$D$26,MATCH($G35,ModelOutput!$C$16:$C$26,0)))</f>
        <v>1</v>
      </c>
      <c r="J35" s="13">
        <f>IF($A35="Non-greek",1,INDEX(ModelOutput!$D$16:$D$26,MATCH($A35,ModelOutput!$C$16:$C$26,0)))</f>
        <v>1</v>
      </c>
      <c r="K35" s="13">
        <f>IF($C35="Yes",1,INDEX(ModelOutput!$D$16:$D$26,MATCH($C35,ModelOutput!$C$16:$C$26,0)))</f>
        <v>1.5400747552012299</v>
      </c>
      <c r="L35" s="13">
        <f>IF($D35="2.0-3.0",1,INDEX(ModelOutput!$D$16:$D$26,MATCH($D35,ModelOutput!$C$16:$C$26,0)))</f>
        <v>1</v>
      </c>
      <c r="M35" s="13">
        <f>IF($B35="On campus",1,INDEX(ModelOutput!$D$16:$D$26,MATCH($B35,ModelOutput!$C$16:$C$26,0)))</f>
        <v>1</v>
      </c>
      <c r="N35" s="13">
        <f>IF($B35="On campus",1,INDEX(ModelOutput!$E$16:$E$26,MATCH($B35,ModelOutput!$C$16:$C$26,0)))</f>
        <v>1</v>
      </c>
      <c r="O35" s="13">
        <f>IF($B35="On campus",1,INDEX(ModelOutput!$F$16:$F$26,MATCH($B35,ModelOutput!$C$16:$C$26,0)))</f>
        <v>1</v>
      </c>
      <c r="P35" s="13">
        <f>IF($B35="On campus",1,INDEX(ModelOutput!$G$16:$G$26,MATCH($B35,ModelOutput!$C$16:$C$26,0)))</f>
        <v>1</v>
      </c>
      <c r="Q35" s="72">
        <f>INDEX(ModelOutput!$D$9:$D$11,MATCH("Tier "&amp;$F35,ModelOutput!$B$9:$B$11,0))</f>
        <v>36.175496869914397</v>
      </c>
      <c r="R35" s="72">
        <f>INDEX(ModelOutput!$E$9:$E$11,MATCH("Tier "&amp;$F35,ModelOutput!$B$9:$B$11,0))</f>
        <v>106.647084447761</v>
      </c>
      <c r="S35" s="72">
        <f>INDEX(ModelOutput!$F$9:$F$11,MATCH("Tier "&amp;$F35,ModelOutput!$B$9:$B$11,0))</f>
        <v>123.726482920496</v>
      </c>
      <c r="T35" s="72">
        <f>INDEX(ModelOutput!$G$9:$G$11,MATCH("Tier "&amp;$F35,ModelOutput!$B$9:$B$11,0))</f>
        <v>20.551544113210401</v>
      </c>
      <c r="U35" s="76">
        <f t="shared" si="0"/>
        <v>55.712969486216274</v>
      </c>
      <c r="V35" s="76">
        <f t="shared" si="1"/>
        <v>164.24448247381042</v>
      </c>
      <c r="W35" s="76">
        <f t="shared" si="2"/>
        <v>190.54803289569202</v>
      </c>
      <c r="X35" s="76">
        <f t="shared" si="3"/>
        <v>31.650914269159788</v>
      </c>
      <c r="Y35" s="27">
        <f t="shared" si="4"/>
        <v>442.15639912487848</v>
      </c>
      <c r="Z35" s="27">
        <f t="shared" si="5"/>
        <v>760.64744200247787</v>
      </c>
      <c r="AA35" s="33">
        <f t="shared" si="6"/>
        <v>-0.46667258312909221</v>
      </c>
      <c r="AB35" s="14">
        <f t="shared" si="7"/>
        <v>1069.6723315837799</v>
      </c>
      <c r="AC35" s="29">
        <f t="shared" si="8"/>
        <v>3</v>
      </c>
      <c r="AD35" s="20">
        <v>442.156399124877</v>
      </c>
      <c r="AE35" s="78">
        <f t="shared" si="9"/>
        <v>1.4779288903810084E-12</v>
      </c>
      <c r="AF35" s="29">
        <f t="shared" si="10"/>
        <v>4</v>
      </c>
    </row>
    <row r="36" spans="1:32" ht="15" customHeight="1" x14ac:dyDescent="0.35">
      <c r="A36" s="19" t="s">
        <v>110</v>
      </c>
      <c r="B36" s="19" t="s">
        <v>113</v>
      </c>
      <c r="C36" s="19" t="s">
        <v>118</v>
      </c>
      <c r="D36" s="19" t="s">
        <v>122</v>
      </c>
      <c r="E36" s="19" t="s">
        <v>105</v>
      </c>
      <c r="F36" s="19">
        <v>1</v>
      </c>
      <c r="G36" s="19" t="s">
        <v>105</v>
      </c>
      <c r="H36" s="16">
        <v>131</v>
      </c>
      <c r="I36" s="13">
        <f>IF($G36="Base",1,INDEX(ModelOutput!$D$16:$D$26,MATCH($G36,ModelOutput!$C$16:$C$26,0)))</f>
        <v>0.98982624281990295</v>
      </c>
      <c r="J36" s="13">
        <f>IF($A36="Non-greek",1,INDEX(ModelOutput!$D$16:$D$26,MATCH($A36,ModelOutput!$C$16:$C$26,0)))</f>
        <v>1</v>
      </c>
      <c r="K36" s="13">
        <f>IF($C36="Yes",1,INDEX(ModelOutput!$D$16:$D$26,MATCH($C36,ModelOutput!$C$16:$C$26,0)))</f>
        <v>1.5400747552012299</v>
      </c>
      <c r="L36" s="13">
        <f>IF($D36="2.0-3.0",1,INDEX(ModelOutput!$D$16:$D$26,MATCH($D36,ModelOutput!$C$16:$C$26,0)))</f>
        <v>1</v>
      </c>
      <c r="M36" s="13">
        <f>IF($B36="On campus",1,INDEX(ModelOutput!$D$16:$D$26,MATCH($B36,ModelOutput!$C$16:$C$26,0)))</f>
        <v>1</v>
      </c>
      <c r="N36" s="13">
        <f>IF($B36="On campus",1,INDEX(ModelOutput!$E$16:$E$26,MATCH($B36,ModelOutput!$C$16:$C$26,0)))</f>
        <v>1</v>
      </c>
      <c r="O36" s="13">
        <f>IF($B36="On campus",1,INDEX(ModelOutput!$F$16:$F$26,MATCH($B36,ModelOutput!$C$16:$C$26,0)))</f>
        <v>1</v>
      </c>
      <c r="P36" s="13">
        <f>IF($B36="On campus",1,INDEX(ModelOutput!$G$16:$G$26,MATCH($B36,ModelOutput!$C$16:$C$26,0)))</f>
        <v>1</v>
      </c>
      <c r="Q36" s="72">
        <f>INDEX(ModelOutput!$D$9:$D$11,MATCH("Tier "&amp;$F36,ModelOutput!$B$9:$B$11,0))</f>
        <v>36.175496869914397</v>
      </c>
      <c r="R36" s="72">
        <f>INDEX(ModelOutput!$E$9:$E$11,MATCH("Tier "&amp;$F36,ModelOutput!$B$9:$B$11,0))</f>
        <v>106.647084447761</v>
      </c>
      <c r="S36" s="72">
        <f>INDEX(ModelOutput!$F$9:$F$11,MATCH("Tier "&amp;$F36,ModelOutput!$B$9:$B$11,0))</f>
        <v>123.726482920496</v>
      </c>
      <c r="T36" s="72">
        <f>INDEX(ModelOutput!$G$9:$G$11,MATCH("Tier "&amp;$F36,ModelOutput!$B$9:$B$11,0))</f>
        <v>20.551544113210401</v>
      </c>
      <c r="U36" s="76">
        <f t="shared" si="0"/>
        <v>55.146159262881362</v>
      </c>
      <c r="V36" s="76">
        <f t="shared" si="1"/>
        <v>162.57349899095118</v>
      </c>
      <c r="W36" s="76">
        <f t="shared" si="2"/>
        <v>188.60944347786611</v>
      </c>
      <c r="X36" s="76">
        <f t="shared" si="3"/>
        <v>31.328905552857282</v>
      </c>
      <c r="Y36" s="27">
        <f t="shared" si="4"/>
        <v>437.65800728455594</v>
      </c>
      <c r="Z36" s="27">
        <f t="shared" si="5"/>
        <v>753.33270617705352</v>
      </c>
      <c r="AA36" s="33">
        <f t="shared" si="6"/>
        <v>-0.47180130498819228</v>
      </c>
      <c r="AB36" s="14">
        <f t="shared" si="7"/>
        <v>1069.6723315837799</v>
      </c>
      <c r="AC36" s="29">
        <f t="shared" si="8"/>
        <v>3</v>
      </c>
      <c r="AD36" s="20">
        <v>437.65800728455503</v>
      </c>
      <c r="AE36" s="78">
        <f t="shared" si="9"/>
        <v>9.0949470177292824E-13</v>
      </c>
      <c r="AF36" s="29">
        <f t="shared" si="10"/>
        <v>3</v>
      </c>
    </row>
    <row r="37" spans="1:32" ht="15" customHeight="1" x14ac:dyDescent="0.35">
      <c r="A37" s="19" t="s">
        <v>110</v>
      </c>
      <c r="B37" s="19" t="s">
        <v>113</v>
      </c>
      <c r="C37" s="19" t="s">
        <v>118</v>
      </c>
      <c r="D37" s="19" t="s">
        <v>122</v>
      </c>
      <c r="E37" s="19" t="s">
        <v>97</v>
      </c>
      <c r="F37" s="19">
        <v>2</v>
      </c>
      <c r="G37" s="19" t="s">
        <v>211</v>
      </c>
      <c r="H37" s="16">
        <v>129</v>
      </c>
      <c r="I37" s="13">
        <f>IF($G37="Base",1,INDEX(ModelOutput!$D$16:$D$26,MATCH($G37,ModelOutput!$C$16:$C$26,0)))</f>
        <v>1</v>
      </c>
      <c r="J37" s="13">
        <f>IF($A37="Non-greek",1,INDEX(ModelOutput!$D$16:$D$26,MATCH($A37,ModelOutput!$C$16:$C$26,0)))</f>
        <v>1</v>
      </c>
      <c r="K37" s="13">
        <f>IF($C37="Yes",1,INDEX(ModelOutput!$D$16:$D$26,MATCH($C37,ModelOutput!$C$16:$C$26,0)))</f>
        <v>1.5400747552012299</v>
      </c>
      <c r="L37" s="13">
        <f>IF($D37="2.0-3.0",1,INDEX(ModelOutput!$D$16:$D$26,MATCH($D37,ModelOutput!$C$16:$C$26,0)))</f>
        <v>1</v>
      </c>
      <c r="M37" s="13">
        <f>IF($B37="On campus",1,INDEX(ModelOutput!$D$16:$D$26,MATCH($B37,ModelOutput!$C$16:$C$26,0)))</f>
        <v>1</v>
      </c>
      <c r="N37" s="13">
        <f>IF($B37="On campus",1,INDEX(ModelOutput!$E$16:$E$26,MATCH($B37,ModelOutput!$C$16:$C$26,0)))</f>
        <v>1</v>
      </c>
      <c r="O37" s="13">
        <f>IF($B37="On campus",1,INDEX(ModelOutput!$F$16:$F$26,MATCH($B37,ModelOutput!$C$16:$C$26,0)))</f>
        <v>1</v>
      </c>
      <c r="P37" s="13">
        <f>IF($B37="On campus",1,INDEX(ModelOutput!$G$16:$G$26,MATCH($B37,ModelOutput!$C$16:$C$26,0)))</f>
        <v>1</v>
      </c>
      <c r="Q37" s="72">
        <f>INDEX(ModelOutput!$D$9:$D$11,MATCH("Tier "&amp;$F37,ModelOutput!$B$9:$B$11,0))</f>
        <v>42.8051506068728</v>
      </c>
      <c r="R37" s="72">
        <f>INDEX(ModelOutput!$E$9:$E$11,MATCH("Tier "&amp;$F37,ModelOutput!$B$9:$B$11,0))</f>
        <v>126.191618818284</v>
      </c>
      <c r="S37" s="72">
        <f>INDEX(ModelOutput!$F$9:$F$11,MATCH("Tier "&amp;$F37,ModelOutput!$B$9:$B$11,0))</f>
        <v>146.401050261042</v>
      </c>
      <c r="T37" s="72">
        <f>INDEX(ModelOutput!$G$9:$G$11,MATCH("Tier "&amp;$F37,ModelOutput!$B$9:$B$11,0))</f>
        <v>24.317895180076398</v>
      </c>
      <c r="U37" s="76">
        <f t="shared" si="0"/>
        <v>65.923131842231413</v>
      </c>
      <c r="V37" s="76">
        <f t="shared" si="1"/>
        <v>194.34452646001566</v>
      </c>
      <c r="W37" s="76">
        <f t="shared" si="2"/>
        <v>225.46856164197723</v>
      </c>
      <c r="X37" s="76">
        <f t="shared" si="3"/>
        <v>37.451376466465327</v>
      </c>
      <c r="Y37" s="27">
        <f t="shared" si="4"/>
        <v>523.18759641068971</v>
      </c>
      <c r="Z37" s="27">
        <f t="shared" si="5"/>
        <v>892.41048595310338</v>
      </c>
      <c r="AA37" s="33">
        <f t="shared" si="6"/>
        <v>-0.3742870179002985</v>
      </c>
      <c r="AB37" s="14">
        <f t="shared" si="7"/>
        <v>1069.6723315837799</v>
      </c>
      <c r="AC37" s="29">
        <f t="shared" si="8"/>
        <v>2</v>
      </c>
      <c r="AD37" s="20">
        <v>523.18759641068903</v>
      </c>
      <c r="AE37" s="78">
        <f t="shared" si="9"/>
        <v>0</v>
      </c>
      <c r="AF37" s="29">
        <f t="shared" si="10"/>
        <v>2</v>
      </c>
    </row>
    <row r="38" spans="1:32" ht="15" customHeight="1" x14ac:dyDescent="0.35">
      <c r="A38" s="19" t="s">
        <v>110</v>
      </c>
      <c r="B38" s="19" t="s">
        <v>113</v>
      </c>
      <c r="C38" s="19" t="s">
        <v>118</v>
      </c>
      <c r="D38" s="19" t="s">
        <v>122</v>
      </c>
      <c r="E38" s="19" t="s">
        <v>99</v>
      </c>
      <c r="F38" s="19">
        <v>3</v>
      </c>
      <c r="G38" s="19" t="s">
        <v>211</v>
      </c>
      <c r="H38" s="16">
        <v>152</v>
      </c>
      <c r="I38" s="13">
        <f>IF($G38="Base",1,INDEX(ModelOutput!$D$16:$D$26,MATCH($G38,ModelOutput!$C$16:$C$26,0)))</f>
        <v>1</v>
      </c>
      <c r="J38" s="13">
        <f>IF($A38="Non-greek",1,INDEX(ModelOutput!$D$16:$D$26,MATCH($A38,ModelOutput!$C$16:$C$26,0)))</f>
        <v>1</v>
      </c>
      <c r="K38" s="13">
        <f>IF($C38="Yes",1,INDEX(ModelOutput!$D$16:$D$26,MATCH($C38,ModelOutput!$C$16:$C$26,0)))</f>
        <v>1.5400747552012299</v>
      </c>
      <c r="L38" s="13">
        <f>IF($D38="2.0-3.0",1,INDEX(ModelOutput!$D$16:$D$26,MATCH($D38,ModelOutput!$C$16:$C$26,0)))</f>
        <v>1</v>
      </c>
      <c r="M38" s="13">
        <f>IF($B38="On campus",1,INDEX(ModelOutput!$D$16:$D$26,MATCH($B38,ModelOutput!$C$16:$C$26,0)))</f>
        <v>1</v>
      </c>
      <c r="N38" s="13">
        <f>IF($B38="On campus",1,INDEX(ModelOutput!$E$16:$E$26,MATCH($B38,ModelOutput!$C$16:$C$26,0)))</f>
        <v>1</v>
      </c>
      <c r="O38" s="13">
        <f>IF($B38="On campus",1,INDEX(ModelOutput!$F$16:$F$26,MATCH($B38,ModelOutput!$C$16:$C$26,0)))</f>
        <v>1</v>
      </c>
      <c r="P38" s="13">
        <f>IF($B38="On campus",1,INDEX(ModelOutput!$G$16:$G$26,MATCH($B38,ModelOutput!$C$16:$C$26,0)))</f>
        <v>1</v>
      </c>
      <c r="Q38" s="72">
        <f>INDEX(ModelOutput!$D$9:$D$11,MATCH("Tier "&amp;$F38,ModelOutput!$B$9:$B$11,0))</f>
        <v>40.009437343712797</v>
      </c>
      <c r="R38" s="72">
        <f>INDEX(ModelOutput!$E$9:$E$11,MATCH("Tier "&amp;$F38,ModelOutput!$B$9:$B$11,0))</f>
        <v>117.949723218616</v>
      </c>
      <c r="S38" s="72">
        <f>INDEX(ModelOutput!$F$9:$F$11,MATCH("Tier "&amp;$F38,ModelOutput!$B$9:$B$11,0))</f>
        <v>136.83922529015501</v>
      </c>
      <c r="T38" s="72">
        <f>INDEX(ModelOutput!$G$9:$G$11,MATCH("Tier "&amp;$F38,ModelOutput!$B$9:$B$11,0))</f>
        <v>22.729631592092201</v>
      </c>
      <c r="U38" s="76">
        <f t="shared" si="0"/>
        <v>61.617524422857436</v>
      </c>
      <c r="V38" s="76">
        <f t="shared" si="1"/>
        <v>181.65139111196285</v>
      </c>
      <c r="W38" s="76">
        <f t="shared" si="2"/>
        <v>210.74263639066143</v>
      </c>
      <c r="X38" s="76">
        <f t="shared" si="3"/>
        <v>35.005331810005536</v>
      </c>
      <c r="Y38" s="27">
        <f t="shared" si="4"/>
        <v>489.01688373548728</v>
      </c>
      <c r="Z38" s="27">
        <f t="shared" si="5"/>
        <v>836.84624320637454</v>
      </c>
      <c r="AA38" s="33">
        <f t="shared" si="6"/>
        <v>-0.41324584746854998</v>
      </c>
      <c r="AB38" s="14">
        <f t="shared" si="7"/>
        <v>1069.6723315837799</v>
      </c>
      <c r="AC38" s="29">
        <f t="shared" si="8"/>
        <v>2</v>
      </c>
      <c r="AD38" s="20">
        <v>489.01688373548802</v>
      </c>
      <c r="AE38" s="78">
        <f t="shared" si="9"/>
        <v>-7.3896444519050419E-13</v>
      </c>
      <c r="AF38" s="29">
        <f t="shared" si="10"/>
        <v>1</v>
      </c>
    </row>
    <row r="39" spans="1:32" ht="15" customHeight="1" x14ac:dyDescent="0.35">
      <c r="A39" s="19" t="s">
        <v>110</v>
      </c>
      <c r="B39" s="19" t="s">
        <v>113</v>
      </c>
      <c r="C39" s="19" t="s">
        <v>118</v>
      </c>
      <c r="D39" s="19" t="s">
        <v>122</v>
      </c>
      <c r="E39" s="19" t="s">
        <v>213</v>
      </c>
      <c r="F39" s="19">
        <v>3</v>
      </c>
      <c r="G39" s="19" t="s">
        <v>107</v>
      </c>
      <c r="H39" s="16">
        <v>61</v>
      </c>
      <c r="I39" s="13">
        <f>IF($G39="Base",1,INDEX(ModelOutput!$D$16:$D$26,MATCH($G39,ModelOutput!$C$16:$C$26,0)))</f>
        <v>1.1906804269762199</v>
      </c>
      <c r="J39" s="13">
        <f>IF($A39="Non-greek",1,INDEX(ModelOutput!$D$16:$D$26,MATCH($A39,ModelOutput!$C$16:$C$26,0)))</f>
        <v>1</v>
      </c>
      <c r="K39" s="13">
        <f>IF($C39="Yes",1,INDEX(ModelOutput!$D$16:$D$26,MATCH($C39,ModelOutput!$C$16:$C$26,0)))</f>
        <v>1.5400747552012299</v>
      </c>
      <c r="L39" s="13">
        <f>IF($D39="2.0-3.0",1,INDEX(ModelOutput!$D$16:$D$26,MATCH($D39,ModelOutput!$C$16:$C$26,0)))</f>
        <v>1</v>
      </c>
      <c r="M39" s="13">
        <f>IF($B39="On campus",1,INDEX(ModelOutput!$D$16:$D$26,MATCH($B39,ModelOutput!$C$16:$C$26,0)))</f>
        <v>1</v>
      </c>
      <c r="N39" s="13">
        <f>IF($B39="On campus",1,INDEX(ModelOutput!$E$16:$E$26,MATCH($B39,ModelOutput!$C$16:$C$26,0)))</f>
        <v>1</v>
      </c>
      <c r="O39" s="13">
        <f>IF($B39="On campus",1,INDEX(ModelOutput!$F$16:$F$26,MATCH($B39,ModelOutput!$C$16:$C$26,0)))</f>
        <v>1</v>
      </c>
      <c r="P39" s="13">
        <f>IF($B39="On campus",1,INDEX(ModelOutput!$G$16:$G$26,MATCH($B39,ModelOutput!$C$16:$C$26,0)))</f>
        <v>1</v>
      </c>
      <c r="Q39" s="72">
        <f>INDEX(ModelOutput!$D$9:$D$11,MATCH("Tier "&amp;$F39,ModelOutput!$B$9:$B$11,0))</f>
        <v>40.009437343712797</v>
      </c>
      <c r="R39" s="72">
        <f>INDEX(ModelOutput!$E$9:$E$11,MATCH("Tier "&amp;$F39,ModelOutput!$B$9:$B$11,0))</f>
        <v>117.949723218616</v>
      </c>
      <c r="S39" s="72">
        <f>INDEX(ModelOutput!$F$9:$F$11,MATCH("Tier "&amp;$F39,ModelOutput!$B$9:$B$11,0))</f>
        <v>136.83922529015501</v>
      </c>
      <c r="T39" s="72">
        <f>INDEX(ModelOutput!$G$9:$G$11,MATCH("Tier "&amp;$F39,ModelOutput!$B$9:$B$11,0))</f>
        <v>22.729631592092201</v>
      </c>
      <c r="U39" s="76">
        <f t="shared" si="0"/>
        <v>73.366780289025542</v>
      </c>
      <c r="V39" s="76">
        <f t="shared" si="1"/>
        <v>216.28875593001626</v>
      </c>
      <c r="W39" s="76">
        <f t="shared" si="2"/>
        <v>250.92713227972703</v>
      </c>
      <c r="X39" s="76">
        <f t="shared" si="3"/>
        <v>41.680163425981647</v>
      </c>
      <c r="Y39" s="27">
        <f t="shared" si="4"/>
        <v>582.26283192475046</v>
      </c>
      <c r="Z39" s="27">
        <f t="shared" si="5"/>
        <v>988.47142438373567</v>
      </c>
      <c r="AA39" s="33">
        <f t="shared" si="6"/>
        <v>-0.30693395874778051</v>
      </c>
      <c r="AB39" s="14">
        <f t="shared" si="7"/>
        <v>1069.6723315837799</v>
      </c>
      <c r="AC39" s="29">
        <f t="shared" si="8"/>
        <v>2</v>
      </c>
      <c r="AD39" s="20">
        <v>582.26283192475103</v>
      </c>
      <c r="AE39" s="78">
        <f t="shared" si="9"/>
        <v>0</v>
      </c>
      <c r="AF39" s="29">
        <f t="shared" si="10"/>
        <v>2</v>
      </c>
    </row>
    <row r="40" spans="1:32" ht="15" customHeight="1" x14ac:dyDescent="0.35">
      <c r="A40" s="37" t="s">
        <v>110</v>
      </c>
      <c r="B40" s="37" t="s">
        <v>113</v>
      </c>
      <c r="C40" s="37" t="s">
        <v>118</v>
      </c>
      <c r="D40" s="37" t="s">
        <v>124</v>
      </c>
      <c r="E40" s="37" t="s">
        <v>95</v>
      </c>
      <c r="F40" s="37">
        <v>1</v>
      </c>
      <c r="G40" s="37" t="s">
        <v>211</v>
      </c>
      <c r="H40" s="38">
        <v>85</v>
      </c>
      <c r="I40" s="39">
        <f>IF($G40="Base",1,INDEX(ModelOutput!$D$16:$D$26,MATCH($G40,ModelOutput!$C$16:$C$26,0)))</f>
        <v>1</v>
      </c>
      <c r="J40" s="39">
        <f>IF($A40="Non-greek",1,INDEX(ModelOutput!$D$16:$D$26,MATCH($A40,ModelOutput!$C$16:$C$26,0)))</f>
        <v>1</v>
      </c>
      <c r="K40" s="39">
        <f>IF($C40="Yes",1,INDEX(ModelOutput!$D$16:$D$26,MATCH($C40,ModelOutput!$C$16:$C$26,0)))</f>
        <v>1.5400747552012299</v>
      </c>
      <c r="L40" s="39">
        <f>IF($D40="2.0-3.0",1,INDEX(ModelOutput!$D$16:$D$26,MATCH($D40,ModelOutput!$C$16:$C$26,0)))</f>
        <v>0.87654761766211098</v>
      </c>
      <c r="M40" s="39">
        <f>IF($B40="On campus",1,INDEX(ModelOutput!$D$16:$D$26,MATCH($B40,ModelOutput!$C$16:$C$26,0)))</f>
        <v>1</v>
      </c>
      <c r="N40" s="39">
        <f>IF($B40="On campus",1,INDEX(ModelOutput!$E$16:$E$26,MATCH($B40,ModelOutput!$C$16:$C$26,0)))</f>
        <v>1</v>
      </c>
      <c r="O40" s="39">
        <f>IF($B40="On campus",1,INDEX(ModelOutput!$F$16:$F$26,MATCH($B40,ModelOutput!$C$16:$C$26,0)))</f>
        <v>1</v>
      </c>
      <c r="P40" s="39">
        <f>IF($B40="On campus",1,INDEX(ModelOutput!$G$16:$G$26,MATCH($B40,ModelOutput!$C$16:$C$26,0)))</f>
        <v>1</v>
      </c>
      <c r="Q40" s="73">
        <f>INDEX(ModelOutput!$D$9:$D$11,MATCH("Tier "&amp;$F40,ModelOutput!$B$9:$B$11,0))</f>
        <v>36.175496869914397</v>
      </c>
      <c r="R40" s="73">
        <f>INDEX(ModelOutput!$E$9:$E$11,MATCH("Tier "&amp;$F40,ModelOutput!$B$9:$B$11,0))</f>
        <v>106.647084447761</v>
      </c>
      <c r="S40" s="73">
        <f>INDEX(ModelOutput!$F$9:$F$11,MATCH("Tier "&amp;$F40,ModelOutput!$B$9:$B$11,0))</f>
        <v>123.726482920496</v>
      </c>
      <c r="T40" s="73">
        <f>INDEX(ModelOutput!$G$9:$G$11,MATCH("Tier "&amp;$F40,ModelOutput!$B$9:$B$11,0))</f>
        <v>20.551544113210401</v>
      </c>
      <c r="U40" s="77">
        <f t="shared" si="0"/>
        <v>48.835070676024756</v>
      </c>
      <c r="V40" s="77">
        <f t="shared" si="1"/>
        <v>143.96810982656487</v>
      </c>
      <c r="W40" s="77">
        <f t="shared" si="2"/>
        <v>167.0244242849204</v>
      </c>
      <c r="X40" s="77">
        <f t="shared" si="3"/>
        <v>27.743533499459726</v>
      </c>
      <c r="Y40" s="30">
        <f t="shared" si="4"/>
        <v>387.57113828696976</v>
      </c>
      <c r="Z40" s="30">
        <f t="shared" si="5"/>
        <v>671.8875524321295</v>
      </c>
      <c r="AA40" s="41">
        <f t="shared" si="6"/>
        <v>-0.52890651702845415</v>
      </c>
      <c r="AB40" s="40">
        <f t="shared" si="7"/>
        <v>1069.6723315837799</v>
      </c>
      <c r="AC40" s="42">
        <f t="shared" si="8"/>
        <v>3</v>
      </c>
      <c r="AD40" s="43">
        <v>387.57113828696902</v>
      </c>
      <c r="AE40" s="79">
        <f t="shared" si="9"/>
        <v>7.3896444519050419E-13</v>
      </c>
      <c r="AF40" s="29">
        <f t="shared" si="10"/>
        <v>4</v>
      </c>
    </row>
    <row r="41" spans="1:32" ht="15" customHeight="1" x14ac:dyDescent="0.35">
      <c r="A41" s="37" t="s">
        <v>110</v>
      </c>
      <c r="B41" s="37" t="s">
        <v>113</v>
      </c>
      <c r="C41" s="37" t="s">
        <v>118</v>
      </c>
      <c r="D41" s="37" t="s">
        <v>124</v>
      </c>
      <c r="E41" s="37" t="s">
        <v>105</v>
      </c>
      <c r="F41" s="37">
        <v>1</v>
      </c>
      <c r="G41" s="37" t="s">
        <v>105</v>
      </c>
      <c r="H41" s="38">
        <v>93</v>
      </c>
      <c r="I41" s="39">
        <f>IF($G41="Base",1,INDEX(ModelOutput!$D$16:$D$26,MATCH($G41,ModelOutput!$C$16:$C$26,0)))</f>
        <v>0.98982624281990295</v>
      </c>
      <c r="J41" s="39">
        <f>IF($A41="Non-greek",1,INDEX(ModelOutput!$D$16:$D$26,MATCH($A41,ModelOutput!$C$16:$C$26,0)))</f>
        <v>1</v>
      </c>
      <c r="K41" s="39">
        <f>IF($C41="Yes",1,INDEX(ModelOutput!$D$16:$D$26,MATCH($C41,ModelOutput!$C$16:$C$26,0)))</f>
        <v>1.5400747552012299</v>
      </c>
      <c r="L41" s="39">
        <f>IF($D41="2.0-3.0",1,INDEX(ModelOutput!$D$16:$D$26,MATCH($D41,ModelOutput!$C$16:$C$26,0)))</f>
        <v>0.87654761766211098</v>
      </c>
      <c r="M41" s="39">
        <f>IF($B41="On campus",1,INDEX(ModelOutput!$D$16:$D$26,MATCH($B41,ModelOutput!$C$16:$C$26,0)))</f>
        <v>1</v>
      </c>
      <c r="N41" s="39">
        <f>IF($B41="On campus",1,INDEX(ModelOutput!$E$16:$E$26,MATCH($B41,ModelOutput!$C$16:$C$26,0)))</f>
        <v>1</v>
      </c>
      <c r="O41" s="39">
        <f>IF($B41="On campus",1,INDEX(ModelOutput!$F$16:$F$26,MATCH($B41,ModelOutput!$C$16:$C$26,0)))</f>
        <v>1</v>
      </c>
      <c r="P41" s="39">
        <f>IF($B41="On campus",1,INDEX(ModelOutput!$G$16:$G$26,MATCH($B41,ModelOutput!$C$16:$C$26,0)))</f>
        <v>1</v>
      </c>
      <c r="Q41" s="73">
        <f>INDEX(ModelOutput!$D$9:$D$11,MATCH("Tier "&amp;$F41,ModelOutput!$B$9:$B$11,0))</f>
        <v>36.175496869914397</v>
      </c>
      <c r="R41" s="73">
        <f>INDEX(ModelOutput!$E$9:$E$11,MATCH("Tier "&amp;$F41,ModelOutput!$B$9:$B$11,0))</f>
        <v>106.647084447761</v>
      </c>
      <c r="S41" s="73">
        <f>INDEX(ModelOutput!$F$9:$F$11,MATCH("Tier "&amp;$F41,ModelOutput!$B$9:$B$11,0))</f>
        <v>123.726482920496</v>
      </c>
      <c r="T41" s="73">
        <f>INDEX(ModelOutput!$G$9:$G$11,MATCH("Tier "&amp;$F41,ModelOutput!$B$9:$B$11,0))</f>
        <v>20.551544113210401</v>
      </c>
      <c r="U41" s="77">
        <f t="shared" si="0"/>
        <v>48.338234525094009</v>
      </c>
      <c r="V41" s="77">
        <f t="shared" si="1"/>
        <v>142.50341323551186</v>
      </c>
      <c r="W41" s="77">
        <f t="shared" si="2"/>
        <v>165.32515834910012</v>
      </c>
      <c r="X41" s="77">
        <f t="shared" si="3"/>
        <v>27.46127752631833</v>
      </c>
      <c r="Y41" s="30">
        <f t="shared" si="4"/>
        <v>383.62808363602431</v>
      </c>
      <c r="Z41" s="30">
        <f t="shared" si="5"/>
        <v>665.475838170526</v>
      </c>
      <c r="AA41" s="41">
        <f t="shared" si="6"/>
        <v>-0.53340208595569993</v>
      </c>
      <c r="AB41" s="40">
        <f t="shared" si="7"/>
        <v>1069.6723315837799</v>
      </c>
      <c r="AC41" s="42">
        <f t="shared" si="8"/>
        <v>3</v>
      </c>
      <c r="AD41" s="43">
        <v>383.62808363602397</v>
      </c>
      <c r="AE41" s="79">
        <f t="shared" si="9"/>
        <v>0</v>
      </c>
      <c r="AF41" s="29">
        <f t="shared" si="10"/>
        <v>3</v>
      </c>
    </row>
    <row r="42" spans="1:32" ht="15" customHeight="1" x14ac:dyDescent="0.35">
      <c r="A42" s="37" t="s">
        <v>110</v>
      </c>
      <c r="B42" s="37" t="s">
        <v>113</v>
      </c>
      <c r="C42" s="37" t="s">
        <v>118</v>
      </c>
      <c r="D42" s="37" t="s">
        <v>124</v>
      </c>
      <c r="E42" s="37" t="s">
        <v>97</v>
      </c>
      <c r="F42" s="37">
        <v>2</v>
      </c>
      <c r="G42" s="37" t="s">
        <v>211</v>
      </c>
      <c r="H42" s="38">
        <v>90</v>
      </c>
      <c r="I42" s="39">
        <f>IF($G42="Base",1,INDEX(ModelOutput!$D$16:$D$26,MATCH($G42,ModelOutput!$C$16:$C$26,0)))</f>
        <v>1</v>
      </c>
      <c r="J42" s="39">
        <f>IF($A42="Non-greek",1,INDEX(ModelOutput!$D$16:$D$26,MATCH($A42,ModelOutput!$C$16:$C$26,0)))</f>
        <v>1</v>
      </c>
      <c r="K42" s="39">
        <f>IF($C42="Yes",1,INDEX(ModelOutput!$D$16:$D$26,MATCH($C42,ModelOutput!$C$16:$C$26,0)))</f>
        <v>1.5400747552012299</v>
      </c>
      <c r="L42" s="39">
        <f>IF($D42="2.0-3.0",1,INDEX(ModelOutput!$D$16:$D$26,MATCH($D42,ModelOutput!$C$16:$C$26,0)))</f>
        <v>0.87654761766211098</v>
      </c>
      <c r="M42" s="39">
        <f>IF($B42="On campus",1,INDEX(ModelOutput!$D$16:$D$26,MATCH($B42,ModelOutput!$C$16:$C$26,0)))</f>
        <v>1</v>
      </c>
      <c r="N42" s="39">
        <f>IF($B42="On campus",1,INDEX(ModelOutput!$E$16:$E$26,MATCH($B42,ModelOutput!$C$16:$C$26,0)))</f>
        <v>1</v>
      </c>
      <c r="O42" s="39">
        <f>IF($B42="On campus",1,INDEX(ModelOutput!$F$16:$F$26,MATCH($B42,ModelOutput!$C$16:$C$26,0)))</f>
        <v>1</v>
      </c>
      <c r="P42" s="39">
        <f>IF($B42="On campus",1,INDEX(ModelOutput!$G$16:$G$26,MATCH($B42,ModelOutput!$C$16:$C$26,0)))</f>
        <v>1</v>
      </c>
      <c r="Q42" s="73">
        <f>INDEX(ModelOutput!$D$9:$D$11,MATCH("Tier "&amp;$F42,ModelOutput!$B$9:$B$11,0))</f>
        <v>42.8051506068728</v>
      </c>
      <c r="R42" s="73">
        <f>INDEX(ModelOutput!$E$9:$E$11,MATCH("Tier "&amp;$F42,ModelOutput!$B$9:$B$11,0))</f>
        <v>126.191618818284</v>
      </c>
      <c r="S42" s="73">
        <f>INDEX(ModelOutput!$F$9:$F$11,MATCH("Tier "&amp;$F42,ModelOutput!$B$9:$B$11,0))</f>
        <v>146.401050261042</v>
      </c>
      <c r="T42" s="73">
        <f>INDEX(ModelOutput!$G$9:$G$11,MATCH("Tier "&amp;$F42,ModelOutput!$B$9:$B$11,0))</f>
        <v>24.317895180076398</v>
      </c>
      <c r="U42" s="77">
        <f t="shared" si="0"/>
        <v>57.784764165133197</v>
      </c>
      <c r="V42" s="77">
        <f t="shared" si="1"/>
        <v>170.35223167419781</v>
      </c>
      <c r="W42" s="77">
        <f t="shared" si="2"/>
        <v>197.63393056497796</v>
      </c>
      <c r="X42" s="77">
        <f t="shared" si="3"/>
        <v>32.827914819847031</v>
      </c>
      <c r="Y42" s="30">
        <f t="shared" si="4"/>
        <v>458.59884122415599</v>
      </c>
      <c r="Z42" s="30">
        <f t="shared" si="5"/>
        <v>787.38413470295802</v>
      </c>
      <c r="AA42" s="41">
        <f t="shared" si="6"/>
        <v>-0.4479261699207876</v>
      </c>
      <c r="AB42" s="40">
        <f t="shared" si="7"/>
        <v>1069.6723315837799</v>
      </c>
      <c r="AC42" s="42">
        <f t="shared" si="8"/>
        <v>3</v>
      </c>
      <c r="AD42" s="43">
        <v>458.59884122415502</v>
      </c>
      <c r="AE42" s="79">
        <f t="shared" si="9"/>
        <v>9.6633812063373625E-13</v>
      </c>
      <c r="AF42" s="29">
        <f t="shared" si="10"/>
        <v>2</v>
      </c>
    </row>
    <row r="43" spans="1:32" ht="15" customHeight="1" x14ac:dyDescent="0.35">
      <c r="A43" s="37" t="s">
        <v>110</v>
      </c>
      <c r="B43" s="37" t="s">
        <v>113</v>
      </c>
      <c r="C43" s="37" t="s">
        <v>118</v>
      </c>
      <c r="D43" s="37" t="s">
        <v>124</v>
      </c>
      <c r="E43" s="37" t="s">
        <v>99</v>
      </c>
      <c r="F43" s="37">
        <v>3</v>
      </c>
      <c r="G43" s="37" t="s">
        <v>211</v>
      </c>
      <c r="H43" s="38">
        <v>93</v>
      </c>
      <c r="I43" s="39">
        <f>IF($G43="Base",1,INDEX(ModelOutput!$D$16:$D$26,MATCH($G43,ModelOutput!$C$16:$C$26,0)))</f>
        <v>1</v>
      </c>
      <c r="J43" s="39">
        <f>IF($A43="Non-greek",1,INDEX(ModelOutput!$D$16:$D$26,MATCH($A43,ModelOutput!$C$16:$C$26,0)))</f>
        <v>1</v>
      </c>
      <c r="K43" s="39">
        <f>IF($C43="Yes",1,INDEX(ModelOutput!$D$16:$D$26,MATCH($C43,ModelOutput!$C$16:$C$26,0)))</f>
        <v>1.5400747552012299</v>
      </c>
      <c r="L43" s="39">
        <f>IF($D43="2.0-3.0",1,INDEX(ModelOutput!$D$16:$D$26,MATCH($D43,ModelOutput!$C$16:$C$26,0)))</f>
        <v>0.87654761766211098</v>
      </c>
      <c r="M43" s="39">
        <f>IF($B43="On campus",1,INDEX(ModelOutput!$D$16:$D$26,MATCH($B43,ModelOutput!$C$16:$C$26,0)))</f>
        <v>1</v>
      </c>
      <c r="N43" s="39">
        <f>IF($B43="On campus",1,INDEX(ModelOutput!$E$16:$E$26,MATCH($B43,ModelOutput!$C$16:$C$26,0)))</f>
        <v>1</v>
      </c>
      <c r="O43" s="39">
        <f>IF($B43="On campus",1,INDEX(ModelOutput!$F$16:$F$26,MATCH($B43,ModelOutput!$C$16:$C$26,0)))</f>
        <v>1</v>
      </c>
      <c r="P43" s="39">
        <f>IF($B43="On campus",1,INDEX(ModelOutput!$G$16:$G$26,MATCH($B43,ModelOutput!$C$16:$C$26,0)))</f>
        <v>1</v>
      </c>
      <c r="Q43" s="73">
        <f>INDEX(ModelOutput!$D$9:$D$11,MATCH("Tier "&amp;$F43,ModelOutput!$B$9:$B$11,0))</f>
        <v>40.009437343712797</v>
      </c>
      <c r="R43" s="73">
        <f>INDEX(ModelOutput!$E$9:$E$11,MATCH("Tier "&amp;$F43,ModelOutput!$B$9:$B$11,0))</f>
        <v>117.949723218616</v>
      </c>
      <c r="S43" s="73">
        <f>INDEX(ModelOutput!$F$9:$F$11,MATCH("Tier "&amp;$F43,ModelOutput!$B$9:$B$11,0))</f>
        <v>136.83922529015501</v>
      </c>
      <c r="T43" s="73">
        <f>INDEX(ModelOutput!$G$9:$G$11,MATCH("Tier "&amp;$F43,ModelOutput!$B$9:$B$11,0))</f>
        <v>22.729631592092201</v>
      </c>
      <c r="U43" s="77">
        <f t="shared" si="0"/>
        <v>54.010694239092622</v>
      </c>
      <c r="V43" s="77">
        <f t="shared" si="1"/>
        <v>159.22609412419939</v>
      </c>
      <c r="W43" s="77">
        <f t="shared" si="2"/>
        <v>184.72595586806676</v>
      </c>
      <c r="X43" s="77">
        <f t="shared" si="3"/>
        <v>30.683840203532064</v>
      </c>
      <c r="Y43" s="30">
        <f t="shared" si="4"/>
        <v>428.64658443489083</v>
      </c>
      <c r="Z43" s="30">
        <f t="shared" si="5"/>
        <v>738.67943009611372</v>
      </c>
      <c r="AA43" s="41">
        <f t="shared" si="6"/>
        <v>-0.48207543916574258</v>
      </c>
      <c r="AB43" s="40">
        <f t="shared" si="7"/>
        <v>1069.6723315837799</v>
      </c>
      <c r="AC43" s="42">
        <f t="shared" si="8"/>
        <v>3</v>
      </c>
      <c r="AD43" s="43">
        <v>428.646584434891</v>
      </c>
      <c r="AE43" s="79">
        <f t="shared" si="9"/>
        <v>0</v>
      </c>
      <c r="AF43" s="29">
        <f t="shared" si="10"/>
        <v>1</v>
      </c>
    </row>
    <row r="44" spans="1:32" ht="15" customHeight="1" x14ac:dyDescent="0.35">
      <c r="A44" s="37" t="s">
        <v>110</v>
      </c>
      <c r="B44" s="37" t="s">
        <v>113</v>
      </c>
      <c r="C44" s="37" t="s">
        <v>118</v>
      </c>
      <c r="D44" s="37" t="s">
        <v>124</v>
      </c>
      <c r="E44" s="37" t="s">
        <v>213</v>
      </c>
      <c r="F44" s="37">
        <v>3</v>
      </c>
      <c r="G44" s="37" t="s">
        <v>107</v>
      </c>
      <c r="H44" s="38">
        <v>38</v>
      </c>
      <c r="I44" s="39">
        <f>IF($G44="Base",1,INDEX(ModelOutput!$D$16:$D$26,MATCH($G44,ModelOutput!$C$16:$C$26,0)))</f>
        <v>1.1906804269762199</v>
      </c>
      <c r="J44" s="39">
        <f>IF($A44="Non-greek",1,INDEX(ModelOutput!$D$16:$D$26,MATCH($A44,ModelOutput!$C$16:$C$26,0)))</f>
        <v>1</v>
      </c>
      <c r="K44" s="39">
        <f>IF($C44="Yes",1,INDEX(ModelOutput!$D$16:$D$26,MATCH($C44,ModelOutput!$C$16:$C$26,0)))</f>
        <v>1.5400747552012299</v>
      </c>
      <c r="L44" s="39">
        <f>IF($D44="2.0-3.0",1,INDEX(ModelOutput!$D$16:$D$26,MATCH($D44,ModelOutput!$C$16:$C$26,0)))</f>
        <v>0.87654761766211098</v>
      </c>
      <c r="M44" s="39">
        <f>IF($B44="On campus",1,INDEX(ModelOutput!$D$16:$D$26,MATCH($B44,ModelOutput!$C$16:$C$26,0)))</f>
        <v>1</v>
      </c>
      <c r="N44" s="39">
        <f>IF($B44="On campus",1,INDEX(ModelOutput!$E$16:$E$26,MATCH($B44,ModelOutput!$C$16:$C$26,0)))</f>
        <v>1</v>
      </c>
      <c r="O44" s="39">
        <f>IF($B44="On campus",1,INDEX(ModelOutput!$F$16:$F$26,MATCH($B44,ModelOutput!$C$16:$C$26,0)))</f>
        <v>1</v>
      </c>
      <c r="P44" s="39">
        <f>IF($B44="On campus",1,INDEX(ModelOutput!$G$16:$G$26,MATCH($B44,ModelOutput!$C$16:$C$26,0)))</f>
        <v>1</v>
      </c>
      <c r="Q44" s="73">
        <f>INDEX(ModelOutput!$D$9:$D$11,MATCH("Tier "&amp;$F44,ModelOutput!$B$9:$B$11,0))</f>
        <v>40.009437343712797</v>
      </c>
      <c r="R44" s="73">
        <f>INDEX(ModelOutput!$E$9:$E$11,MATCH("Tier "&amp;$F44,ModelOutput!$B$9:$B$11,0))</f>
        <v>117.949723218616</v>
      </c>
      <c r="S44" s="73">
        <f>INDEX(ModelOutput!$F$9:$F$11,MATCH("Tier "&amp;$F44,ModelOutput!$B$9:$B$11,0))</f>
        <v>136.83922529015501</v>
      </c>
      <c r="T44" s="73">
        <f>INDEX(ModelOutput!$G$9:$G$11,MATCH("Tier "&amp;$F44,ModelOutput!$B$9:$B$11,0))</f>
        <v>22.729631592092201</v>
      </c>
      <c r="U44" s="77">
        <f t="shared" si="0"/>
        <v>64.309476477884857</v>
      </c>
      <c r="V44" s="77">
        <f t="shared" si="1"/>
        <v>189.58739373755753</v>
      </c>
      <c r="W44" s="77">
        <f t="shared" si="2"/>
        <v>219.94958000658011</v>
      </c>
      <c r="X44" s="77">
        <f t="shared" si="3"/>
        <v>36.53464795481166</v>
      </c>
      <c r="Y44" s="30">
        <f t="shared" si="4"/>
        <v>510.38109817683414</v>
      </c>
      <c r="Z44" s="30">
        <f t="shared" si="5"/>
        <v>871.58612143471566</v>
      </c>
      <c r="AA44" s="41">
        <f t="shared" si="6"/>
        <v>-0.3888880063783926</v>
      </c>
      <c r="AB44" s="40">
        <f t="shared" si="7"/>
        <v>1069.6723315837799</v>
      </c>
      <c r="AC44" s="42">
        <f t="shared" si="8"/>
        <v>2</v>
      </c>
      <c r="AD44" s="43">
        <v>510.38109817683397</v>
      </c>
      <c r="AE44" s="79">
        <f t="shared" si="9"/>
        <v>0</v>
      </c>
      <c r="AF44" s="29">
        <f t="shared" si="10"/>
        <v>2</v>
      </c>
    </row>
    <row r="45" spans="1:32" ht="15" customHeight="1" x14ac:dyDescent="0.35">
      <c r="A45" s="19" t="s">
        <v>110</v>
      </c>
      <c r="B45" s="19" t="s">
        <v>112</v>
      </c>
      <c r="C45" s="19" t="s">
        <v>210</v>
      </c>
      <c r="D45" s="19" t="s">
        <v>121</v>
      </c>
      <c r="E45" s="19" t="s">
        <v>95</v>
      </c>
      <c r="F45" s="19">
        <v>1</v>
      </c>
      <c r="G45" s="19" t="s">
        <v>211</v>
      </c>
      <c r="H45" s="16">
        <v>8</v>
      </c>
      <c r="I45" s="13">
        <f>IF($G45="Base",1,INDEX(ModelOutput!$D$16:$D$26,MATCH($G45,ModelOutput!$C$16:$C$26,0)))</f>
        <v>1</v>
      </c>
      <c r="J45" s="13">
        <f>IF($A45="Non-greek",1,INDEX(ModelOutput!$D$16:$D$26,MATCH($A45,ModelOutput!$C$16:$C$26,0)))</f>
        <v>1</v>
      </c>
      <c r="K45" s="13">
        <f>IF($C45="Yes",1,INDEX(ModelOutput!$D$16:$D$26,MATCH($C45,ModelOutput!$C$16:$C$26,0)))</f>
        <v>1</v>
      </c>
      <c r="L45" s="13">
        <f>IF($D45="2.0-3.0",1,INDEX(ModelOutput!$D$16:$D$26,MATCH($D45,ModelOutput!$C$16:$C$26,0)))</f>
        <v>1.12144800201769</v>
      </c>
      <c r="M45" s="13">
        <f>IF($B45="On campus",1,INDEX(ModelOutput!$D$16:$D$26,MATCH($B45,ModelOutput!$C$16:$C$26,0)))</f>
        <v>1.9771404201318099</v>
      </c>
      <c r="N45" s="13">
        <f>IF($B45="On campus",1,INDEX(ModelOutput!$E$16:$E$26,MATCH($B45,ModelOutput!$C$16:$C$26,0)))</f>
        <v>1.9459582144513401</v>
      </c>
      <c r="O45" s="13">
        <f>IF($B45="On campus",1,INDEX(ModelOutput!$F$16:$F$26,MATCH($B45,ModelOutput!$C$16:$C$26,0)))</f>
        <v>2.5135188217196598</v>
      </c>
      <c r="P45" s="13">
        <f>IF($B45="On campus",1,INDEX(ModelOutput!$G$16:$G$26,MATCH($B45,ModelOutput!$C$16:$C$26,0)))</f>
        <v>3.16845056067557</v>
      </c>
      <c r="Q45" s="72">
        <f>INDEX(ModelOutput!$D$9:$D$11,MATCH("Tier "&amp;$F45,ModelOutput!$B$9:$B$11,0))</f>
        <v>36.175496869914397</v>
      </c>
      <c r="R45" s="72">
        <f>INDEX(ModelOutput!$E$9:$E$11,MATCH("Tier "&amp;$F45,ModelOutput!$B$9:$B$11,0))</f>
        <v>106.647084447761</v>
      </c>
      <c r="S45" s="72">
        <f>INDEX(ModelOutput!$F$9:$F$11,MATCH("Tier "&amp;$F45,ModelOutput!$B$9:$B$11,0))</f>
        <v>123.726482920496</v>
      </c>
      <c r="T45" s="72">
        <f>INDEX(ModelOutput!$G$9:$G$11,MATCH("Tier "&amp;$F45,ModelOutput!$B$9:$B$11,0))</f>
        <v>20.551544113210401</v>
      </c>
      <c r="U45" s="76">
        <f t="shared" si="0"/>
        <v>80.210488479447633</v>
      </c>
      <c r="V45" s="76">
        <f t="shared" si="1"/>
        <v>232.73496740554893</v>
      </c>
      <c r="W45" s="76">
        <f t="shared" si="2"/>
        <v>348.7578172667063</v>
      </c>
      <c r="X45" s="76">
        <f t="shared" si="3"/>
        <v>73.024826542351263</v>
      </c>
      <c r="Y45" s="27">
        <f t="shared" si="4"/>
        <v>734.72809969405421</v>
      </c>
      <c r="Z45" s="27">
        <f t="shared" si="5"/>
        <v>1236.391835915756</v>
      </c>
      <c r="AA45" s="33">
        <f t="shared" si="6"/>
        <v>-0.13310473725739369</v>
      </c>
      <c r="AB45" s="14">
        <f t="shared" si="7"/>
        <v>1236.391835915756</v>
      </c>
      <c r="AC45" s="29">
        <f t="shared" si="8"/>
        <v>1</v>
      </c>
      <c r="AD45" s="20">
        <v>734.72809969405398</v>
      </c>
      <c r="AE45" s="78">
        <f t="shared" si="9"/>
        <v>0</v>
      </c>
      <c r="AF45" s="29">
        <f t="shared" si="10"/>
        <v>4</v>
      </c>
    </row>
    <row r="46" spans="1:32" ht="15" customHeight="1" x14ac:dyDescent="0.35">
      <c r="A46" s="19" t="s">
        <v>110</v>
      </c>
      <c r="B46" s="19" t="s">
        <v>112</v>
      </c>
      <c r="C46" s="19" t="s">
        <v>210</v>
      </c>
      <c r="D46" s="19" t="s">
        <v>121</v>
      </c>
      <c r="E46" s="19" t="s">
        <v>105</v>
      </c>
      <c r="F46" s="19">
        <v>1</v>
      </c>
      <c r="G46" s="19" t="s">
        <v>105</v>
      </c>
      <c r="H46" s="16">
        <v>3</v>
      </c>
      <c r="I46" s="13">
        <f>IF($G46="Base",1,INDEX(ModelOutput!$D$16:$D$26,MATCH($G46,ModelOutput!$C$16:$C$26,0)))</f>
        <v>0.98982624281990295</v>
      </c>
      <c r="J46" s="13">
        <f>IF($A46="Non-greek",1,INDEX(ModelOutput!$D$16:$D$26,MATCH($A46,ModelOutput!$C$16:$C$26,0)))</f>
        <v>1</v>
      </c>
      <c r="K46" s="13">
        <f>IF($C46="Yes",1,INDEX(ModelOutput!$D$16:$D$26,MATCH($C46,ModelOutput!$C$16:$C$26,0)))</f>
        <v>1</v>
      </c>
      <c r="L46" s="13">
        <f>IF($D46="2.0-3.0",1,INDEX(ModelOutput!$D$16:$D$26,MATCH($D46,ModelOutput!$C$16:$C$26,0)))</f>
        <v>1.12144800201769</v>
      </c>
      <c r="M46" s="13">
        <f>IF($B46="On campus",1,INDEX(ModelOutput!$D$16:$D$26,MATCH($B46,ModelOutput!$C$16:$C$26,0)))</f>
        <v>1.9771404201318099</v>
      </c>
      <c r="N46" s="13">
        <f>IF($B46="On campus",1,INDEX(ModelOutput!$E$16:$E$26,MATCH($B46,ModelOutput!$C$16:$C$26,0)))</f>
        <v>1.9459582144513401</v>
      </c>
      <c r="O46" s="13">
        <f>IF($B46="On campus",1,INDEX(ModelOutput!$F$16:$F$26,MATCH($B46,ModelOutput!$C$16:$C$26,0)))</f>
        <v>2.5135188217196598</v>
      </c>
      <c r="P46" s="13">
        <f>IF($B46="On campus",1,INDEX(ModelOutput!$G$16:$G$26,MATCH($B46,ModelOutput!$C$16:$C$26,0)))</f>
        <v>3.16845056067557</v>
      </c>
      <c r="Q46" s="72">
        <f>INDEX(ModelOutput!$D$9:$D$11,MATCH("Tier "&amp;$F46,ModelOutput!$B$9:$B$11,0))</f>
        <v>36.175496869914397</v>
      </c>
      <c r="R46" s="72">
        <f>INDEX(ModelOutput!$E$9:$E$11,MATCH("Tier "&amp;$F46,ModelOutput!$B$9:$B$11,0))</f>
        <v>106.647084447761</v>
      </c>
      <c r="S46" s="72">
        <f>INDEX(ModelOutput!$F$9:$F$11,MATCH("Tier "&amp;$F46,ModelOutput!$B$9:$B$11,0))</f>
        <v>123.726482920496</v>
      </c>
      <c r="T46" s="72">
        <f>INDEX(ModelOutput!$G$9:$G$11,MATCH("Tier "&amp;$F46,ModelOutput!$B$9:$B$11,0))</f>
        <v>20.551544113210401</v>
      </c>
      <c r="U46" s="76">
        <f t="shared" si="0"/>
        <v>79.394446446360774</v>
      </c>
      <c r="V46" s="76">
        <f t="shared" si="1"/>
        <v>230.36717835984709</v>
      </c>
      <c r="W46" s="76">
        <f t="shared" si="2"/>
        <v>345.20963991917409</v>
      </c>
      <c r="X46" s="76">
        <f t="shared" si="3"/>
        <v>72.281889688990674</v>
      </c>
      <c r="Y46" s="27">
        <f t="shared" si="4"/>
        <v>727.2531544143726</v>
      </c>
      <c r="Z46" s="27">
        <f t="shared" si="5"/>
        <v>1224.2369921468653</v>
      </c>
      <c r="AA46" s="33">
        <f t="shared" si="6"/>
        <v>-0.14162709738348067</v>
      </c>
      <c r="AB46" s="14">
        <f t="shared" si="7"/>
        <v>1224.2369921468653</v>
      </c>
      <c r="AC46" s="29">
        <f t="shared" si="8"/>
        <v>1</v>
      </c>
      <c r="AD46" s="20">
        <v>727.25315441437397</v>
      </c>
      <c r="AE46" s="78">
        <f t="shared" si="9"/>
        <v>-1.3642420526593924E-12</v>
      </c>
      <c r="AF46" s="29">
        <f t="shared" si="10"/>
        <v>3</v>
      </c>
    </row>
    <row r="47" spans="1:32" ht="15" customHeight="1" x14ac:dyDescent="0.35">
      <c r="A47" s="19" t="s">
        <v>110</v>
      </c>
      <c r="B47" s="19" t="s">
        <v>112</v>
      </c>
      <c r="C47" s="19" t="s">
        <v>210</v>
      </c>
      <c r="D47" s="19" t="s">
        <v>121</v>
      </c>
      <c r="E47" s="19" t="s">
        <v>97</v>
      </c>
      <c r="F47" s="19">
        <v>2</v>
      </c>
      <c r="G47" s="19" t="s">
        <v>211</v>
      </c>
      <c r="H47" s="16">
        <v>8</v>
      </c>
      <c r="I47" s="13">
        <f>IF($G47="Base",1,INDEX(ModelOutput!$D$16:$D$26,MATCH($G47,ModelOutput!$C$16:$C$26,0)))</f>
        <v>1</v>
      </c>
      <c r="J47" s="13">
        <f>IF($A47="Non-greek",1,INDEX(ModelOutput!$D$16:$D$26,MATCH($A47,ModelOutput!$C$16:$C$26,0)))</f>
        <v>1</v>
      </c>
      <c r="K47" s="13">
        <f>IF($C47="Yes",1,INDEX(ModelOutput!$D$16:$D$26,MATCH($C47,ModelOutput!$C$16:$C$26,0)))</f>
        <v>1</v>
      </c>
      <c r="L47" s="13">
        <f>IF($D47="2.0-3.0",1,INDEX(ModelOutput!$D$16:$D$26,MATCH($D47,ModelOutput!$C$16:$C$26,0)))</f>
        <v>1.12144800201769</v>
      </c>
      <c r="M47" s="13">
        <f>IF($B47="On campus",1,INDEX(ModelOutput!$D$16:$D$26,MATCH($B47,ModelOutput!$C$16:$C$26,0)))</f>
        <v>1.9771404201318099</v>
      </c>
      <c r="N47" s="13">
        <f>IF($B47="On campus",1,INDEX(ModelOutput!$E$16:$E$26,MATCH($B47,ModelOutput!$C$16:$C$26,0)))</f>
        <v>1.9459582144513401</v>
      </c>
      <c r="O47" s="13">
        <f>IF($B47="On campus",1,INDEX(ModelOutput!$F$16:$F$26,MATCH($B47,ModelOutput!$C$16:$C$26,0)))</f>
        <v>2.5135188217196598</v>
      </c>
      <c r="P47" s="13">
        <f>IF($B47="On campus",1,INDEX(ModelOutput!$G$16:$G$26,MATCH($B47,ModelOutput!$C$16:$C$26,0)))</f>
        <v>3.16845056067557</v>
      </c>
      <c r="Q47" s="72">
        <f>INDEX(ModelOutput!$D$9:$D$11,MATCH("Tier "&amp;$F47,ModelOutput!$B$9:$B$11,0))</f>
        <v>42.8051506068728</v>
      </c>
      <c r="R47" s="72">
        <f>INDEX(ModelOutput!$E$9:$E$11,MATCH("Tier "&amp;$F47,ModelOutput!$B$9:$B$11,0))</f>
        <v>126.191618818284</v>
      </c>
      <c r="S47" s="72">
        <f>INDEX(ModelOutput!$F$9:$F$11,MATCH("Tier "&amp;$F47,ModelOutput!$B$9:$B$11,0))</f>
        <v>146.401050261042</v>
      </c>
      <c r="T47" s="72">
        <f>INDEX(ModelOutput!$G$9:$G$11,MATCH("Tier "&amp;$F47,ModelOutput!$B$9:$B$11,0))</f>
        <v>24.317895180076398</v>
      </c>
      <c r="U47" s="76">
        <f t="shared" si="0"/>
        <v>94.910155676922329</v>
      </c>
      <c r="V47" s="76">
        <f t="shared" si="1"/>
        <v>275.38682791570091</v>
      </c>
      <c r="W47" s="76">
        <f t="shared" si="2"/>
        <v>412.67244917487454</v>
      </c>
      <c r="X47" s="76">
        <f t="shared" si="3"/>
        <v>86.407623077755972</v>
      </c>
      <c r="Y47" s="27">
        <f t="shared" si="4"/>
        <v>869.37705584525372</v>
      </c>
      <c r="Z47" s="27">
        <f t="shared" si="5"/>
        <v>1455.3415358032951</v>
      </c>
      <c r="AA47" s="33">
        <f t="shared" si="6"/>
        <v>2.0411690219531042E-2</v>
      </c>
      <c r="AB47" s="14">
        <f t="shared" si="7"/>
        <v>1455.3415358032951</v>
      </c>
      <c r="AC47" s="29">
        <f t="shared" si="8"/>
        <v>1</v>
      </c>
      <c r="AD47" s="20">
        <v>869.37705584525497</v>
      </c>
      <c r="AE47" s="78">
        <f t="shared" si="9"/>
        <v>-1.2505552149377763E-12</v>
      </c>
      <c r="AF47" s="29">
        <f t="shared" si="10"/>
        <v>2</v>
      </c>
    </row>
    <row r="48" spans="1:32" ht="15" customHeight="1" x14ac:dyDescent="0.35">
      <c r="A48" s="19" t="s">
        <v>110</v>
      </c>
      <c r="B48" s="19" t="s">
        <v>112</v>
      </c>
      <c r="C48" s="19" t="s">
        <v>210</v>
      </c>
      <c r="D48" s="19" t="s">
        <v>121</v>
      </c>
      <c r="E48" s="19" t="s">
        <v>99</v>
      </c>
      <c r="F48" s="19">
        <v>3</v>
      </c>
      <c r="G48" s="19" t="s">
        <v>211</v>
      </c>
      <c r="H48" s="16">
        <v>6</v>
      </c>
      <c r="I48" s="13">
        <f>IF($G48="Base",1,INDEX(ModelOutput!$D$16:$D$26,MATCH($G48,ModelOutput!$C$16:$C$26,0)))</f>
        <v>1</v>
      </c>
      <c r="J48" s="13">
        <f>IF($A48="Non-greek",1,INDEX(ModelOutput!$D$16:$D$26,MATCH($A48,ModelOutput!$C$16:$C$26,0)))</f>
        <v>1</v>
      </c>
      <c r="K48" s="13">
        <f>IF($C48="Yes",1,INDEX(ModelOutput!$D$16:$D$26,MATCH($C48,ModelOutput!$C$16:$C$26,0)))</f>
        <v>1</v>
      </c>
      <c r="L48" s="13">
        <f>IF($D48="2.0-3.0",1,INDEX(ModelOutput!$D$16:$D$26,MATCH($D48,ModelOutput!$C$16:$C$26,0)))</f>
        <v>1.12144800201769</v>
      </c>
      <c r="M48" s="13">
        <f>IF($B48="On campus",1,INDEX(ModelOutput!$D$16:$D$26,MATCH($B48,ModelOutput!$C$16:$C$26,0)))</f>
        <v>1.9771404201318099</v>
      </c>
      <c r="N48" s="13">
        <f>IF($B48="On campus",1,INDEX(ModelOutput!$E$16:$E$26,MATCH($B48,ModelOutput!$C$16:$C$26,0)))</f>
        <v>1.9459582144513401</v>
      </c>
      <c r="O48" s="13">
        <f>IF($B48="On campus",1,INDEX(ModelOutput!$F$16:$F$26,MATCH($B48,ModelOutput!$C$16:$C$26,0)))</f>
        <v>2.5135188217196598</v>
      </c>
      <c r="P48" s="13">
        <f>IF($B48="On campus",1,INDEX(ModelOutput!$G$16:$G$26,MATCH($B48,ModelOutput!$C$16:$C$26,0)))</f>
        <v>3.16845056067557</v>
      </c>
      <c r="Q48" s="72">
        <f>INDEX(ModelOutput!$D$9:$D$11,MATCH("Tier "&amp;$F48,ModelOutput!$B$9:$B$11,0))</f>
        <v>40.009437343712797</v>
      </c>
      <c r="R48" s="72">
        <f>INDEX(ModelOutput!$E$9:$E$11,MATCH("Tier "&amp;$F48,ModelOutput!$B$9:$B$11,0))</f>
        <v>117.949723218616</v>
      </c>
      <c r="S48" s="72">
        <f>INDEX(ModelOutput!$F$9:$F$11,MATCH("Tier "&amp;$F48,ModelOutput!$B$9:$B$11,0))</f>
        <v>136.83922529015501</v>
      </c>
      <c r="T48" s="72">
        <f>INDEX(ModelOutput!$G$9:$G$11,MATCH("Tier "&amp;$F48,ModelOutput!$B$9:$B$11,0))</f>
        <v>22.729631592092201</v>
      </c>
      <c r="U48" s="76">
        <f t="shared" si="0"/>
        <v>88.711332000970842</v>
      </c>
      <c r="V48" s="76">
        <f t="shared" si="1"/>
        <v>257.40061372446115</v>
      </c>
      <c r="W48" s="76">
        <f t="shared" si="2"/>
        <v>385.71976186640489</v>
      </c>
      <c r="X48" s="76">
        <f t="shared" si="3"/>
        <v>80.764121432469594</v>
      </c>
      <c r="Y48" s="27">
        <f t="shared" si="4"/>
        <v>812.59582902430645</v>
      </c>
      <c r="Z48" s="27">
        <f t="shared" si="5"/>
        <v>1363.0108343477834</v>
      </c>
      <c r="AA48" s="33">
        <f t="shared" si="6"/>
        <v>-4.432591591178181E-2</v>
      </c>
      <c r="AB48" s="14">
        <f t="shared" si="7"/>
        <v>1363.0108343477834</v>
      </c>
      <c r="AC48" s="29">
        <f t="shared" si="8"/>
        <v>1</v>
      </c>
      <c r="AD48" s="20">
        <v>812.59582902430896</v>
      </c>
      <c r="AE48" s="78">
        <f t="shared" si="9"/>
        <v>-2.5011104298755527E-12</v>
      </c>
      <c r="AF48" s="29">
        <f t="shared" si="10"/>
        <v>1</v>
      </c>
    </row>
    <row r="49" spans="1:32" ht="15" customHeight="1" x14ac:dyDescent="0.35">
      <c r="A49" s="19" t="s">
        <v>110</v>
      </c>
      <c r="B49" s="19" t="s">
        <v>112</v>
      </c>
      <c r="C49" s="19" t="s">
        <v>210</v>
      </c>
      <c r="D49" s="19" t="s">
        <v>121</v>
      </c>
      <c r="E49" s="19" t="s">
        <v>213</v>
      </c>
      <c r="F49" s="19">
        <v>3</v>
      </c>
      <c r="G49" s="19" t="s">
        <v>107</v>
      </c>
      <c r="H49" s="16">
        <v>1</v>
      </c>
      <c r="I49" s="13">
        <f>IF($G49="Base",1,INDEX(ModelOutput!$D$16:$D$26,MATCH($G49,ModelOutput!$C$16:$C$26,0)))</f>
        <v>1.1906804269762199</v>
      </c>
      <c r="J49" s="13">
        <f>IF($A49="Non-greek",1,INDEX(ModelOutput!$D$16:$D$26,MATCH($A49,ModelOutput!$C$16:$C$26,0)))</f>
        <v>1</v>
      </c>
      <c r="K49" s="13">
        <f>IF($C49="Yes",1,INDEX(ModelOutput!$D$16:$D$26,MATCH($C49,ModelOutput!$C$16:$C$26,0)))</f>
        <v>1</v>
      </c>
      <c r="L49" s="13">
        <f>IF($D49="2.0-3.0",1,INDEX(ModelOutput!$D$16:$D$26,MATCH($D49,ModelOutput!$C$16:$C$26,0)))</f>
        <v>1.12144800201769</v>
      </c>
      <c r="M49" s="13">
        <f>IF($B49="On campus",1,INDEX(ModelOutput!$D$16:$D$26,MATCH($B49,ModelOutput!$C$16:$C$26,0)))</f>
        <v>1.9771404201318099</v>
      </c>
      <c r="N49" s="13">
        <f>IF($B49="On campus",1,INDEX(ModelOutput!$E$16:$E$26,MATCH($B49,ModelOutput!$C$16:$C$26,0)))</f>
        <v>1.9459582144513401</v>
      </c>
      <c r="O49" s="13">
        <f>IF($B49="On campus",1,INDEX(ModelOutput!$F$16:$F$26,MATCH($B49,ModelOutput!$C$16:$C$26,0)))</f>
        <v>2.5135188217196598</v>
      </c>
      <c r="P49" s="13">
        <f>IF($B49="On campus",1,INDEX(ModelOutput!$G$16:$G$26,MATCH($B49,ModelOutput!$C$16:$C$26,0)))</f>
        <v>3.16845056067557</v>
      </c>
      <c r="Q49" s="72">
        <f>INDEX(ModelOutput!$D$9:$D$11,MATCH("Tier "&amp;$F49,ModelOutput!$B$9:$B$11,0))</f>
        <v>40.009437343712797</v>
      </c>
      <c r="R49" s="72">
        <f>INDEX(ModelOutput!$E$9:$E$11,MATCH("Tier "&amp;$F49,ModelOutput!$B$9:$B$11,0))</f>
        <v>117.949723218616</v>
      </c>
      <c r="S49" s="72">
        <f>INDEX(ModelOutput!$F$9:$F$11,MATCH("Tier "&amp;$F49,ModelOutput!$B$9:$B$11,0))</f>
        <v>136.83922529015501</v>
      </c>
      <c r="T49" s="72">
        <f>INDEX(ModelOutput!$G$9:$G$11,MATCH("Tier "&amp;$F49,ModelOutput!$B$9:$B$11,0))</f>
        <v>22.729631592092201</v>
      </c>
      <c r="U49" s="76">
        <f t="shared" si="0"/>
        <v>105.62684666454516</v>
      </c>
      <c r="V49" s="76">
        <f t="shared" si="1"/>
        <v>306.48187265338237</v>
      </c>
      <c r="W49" s="76">
        <f t="shared" si="2"/>
        <v>459.26897075225691</v>
      </c>
      <c r="X49" s="76">
        <f t="shared" si="3"/>
        <v>96.164258591572164</v>
      </c>
      <c r="Y49" s="27">
        <f t="shared" si="4"/>
        <v>967.54194866175658</v>
      </c>
      <c r="Z49" s="27">
        <f t="shared" si="5"/>
        <v>1614.9653044237566</v>
      </c>
      <c r="AA49" s="33">
        <f t="shared" si="6"/>
        <v>0.13233178287827019</v>
      </c>
      <c r="AB49" s="14">
        <f t="shared" si="7"/>
        <v>1614.9653044237566</v>
      </c>
      <c r="AC49" s="29">
        <f t="shared" si="8"/>
        <v>1</v>
      </c>
      <c r="AD49" s="20">
        <v>967.54194866175999</v>
      </c>
      <c r="AE49" s="78">
        <f t="shared" si="9"/>
        <v>-3.4106051316484809E-12</v>
      </c>
      <c r="AF49" s="29">
        <f t="shared" si="10"/>
        <v>2</v>
      </c>
    </row>
    <row r="50" spans="1:32" ht="15" customHeight="1" x14ac:dyDescent="0.35">
      <c r="A50" s="37" t="s">
        <v>110</v>
      </c>
      <c r="B50" s="37" t="s">
        <v>112</v>
      </c>
      <c r="C50" s="37" t="s">
        <v>210</v>
      </c>
      <c r="D50" s="37" t="s">
        <v>123</v>
      </c>
      <c r="E50" s="37" t="s">
        <v>95</v>
      </c>
      <c r="F50" s="37">
        <v>1</v>
      </c>
      <c r="G50" s="37" t="s">
        <v>211</v>
      </c>
      <c r="H50" s="38">
        <v>28</v>
      </c>
      <c r="I50" s="39">
        <f>IF($G50="Base",1,INDEX(ModelOutput!$D$16:$D$26,MATCH($G50,ModelOutput!$C$16:$C$26,0)))</f>
        <v>1</v>
      </c>
      <c r="J50" s="39">
        <f>IF($A50="Non-greek",1,INDEX(ModelOutput!$D$16:$D$26,MATCH($A50,ModelOutput!$C$16:$C$26,0)))</f>
        <v>1</v>
      </c>
      <c r="K50" s="39">
        <f>IF($C50="Yes",1,INDEX(ModelOutput!$D$16:$D$26,MATCH($C50,ModelOutput!$C$16:$C$26,0)))</f>
        <v>1</v>
      </c>
      <c r="L50" s="39">
        <f>IF($D50="2.0-3.0",1,INDEX(ModelOutput!$D$16:$D$26,MATCH($D50,ModelOutput!$C$16:$C$26,0)))</f>
        <v>1.01762556011242</v>
      </c>
      <c r="M50" s="39">
        <f>IF($B50="On campus",1,INDEX(ModelOutput!$D$16:$D$26,MATCH($B50,ModelOutput!$C$16:$C$26,0)))</f>
        <v>1.9771404201318099</v>
      </c>
      <c r="N50" s="39">
        <f>IF($B50="On campus",1,INDEX(ModelOutput!$E$16:$E$26,MATCH($B50,ModelOutput!$C$16:$C$26,0)))</f>
        <v>1.9459582144513401</v>
      </c>
      <c r="O50" s="39">
        <f>IF($B50="On campus",1,INDEX(ModelOutput!$F$16:$F$26,MATCH($B50,ModelOutput!$C$16:$C$26,0)))</f>
        <v>2.5135188217196598</v>
      </c>
      <c r="P50" s="39">
        <f>IF($B50="On campus",1,INDEX(ModelOutput!$G$16:$G$26,MATCH($B50,ModelOutput!$C$16:$C$26,0)))</f>
        <v>3.16845056067557</v>
      </c>
      <c r="Q50" s="73">
        <f>INDEX(ModelOutput!$D$9:$D$11,MATCH("Tier "&amp;$F50,ModelOutput!$B$9:$B$11,0))</f>
        <v>36.175496869914397</v>
      </c>
      <c r="R50" s="73">
        <f>INDEX(ModelOutput!$E$9:$E$11,MATCH("Tier "&amp;$F50,ModelOutput!$B$9:$B$11,0))</f>
        <v>106.647084447761</v>
      </c>
      <c r="S50" s="73">
        <f>INDEX(ModelOutput!$F$9:$F$11,MATCH("Tier "&amp;$F50,ModelOutput!$B$9:$B$11,0))</f>
        <v>123.726482920496</v>
      </c>
      <c r="T50" s="73">
        <f>INDEX(ModelOutput!$G$9:$G$11,MATCH("Tier "&amp;$F50,ModelOutput!$B$9:$B$11,0))</f>
        <v>20.551544113210401</v>
      </c>
      <c r="U50" s="77">
        <f t="shared" si="0"/>
        <v>72.784688294893542</v>
      </c>
      <c r="V50" s="77">
        <f t="shared" si="1"/>
        <v>211.18861609071877</v>
      </c>
      <c r="W50" s="77">
        <f t="shared" si="2"/>
        <v>316.47019612240445</v>
      </c>
      <c r="X50" s="77">
        <f t="shared" si="3"/>
        <v>66.264267160467341</v>
      </c>
      <c r="Y50" s="30">
        <f t="shared" si="4"/>
        <v>666.70776766848417</v>
      </c>
      <c r="Z50" s="30">
        <f t="shared" si="5"/>
        <v>1125.7854732008034</v>
      </c>
      <c r="AA50" s="41">
        <f t="shared" si="6"/>
        <v>-0.21065631037641597</v>
      </c>
      <c r="AB50" s="40">
        <f t="shared" si="7"/>
        <v>1125.7854732008034</v>
      </c>
      <c r="AC50" s="42">
        <f t="shared" si="8"/>
        <v>1</v>
      </c>
      <c r="AD50" s="43">
        <v>666.70776766848303</v>
      </c>
      <c r="AE50" s="79">
        <f t="shared" si="9"/>
        <v>1.1368683772161603E-12</v>
      </c>
      <c r="AF50" s="29">
        <f t="shared" si="10"/>
        <v>4</v>
      </c>
    </row>
    <row r="51" spans="1:32" ht="15" customHeight="1" x14ac:dyDescent="0.35">
      <c r="A51" s="37" t="s">
        <v>110</v>
      </c>
      <c r="B51" s="37" t="s">
        <v>112</v>
      </c>
      <c r="C51" s="37" t="s">
        <v>210</v>
      </c>
      <c r="D51" s="37" t="s">
        <v>123</v>
      </c>
      <c r="E51" s="37" t="s">
        <v>105</v>
      </c>
      <c r="F51" s="37">
        <v>1</v>
      </c>
      <c r="G51" s="37" t="s">
        <v>105</v>
      </c>
      <c r="H51" s="38">
        <v>26</v>
      </c>
      <c r="I51" s="39">
        <f>IF($G51="Base",1,INDEX(ModelOutput!$D$16:$D$26,MATCH($G51,ModelOutput!$C$16:$C$26,0)))</f>
        <v>0.98982624281990295</v>
      </c>
      <c r="J51" s="39">
        <f>IF($A51="Non-greek",1,INDEX(ModelOutput!$D$16:$D$26,MATCH($A51,ModelOutput!$C$16:$C$26,0)))</f>
        <v>1</v>
      </c>
      <c r="K51" s="39">
        <f>IF($C51="Yes",1,INDEX(ModelOutput!$D$16:$D$26,MATCH($C51,ModelOutput!$C$16:$C$26,0)))</f>
        <v>1</v>
      </c>
      <c r="L51" s="39">
        <f>IF($D51="2.0-3.0",1,INDEX(ModelOutput!$D$16:$D$26,MATCH($D51,ModelOutput!$C$16:$C$26,0)))</f>
        <v>1.01762556011242</v>
      </c>
      <c r="M51" s="39">
        <f>IF($B51="On campus",1,INDEX(ModelOutput!$D$16:$D$26,MATCH($B51,ModelOutput!$C$16:$C$26,0)))</f>
        <v>1.9771404201318099</v>
      </c>
      <c r="N51" s="39">
        <f>IF($B51="On campus",1,INDEX(ModelOutput!$E$16:$E$26,MATCH($B51,ModelOutput!$C$16:$C$26,0)))</f>
        <v>1.9459582144513401</v>
      </c>
      <c r="O51" s="39">
        <f>IF($B51="On campus",1,INDEX(ModelOutput!$F$16:$F$26,MATCH($B51,ModelOutput!$C$16:$C$26,0)))</f>
        <v>2.5135188217196598</v>
      </c>
      <c r="P51" s="39">
        <f>IF($B51="On campus",1,INDEX(ModelOutput!$G$16:$G$26,MATCH($B51,ModelOutput!$C$16:$C$26,0)))</f>
        <v>3.16845056067557</v>
      </c>
      <c r="Q51" s="73">
        <f>INDEX(ModelOutput!$D$9:$D$11,MATCH("Tier "&amp;$F51,ModelOutput!$B$9:$B$11,0))</f>
        <v>36.175496869914397</v>
      </c>
      <c r="R51" s="73">
        <f>INDEX(ModelOutput!$E$9:$E$11,MATCH("Tier "&amp;$F51,ModelOutput!$B$9:$B$11,0))</f>
        <v>106.647084447761</v>
      </c>
      <c r="S51" s="73">
        <f>INDEX(ModelOutput!$F$9:$F$11,MATCH("Tier "&amp;$F51,ModelOutput!$B$9:$B$11,0))</f>
        <v>123.726482920496</v>
      </c>
      <c r="T51" s="73">
        <f>INDEX(ModelOutput!$G$9:$G$11,MATCH("Tier "&amp;$F51,ModelOutput!$B$9:$B$11,0))</f>
        <v>20.551544113210401</v>
      </c>
      <c r="U51" s="77">
        <f t="shared" si="0"/>
        <v>72.044194549752262</v>
      </c>
      <c r="V51" s="77">
        <f t="shared" si="1"/>
        <v>209.04003439141107</v>
      </c>
      <c r="W51" s="77">
        <f t="shared" si="2"/>
        <v>313.25050519231741</v>
      </c>
      <c r="X51" s="77">
        <f t="shared" si="3"/>
        <v>65.590110596659656</v>
      </c>
      <c r="Y51" s="30">
        <f t="shared" si="4"/>
        <v>659.92484473014042</v>
      </c>
      <c r="Z51" s="30">
        <f t="shared" si="5"/>
        <v>1114.7559117087485</v>
      </c>
      <c r="AA51" s="41">
        <f t="shared" si="6"/>
        <v>-0.2183896796286553</v>
      </c>
      <c r="AB51" s="40">
        <f t="shared" si="7"/>
        <v>1114.7559117087485</v>
      </c>
      <c r="AC51" s="42">
        <f t="shared" si="8"/>
        <v>1</v>
      </c>
      <c r="AD51" s="43">
        <v>659.92484473013997</v>
      </c>
      <c r="AE51" s="79">
        <f t="shared" si="9"/>
        <v>0</v>
      </c>
      <c r="AF51" s="29">
        <f t="shared" si="10"/>
        <v>3</v>
      </c>
    </row>
    <row r="52" spans="1:32" ht="15" customHeight="1" x14ac:dyDescent="0.35">
      <c r="A52" s="37" t="s">
        <v>110</v>
      </c>
      <c r="B52" s="37" t="s">
        <v>112</v>
      </c>
      <c r="C52" s="37" t="s">
        <v>210</v>
      </c>
      <c r="D52" s="37" t="s">
        <v>123</v>
      </c>
      <c r="E52" s="37" t="s">
        <v>97</v>
      </c>
      <c r="F52" s="37">
        <v>2</v>
      </c>
      <c r="G52" s="37" t="s">
        <v>211</v>
      </c>
      <c r="H52" s="38">
        <v>30</v>
      </c>
      <c r="I52" s="39">
        <f>IF($G52="Base",1,INDEX(ModelOutput!$D$16:$D$26,MATCH($G52,ModelOutput!$C$16:$C$26,0)))</f>
        <v>1</v>
      </c>
      <c r="J52" s="39">
        <f>IF($A52="Non-greek",1,INDEX(ModelOutput!$D$16:$D$26,MATCH($A52,ModelOutput!$C$16:$C$26,0)))</f>
        <v>1</v>
      </c>
      <c r="K52" s="39">
        <f>IF($C52="Yes",1,INDEX(ModelOutput!$D$16:$D$26,MATCH($C52,ModelOutput!$C$16:$C$26,0)))</f>
        <v>1</v>
      </c>
      <c r="L52" s="39">
        <f>IF($D52="2.0-3.0",1,INDEX(ModelOutput!$D$16:$D$26,MATCH($D52,ModelOutput!$C$16:$C$26,0)))</f>
        <v>1.01762556011242</v>
      </c>
      <c r="M52" s="39">
        <f>IF($B52="On campus",1,INDEX(ModelOutput!$D$16:$D$26,MATCH($B52,ModelOutput!$C$16:$C$26,0)))</f>
        <v>1.9771404201318099</v>
      </c>
      <c r="N52" s="39">
        <f>IF($B52="On campus",1,INDEX(ModelOutput!$E$16:$E$26,MATCH($B52,ModelOutput!$C$16:$C$26,0)))</f>
        <v>1.9459582144513401</v>
      </c>
      <c r="O52" s="39">
        <f>IF($B52="On campus",1,INDEX(ModelOutput!$F$16:$F$26,MATCH($B52,ModelOutput!$C$16:$C$26,0)))</f>
        <v>2.5135188217196598</v>
      </c>
      <c r="P52" s="39">
        <f>IF($B52="On campus",1,INDEX(ModelOutput!$G$16:$G$26,MATCH($B52,ModelOutput!$C$16:$C$26,0)))</f>
        <v>3.16845056067557</v>
      </c>
      <c r="Q52" s="73">
        <f>INDEX(ModelOutput!$D$9:$D$11,MATCH("Tier "&amp;$F52,ModelOutput!$B$9:$B$11,0))</f>
        <v>42.8051506068728</v>
      </c>
      <c r="R52" s="73">
        <f>INDEX(ModelOutput!$E$9:$E$11,MATCH("Tier "&amp;$F52,ModelOutput!$B$9:$B$11,0))</f>
        <v>126.191618818284</v>
      </c>
      <c r="S52" s="73">
        <f>INDEX(ModelOutput!$F$9:$F$11,MATCH("Tier "&amp;$F52,ModelOutput!$B$9:$B$11,0))</f>
        <v>146.401050261042</v>
      </c>
      <c r="T52" s="73">
        <f>INDEX(ModelOutput!$G$9:$G$11,MATCH("Tier "&amp;$F52,ModelOutput!$B$9:$B$11,0))</f>
        <v>24.317895180076398</v>
      </c>
      <c r="U52" s="77">
        <f t="shared" si="0"/>
        <v>86.123476217635229</v>
      </c>
      <c r="V52" s="77">
        <f t="shared" si="1"/>
        <v>249.89181353133941</v>
      </c>
      <c r="W52" s="77">
        <f t="shared" si="2"/>
        <v>374.46768060488415</v>
      </c>
      <c r="X52" s="77">
        <f t="shared" si="3"/>
        <v>78.408098881340067</v>
      </c>
      <c r="Y52" s="30">
        <f t="shared" si="4"/>
        <v>788.89106923519876</v>
      </c>
      <c r="Z52" s="30">
        <f t="shared" si="5"/>
        <v>1324.4650469158837</v>
      </c>
      <c r="AA52" s="41">
        <f t="shared" si="6"/>
        <v>-7.1352267552681981E-2</v>
      </c>
      <c r="AB52" s="40">
        <f t="shared" si="7"/>
        <v>1324.4650469158837</v>
      </c>
      <c r="AC52" s="42">
        <f t="shared" si="8"/>
        <v>1</v>
      </c>
      <c r="AD52" s="43">
        <v>788.89106923519898</v>
      </c>
      <c r="AE52" s="79">
        <f t="shared" si="9"/>
        <v>0</v>
      </c>
      <c r="AF52" s="29">
        <f t="shared" si="10"/>
        <v>2</v>
      </c>
    </row>
    <row r="53" spans="1:32" ht="15" customHeight="1" x14ac:dyDescent="0.35">
      <c r="A53" s="37" t="s">
        <v>110</v>
      </c>
      <c r="B53" s="37" t="s">
        <v>112</v>
      </c>
      <c r="C53" s="37" t="s">
        <v>210</v>
      </c>
      <c r="D53" s="37" t="s">
        <v>123</v>
      </c>
      <c r="E53" s="37" t="s">
        <v>99</v>
      </c>
      <c r="F53" s="37">
        <v>3</v>
      </c>
      <c r="G53" s="37" t="s">
        <v>211</v>
      </c>
      <c r="H53" s="38">
        <v>32</v>
      </c>
      <c r="I53" s="39">
        <f>IF($G53="Base",1,INDEX(ModelOutput!$D$16:$D$26,MATCH($G53,ModelOutput!$C$16:$C$26,0)))</f>
        <v>1</v>
      </c>
      <c r="J53" s="39">
        <f>IF($A53="Non-greek",1,INDEX(ModelOutput!$D$16:$D$26,MATCH($A53,ModelOutput!$C$16:$C$26,0)))</f>
        <v>1</v>
      </c>
      <c r="K53" s="39">
        <f>IF($C53="Yes",1,INDEX(ModelOutput!$D$16:$D$26,MATCH($C53,ModelOutput!$C$16:$C$26,0)))</f>
        <v>1</v>
      </c>
      <c r="L53" s="39">
        <f>IF($D53="2.0-3.0",1,INDEX(ModelOutput!$D$16:$D$26,MATCH($D53,ModelOutput!$C$16:$C$26,0)))</f>
        <v>1.01762556011242</v>
      </c>
      <c r="M53" s="39">
        <f>IF($B53="On campus",1,INDEX(ModelOutput!$D$16:$D$26,MATCH($B53,ModelOutput!$C$16:$C$26,0)))</f>
        <v>1.9771404201318099</v>
      </c>
      <c r="N53" s="39">
        <f>IF($B53="On campus",1,INDEX(ModelOutput!$E$16:$E$26,MATCH($B53,ModelOutput!$C$16:$C$26,0)))</f>
        <v>1.9459582144513401</v>
      </c>
      <c r="O53" s="39">
        <f>IF($B53="On campus",1,INDEX(ModelOutput!$F$16:$F$26,MATCH($B53,ModelOutput!$C$16:$C$26,0)))</f>
        <v>2.5135188217196598</v>
      </c>
      <c r="P53" s="39">
        <f>IF($B53="On campus",1,INDEX(ModelOutput!$G$16:$G$26,MATCH($B53,ModelOutput!$C$16:$C$26,0)))</f>
        <v>3.16845056067557</v>
      </c>
      <c r="Q53" s="73">
        <f>INDEX(ModelOutput!$D$9:$D$11,MATCH("Tier "&amp;$F53,ModelOutput!$B$9:$B$11,0))</f>
        <v>40.009437343712797</v>
      </c>
      <c r="R53" s="73">
        <f>INDEX(ModelOutput!$E$9:$E$11,MATCH("Tier "&amp;$F53,ModelOutput!$B$9:$B$11,0))</f>
        <v>117.949723218616</v>
      </c>
      <c r="S53" s="73">
        <f>INDEX(ModelOutput!$F$9:$F$11,MATCH("Tier "&amp;$F53,ModelOutput!$B$9:$B$11,0))</f>
        <v>136.83922529015501</v>
      </c>
      <c r="T53" s="73">
        <f>INDEX(ModelOutput!$G$9:$G$11,MATCH("Tier "&amp;$F53,ModelOutput!$B$9:$B$11,0))</f>
        <v>22.729631592092201</v>
      </c>
      <c r="U53" s="77">
        <f t="shared" si="0"/>
        <v>80.498532926525087</v>
      </c>
      <c r="V53" s="77">
        <f t="shared" si="1"/>
        <v>233.57074357737679</v>
      </c>
      <c r="W53" s="77">
        <f t="shared" si="2"/>
        <v>350.0102439074459</v>
      </c>
      <c r="X53" s="77">
        <f t="shared" si="3"/>
        <v>73.28706650850846</v>
      </c>
      <c r="Y53" s="30">
        <f t="shared" si="4"/>
        <v>737.36658691985622</v>
      </c>
      <c r="Z53" s="30">
        <f t="shared" si="5"/>
        <v>1240.6822218404545</v>
      </c>
      <c r="AA53" s="41">
        <f t="shared" si="6"/>
        <v>-0.13009653619571016</v>
      </c>
      <c r="AB53" s="40">
        <f t="shared" si="7"/>
        <v>1240.6822218404545</v>
      </c>
      <c r="AC53" s="42">
        <f t="shared" si="8"/>
        <v>1</v>
      </c>
      <c r="AD53" s="43">
        <v>737.36658691985804</v>
      </c>
      <c r="AE53" s="79">
        <f t="shared" si="9"/>
        <v>-1.8189894035458565E-12</v>
      </c>
      <c r="AF53" s="29">
        <f t="shared" si="10"/>
        <v>1</v>
      </c>
    </row>
    <row r="54" spans="1:32" ht="15" customHeight="1" x14ac:dyDescent="0.35">
      <c r="A54" s="37" t="s">
        <v>110</v>
      </c>
      <c r="B54" s="37" t="s">
        <v>112</v>
      </c>
      <c r="C54" s="37" t="s">
        <v>210</v>
      </c>
      <c r="D54" s="37" t="s">
        <v>123</v>
      </c>
      <c r="E54" s="37" t="s">
        <v>213</v>
      </c>
      <c r="F54" s="37">
        <v>3</v>
      </c>
      <c r="G54" s="37" t="s">
        <v>107</v>
      </c>
      <c r="H54" s="38">
        <v>8</v>
      </c>
      <c r="I54" s="39">
        <f>IF($G54="Base",1,INDEX(ModelOutput!$D$16:$D$26,MATCH($G54,ModelOutput!$C$16:$C$26,0)))</f>
        <v>1.1906804269762199</v>
      </c>
      <c r="J54" s="39">
        <f>IF($A54="Non-greek",1,INDEX(ModelOutput!$D$16:$D$26,MATCH($A54,ModelOutput!$C$16:$C$26,0)))</f>
        <v>1</v>
      </c>
      <c r="K54" s="39">
        <f>IF($C54="Yes",1,INDEX(ModelOutput!$D$16:$D$26,MATCH($C54,ModelOutput!$C$16:$C$26,0)))</f>
        <v>1</v>
      </c>
      <c r="L54" s="39">
        <f>IF($D54="2.0-3.0",1,INDEX(ModelOutput!$D$16:$D$26,MATCH($D54,ModelOutput!$C$16:$C$26,0)))</f>
        <v>1.01762556011242</v>
      </c>
      <c r="M54" s="39">
        <f>IF($B54="On campus",1,INDEX(ModelOutput!$D$16:$D$26,MATCH($B54,ModelOutput!$C$16:$C$26,0)))</f>
        <v>1.9771404201318099</v>
      </c>
      <c r="N54" s="39">
        <f>IF($B54="On campus",1,INDEX(ModelOutput!$E$16:$E$26,MATCH($B54,ModelOutput!$C$16:$C$26,0)))</f>
        <v>1.9459582144513401</v>
      </c>
      <c r="O54" s="39">
        <f>IF($B54="On campus",1,INDEX(ModelOutput!$F$16:$F$26,MATCH($B54,ModelOutput!$C$16:$C$26,0)))</f>
        <v>2.5135188217196598</v>
      </c>
      <c r="P54" s="39">
        <f>IF($B54="On campus",1,INDEX(ModelOutput!$G$16:$G$26,MATCH($B54,ModelOutput!$C$16:$C$26,0)))</f>
        <v>3.16845056067557</v>
      </c>
      <c r="Q54" s="73">
        <f>INDEX(ModelOutput!$D$9:$D$11,MATCH("Tier "&amp;$F54,ModelOutput!$B$9:$B$11,0))</f>
        <v>40.009437343712797</v>
      </c>
      <c r="R54" s="73">
        <f>INDEX(ModelOutput!$E$9:$E$11,MATCH("Tier "&amp;$F54,ModelOutput!$B$9:$B$11,0))</f>
        <v>117.949723218616</v>
      </c>
      <c r="S54" s="73">
        <f>INDEX(ModelOutput!$F$9:$F$11,MATCH("Tier "&amp;$F54,ModelOutput!$B$9:$B$11,0))</f>
        <v>136.83922529015501</v>
      </c>
      <c r="T54" s="73">
        <f>INDEX(ModelOutput!$G$9:$G$11,MATCH("Tier "&amp;$F54,ModelOutput!$B$9:$B$11,0))</f>
        <v>22.729631592092201</v>
      </c>
      <c r="U54" s="77">
        <f t="shared" si="0"/>
        <v>95.848027555914186</v>
      </c>
      <c r="V54" s="77">
        <f t="shared" si="1"/>
        <v>278.10811269186416</v>
      </c>
      <c r="W54" s="77">
        <f t="shared" si="2"/>
        <v>416.75034666176856</v>
      </c>
      <c r="X54" s="77">
        <f t="shared" si="3"/>
        <v>87.261475642185474</v>
      </c>
      <c r="Y54" s="30">
        <f t="shared" si="4"/>
        <v>877.9679625517324</v>
      </c>
      <c r="Z54" s="30">
        <f t="shared" si="5"/>
        <v>1469.3110198521219</v>
      </c>
      <c r="AA54" s="41">
        <f t="shared" si="6"/>
        <v>3.020638409658738E-2</v>
      </c>
      <c r="AB54" s="40">
        <f t="shared" si="7"/>
        <v>1469.3110198521219</v>
      </c>
      <c r="AC54" s="42">
        <f t="shared" si="8"/>
        <v>1</v>
      </c>
      <c r="AD54" s="43">
        <v>877.96796255173399</v>
      </c>
      <c r="AE54" s="79">
        <f t="shared" si="9"/>
        <v>-1.5916157281026244E-12</v>
      </c>
      <c r="AF54" s="29">
        <f t="shared" si="10"/>
        <v>2</v>
      </c>
    </row>
    <row r="55" spans="1:32" ht="15" customHeight="1" x14ac:dyDescent="0.35">
      <c r="A55" s="19" t="s">
        <v>110</v>
      </c>
      <c r="B55" s="19" t="s">
        <v>112</v>
      </c>
      <c r="C55" s="19" t="s">
        <v>210</v>
      </c>
      <c r="D55" s="19" t="s">
        <v>122</v>
      </c>
      <c r="E55" s="19" t="s">
        <v>95</v>
      </c>
      <c r="F55" s="19">
        <v>1</v>
      </c>
      <c r="G55" s="19" t="s">
        <v>211</v>
      </c>
      <c r="H55" s="16">
        <v>39</v>
      </c>
      <c r="I55" s="13">
        <f>IF($G55="Base",1,INDEX(ModelOutput!$D$16:$D$26,MATCH($G55,ModelOutput!$C$16:$C$26,0)))</f>
        <v>1</v>
      </c>
      <c r="J55" s="13">
        <f>IF($A55="Non-greek",1,INDEX(ModelOutput!$D$16:$D$26,MATCH($A55,ModelOutput!$C$16:$C$26,0)))</f>
        <v>1</v>
      </c>
      <c r="K55" s="13">
        <f>IF($C55="Yes",1,INDEX(ModelOutput!$D$16:$D$26,MATCH($C55,ModelOutput!$C$16:$C$26,0)))</f>
        <v>1</v>
      </c>
      <c r="L55" s="13">
        <f>IF($D55="2.0-3.0",1,INDEX(ModelOutput!$D$16:$D$26,MATCH($D55,ModelOutput!$C$16:$C$26,0)))</f>
        <v>1</v>
      </c>
      <c r="M55" s="13">
        <f>IF($B55="On campus",1,INDEX(ModelOutput!$D$16:$D$26,MATCH($B55,ModelOutput!$C$16:$C$26,0)))</f>
        <v>1.9771404201318099</v>
      </c>
      <c r="N55" s="13">
        <f>IF($B55="On campus",1,INDEX(ModelOutput!$E$16:$E$26,MATCH($B55,ModelOutput!$C$16:$C$26,0)))</f>
        <v>1.9459582144513401</v>
      </c>
      <c r="O55" s="13">
        <f>IF($B55="On campus",1,INDEX(ModelOutput!$F$16:$F$26,MATCH($B55,ModelOutput!$C$16:$C$26,0)))</f>
        <v>2.5135188217196598</v>
      </c>
      <c r="P55" s="13">
        <f>IF($B55="On campus",1,INDEX(ModelOutput!$G$16:$G$26,MATCH($B55,ModelOutput!$C$16:$C$26,0)))</f>
        <v>3.16845056067557</v>
      </c>
      <c r="Q55" s="72">
        <f>INDEX(ModelOutput!$D$9:$D$11,MATCH("Tier "&amp;$F55,ModelOutput!$B$9:$B$11,0))</f>
        <v>36.175496869914397</v>
      </c>
      <c r="R55" s="72">
        <f>INDEX(ModelOutput!$E$9:$E$11,MATCH("Tier "&amp;$F55,ModelOutput!$B$9:$B$11,0))</f>
        <v>106.647084447761</v>
      </c>
      <c r="S55" s="72">
        <f>INDEX(ModelOutput!$F$9:$F$11,MATCH("Tier "&amp;$F55,ModelOutput!$B$9:$B$11,0))</f>
        <v>123.726482920496</v>
      </c>
      <c r="T55" s="72">
        <f>INDEX(ModelOutput!$G$9:$G$11,MATCH("Tier "&amp;$F55,ModelOutput!$B$9:$B$11,0))</f>
        <v>20.551544113210401</v>
      </c>
      <c r="U55" s="76">
        <f t="shared" si="0"/>
        <v>71.524037079859525</v>
      </c>
      <c r="V55" s="76">
        <f t="shared" si="1"/>
        <v>207.53077002840629</v>
      </c>
      <c r="W55" s="76">
        <f t="shared" si="2"/>
        <v>310.98884356584273</v>
      </c>
      <c r="X55" s="76">
        <f t="shared" si="3"/>
        <v>65.116551468250208</v>
      </c>
      <c r="Y55" s="27">
        <f t="shared" si="4"/>
        <v>655.1602021423588</v>
      </c>
      <c r="Z55" s="27">
        <f t="shared" si="5"/>
        <v>1107.0082314111403</v>
      </c>
      <c r="AA55" s="33">
        <f t="shared" si="6"/>
        <v>-0.22382196019872724</v>
      </c>
      <c r="AB55" s="14">
        <f t="shared" si="7"/>
        <v>1107.0082314111403</v>
      </c>
      <c r="AC55" s="29">
        <f t="shared" si="8"/>
        <v>1</v>
      </c>
      <c r="AD55" s="20">
        <v>655.16020214235698</v>
      </c>
      <c r="AE55" s="78">
        <f t="shared" si="9"/>
        <v>1.8189894035458565E-12</v>
      </c>
      <c r="AF55" s="29">
        <f t="shared" si="10"/>
        <v>4</v>
      </c>
    </row>
    <row r="56" spans="1:32" ht="15" customHeight="1" x14ac:dyDescent="0.35">
      <c r="A56" s="19" t="s">
        <v>110</v>
      </c>
      <c r="B56" s="19" t="s">
        <v>112</v>
      </c>
      <c r="C56" s="19" t="s">
        <v>210</v>
      </c>
      <c r="D56" s="19" t="s">
        <v>122</v>
      </c>
      <c r="E56" s="19" t="s">
        <v>105</v>
      </c>
      <c r="F56" s="19">
        <v>1</v>
      </c>
      <c r="G56" s="19" t="s">
        <v>105</v>
      </c>
      <c r="H56" s="16">
        <v>42</v>
      </c>
      <c r="I56" s="13">
        <f>IF($G56="Base",1,INDEX(ModelOutput!$D$16:$D$26,MATCH($G56,ModelOutput!$C$16:$C$26,0)))</f>
        <v>0.98982624281990295</v>
      </c>
      <c r="J56" s="13">
        <f>IF($A56="Non-greek",1,INDEX(ModelOutput!$D$16:$D$26,MATCH($A56,ModelOutput!$C$16:$C$26,0)))</f>
        <v>1</v>
      </c>
      <c r="K56" s="13">
        <f>IF($C56="Yes",1,INDEX(ModelOutput!$D$16:$D$26,MATCH($C56,ModelOutput!$C$16:$C$26,0)))</f>
        <v>1</v>
      </c>
      <c r="L56" s="13">
        <f>IF($D56="2.0-3.0",1,INDEX(ModelOutput!$D$16:$D$26,MATCH($D56,ModelOutput!$C$16:$C$26,0)))</f>
        <v>1</v>
      </c>
      <c r="M56" s="13">
        <f>IF($B56="On campus",1,INDEX(ModelOutput!$D$16:$D$26,MATCH($B56,ModelOutput!$C$16:$C$26,0)))</f>
        <v>1.9771404201318099</v>
      </c>
      <c r="N56" s="13">
        <f>IF($B56="On campus",1,INDEX(ModelOutput!$E$16:$E$26,MATCH($B56,ModelOutput!$C$16:$C$26,0)))</f>
        <v>1.9459582144513401</v>
      </c>
      <c r="O56" s="13">
        <f>IF($B56="On campus",1,INDEX(ModelOutput!$F$16:$F$26,MATCH($B56,ModelOutput!$C$16:$C$26,0)))</f>
        <v>2.5135188217196598</v>
      </c>
      <c r="P56" s="13">
        <f>IF($B56="On campus",1,INDEX(ModelOutput!$G$16:$G$26,MATCH($B56,ModelOutput!$C$16:$C$26,0)))</f>
        <v>3.16845056067557</v>
      </c>
      <c r="Q56" s="72">
        <f>INDEX(ModelOutput!$D$9:$D$11,MATCH("Tier "&amp;$F56,ModelOutput!$B$9:$B$11,0))</f>
        <v>36.175496869914397</v>
      </c>
      <c r="R56" s="72">
        <f>INDEX(ModelOutput!$E$9:$E$11,MATCH("Tier "&amp;$F56,ModelOutput!$B$9:$B$11,0))</f>
        <v>106.647084447761</v>
      </c>
      <c r="S56" s="72">
        <f>INDEX(ModelOutput!$F$9:$F$11,MATCH("Tier "&amp;$F56,ModelOutput!$B$9:$B$11,0))</f>
        <v>123.726482920496</v>
      </c>
      <c r="T56" s="72">
        <f>INDEX(ModelOutput!$G$9:$G$11,MATCH("Tier "&amp;$F56,ModelOutput!$B$9:$B$11,0))</f>
        <v>20.551544113210401</v>
      </c>
      <c r="U56" s="76">
        <f t="shared" si="0"/>
        <v>70.796368894068777</v>
      </c>
      <c r="V56" s="76">
        <f t="shared" si="1"/>
        <v>205.41940236673872</v>
      </c>
      <c r="W56" s="76">
        <f t="shared" si="2"/>
        <v>307.8249185856846</v>
      </c>
      <c r="X56" s="76">
        <f t="shared" si="3"/>
        <v>64.454071485206924</v>
      </c>
      <c r="Y56" s="27">
        <f t="shared" si="4"/>
        <v>648.49476133169901</v>
      </c>
      <c r="Z56" s="27">
        <f t="shared" si="5"/>
        <v>1096.1697050175651</v>
      </c>
      <c r="AA56" s="33">
        <f t="shared" si="6"/>
        <v>-0.23142138532655643</v>
      </c>
      <c r="AB56" s="14">
        <f t="shared" si="7"/>
        <v>1096.1697050175651</v>
      </c>
      <c r="AC56" s="29">
        <f t="shared" si="8"/>
        <v>1</v>
      </c>
      <c r="AD56" s="20">
        <v>648.49476133169799</v>
      </c>
      <c r="AE56" s="78">
        <f t="shared" si="9"/>
        <v>1.0231815394945443E-12</v>
      </c>
      <c r="AF56" s="29">
        <f t="shared" si="10"/>
        <v>3</v>
      </c>
    </row>
    <row r="57" spans="1:32" ht="15" customHeight="1" x14ac:dyDescent="0.35">
      <c r="A57" s="19" t="s">
        <v>110</v>
      </c>
      <c r="B57" s="19" t="s">
        <v>112</v>
      </c>
      <c r="C57" s="19" t="s">
        <v>210</v>
      </c>
      <c r="D57" s="19" t="s">
        <v>122</v>
      </c>
      <c r="E57" s="19" t="s">
        <v>97</v>
      </c>
      <c r="F57" s="19">
        <v>2</v>
      </c>
      <c r="G57" s="19" t="s">
        <v>211</v>
      </c>
      <c r="H57" s="16">
        <v>45</v>
      </c>
      <c r="I57" s="13">
        <f>IF($G57="Base",1,INDEX(ModelOutput!$D$16:$D$26,MATCH($G57,ModelOutput!$C$16:$C$26,0)))</f>
        <v>1</v>
      </c>
      <c r="J57" s="13">
        <f>IF($A57="Non-greek",1,INDEX(ModelOutput!$D$16:$D$26,MATCH($A57,ModelOutput!$C$16:$C$26,0)))</f>
        <v>1</v>
      </c>
      <c r="K57" s="13">
        <f>IF($C57="Yes",1,INDEX(ModelOutput!$D$16:$D$26,MATCH($C57,ModelOutput!$C$16:$C$26,0)))</f>
        <v>1</v>
      </c>
      <c r="L57" s="13">
        <f>IF($D57="2.0-3.0",1,INDEX(ModelOutput!$D$16:$D$26,MATCH($D57,ModelOutput!$C$16:$C$26,0)))</f>
        <v>1</v>
      </c>
      <c r="M57" s="13">
        <f>IF($B57="On campus",1,INDEX(ModelOutput!$D$16:$D$26,MATCH($B57,ModelOutput!$C$16:$C$26,0)))</f>
        <v>1.9771404201318099</v>
      </c>
      <c r="N57" s="13">
        <f>IF($B57="On campus",1,INDEX(ModelOutput!$E$16:$E$26,MATCH($B57,ModelOutput!$C$16:$C$26,0)))</f>
        <v>1.9459582144513401</v>
      </c>
      <c r="O57" s="13">
        <f>IF($B57="On campus",1,INDEX(ModelOutput!$F$16:$F$26,MATCH($B57,ModelOutput!$C$16:$C$26,0)))</f>
        <v>2.5135188217196598</v>
      </c>
      <c r="P57" s="13">
        <f>IF($B57="On campus",1,INDEX(ModelOutput!$G$16:$G$26,MATCH($B57,ModelOutput!$C$16:$C$26,0)))</f>
        <v>3.16845056067557</v>
      </c>
      <c r="Q57" s="72">
        <f>INDEX(ModelOutput!$D$9:$D$11,MATCH("Tier "&amp;$F57,ModelOutput!$B$9:$B$11,0))</f>
        <v>42.8051506068728</v>
      </c>
      <c r="R57" s="72">
        <f>INDEX(ModelOutput!$E$9:$E$11,MATCH("Tier "&amp;$F57,ModelOutput!$B$9:$B$11,0))</f>
        <v>126.191618818284</v>
      </c>
      <c r="S57" s="72">
        <f>INDEX(ModelOutput!$F$9:$F$11,MATCH("Tier "&amp;$F57,ModelOutput!$B$9:$B$11,0))</f>
        <v>146.401050261042</v>
      </c>
      <c r="T57" s="72">
        <f>INDEX(ModelOutput!$G$9:$G$11,MATCH("Tier "&amp;$F57,ModelOutput!$B$9:$B$11,0))</f>
        <v>24.317895180076398</v>
      </c>
      <c r="U57" s="76">
        <f t="shared" si="0"/>
        <v>84.63179345467789</v>
      </c>
      <c r="V57" s="76">
        <f t="shared" si="1"/>
        <v>245.56361723435205</v>
      </c>
      <c r="W57" s="76">
        <f t="shared" si="2"/>
        <v>367.98179535065498</v>
      </c>
      <c r="X57" s="76">
        <f t="shared" si="3"/>
        <v>77.050048617762798</v>
      </c>
      <c r="Y57" s="27">
        <f t="shared" si="4"/>
        <v>775.2272546574477</v>
      </c>
      <c r="Z57" s="27">
        <f t="shared" si="5"/>
        <v>1302.2466191862386</v>
      </c>
      <c r="AA57" s="33">
        <f t="shared" si="6"/>
        <v>-8.6930702467008514E-2</v>
      </c>
      <c r="AB57" s="14">
        <f t="shared" si="7"/>
        <v>1302.2466191862386</v>
      </c>
      <c r="AC57" s="29">
        <f t="shared" si="8"/>
        <v>1</v>
      </c>
      <c r="AD57" s="20">
        <v>775.22725465744702</v>
      </c>
      <c r="AE57" s="78">
        <f t="shared" si="9"/>
        <v>0</v>
      </c>
      <c r="AF57" s="29">
        <f t="shared" si="10"/>
        <v>2</v>
      </c>
    </row>
    <row r="58" spans="1:32" ht="15" customHeight="1" x14ac:dyDescent="0.35">
      <c r="A58" s="19" t="s">
        <v>110</v>
      </c>
      <c r="B58" s="19" t="s">
        <v>112</v>
      </c>
      <c r="C58" s="19" t="s">
        <v>210</v>
      </c>
      <c r="D58" s="19" t="s">
        <v>122</v>
      </c>
      <c r="E58" s="19" t="s">
        <v>99</v>
      </c>
      <c r="F58" s="19">
        <v>3</v>
      </c>
      <c r="G58" s="19" t="s">
        <v>211</v>
      </c>
      <c r="H58" s="16">
        <v>40</v>
      </c>
      <c r="I58" s="13">
        <f>IF($G58="Base",1,INDEX(ModelOutput!$D$16:$D$26,MATCH($G58,ModelOutput!$C$16:$C$26,0)))</f>
        <v>1</v>
      </c>
      <c r="J58" s="13">
        <f>IF($A58="Non-greek",1,INDEX(ModelOutput!$D$16:$D$26,MATCH($A58,ModelOutput!$C$16:$C$26,0)))</f>
        <v>1</v>
      </c>
      <c r="K58" s="13">
        <f>IF($C58="Yes",1,INDEX(ModelOutput!$D$16:$D$26,MATCH($C58,ModelOutput!$C$16:$C$26,0)))</f>
        <v>1</v>
      </c>
      <c r="L58" s="13">
        <f>IF($D58="2.0-3.0",1,INDEX(ModelOutput!$D$16:$D$26,MATCH($D58,ModelOutput!$C$16:$C$26,0)))</f>
        <v>1</v>
      </c>
      <c r="M58" s="13">
        <f>IF($B58="On campus",1,INDEX(ModelOutput!$D$16:$D$26,MATCH($B58,ModelOutput!$C$16:$C$26,0)))</f>
        <v>1.9771404201318099</v>
      </c>
      <c r="N58" s="13">
        <f>IF($B58="On campus",1,INDEX(ModelOutput!$E$16:$E$26,MATCH($B58,ModelOutput!$C$16:$C$26,0)))</f>
        <v>1.9459582144513401</v>
      </c>
      <c r="O58" s="13">
        <f>IF($B58="On campus",1,INDEX(ModelOutput!$F$16:$F$26,MATCH($B58,ModelOutput!$C$16:$C$26,0)))</f>
        <v>2.5135188217196598</v>
      </c>
      <c r="P58" s="13">
        <f>IF($B58="On campus",1,INDEX(ModelOutput!$G$16:$G$26,MATCH($B58,ModelOutput!$C$16:$C$26,0)))</f>
        <v>3.16845056067557</v>
      </c>
      <c r="Q58" s="72">
        <f>INDEX(ModelOutput!$D$9:$D$11,MATCH("Tier "&amp;$F58,ModelOutput!$B$9:$B$11,0))</f>
        <v>40.009437343712797</v>
      </c>
      <c r="R58" s="72">
        <f>INDEX(ModelOutput!$E$9:$E$11,MATCH("Tier "&amp;$F58,ModelOutput!$B$9:$B$11,0))</f>
        <v>117.949723218616</v>
      </c>
      <c r="S58" s="72">
        <f>INDEX(ModelOutput!$F$9:$F$11,MATCH("Tier "&amp;$F58,ModelOutput!$B$9:$B$11,0))</f>
        <v>136.83922529015501</v>
      </c>
      <c r="T58" s="72">
        <f>INDEX(ModelOutput!$G$9:$G$11,MATCH("Tier "&amp;$F58,ModelOutput!$B$9:$B$11,0))</f>
        <v>22.729631592092201</v>
      </c>
      <c r="U58" s="76">
        <f t="shared" si="0"/>
        <v>79.104275758985651</v>
      </c>
      <c r="V58" s="76">
        <f t="shared" si="1"/>
        <v>229.52523278952776</v>
      </c>
      <c r="W58" s="76">
        <f t="shared" si="2"/>
        <v>343.94796831634147</v>
      </c>
      <c r="X58" s="76">
        <f t="shared" si="3"/>
        <v>72.017713961913685</v>
      </c>
      <c r="Y58" s="27">
        <f t="shared" si="4"/>
        <v>724.59519082676854</v>
      </c>
      <c r="Z58" s="27">
        <f t="shared" si="5"/>
        <v>1219.9149361395062</v>
      </c>
      <c r="AA58" s="33">
        <f t="shared" si="6"/>
        <v>-0.14465750390125964</v>
      </c>
      <c r="AB58" s="14">
        <f t="shared" si="7"/>
        <v>1219.9149361395062</v>
      </c>
      <c r="AC58" s="29">
        <f t="shared" si="8"/>
        <v>1</v>
      </c>
      <c r="AD58" s="20">
        <v>724.59519082677002</v>
      </c>
      <c r="AE58" s="78">
        <f t="shared" si="9"/>
        <v>-1.4779288903810084E-12</v>
      </c>
      <c r="AF58" s="29">
        <f t="shared" si="10"/>
        <v>1</v>
      </c>
    </row>
    <row r="59" spans="1:32" ht="15" customHeight="1" x14ac:dyDescent="0.35">
      <c r="A59" s="19" t="s">
        <v>110</v>
      </c>
      <c r="B59" s="19" t="s">
        <v>112</v>
      </c>
      <c r="C59" s="19" t="s">
        <v>210</v>
      </c>
      <c r="D59" s="19" t="s">
        <v>122</v>
      </c>
      <c r="E59" s="19" t="s">
        <v>213</v>
      </c>
      <c r="F59" s="19">
        <v>3</v>
      </c>
      <c r="G59" s="19" t="s">
        <v>107</v>
      </c>
      <c r="H59" s="16">
        <v>20</v>
      </c>
      <c r="I59" s="13">
        <f>IF($G59="Base",1,INDEX(ModelOutput!$D$16:$D$26,MATCH($G59,ModelOutput!$C$16:$C$26,0)))</f>
        <v>1.1906804269762199</v>
      </c>
      <c r="J59" s="13">
        <f>IF($A59="Non-greek",1,INDEX(ModelOutput!$D$16:$D$26,MATCH($A59,ModelOutput!$C$16:$C$26,0)))</f>
        <v>1</v>
      </c>
      <c r="K59" s="13">
        <f>IF($C59="Yes",1,INDEX(ModelOutput!$D$16:$D$26,MATCH($C59,ModelOutput!$C$16:$C$26,0)))</f>
        <v>1</v>
      </c>
      <c r="L59" s="13">
        <f>IF($D59="2.0-3.0",1,INDEX(ModelOutput!$D$16:$D$26,MATCH($D59,ModelOutput!$C$16:$C$26,0)))</f>
        <v>1</v>
      </c>
      <c r="M59" s="13">
        <f>IF($B59="On campus",1,INDEX(ModelOutput!$D$16:$D$26,MATCH($B59,ModelOutput!$C$16:$C$26,0)))</f>
        <v>1.9771404201318099</v>
      </c>
      <c r="N59" s="13">
        <f>IF($B59="On campus",1,INDEX(ModelOutput!$E$16:$E$26,MATCH($B59,ModelOutput!$C$16:$C$26,0)))</f>
        <v>1.9459582144513401</v>
      </c>
      <c r="O59" s="13">
        <f>IF($B59="On campus",1,INDEX(ModelOutput!$F$16:$F$26,MATCH($B59,ModelOutput!$C$16:$C$26,0)))</f>
        <v>2.5135188217196598</v>
      </c>
      <c r="P59" s="13">
        <f>IF($B59="On campus",1,INDEX(ModelOutput!$G$16:$G$26,MATCH($B59,ModelOutput!$C$16:$C$26,0)))</f>
        <v>3.16845056067557</v>
      </c>
      <c r="Q59" s="72">
        <f>INDEX(ModelOutput!$D$9:$D$11,MATCH("Tier "&amp;$F59,ModelOutput!$B$9:$B$11,0))</f>
        <v>40.009437343712797</v>
      </c>
      <c r="R59" s="72">
        <f>INDEX(ModelOutput!$E$9:$E$11,MATCH("Tier "&amp;$F59,ModelOutput!$B$9:$B$11,0))</f>
        <v>117.949723218616</v>
      </c>
      <c r="S59" s="72">
        <f>INDEX(ModelOutput!$F$9:$F$11,MATCH("Tier "&amp;$F59,ModelOutput!$B$9:$B$11,0))</f>
        <v>136.83922529015501</v>
      </c>
      <c r="T59" s="72">
        <f>INDEX(ModelOutput!$G$9:$G$11,MATCH("Tier "&amp;$F59,ModelOutput!$B$9:$B$11,0))</f>
        <v>22.729631592092201</v>
      </c>
      <c r="U59" s="76">
        <f t="shared" si="0"/>
        <v>94.187912836353661</v>
      </c>
      <c r="V59" s="76">
        <f t="shared" si="1"/>
        <v>273.29120217965118</v>
      </c>
      <c r="W59" s="76">
        <f t="shared" si="2"/>
        <v>409.53211377250489</v>
      </c>
      <c r="X59" s="76">
        <f t="shared" si="3"/>
        <v>85.750082410022657</v>
      </c>
      <c r="Y59" s="27">
        <f t="shared" si="4"/>
        <v>862.76131119853233</v>
      </c>
      <c r="Z59" s="27">
        <f t="shared" si="5"/>
        <v>1444.5838192465794</v>
      </c>
      <c r="AA59" s="33">
        <f t="shared" si="6"/>
        <v>1.2868924851756613E-2</v>
      </c>
      <c r="AB59" s="14">
        <f t="shared" si="7"/>
        <v>1444.5838192465794</v>
      </c>
      <c r="AC59" s="29">
        <f t="shared" si="8"/>
        <v>1</v>
      </c>
      <c r="AD59" s="20">
        <v>862.76131119853403</v>
      </c>
      <c r="AE59" s="78">
        <f t="shared" si="9"/>
        <v>-1.7053025658242404E-12</v>
      </c>
      <c r="AF59" s="29">
        <f t="shared" si="10"/>
        <v>2</v>
      </c>
    </row>
    <row r="60" spans="1:32" ht="15" customHeight="1" x14ac:dyDescent="0.35">
      <c r="A60" s="37" t="s">
        <v>110</v>
      </c>
      <c r="B60" s="37" t="s">
        <v>112</v>
      </c>
      <c r="C60" s="37" t="s">
        <v>210</v>
      </c>
      <c r="D60" s="37" t="s">
        <v>124</v>
      </c>
      <c r="E60" s="37" t="s">
        <v>95</v>
      </c>
      <c r="F60" s="37">
        <v>1</v>
      </c>
      <c r="G60" s="37" t="s">
        <v>211</v>
      </c>
      <c r="H60" s="38">
        <v>29</v>
      </c>
      <c r="I60" s="39">
        <f>IF($G60="Base",1,INDEX(ModelOutput!$D$16:$D$26,MATCH($G60,ModelOutput!$C$16:$C$26,0)))</f>
        <v>1</v>
      </c>
      <c r="J60" s="39">
        <f>IF($A60="Non-greek",1,INDEX(ModelOutput!$D$16:$D$26,MATCH($A60,ModelOutput!$C$16:$C$26,0)))</f>
        <v>1</v>
      </c>
      <c r="K60" s="39">
        <f>IF($C60="Yes",1,INDEX(ModelOutput!$D$16:$D$26,MATCH($C60,ModelOutput!$C$16:$C$26,0)))</f>
        <v>1</v>
      </c>
      <c r="L60" s="39">
        <f>IF($D60="2.0-3.0",1,INDEX(ModelOutput!$D$16:$D$26,MATCH($D60,ModelOutput!$C$16:$C$26,0)))</f>
        <v>0.87654761766211098</v>
      </c>
      <c r="M60" s="39">
        <f>IF($B60="On campus",1,INDEX(ModelOutput!$D$16:$D$26,MATCH($B60,ModelOutput!$C$16:$C$26,0)))</f>
        <v>1.9771404201318099</v>
      </c>
      <c r="N60" s="39">
        <f>IF($B60="On campus",1,INDEX(ModelOutput!$E$16:$E$26,MATCH($B60,ModelOutput!$C$16:$C$26,0)))</f>
        <v>1.9459582144513401</v>
      </c>
      <c r="O60" s="39">
        <f>IF($B60="On campus",1,INDEX(ModelOutput!$F$16:$F$26,MATCH($B60,ModelOutput!$C$16:$C$26,0)))</f>
        <v>2.5135188217196598</v>
      </c>
      <c r="P60" s="39">
        <f>IF($B60="On campus",1,INDEX(ModelOutput!$G$16:$G$26,MATCH($B60,ModelOutput!$C$16:$C$26,0)))</f>
        <v>3.16845056067557</v>
      </c>
      <c r="Q60" s="73">
        <f>INDEX(ModelOutput!$D$9:$D$11,MATCH("Tier "&amp;$F60,ModelOutput!$B$9:$B$11,0))</f>
        <v>36.175496869914397</v>
      </c>
      <c r="R60" s="73">
        <f>INDEX(ModelOutput!$E$9:$E$11,MATCH("Tier "&amp;$F60,ModelOutput!$B$9:$B$11,0))</f>
        <v>106.647084447761</v>
      </c>
      <c r="S60" s="73">
        <f>INDEX(ModelOutput!$F$9:$F$11,MATCH("Tier "&amp;$F60,ModelOutput!$B$9:$B$11,0))</f>
        <v>123.726482920496</v>
      </c>
      <c r="T60" s="73">
        <f>INDEX(ModelOutput!$G$9:$G$11,MATCH("Tier "&amp;$F60,ModelOutput!$B$9:$B$11,0))</f>
        <v>20.551544113210401</v>
      </c>
      <c r="U60" s="77">
        <f t="shared" si="0"/>
        <v>62.694224307927357</v>
      </c>
      <c r="V60" s="77">
        <f t="shared" si="1"/>
        <v>181.91060205998295</v>
      </c>
      <c r="W60" s="77">
        <f t="shared" si="2"/>
        <v>272.59652994713434</v>
      </c>
      <c r="X60" s="77">
        <f t="shared" si="3"/>
        <v>57.077758059866952</v>
      </c>
      <c r="Y60" s="30">
        <f t="shared" si="4"/>
        <v>574.27911437491161</v>
      </c>
      <c r="Z60" s="30">
        <f t="shared" si="5"/>
        <v>975.48927723986026</v>
      </c>
      <c r="AA60" s="41">
        <f t="shared" si="6"/>
        <v>-0.31603638205108342</v>
      </c>
      <c r="AB60" s="40">
        <f t="shared" si="7"/>
        <v>1069.6723315837799</v>
      </c>
      <c r="AC60" s="42">
        <f t="shared" si="8"/>
        <v>2</v>
      </c>
      <c r="AD60" s="43">
        <v>574.27911437491105</v>
      </c>
      <c r="AE60" s="79">
        <f t="shared" si="9"/>
        <v>0</v>
      </c>
      <c r="AF60" s="29">
        <f t="shared" si="10"/>
        <v>4</v>
      </c>
    </row>
    <row r="61" spans="1:32" ht="15" customHeight="1" x14ac:dyDescent="0.35">
      <c r="A61" s="37" t="s">
        <v>110</v>
      </c>
      <c r="B61" s="37" t="s">
        <v>112</v>
      </c>
      <c r="C61" s="37" t="s">
        <v>210</v>
      </c>
      <c r="D61" s="37" t="s">
        <v>124</v>
      </c>
      <c r="E61" s="37" t="s">
        <v>105</v>
      </c>
      <c r="F61" s="37">
        <v>1</v>
      </c>
      <c r="G61" s="37" t="s">
        <v>105</v>
      </c>
      <c r="H61" s="38">
        <v>22</v>
      </c>
      <c r="I61" s="39">
        <f>IF($G61="Base",1,INDEX(ModelOutput!$D$16:$D$26,MATCH($G61,ModelOutput!$C$16:$C$26,0)))</f>
        <v>0.98982624281990295</v>
      </c>
      <c r="J61" s="39">
        <f>IF($A61="Non-greek",1,INDEX(ModelOutput!$D$16:$D$26,MATCH($A61,ModelOutput!$C$16:$C$26,0)))</f>
        <v>1</v>
      </c>
      <c r="K61" s="39">
        <f>IF($C61="Yes",1,INDEX(ModelOutput!$D$16:$D$26,MATCH($C61,ModelOutput!$C$16:$C$26,0)))</f>
        <v>1</v>
      </c>
      <c r="L61" s="39">
        <f>IF($D61="2.0-3.0",1,INDEX(ModelOutput!$D$16:$D$26,MATCH($D61,ModelOutput!$C$16:$C$26,0)))</f>
        <v>0.87654761766211098</v>
      </c>
      <c r="M61" s="39">
        <f>IF($B61="On campus",1,INDEX(ModelOutput!$D$16:$D$26,MATCH($B61,ModelOutput!$C$16:$C$26,0)))</f>
        <v>1.9771404201318099</v>
      </c>
      <c r="N61" s="39">
        <f>IF($B61="On campus",1,INDEX(ModelOutput!$E$16:$E$26,MATCH($B61,ModelOutput!$C$16:$C$26,0)))</f>
        <v>1.9459582144513401</v>
      </c>
      <c r="O61" s="39">
        <f>IF($B61="On campus",1,INDEX(ModelOutput!$F$16:$F$26,MATCH($B61,ModelOutput!$C$16:$C$26,0)))</f>
        <v>2.5135188217196598</v>
      </c>
      <c r="P61" s="39">
        <f>IF($B61="On campus",1,INDEX(ModelOutput!$G$16:$G$26,MATCH($B61,ModelOutput!$C$16:$C$26,0)))</f>
        <v>3.16845056067557</v>
      </c>
      <c r="Q61" s="73">
        <f>INDEX(ModelOutput!$D$9:$D$11,MATCH("Tier "&amp;$F61,ModelOutput!$B$9:$B$11,0))</f>
        <v>36.175496869914397</v>
      </c>
      <c r="R61" s="73">
        <f>INDEX(ModelOutput!$E$9:$E$11,MATCH("Tier "&amp;$F61,ModelOutput!$B$9:$B$11,0))</f>
        <v>106.647084447761</v>
      </c>
      <c r="S61" s="73">
        <f>INDEX(ModelOutput!$F$9:$F$11,MATCH("Tier "&amp;$F61,ModelOutput!$B$9:$B$11,0))</f>
        <v>123.726482920496</v>
      </c>
      <c r="T61" s="73">
        <f>INDEX(ModelOutput!$G$9:$G$11,MATCH("Tier "&amp;$F61,ModelOutput!$B$9:$B$11,0))</f>
        <v>20.551544113210401</v>
      </c>
      <c r="U61" s="77">
        <f t="shared" si="0"/>
        <v>62.05638849322397</v>
      </c>
      <c r="V61" s="77">
        <f t="shared" si="1"/>
        <v>180.05988776613944</v>
      </c>
      <c r="W61" s="77">
        <f t="shared" si="2"/>
        <v>269.82319904331513</v>
      </c>
      <c r="X61" s="77">
        <f t="shared" si="3"/>
        <v>56.497062808981539</v>
      </c>
      <c r="Y61" s="30">
        <f t="shared" si="4"/>
        <v>568.43653811166007</v>
      </c>
      <c r="Z61" s="30">
        <f t="shared" si="5"/>
        <v>965.98879275060426</v>
      </c>
      <c r="AA61" s="41">
        <f t="shared" si="6"/>
        <v>-0.32269764004248347</v>
      </c>
      <c r="AB61" s="40">
        <f t="shared" si="7"/>
        <v>1069.6723315837799</v>
      </c>
      <c r="AC61" s="42">
        <f t="shared" si="8"/>
        <v>2</v>
      </c>
      <c r="AD61" s="43">
        <v>568.43653811165905</v>
      </c>
      <c r="AE61" s="79">
        <f t="shared" si="9"/>
        <v>1.0231815394945443E-12</v>
      </c>
      <c r="AF61" s="29">
        <f t="shared" si="10"/>
        <v>3</v>
      </c>
    </row>
    <row r="62" spans="1:32" ht="15" customHeight="1" x14ac:dyDescent="0.35">
      <c r="A62" s="37" t="s">
        <v>110</v>
      </c>
      <c r="B62" s="37" t="s">
        <v>112</v>
      </c>
      <c r="C62" s="37" t="s">
        <v>210</v>
      </c>
      <c r="D62" s="37" t="s">
        <v>124</v>
      </c>
      <c r="E62" s="37" t="s">
        <v>97</v>
      </c>
      <c r="F62" s="37">
        <v>2</v>
      </c>
      <c r="G62" s="37" t="s">
        <v>211</v>
      </c>
      <c r="H62" s="38">
        <v>28</v>
      </c>
      <c r="I62" s="39">
        <f>IF($G62="Base",1,INDEX(ModelOutput!$D$16:$D$26,MATCH($G62,ModelOutput!$C$16:$C$26,0)))</f>
        <v>1</v>
      </c>
      <c r="J62" s="39">
        <f>IF($A62="Non-greek",1,INDEX(ModelOutput!$D$16:$D$26,MATCH($A62,ModelOutput!$C$16:$C$26,0)))</f>
        <v>1</v>
      </c>
      <c r="K62" s="39">
        <f>IF($C62="Yes",1,INDEX(ModelOutput!$D$16:$D$26,MATCH($C62,ModelOutput!$C$16:$C$26,0)))</f>
        <v>1</v>
      </c>
      <c r="L62" s="39">
        <f>IF($D62="2.0-3.0",1,INDEX(ModelOutput!$D$16:$D$26,MATCH($D62,ModelOutput!$C$16:$C$26,0)))</f>
        <v>0.87654761766211098</v>
      </c>
      <c r="M62" s="39">
        <f>IF($B62="On campus",1,INDEX(ModelOutput!$D$16:$D$26,MATCH($B62,ModelOutput!$C$16:$C$26,0)))</f>
        <v>1.9771404201318099</v>
      </c>
      <c r="N62" s="39">
        <f>IF($B62="On campus",1,INDEX(ModelOutput!$E$16:$E$26,MATCH($B62,ModelOutput!$C$16:$C$26,0)))</f>
        <v>1.9459582144513401</v>
      </c>
      <c r="O62" s="39">
        <f>IF($B62="On campus",1,INDEX(ModelOutput!$F$16:$F$26,MATCH($B62,ModelOutput!$C$16:$C$26,0)))</f>
        <v>2.5135188217196598</v>
      </c>
      <c r="P62" s="39">
        <f>IF($B62="On campus",1,INDEX(ModelOutput!$G$16:$G$26,MATCH($B62,ModelOutput!$C$16:$C$26,0)))</f>
        <v>3.16845056067557</v>
      </c>
      <c r="Q62" s="73">
        <f>INDEX(ModelOutput!$D$9:$D$11,MATCH("Tier "&amp;$F62,ModelOutput!$B$9:$B$11,0))</f>
        <v>42.8051506068728</v>
      </c>
      <c r="R62" s="73">
        <f>INDEX(ModelOutput!$E$9:$E$11,MATCH("Tier "&amp;$F62,ModelOutput!$B$9:$B$11,0))</f>
        <v>126.191618818284</v>
      </c>
      <c r="S62" s="73">
        <f>INDEX(ModelOutput!$F$9:$F$11,MATCH("Tier "&amp;$F62,ModelOutput!$B$9:$B$11,0))</f>
        <v>146.401050261042</v>
      </c>
      <c r="T62" s="73">
        <f>INDEX(ModelOutput!$G$9:$G$11,MATCH("Tier "&amp;$F62,ModelOutput!$B$9:$B$11,0))</f>
        <v>24.317895180076398</v>
      </c>
      <c r="U62" s="77">
        <f t="shared" si="0"/>
        <v>74.183796931169738</v>
      </c>
      <c r="V62" s="77">
        <f t="shared" si="1"/>
        <v>215.24820367126179</v>
      </c>
      <c r="W62" s="77">
        <f t="shared" si="2"/>
        <v>322.55356605764308</v>
      </c>
      <c r="X62" s="77">
        <f t="shared" si="3"/>
        <v>67.538036556649814</v>
      </c>
      <c r="Y62" s="30">
        <f t="shared" si="4"/>
        <v>679.52360321672438</v>
      </c>
      <c r="Z62" s="30">
        <f t="shared" si="5"/>
        <v>1146.6250209203142</v>
      </c>
      <c r="AA62" s="41">
        <f t="shared" si="6"/>
        <v>-0.19604467620757515</v>
      </c>
      <c r="AB62" s="40">
        <f t="shared" si="7"/>
        <v>1146.6250209203142</v>
      </c>
      <c r="AC62" s="42">
        <f t="shared" si="8"/>
        <v>1</v>
      </c>
      <c r="AD62" s="43">
        <v>679.52360321672404</v>
      </c>
      <c r="AE62" s="79">
        <f t="shared" si="9"/>
        <v>0</v>
      </c>
      <c r="AF62" s="29">
        <f t="shared" si="10"/>
        <v>2</v>
      </c>
    </row>
    <row r="63" spans="1:32" ht="15" customHeight="1" x14ac:dyDescent="0.35">
      <c r="A63" s="37" t="s">
        <v>110</v>
      </c>
      <c r="B63" s="37" t="s">
        <v>112</v>
      </c>
      <c r="C63" s="37" t="s">
        <v>210</v>
      </c>
      <c r="D63" s="37" t="s">
        <v>124</v>
      </c>
      <c r="E63" s="37" t="s">
        <v>99</v>
      </c>
      <c r="F63" s="37">
        <v>3</v>
      </c>
      <c r="G63" s="37" t="s">
        <v>211</v>
      </c>
      <c r="H63" s="38">
        <v>24</v>
      </c>
      <c r="I63" s="39">
        <f>IF($G63="Base",1,INDEX(ModelOutput!$D$16:$D$26,MATCH($G63,ModelOutput!$C$16:$C$26,0)))</f>
        <v>1</v>
      </c>
      <c r="J63" s="39">
        <f>IF($A63="Non-greek",1,INDEX(ModelOutput!$D$16:$D$26,MATCH($A63,ModelOutput!$C$16:$C$26,0)))</f>
        <v>1</v>
      </c>
      <c r="K63" s="39">
        <f>IF($C63="Yes",1,INDEX(ModelOutput!$D$16:$D$26,MATCH($C63,ModelOutput!$C$16:$C$26,0)))</f>
        <v>1</v>
      </c>
      <c r="L63" s="39">
        <f>IF($D63="2.0-3.0",1,INDEX(ModelOutput!$D$16:$D$26,MATCH($D63,ModelOutput!$C$16:$C$26,0)))</f>
        <v>0.87654761766211098</v>
      </c>
      <c r="M63" s="39">
        <f>IF($B63="On campus",1,INDEX(ModelOutput!$D$16:$D$26,MATCH($B63,ModelOutput!$C$16:$C$26,0)))</f>
        <v>1.9771404201318099</v>
      </c>
      <c r="N63" s="39">
        <f>IF($B63="On campus",1,INDEX(ModelOutput!$E$16:$E$26,MATCH($B63,ModelOutput!$C$16:$C$26,0)))</f>
        <v>1.9459582144513401</v>
      </c>
      <c r="O63" s="39">
        <f>IF($B63="On campus",1,INDEX(ModelOutput!$F$16:$F$26,MATCH($B63,ModelOutput!$C$16:$C$26,0)))</f>
        <v>2.5135188217196598</v>
      </c>
      <c r="P63" s="39">
        <f>IF($B63="On campus",1,INDEX(ModelOutput!$G$16:$G$26,MATCH($B63,ModelOutput!$C$16:$C$26,0)))</f>
        <v>3.16845056067557</v>
      </c>
      <c r="Q63" s="73">
        <f>INDEX(ModelOutput!$D$9:$D$11,MATCH("Tier "&amp;$F63,ModelOutput!$B$9:$B$11,0))</f>
        <v>40.009437343712797</v>
      </c>
      <c r="R63" s="73">
        <f>INDEX(ModelOutput!$E$9:$E$11,MATCH("Tier "&amp;$F63,ModelOutput!$B$9:$B$11,0))</f>
        <v>117.949723218616</v>
      </c>
      <c r="S63" s="73">
        <f>INDEX(ModelOutput!$F$9:$F$11,MATCH("Tier "&amp;$F63,ModelOutput!$B$9:$B$11,0))</f>
        <v>136.83922529015501</v>
      </c>
      <c r="T63" s="73">
        <f>INDEX(ModelOutput!$G$9:$G$11,MATCH("Tier "&amp;$F63,ModelOutput!$B$9:$B$11,0))</f>
        <v>22.729631592092201</v>
      </c>
      <c r="U63" s="77">
        <f t="shared" si="0"/>
        <v>69.338664463425545</v>
      </c>
      <c r="V63" s="77">
        <f t="shared" si="1"/>
        <v>201.18979599500202</v>
      </c>
      <c r="W63" s="77">
        <f t="shared" si="2"/>
        <v>301.48677222741236</v>
      </c>
      <c r="X63" s="77">
        <f t="shared" si="3"/>
        <v>63.126955602786779</v>
      </c>
      <c r="Y63" s="30">
        <f t="shared" si="4"/>
        <v>635.1421882886267</v>
      </c>
      <c r="Z63" s="30">
        <f t="shared" si="5"/>
        <v>1074.4573802875891</v>
      </c>
      <c r="AA63" s="41">
        <f t="shared" si="6"/>
        <v>-0.24664496648002165</v>
      </c>
      <c r="AB63" s="40">
        <f t="shared" si="7"/>
        <v>1074.4573802875891</v>
      </c>
      <c r="AC63" s="42">
        <f t="shared" si="8"/>
        <v>1</v>
      </c>
      <c r="AD63" s="43">
        <v>635.14218828862704</v>
      </c>
      <c r="AE63" s="79">
        <f t="shared" si="9"/>
        <v>0</v>
      </c>
      <c r="AF63" s="29">
        <f t="shared" si="10"/>
        <v>1</v>
      </c>
    </row>
    <row r="64" spans="1:32" ht="15" customHeight="1" x14ac:dyDescent="0.35">
      <c r="A64" s="37" t="s">
        <v>110</v>
      </c>
      <c r="B64" s="37" t="s">
        <v>112</v>
      </c>
      <c r="C64" s="37" t="s">
        <v>210</v>
      </c>
      <c r="D64" s="37" t="s">
        <v>124</v>
      </c>
      <c r="E64" s="37" t="s">
        <v>213</v>
      </c>
      <c r="F64" s="37">
        <v>3</v>
      </c>
      <c r="G64" s="37" t="s">
        <v>107</v>
      </c>
      <c r="H64" s="38">
        <v>13</v>
      </c>
      <c r="I64" s="39">
        <f>IF($G64="Base",1,INDEX(ModelOutput!$D$16:$D$26,MATCH($G64,ModelOutput!$C$16:$C$26,0)))</f>
        <v>1.1906804269762199</v>
      </c>
      <c r="J64" s="39">
        <f>IF($A64="Non-greek",1,INDEX(ModelOutput!$D$16:$D$26,MATCH($A64,ModelOutput!$C$16:$C$26,0)))</f>
        <v>1</v>
      </c>
      <c r="K64" s="39">
        <f>IF($C64="Yes",1,INDEX(ModelOutput!$D$16:$D$26,MATCH($C64,ModelOutput!$C$16:$C$26,0)))</f>
        <v>1</v>
      </c>
      <c r="L64" s="39">
        <f>IF($D64="2.0-3.0",1,INDEX(ModelOutput!$D$16:$D$26,MATCH($D64,ModelOutput!$C$16:$C$26,0)))</f>
        <v>0.87654761766211098</v>
      </c>
      <c r="M64" s="39">
        <f>IF($B64="On campus",1,INDEX(ModelOutput!$D$16:$D$26,MATCH($B64,ModelOutput!$C$16:$C$26,0)))</f>
        <v>1.9771404201318099</v>
      </c>
      <c r="N64" s="39">
        <f>IF($B64="On campus",1,INDEX(ModelOutput!$E$16:$E$26,MATCH($B64,ModelOutput!$C$16:$C$26,0)))</f>
        <v>1.9459582144513401</v>
      </c>
      <c r="O64" s="39">
        <f>IF($B64="On campus",1,INDEX(ModelOutput!$F$16:$F$26,MATCH($B64,ModelOutput!$C$16:$C$26,0)))</f>
        <v>2.5135188217196598</v>
      </c>
      <c r="P64" s="39">
        <f>IF($B64="On campus",1,INDEX(ModelOutput!$G$16:$G$26,MATCH($B64,ModelOutput!$C$16:$C$26,0)))</f>
        <v>3.16845056067557</v>
      </c>
      <c r="Q64" s="73">
        <f>INDEX(ModelOutput!$D$9:$D$11,MATCH("Tier "&amp;$F64,ModelOutput!$B$9:$B$11,0))</f>
        <v>40.009437343712797</v>
      </c>
      <c r="R64" s="73">
        <f>INDEX(ModelOutput!$E$9:$E$11,MATCH("Tier "&amp;$F64,ModelOutput!$B$9:$B$11,0))</f>
        <v>117.949723218616</v>
      </c>
      <c r="S64" s="73">
        <f>INDEX(ModelOutput!$F$9:$F$11,MATCH("Tier "&amp;$F64,ModelOutput!$B$9:$B$11,0))</f>
        <v>136.83922529015501</v>
      </c>
      <c r="T64" s="73">
        <f>INDEX(ModelOutput!$G$9:$G$11,MATCH("Tier "&amp;$F64,ModelOutput!$B$9:$B$11,0))</f>
        <v>22.729631592092201</v>
      </c>
      <c r="U64" s="77">
        <f t="shared" si="0"/>
        <v>82.560190609272368</v>
      </c>
      <c r="V64" s="77">
        <f t="shared" si="1"/>
        <v>239.55275219858757</v>
      </c>
      <c r="W64" s="77">
        <f t="shared" si="2"/>
        <v>358.97439868341775</v>
      </c>
      <c r="X64" s="77">
        <f t="shared" si="3"/>
        <v>75.164030450835043</v>
      </c>
      <c r="Y64" s="30">
        <f t="shared" si="4"/>
        <v>756.25137194211277</v>
      </c>
      <c r="Z64" s="30">
        <f t="shared" si="5"/>
        <v>1271.3903545379017</v>
      </c>
      <c r="AA64" s="41">
        <f t="shared" si="6"/>
        <v>-0.10856555063774487</v>
      </c>
      <c r="AB64" s="40">
        <f t="shared" si="7"/>
        <v>1271.3903545379017</v>
      </c>
      <c r="AC64" s="42">
        <f t="shared" si="8"/>
        <v>1</v>
      </c>
      <c r="AD64" s="43">
        <v>756.25137194211402</v>
      </c>
      <c r="AE64" s="79">
        <f t="shared" si="9"/>
        <v>-1.2505552149377763E-12</v>
      </c>
      <c r="AF64" s="29">
        <f t="shared" si="10"/>
        <v>2</v>
      </c>
    </row>
    <row r="65" spans="1:32" ht="15" customHeight="1" x14ac:dyDescent="0.35">
      <c r="A65" s="19" t="s">
        <v>110</v>
      </c>
      <c r="B65" s="19" t="s">
        <v>112</v>
      </c>
      <c r="C65" s="19" t="s">
        <v>118</v>
      </c>
      <c r="D65" s="19" t="s">
        <v>121</v>
      </c>
      <c r="E65" s="19" t="s">
        <v>95</v>
      </c>
      <c r="F65" s="19">
        <v>1</v>
      </c>
      <c r="G65" s="19" t="s">
        <v>211</v>
      </c>
      <c r="H65" s="16">
        <v>6</v>
      </c>
      <c r="I65" s="13">
        <f>IF($G65="Base",1,INDEX(ModelOutput!$D$16:$D$26,MATCH($G65,ModelOutput!$C$16:$C$26,0)))</f>
        <v>1</v>
      </c>
      <c r="J65" s="13">
        <f>IF($A65="Non-greek",1,INDEX(ModelOutput!$D$16:$D$26,MATCH($A65,ModelOutput!$C$16:$C$26,0)))</f>
        <v>1</v>
      </c>
      <c r="K65" s="13">
        <f>IF($C65="Yes",1,INDEX(ModelOutput!$D$16:$D$26,MATCH($C65,ModelOutput!$C$16:$C$26,0)))</f>
        <v>1.5400747552012299</v>
      </c>
      <c r="L65" s="13">
        <f>IF($D65="2.0-3.0",1,INDEX(ModelOutput!$D$16:$D$26,MATCH($D65,ModelOutput!$C$16:$C$26,0)))</f>
        <v>1.12144800201769</v>
      </c>
      <c r="M65" s="13">
        <f>IF($B65="On campus",1,INDEX(ModelOutput!$D$16:$D$26,MATCH($B65,ModelOutput!$C$16:$C$26,0)))</f>
        <v>1.9771404201318099</v>
      </c>
      <c r="N65" s="13">
        <f>IF($B65="On campus",1,INDEX(ModelOutput!$E$16:$E$26,MATCH($B65,ModelOutput!$C$16:$C$26,0)))</f>
        <v>1.9459582144513401</v>
      </c>
      <c r="O65" s="13">
        <f>IF($B65="On campus",1,INDEX(ModelOutput!$F$16:$F$26,MATCH($B65,ModelOutput!$C$16:$C$26,0)))</f>
        <v>2.5135188217196598</v>
      </c>
      <c r="P65" s="13">
        <f>IF($B65="On campus",1,INDEX(ModelOutput!$G$16:$G$26,MATCH($B65,ModelOutput!$C$16:$C$26,0)))</f>
        <v>3.16845056067557</v>
      </c>
      <c r="Q65" s="72">
        <f>INDEX(ModelOutput!$D$9:$D$11,MATCH("Tier "&amp;$F65,ModelOutput!$B$9:$B$11,0))</f>
        <v>36.175496869914397</v>
      </c>
      <c r="R65" s="72">
        <f>INDEX(ModelOutput!$E$9:$E$11,MATCH("Tier "&amp;$F65,ModelOutput!$B$9:$B$11,0))</f>
        <v>106.647084447761</v>
      </c>
      <c r="S65" s="72">
        <f>INDEX(ModelOutput!$F$9:$F$11,MATCH("Tier "&amp;$F65,ModelOutput!$B$9:$B$11,0))</f>
        <v>123.726482920496</v>
      </c>
      <c r="T65" s="72">
        <f>INDEX(ModelOutput!$G$9:$G$11,MATCH("Tier "&amp;$F65,ModelOutput!$B$9:$B$11,0))</f>
        <v>20.551544113210401</v>
      </c>
      <c r="U65" s="76">
        <f t="shared" si="0"/>
        <v>123.53014840955639</v>
      </c>
      <c r="V65" s="76">
        <f t="shared" si="1"/>
        <v>358.42924795386699</v>
      </c>
      <c r="W65" s="76">
        <f t="shared" si="2"/>
        <v>537.11311005153789</v>
      </c>
      <c r="X65" s="76">
        <f t="shared" si="3"/>
        <v>112.4636918608239</v>
      </c>
      <c r="Y65" s="27">
        <f t="shared" si="4"/>
        <v>1131.5361982757852</v>
      </c>
      <c r="Z65" s="27">
        <f t="shared" si="5"/>
        <v>1881.6327392307057</v>
      </c>
      <c r="AA65" s="33">
        <f t="shared" si="6"/>
        <v>0.31930546650069935</v>
      </c>
      <c r="AB65" s="14">
        <f t="shared" si="7"/>
        <v>1782.7872193062994</v>
      </c>
      <c r="AC65" s="29">
        <f t="shared" si="8"/>
        <v>2</v>
      </c>
      <c r="AD65" s="20">
        <v>1131.53619827579</v>
      </c>
      <c r="AE65" s="78">
        <f t="shared" si="9"/>
        <v>-4.7748471843078732E-12</v>
      </c>
      <c r="AF65" s="29">
        <f t="shared" si="10"/>
        <v>4</v>
      </c>
    </row>
    <row r="66" spans="1:32" ht="15" customHeight="1" x14ac:dyDescent="0.35">
      <c r="A66" s="19" t="s">
        <v>110</v>
      </c>
      <c r="B66" s="19" t="s">
        <v>112</v>
      </c>
      <c r="C66" s="19" t="s">
        <v>118</v>
      </c>
      <c r="D66" s="19" t="s">
        <v>121</v>
      </c>
      <c r="E66" s="19" t="s">
        <v>105</v>
      </c>
      <c r="F66" s="19">
        <v>1</v>
      </c>
      <c r="G66" s="19" t="s">
        <v>105</v>
      </c>
      <c r="H66" s="16">
        <v>7</v>
      </c>
      <c r="I66" s="13">
        <f>IF($G66="Base",1,INDEX(ModelOutput!$D$16:$D$26,MATCH($G66,ModelOutput!$C$16:$C$26,0)))</f>
        <v>0.98982624281990295</v>
      </c>
      <c r="J66" s="13">
        <f>IF($A66="Non-greek",1,INDEX(ModelOutput!$D$16:$D$26,MATCH($A66,ModelOutput!$C$16:$C$26,0)))</f>
        <v>1</v>
      </c>
      <c r="K66" s="13">
        <f>IF($C66="Yes",1,INDEX(ModelOutput!$D$16:$D$26,MATCH($C66,ModelOutput!$C$16:$C$26,0)))</f>
        <v>1.5400747552012299</v>
      </c>
      <c r="L66" s="13">
        <f>IF($D66="2.0-3.0",1,INDEX(ModelOutput!$D$16:$D$26,MATCH($D66,ModelOutput!$C$16:$C$26,0)))</f>
        <v>1.12144800201769</v>
      </c>
      <c r="M66" s="13">
        <f>IF($B66="On campus",1,INDEX(ModelOutput!$D$16:$D$26,MATCH($B66,ModelOutput!$C$16:$C$26,0)))</f>
        <v>1.9771404201318099</v>
      </c>
      <c r="N66" s="13">
        <f>IF($B66="On campus",1,INDEX(ModelOutput!$E$16:$E$26,MATCH($B66,ModelOutput!$C$16:$C$26,0)))</f>
        <v>1.9459582144513401</v>
      </c>
      <c r="O66" s="13">
        <f>IF($B66="On campus",1,INDEX(ModelOutput!$F$16:$F$26,MATCH($B66,ModelOutput!$C$16:$C$26,0)))</f>
        <v>2.5135188217196598</v>
      </c>
      <c r="P66" s="13">
        <f>IF($B66="On campus",1,INDEX(ModelOutput!$G$16:$G$26,MATCH($B66,ModelOutput!$C$16:$C$26,0)))</f>
        <v>3.16845056067557</v>
      </c>
      <c r="Q66" s="72">
        <f>INDEX(ModelOutput!$D$9:$D$11,MATCH("Tier "&amp;$F66,ModelOutput!$B$9:$B$11,0))</f>
        <v>36.175496869914397</v>
      </c>
      <c r="R66" s="72">
        <f>INDEX(ModelOutput!$E$9:$E$11,MATCH("Tier "&amp;$F66,ModelOutput!$B$9:$B$11,0))</f>
        <v>106.647084447761</v>
      </c>
      <c r="S66" s="72">
        <f>INDEX(ModelOutput!$F$9:$F$11,MATCH("Tier "&amp;$F66,ModelOutput!$B$9:$B$11,0))</f>
        <v>123.726482920496</v>
      </c>
      <c r="T66" s="72">
        <f>INDEX(ModelOutput!$G$9:$G$11,MATCH("Tier "&amp;$F66,ModelOutput!$B$9:$B$11,0))</f>
        <v>20.551544113210401</v>
      </c>
      <c r="U66" s="76">
        <f t="shared" si="0"/>
        <v>122.27338267521624</v>
      </c>
      <c r="V66" s="76">
        <f t="shared" si="1"/>
        <v>354.78267581893959</v>
      </c>
      <c r="W66" s="76">
        <f t="shared" si="2"/>
        <v>531.64865169162681</v>
      </c>
      <c r="X66" s="76">
        <f t="shared" si="3"/>
        <v>111.31951356825461</v>
      </c>
      <c r="Y66" s="27">
        <f t="shared" si="4"/>
        <v>1120.0242237540374</v>
      </c>
      <c r="Z66" s="27">
        <f t="shared" si="5"/>
        <v>1862.9133711888226</v>
      </c>
      <c r="AA66" s="33">
        <f t="shared" si="6"/>
        <v>0.30618039481577952</v>
      </c>
      <c r="AB66" s="14">
        <f t="shared" si="7"/>
        <v>1782.7872193062994</v>
      </c>
      <c r="AC66" s="29">
        <f t="shared" si="8"/>
        <v>2</v>
      </c>
      <c r="AD66" s="20">
        <v>1120.0242237540399</v>
      </c>
      <c r="AE66" s="78">
        <f t="shared" si="9"/>
        <v>-2.5011104298755527E-12</v>
      </c>
      <c r="AF66" s="29">
        <f t="shared" si="10"/>
        <v>3</v>
      </c>
    </row>
    <row r="67" spans="1:32" ht="15" customHeight="1" x14ac:dyDescent="0.35">
      <c r="A67" s="19" t="s">
        <v>110</v>
      </c>
      <c r="B67" s="19" t="s">
        <v>112</v>
      </c>
      <c r="C67" s="19" t="s">
        <v>118</v>
      </c>
      <c r="D67" s="19" t="s">
        <v>121</v>
      </c>
      <c r="E67" s="19" t="s">
        <v>97</v>
      </c>
      <c r="F67" s="19">
        <v>2</v>
      </c>
      <c r="G67" s="19" t="s">
        <v>211</v>
      </c>
      <c r="H67" s="16">
        <v>5</v>
      </c>
      <c r="I67" s="13">
        <f>IF($G67="Base",1,INDEX(ModelOutput!$D$16:$D$26,MATCH($G67,ModelOutput!$C$16:$C$26,0)))</f>
        <v>1</v>
      </c>
      <c r="J67" s="13">
        <f>IF($A67="Non-greek",1,INDEX(ModelOutput!$D$16:$D$26,MATCH($A67,ModelOutput!$C$16:$C$26,0)))</f>
        <v>1</v>
      </c>
      <c r="K67" s="13">
        <f>IF($C67="Yes",1,INDEX(ModelOutput!$D$16:$D$26,MATCH($C67,ModelOutput!$C$16:$C$26,0)))</f>
        <v>1.5400747552012299</v>
      </c>
      <c r="L67" s="13">
        <f>IF($D67="2.0-3.0",1,INDEX(ModelOutput!$D$16:$D$26,MATCH($D67,ModelOutput!$C$16:$C$26,0)))</f>
        <v>1.12144800201769</v>
      </c>
      <c r="M67" s="13">
        <f>IF($B67="On campus",1,INDEX(ModelOutput!$D$16:$D$26,MATCH($B67,ModelOutput!$C$16:$C$26,0)))</f>
        <v>1.9771404201318099</v>
      </c>
      <c r="N67" s="13">
        <f>IF($B67="On campus",1,INDEX(ModelOutput!$E$16:$E$26,MATCH($B67,ModelOutput!$C$16:$C$26,0)))</f>
        <v>1.9459582144513401</v>
      </c>
      <c r="O67" s="13">
        <f>IF($B67="On campus",1,INDEX(ModelOutput!$F$16:$F$26,MATCH($B67,ModelOutput!$C$16:$C$26,0)))</f>
        <v>2.5135188217196598</v>
      </c>
      <c r="P67" s="13">
        <f>IF($B67="On campus",1,INDEX(ModelOutput!$G$16:$G$26,MATCH($B67,ModelOutput!$C$16:$C$26,0)))</f>
        <v>3.16845056067557</v>
      </c>
      <c r="Q67" s="72">
        <f>INDEX(ModelOutput!$D$9:$D$11,MATCH("Tier "&amp;$F67,ModelOutput!$B$9:$B$11,0))</f>
        <v>42.8051506068728</v>
      </c>
      <c r="R67" s="72">
        <f>INDEX(ModelOutput!$E$9:$E$11,MATCH("Tier "&amp;$F67,ModelOutput!$B$9:$B$11,0))</f>
        <v>126.191618818284</v>
      </c>
      <c r="S67" s="72">
        <f>INDEX(ModelOutput!$F$9:$F$11,MATCH("Tier "&amp;$F67,ModelOutput!$B$9:$B$11,0))</f>
        <v>146.401050261042</v>
      </c>
      <c r="T67" s="72">
        <f>INDEX(ModelOutput!$G$9:$G$11,MATCH("Tier "&amp;$F67,ModelOutput!$B$9:$B$11,0))</f>
        <v>24.317895180076398</v>
      </c>
      <c r="U67" s="76">
        <f t="shared" si="0"/>
        <v>146.1687347702468</v>
      </c>
      <c r="V67" s="76">
        <f t="shared" si="1"/>
        <v>424.11630158791633</v>
      </c>
      <c r="W67" s="76">
        <f t="shared" si="2"/>
        <v>635.54642114128694</v>
      </c>
      <c r="X67" s="76">
        <f t="shared" si="3"/>
        <v>133.07419895899517</v>
      </c>
      <c r="Y67" s="27">
        <f t="shared" si="4"/>
        <v>1338.9056564584453</v>
      </c>
      <c r="Z67" s="27">
        <f t="shared" si="5"/>
        <v>2218.8316446863905</v>
      </c>
      <c r="AA67" s="33">
        <f t="shared" si="6"/>
        <v>0.55573224096659168</v>
      </c>
      <c r="AB67" s="14">
        <f t="shared" si="7"/>
        <v>1782.7872193062994</v>
      </c>
      <c r="AC67" s="29">
        <f t="shared" si="8"/>
        <v>2</v>
      </c>
      <c r="AD67" s="20">
        <v>1338.90565645845</v>
      </c>
      <c r="AE67" s="78">
        <f t="shared" si="9"/>
        <v>-4.7748471843078732E-12</v>
      </c>
      <c r="AF67" s="29">
        <f t="shared" si="10"/>
        <v>2</v>
      </c>
    </row>
    <row r="68" spans="1:32" ht="15" customHeight="1" x14ac:dyDescent="0.35">
      <c r="A68" s="19" t="s">
        <v>110</v>
      </c>
      <c r="B68" s="19" t="s">
        <v>112</v>
      </c>
      <c r="C68" s="19" t="s">
        <v>118</v>
      </c>
      <c r="D68" s="19" t="s">
        <v>121</v>
      </c>
      <c r="E68" s="19" t="s">
        <v>99</v>
      </c>
      <c r="F68" s="19">
        <v>3</v>
      </c>
      <c r="G68" s="19" t="s">
        <v>211</v>
      </c>
      <c r="H68" s="16">
        <v>3</v>
      </c>
      <c r="I68" s="13">
        <f>IF($G68="Base",1,INDEX(ModelOutput!$D$16:$D$26,MATCH($G68,ModelOutput!$C$16:$C$26,0)))</f>
        <v>1</v>
      </c>
      <c r="J68" s="13">
        <f>IF($A68="Non-greek",1,INDEX(ModelOutput!$D$16:$D$26,MATCH($A68,ModelOutput!$C$16:$C$26,0)))</f>
        <v>1</v>
      </c>
      <c r="K68" s="13">
        <f>IF($C68="Yes",1,INDEX(ModelOutput!$D$16:$D$26,MATCH($C68,ModelOutput!$C$16:$C$26,0)))</f>
        <v>1.5400747552012299</v>
      </c>
      <c r="L68" s="13">
        <f>IF($D68="2.0-3.0",1,INDEX(ModelOutput!$D$16:$D$26,MATCH($D68,ModelOutput!$C$16:$C$26,0)))</f>
        <v>1.12144800201769</v>
      </c>
      <c r="M68" s="13">
        <f>IF($B68="On campus",1,INDEX(ModelOutput!$D$16:$D$26,MATCH($B68,ModelOutput!$C$16:$C$26,0)))</f>
        <v>1.9771404201318099</v>
      </c>
      <c r="N68" s="13">
        <f>IF($B68="On campus",1,INDEX(ModelOutput!$E$16:$E$26,MATCH($B68,ModelOutput!$C$16:$C$26,0)))</f>
        <v>1.9459582144513401</v>
      </c>
      <c r="O68" s="13">
        <f>IF($B68="On campus",1,INDEX(ModelOutput!$F$16:$F$26,MATCH($B68,ModelOutput!$C$16:$C$26,0)))</f>
        <v>2.5135188217196598</v>
      </c>
      <c r="P68" s="13">
        <f>IF($B68="On campus",1,INDEX(ModelOutput!$G$16:$G$26,MATCH($B68,ModelOutput!$C$16:$C$26,0)))</f>
        <v>3.16845056067557</v>
      </c>
      <c r="Q68" s="72">
        <f>INDEX(ModelOutput!$D$9:$D$11,MATCH("Tier "&amp;$F68,ModelOutput!$B$9:$B$11,0))</f>
        <v>40.009437343712797</v>
      </c>
      <c r="R68" s="72">
        <f>INDEX(ModelOutput!$E$9:$E$11,MATCH("Tier "&amp;$F68,ModelOutput!$B$9:$B$11,0))</f>
        <v>117.949723218616</v>
      </c>
      <c r="S68" s="72">
        <f>INDEX(ModelOutput!$F$9:$F$11,MATCH("Tier "&amp;$F68,ModelOutput!$B$9:$B$11,0))</f>
        <v>136.83922529015501</v>
      </c>
      <c r="T68" s="72">
        <f>INDEX(ModelOutput!$G$9:$G$11,MATCH("Tier "&amp;$F68,ModelOutput!$B$9:$B$11,0))</f>
        <v>22.729631592092201</v>
      </c>
      <c r="U68" s="76">
        <f t="shared" si="0"/>
        <v>136.62208291497021</v>
      </c>
      <c r="V68" s="76">
        <f t="shared" si="1"/>
        <v>396.41618717034578</v>
      </c>
      <c r="W68" s="76">
        <f t="shared" si="2"/>
        <v>594.0372678326803</v>
      </c>
      <c r="X68" s="76">
        <f t="shared" si="3"/>
        <v>124.38278454415301</v>
      </c>
      <c r="Y68" s="27">
        <f t="shared" si="4"/>
        <v>1251.4583224621495</v>
      </c>
      <c r="Z68" s="27">
        <f t="shared" si="5"/>
        <v>2076.6354622447357</v>
      </c>
      <c r="AA68" s="33">
        <f t="shared" si="6"/>
        <v>0.45603148805159677</v>
      </c>
      <c r="AB68" s="14">
        <f t="shared" si="7"/>
        <v>1782.7872193062994</v>
      </c>
      <c r="AC68" s="29">
        <f t="shared" si="8"/>
        <v>2</v>
      </c>
      <c r="AD68" s="20">
        <v>1251.4583224621499</v>
      </c>
      <c r="AE68" s="78">
        <f t="shared" si="9"/>
        <v>0</v>
      </c>
      <c r="AF68" s="29">
        <f t="shared" si="10"/>
        <v>1</v>
      </c>
    </row>
    <row r="69" spans="1:32" ht="15" customHeight="1" x14ac:dyDescent="0.35">
      <c r="A69" s="19" t="s">
        <v>110</v>
      </c>
      <c r="B69" s="19" t="s">
        <v>112</v>
      </c>
      <c r="C69" s="19" t="s">
        <v>118</v>
      </c>
      <c r="D69" s="19" t="s">
        <v>121</v>
      </c>
      <c r="E69" s="19" t="s">
        <v>213</v>
      </c>
      <c r="F69" s="19">
        <v>3</v>
      </c>
      <c r="G69" s="19" t="s">
        <v>107</v>
      </c>
      <c r="H69" s="16">
        <v>1</v>
      </c>
      <c r="I69" s="13">
        <f>IF($G69="Base",1,INDEX(ModelOutput!$D$16:$D$26,MATCH($G69,ModelOutput!$C$16:$C$26,0)))</f>
        <v>1.1906804269762199</v>
      </c>
      <c r="J69" s="13">
        <f>IF($A69="Non-greek",1,INDEX(ModelOutput!$D$16:$D$26,MATCH($A69,ModelOutput!$C$16:$C$26,0)))</f>
        <v>1</v>
      </c>
      <c r="K69" s="13">
        <f>IF($C69="Yes",1,INDEX(ModelOutput!$D$16:$D$26,MATCH($C69,ModelOutput!$C$16:$C$26,0)))</f>
        <v>1.5400747552012299</v>
      </c>
      <c r="L69" s="13">
        <f>IF($D69="2.0-3.0",1,INDEX(ModelOutput!$D$16:$D$26,MATCH($D69,ModelOutput!$C$16:$C$26,0)))</f>
        <v>1.12144800201769</v>
      </c>
      <c r="M69" s="13">
        <f>IF($B69="On campus",1,INDEX(ModelOutput!$D$16:$D$26,MATCH($B69,ModelOutput!$C$16:$C$26,0)))</f>
        <v>1.9771404201318099</v>
      </c>
      <c r="N69" s="13">
        <f>IF($B69="On campus",1,INDEX(ModelOutput!$E$16:$E$26,MATCH($B69,ModelOutput!$C$16:$C$26,0)))</f>
        <v>1.9459582144513401</v>
      </c>
      <c r="O69" s="13">
        <f>IF($B69="On campus",1,INDEX(ModelOutput!$F$16:$F$26,MATCH($B69,ModelOutput!$C$16:$C$26,0)))</f>
        <v>2.5135188217196598</v>
      </c>
      <c r="P69" s="13">
        <f>IF($B69="On campus",1,INDEX(ModelOutput!$G$16:$G$26,MATCH($B69,ModelOutput!$C$16:$C$26,0)))</f>
        <v>3.16845056067557</v>
      </c>
      <c r="Q69" s="72">
        <f>INDEX(ModelOutput!$D$9:$D$11,MATCH("Tier "&amp;$F69,ModelOutput!$B$9:$B$11,0))</f>
        <v>40.009437343712797</v>
      </c>
      <c r="R69" s="72">
        <f>INDEX(ModelOutput!$E$9:$E$11,MATCH("Tier "&amp;$F69,ModelOutput!$B$9:$B$11,0))</f>
        <v>117.949723218616</v>
      </c>
      <c r="S69" s="72">
        <f>INDEX(ModelOutput!$F$9:$F$11,MATCH("Tier "&amp;$F69,ModelOutput!$B$9:$B$11,0))</f>
        <v>136.83922529015501</v>
      </c>
      <c r="T69" s="72">
        <f>INDEX(ModelOutput!$G$9:$G$11,MATCH("Tier "&amp;$F69,ModelOutput!$B$9:$B$11,0))</f>
        <v>22.729631592092201</v>
      </c>
      <c r="U69" s="76">
        <f t="shared" ref="U69:U132" si="11">$Q69*$I69*$J69*$K69*$L69*$M69</f>
        <v>162.67324001957724</v>
      </c>
      <c r="V69" s="76">
        <f t="shared" ref="V69:V132" si="12">$R69*$I69*$J69*$K69*$L69*$N69</f>
        <v>472.0049950002724</v>
      </c>
      <c r="W69" s="76">
        <f t="shared" ref="W69:W132" si="13">$S69*$I69*$J69*$K69*$L69*$O69</f>
        <v>707.30854770280291</v>
      </c>
      <c r="X69" s="76">
        <f t="shared" ref="X69:X132" si="14">$T69*$I69*$J69*$K69*$L69*$P69</f>
        <v>148.10014700952328</v>
      </c>
      <c r="Y69" s="27">
        <f t="shared" ref="Y69:Y132" si="15">SUM(U69:X69)</f>
        <v>1490.0869297321758</v>
      </c>
      <c r="Z69" s="27">
        <f t="shared" ref="Z69:Z132" si="16">$Y69*GROSS_MULT+POLICY_FEE</f>
        <v>2464.6641810688452</v>
      </c>
      <c r="AA69" s="33">
        <f t="shared" ref="AA69:AA132" si="17">$Z69/CURRENT_FLAT-1</f>
        <v>0.72809755027009815</v>
      </c>
      <c r="AB69" s="14">
        <f t="shared" ref="AB69:AB132" si="18">MEDIAN(CURRENT_FLAT*(1-CAP_DOWN),$Z69,CURRENT_FLAT*(1+CAP_UP))</f>
        <v>1782.7872193062994</v>
      </c>
      <c r="AC69" s="29">
        <f t="shared" ref="AC69:AC132" si="19">IF($Z69&gt;CURRENT_FLAT,ROUNDUP(LN($Z69/CURRENT_FLAT)/LN(1+CAP_UP),0),IF($Z69&lt;CURRENT_FLAT,ROUNDUP(LN($Z69/CURRENT_FLAT)/LN(1-CAP_DOWN),0),0))</f>
        <v>3</v>
      </c>
      <c r="AD69" s="20">
        <v>1490.0869297321799</v>
      </c>
      <c r="AE69" s="78">
        <f t="shared" ref="AE69:AE132" si="20">$Y69-$AD69</f>
        <v>-4.0927261579781771E-12</v>
      </c>
      <c r="AF69" s="29">
        <f t="shared" ref="AF69:AF132" si="21">IF($E69="Freshman",4,IF($E69="Sophomore",3,IF($E69="Junior",2,IF($E69="Senior",1,2))))</f>
        <v>2</v>
      </c>
    </row>
    <row r="70" spans="1:32" ht="15" customHeight="1" x14ac:dyDescent="0.35">
      <c r="A70" s="37" t="s">
        <v>110</v>
      </c>
      <c r="B70" s="37" t="s">
        <v>112</v>
      </c>
      <c r="C70" s="37" t="s">
        <v>118</v>
      </c>
      <c r="D70" s="37" t="s">
        <v>123</v>
      </c>
      <c r="E70" s="37" t="s">
        <v>95</v>
      </c>
      <c r="F70" s="37">
        <v>1</v>
      </c>
      <c r="G70" s="37" t="s">
        <v>211</v>
      </c>
      <c r="H70" s="38">
        <v>12</v>
      </c>
      <c r="I70" s="39">
        <f>IF($G70="Base",1,INDEX(ModelOutput!$D$16:$D$26,MATCH($G70,ModelOutput!$C$16:$C$26,0)))</f>
        <v>1</v>
      </c>
      <c r="J70" s="39">
        <f>IF($A70="Non-greek",1,INDEX(ModelOutput!$D$16:$D$26,MATCH($A70,ModelOutput!$C$16:$C$26,0)))</f>
        <v>1</v>
      </c>
      <c r="K70" s="39">
        <f>IF($C70="Yes",1,INDEX(ModelOutput!$D$16:$D$26,MATCH($C70,ModelOutput!$C$16:$C$26,0)))</f>
        <v>1.5400747552012299</v>
      </c>
      <c r="L70" s="39">
        <f>IF($D70="2.0-3.0",1,INDEX(ModelOutput!$D$16:$D$26,MATCH($D70,ModelOutput!$C$16:$C$26,0)))</f>
        <v>1.01762556011242</v>
      </c>
      <c r="M70" s="39">
        <f>IF($B70="On campus",1,INDEX(ModelOutput!$D$16:$D$26,MATCH($B70,ModelOutput!$C$16:$C$26,0)))</f>
        <v>1.9771404201318099</v>
      </c>
      <c r="N70" s="39">
        <f>IF($B70="On campus",1,INDEX(ModelOutput!$E$16:$E$26,MATCH($B70,ModelOutput!$C$16:$C$26,0)))</f>
        <v>1.9459582144513401</v>
      </c>
      <c r="O70" s="39">
        <f>IF($B70="On campus",1,INDEX(ModelOutput!$F$16:$F$26,MATCH($B70,ModelOutput!$C$16:$C$26,0)))</f>
        <v>2.5135188217196598</v>
      </c>
      <c r="P70" s="39">
        <f>IF($B70="On campus",1,INDEX(ModelOutput!$G$16:$G$26,MATCH($B70,ModelOutput!$C$16:$C$26,0)))</f>
        <v>3.16845056067557</v>
      </c>
      <c r="Q70" s="73">
        <f>INDEX(ModelOutput!$D$9:$D$11,MATCH("Tier "&amp;$F70,ModelOutput!$B$9:$B$11,0))</f>
        <v>36.175496869914397</v>
      </c>
      <c r="R70" s="73">
        <f>INDEX(ModelOutput!$E$9:$E$11,MATCH("Tier "&amp;$F70,ModelOutput!$B$9:$B$11,0))</f>
        <v>106.647084447761</v>
      </c>
      <c r="S70" s="73">
        <f>INDEX(ModelOutput!$F$9:$F$11,MATCH("Tier "&amp;$F70,ModelOutput!$B$9:$B$11,0))</f>
        <v>123.726482920496</v>
      </c>
      <c r="T70" s="73">
        <f>INDEX(ModelOutput!$G$9:$G$11,MATCH("Tier "&amp;$F70,ModelOutput!$B$9:$B$11,0))</f>
        <v>20.551544113210401</v>
      </c>
      <c r="U70" s="77">
        <f t="shared" si="11"/>
        <v>112.093861008156</v>
      </c>
      <c r="V70" s="77">
        <f t="shared" si="12"/>
        <v>325.24625622720026</v>
      </c>
      <c r="W70" s="77">
        <f t="shared" si="13"/>
        <v>487.38775982169722</v>
      </c>
      <c r="X70" s="77">
        <f t="shared" si="14"/>
        <v>102.05192502574565</v>
      </c>
      <c r="Y70" s="30">
        <f t="shared" si="15"/>
        <v>1026.7798020827993</v>
      </c>
      <c r="Z70" s="30">
        <f t="shared" si="16"/>
        <v>1711.2906722487769</v>
      </c>
      <c r="AA70" s="41">
        <f t="shared" si="17"/>
        <v>0.19987024651395124</v>
      </c>
      <c r="AB70" s="40">
        <f t="shared" si="18"/>
        <v>1711.2906722487769</v>
      </c>
      <c r="AC70" s="42">
        <f t="shared" si="19"/>
        <v>1</v>
      </c>
      <c r="AD70" s="43">
        <v>1026.7798020828</v>
      </c>
      <c r="AE70" s="79">
        <f t="shared" si="20"/>
        <v>0</v>
      </c>
      <c r="AF70" s="29">
        <f t="shared" si="21"/>
        <v>4</v>
      </c>
    </row>
    <row r="71" spans="1:32" ht="15" customHeight="1" x14ac:dyDescent="0.35">
      <c r="A71" s="37" t="s">
        <v>110</v>
      </c>
      <c r="B71" s="37" t="s">
        <v>112</v>
      </c>
      <c r="C71" s="37" t="s">
        <v>118</v>
      </c>
      <c r="D71" s="37" t="s">
        <v>123</v>
      </c>
      <c r="E71" s="37" t="s">
        <v>105</v>
      </c>
      <c r="F71" s="37">
        <v>1</v>
      </c>
      <c r="G71" s="37" t="s">
        <v>105</v>
      </c>
      <c r="H71" s="38">
        <v>11</v>
      </c>
      <c r="I71" s="39">
        <f>IF($G71="Base",1,INDEX(ModelOutput!$D$16:$D$26,MATCH($G71,ModelOutput!$C$16:$C$26,0)))</f>
        <v>0.98982624281990295</v>
      </c>
      <c r="J71" s="39">
        <f>IF($A71="Non-greek",1,INDEX(ModelOutput!$D$16:$D$26,MATCH($A71,ModelOutput!$C$16:$C$26,0)))</f>
        <v>1</v>
      </c>
      <c r="K71" s="39">
        <f>IF($C71="Yes",1,INDEX(ModelOutput!$D$16:$D$26,MATCH($C71,ModelOutput!$C$16:$C$26,0)))</f>
        <v>1.5400747552012299</v>
      </c>
      <c r="L71" s="39">
        <f>IF($D71="2.0-3.0",1,INDEX(ModelOutput!$D$16:$D$26,MATCH($D71,ModelOutput!$C$16:$C$26,0)))</f>
        <v>1.01762556011242</v>
      </c>
      <c r="M71" s="39">
        <f>IF($B71="On campus",1,INDEX(ModelOutput!$D$16:$D$26,MATCH($B71,ModelOutput!$C$16:$C$26,0)))</f>
        <v>1.9771404201318099</v>
      </c>
      <c r="N71" s="39">
        <f>IF($B71="On campus",1,INDEX(ModelOutput!$E$16:$E$26,MATCH($B71,ModelOutput!$C$16:$C$26,0)))</f>
        <v>1.9459582144513401</v>
      </c>
      <c r="O71" s="39">
        <f>IF($B71="On campus",1,INDEX(ModelOutput!$F$16:$F$26,MATCH($B71,ModelOutput!$C$16:$C$26,0)))</f>
        <v>2.5135188217196598</v>
      </c>
      <c r="P71" s="39">
        <f>IF($B71="On campus",1,INDEX(ModelOutput!$G$16:$G$26,MATCH($B71,ModelOutput!$C$16:$C$26,0)))</f>
        <v>3.16845056067557</v>
      </c>
      <c r="Q71" s="73">
        <f>INDEX(ModelOutput!$D$9:$D$11,MATCH("Tier "&amp;$F71,ModelOutput!$B$9:$B$11,0))</f>
        <v>36.175496869914397</v>
      </c>
      <c r="R71" s="73">
        <f>INDEX(ModelOutput!$E$9:$E$11,MATCH("Tier "&amp;$F71,ModelOutput!$B$9:$B$11,0))</f>
        <v>106.647084447761</v>
      </c>
      <c r="S71" s="73">
        <f>INDEX(ModelOutput!$F$9:$F$11,MATCH("Tier "&amp;$F71,ModelOutput!$B$9:$B$11,0))</f>
        <v>123.726482920496</v>
      </c>
      <c r="T71" s="73">
        <f>INDEX(ModelOutput!$G$9:$G$11,MATCH("Tier "&amp;$F71,ModelOutput!$B$9:$B$11,0))</f>
        <v>20.551544113210401</v>
      </c>
      <c r="U71" s="77">
        <f t="shared" si="11"/>
        <v>110.95344528487949</v>
      </c>
      <c r="V71" s="77">
        <f t="shared" si="12"/>
        <v>321.9372797926091</v>
      </c>
      <c r="W71" s="77">
        <f t="shared" si="13"/>
        <v>482.42919510071982</v>
      </c>
      <c r="X71" s="77">
        <f t="shared" si="14"/>
        <v>101.01367352077222</v>
      </c>
      <c r="Y71" s="30">
        <f t="shared" si="15"/>
        <v>1016.3335936989806</v>
      </c>
      <c r="Z71" s="30">
        <f t="shared" si="16"/>
        <v>1694.3043230339233</v>
      </c>
      <c r="AA71" s="41">
        <f t="shared" si="17"/>
        <v>0.18796027975592766</v>
      </c>
      <c r="AB71" s="40">
        <f t="shared" si="18"/>
        <v>1694.3043230339233</v>
      </c>
      <c r="AC71" s="42">
        <f t="shared" si="19"/>
        <v>1</v>
      </c>
      <c r="AD71" s="43">
        <v>1016.3335936989801</v>
      </c>
      <c r="AE71" s="79">
        <f t="shared" si="20"/>
        <v>0</v>
      </c>
      <c r="AF71" s="29">
        <f t="shared" si="21"/>
        <v>3</v>
      </c>
    </row>
    <row r="72" spans="1:32" ht="15" customHeight="1" x14ac:dyDescent="0.35">
      <c r="A72" s="37" t="s">
        <v>110</v>
      </c>
      <c r="B72" s="37" t="s">
        <v>112</v>
      </c>
      <c r="C72" s="37" t="s">
        <v>118</v>
      </c>
      <c r="D72" s="37" t="s">
        <v>123</v>
      </c>
      <c r="E72" s="37" t="s">
        <v>97</v>
      </c>
      <c r="F72" s="37">
        <v>2</v>
      </c>
      <c r="G72" s="37" t="s">
        <v>211</v>
      </c>
      <c r="H72" s="38">
        <v>8</v>
      </c>
      <c r="I72" s="39">
        <f>IF($G72="Base",1,INDEX(ModelOutput!$D$16:$D$26,MATCH($G72,ModelOutput!$C$16:$C$26,0)))</f>
        <v>1</v>
      </c>
      <c r="J72" s="39">
        <f>IF($A72="Non-greek",1,INDEX(ModelOutput!$D$16:$D$26,MATCH($A72,ModelOutput!$C$16:$C$26,0)))</f>
        <v>1</v>
      </c>
      <c r="K72" s="39">
        <f>IF($C72="Yes",1,INDEX(ModelOutput!$D$16:$D$26,MATCH($C72,ModelOutput!$C$16:$C$26,0)))</f>
        <v>1.5400747552012299</v>
      </c>
      <c r="L72" s="39">
        <f>IF($D72="2.0-3.0",1,INDEX(ModelOutput!$D$16:$D$26,MATCH($D72,ModelOutput!$C$16:$C$26,0)))</f>
        <v>1.01762556011242</v>
      </c>
      <c r="M72" s="39">
        <f>IF($B72="On campus",1,INDEX(ModelOutput!$D$16:$D$26,MATCH($B72,ModelOutput!$C$16:$C$26,0)))</f>
        <v>1.9771404201318099</v>
      </c>
      <c r="N72" s="39">
        <f>IF($B72="On campus",1,INDEX(ModelOutput!$E$16:$E$26,MATCH($B72,ModelOutput!$C$16:$C$26,0)))</f>
        <v>1.9459582144513401</v>
      </c>
      <c r="O72" s="39">
        <f>IF($B72="On campus",1,INDEX(ModelOutput!$F$16:$F$26,MATCH($B72,ModelOutput!$C$16:$C$26,0)))</f>
        <v>2.5135188217196598</v>
      </c>
      <c r="P72" s="39">
        <f>IF($B72="On campus",1,INDEX(ModelOutput!$G$16:$G$26,MATCH($B72,ModelOutput!$C$16:$C$26,0)))</f>
        <v>3.16845056067557</v>
      </c>
      <c r="Q72" s="73">
        <f>INDEX(ModelOutput!$D$9:$D$11,MATCH("Tier "&amp;$F72,ModelOutput!$B$9:$B$11,0))</f>
        <v>42.8051506068728</v>
      </c>
      <c r="R72" s="73">
        <f>INDEX(ModelOutput!$E$9:$E$11,MATCH("Tier "&amp;$F72,ModelOutput!$B$9:$B$11,0))</f>
        <v>126.191618818284</v>
      </c>
      <c r="S72" s="73">
        <f>INDEX(ModelOutput!$F$9:$F$11,MATCH("Tier "&amp;$F72,ModelOutput!$B$9:$B$11,0))</f>
        <v>146.401050261042</v>
      </c>
      <c r="T72" s="73">
        <f>INDEX(ModelOutput!$G$9:$G$11,MATCH("Tier "&amp;$F72,ModelOutput!$B$9:$B$11,0))</f>
        <v>24.317895180076398</v>
      </c>
      <c r="U72" s="77">
        <f t="shared" si="11"/>
        <v>132.63659155295355</v>
      </c>
      <c r="V72" s="77">
        <f t="shared" si="12"/>
        <v>384.852073551069</v>
      </c>
      <c r="W72" s="77">
        <f t="shared" si="13"/>
        <v>576.70822153833944</v>
      </c>
      <c r="X72" s="77">
        <f t="shared" si="14"/>
        <v>120.75433369047362</v>
      </c>
      <c r="Y72" s="30">
        <f t="shared" si="15"/>
        <v>1214.9512203328356</v>
      </c>
      <c r="Z72" s="30">
        <f t="shared" si="16"/>
        <v>2017.2720681015144</v>
      </c>
      <c r="AA72" s="41">
        <f t="shared" si="17"/>
        <v>0.4144088861642552</v>
      </c>
      <c r="AB72" s="40">
        <f t="shared" si="18"/>
        <v>1782.7872193062994</v>
      </c>
      <c r="AC72" s="42">
        <f t="shared" si="19"/>
        <v>2</v>
      </c>
      <c r="AD72" s="43">
        <v>1214.95122033284</v>
      </c>
      <c r="AE72" s="79">
        <f t="shared" si="20"/>
        <v>-4.3200998334214091E-12</v>
      </c>
      <c r="AF72" s="29">
        <f t="shared" si="21"/>
        <v>2</v>
      </c>
    </row>
    <row r="73" spans="1:32" ht="15" customHeight="1" x14ac:dyDescent="0.35">
      <c r="A73" s="37" t="s">
        <v>110</v>
      </c>
      <c r="B73" s="37" t="s">
        <v>112</v>
      </c>
      <c r="C73" s="37" t="s">
        <v>118</v>
      </c>
      <c r="D73" s="37" t="s">
        <v>123</v>
      </c>
      <c r="E73" s="37" t="s">
        <v>99</v>
      </c>
      <c r="F73" s="37">
        <v>3</v>
      </c>
      <c r="G73" s="37" t="s">
        <v>211</v>
      </c>
      <c r="H73" s="38">
        <v>6</v>
      </c>
      <c r="I73" s="39">
        <f>IF($G73="Base",1,INDEX(ModelOutput!$D$16:$D$26,MATCH($G73,ModelOutput!$C$16:$C$26,0)))</f>
        <v>1</v>
      </c>
      <c r="J73" s="39">
        <f>IF($A73="Non-greek",1,INDEX(ModelOutput!$D$16:$D$26,MATCH($A73,ModelOutput!$C$16:$C$26,0)))</f>
        <v>1</v>
      </c>
      <c r="K73" s="39">
        <f>IF($C73="Yes",1,INDEX(ModelOutput!$D$16:$D$26,MATCH($C73,ModelOutput!$C$16:$C$26,0)))</f>
        <v>1.5400747552012299</v>
      </c>
      <c r="L73" s="39">
        <f>IF($D73="2.0-3.0",1,INDEX(ModelOutput!$D$16:$D$26,MATCH($D73,ModelOutput!$C$16:$C$26,0)))</f>
        <v>1.01762556011242</v>
      </c>
      <c r="M73" s="39">
        <f>IF($B73="On campus",1,INDEX(ModelOutput!$D$16:$D$26,MATCH($B73,ModelOutput!$C$16:$C$26,0)))</f>
        <v>1.9771404201318099</v>
      </c>
      <c r="N73" s="39">
        <f>IF($B73="On campus",1,INDEX(ModelOutput!$E$16:$E$26,MATCH($B73,ModelOutput!$C$16:$C$26,0)))</f>
        <v>1.9459582144513401</v>
      </c>
      <c r="O73" s="39">
        <f>IF($B73="On campus",1,INDEX(ModelOutput!$F$16:$F$26,MATCH($B73,ModelOutput!$C$16:$C$26,0)))</f>
        <v>2.5135188217196598</v>
      </c>
      <c r="P73" s="39">
        <f>IF($B73="On campus",1,INDEX(ModelOutput!$G$16:$G$26,MATCH($B73,ModelOutput!$C$16:$C$26,0)))</f>
        <v>3.16845056067557</v>
      </c>
      <c r="Q73" s="73">
        <f>INDEX(ModelOutput!$D$9:$D$11,MATCH("Tier "&amp;$F73,ModelOutput!$B$9:$B$11,0))</f>
        <v>40.009437343712797</v>
      </c>
      <c r="R73" s="73">
        <f>INDEX(ModelOutput!$E$9:$E$11,MATCH("Tier "&amp;$F73,ModelOutput!$B$9:$B$11,0))</f>
        <v>117.949723218616</v>
      </c>
      <c r="S73" s="73">
        <f>INDEX(ModelOutput!$F$9:$F$11,MATCH("Tier "&amp;$F73,ModelOutput!$B$9:$B$11,0))</f>
        <v>136.83922529015501</v>
      </c>
      <c r="T73" s="73">
        <f>INDEX(ModelOutput!$G$9:$G$11,MATCH("Tier "&amp;$F73,ModelOutput!$B$9:$B$11,0))</f>
        <v>22.729631592092201</v>
      </c>
      <c r="U73" s="77">
        <f t="shared" si="11"/>
        <v>123.97375839087628</v>
      </c>
      <c r="V73" s="77">
        <f t="shared" si="12"/>
        <v>359.71640573709777</v>
      </c>
      <c r="W73" s="77">
        <f t="shared" si="13"/>
        <v>539.04194070368249</v>
      </c>
      <c r="X73" s="77">
        <f t="shared" si="14"/>
        <v>112.86756101250741</v>
      </c>
      <c r="Y73" s="30">
        <f t="shared" si="15"/>
        <v>1135.5996658441641</v>
      </c>
      <c r="Z73" s="30">
        <f t="shared" si="16"/>
        <v>1888.240254283405</v>
      </c>
      <c r="AA73" s="41">
        <f t="shared" si="17"/>
        <v>0.32393832101436804</v>
      </c>
      <c r="AB73" s="40">
        <f t="shared" si="18"/>
        <v>1782.7872193062994</v>
      </c>
      <c r="AC73" s="42">
        <f t="shared" si="19"/>
        <v>2</v>
      </c>
      <c r="AD73" s="43">
        <v>1135.59966584417</v>
      </c>
      <c r="AE73" s="79">
        <f t="shared" si="20"/>
        <v>-5.9117155615240335E-12</v>
      </c>
      <c r="AF73" s="29">
        <f t="shared" si="21"/>
        <v>1</v>
      </c>
    </row>
    <row r="74" spans="1:32" ht="15" customHeight="1" x14ac:dyDescent="0.35">
      <c r="A74" s="37" t="s">
        <v>110</v>
      </c>
      <c r="B74" s="37" t="s">
        <v>112</v>
      </c>
      <c r="C74" s="37" t="s">
        <v>118</v>
      </c>
      <c r="D74" s="37" t="s">
        <v>123</v>
      </c>
      <c r="E74" s="37" t="s">
        <v>213</v>
      </c>
      <c r="F74" s="37">
        <v>3</v>
      </c>
      <c r="G74" s="37" t="s">
        <v>107</v>
      </c>
      <c r="H74" s="38">
        <v>4</v>
      </c>
      <c r="I74" s="39">
        <f>IF($G74="Base",1,INDEX(ModelOutput!$D$16:$D$26,MATCH($G74,ModelOutput!$C$16:$C$26,0)))</f>
        <v>1.1906804269762199</v>
      </c>
      <c r="J74" s="39">
        <f>IF($A74="Non-greek",1,INDEX(ModelOutput!$D$16:$D$26,MATCH($A74,ModelOutput!$C$16:$C$26,0)))</f>
        <v>1</v>
      </c>
      <c r="K74" s="39">
        <f>IF($C74="Yes",1,INDEX(ModelOutput!$D$16:$D$26,MATCH($C74,ModelOutput!$C$16:$C$26,0)))</f>
        <v>1.5400747552012299</v>
      </c>
      <c r="L74" s="39">
        <f>IF($D74="2.0-3.0",1,INDEX(ModelOutput!$D$16:$D$26,MATCH($D74,ModelOutput!$C$16:$C$26,0)))</f>
        <v>1.01762556011242</v>
      </c>
      <c r="M74" s="39">
        <f>IF($B74="On campus",1,INDEX(ModelOutput!$D$16:$D$26,MATCH($B74,ModelOutput!$C$16:$C$26,0)))</f>
        <v>1.9771404201318099</v>
      </c>
      <c r="N74" s="39">
        <f>IF($B74="On campus",1,INDEX(ModelOutput!$E$16:$E$26,MATCH($B74,ModelOutput!$C$16:$C$26,0)))</f>
        <v>1.9459582144513401</v>
      </c>
      <c r="O74" s="39">
        <f>IF($B74="On campus",1,INDEX(ModelOutput!$F$16:$F$26,MATCH($B74,ModelOutput!$C$16:$C$26,0)))</f>
        <v>2.5135188217196598</v>
      </c>
      <c r="P74" s="39">
        <f>IF($B74="On campus",1,INDEX(ModelOutput!$G$16:$G$26,MATCH($B74,ModelOutput!$C$16:$C$26,0)))</f>
        <v>3.16845056067557</v>
      </c>
      <c r="Q74" s="73">
        <f>INDEX(ModelOutput!$D$9:$D$11,MATCH("Tier "&amp;$F74,ModelOutput!$B$9:$B$11,0))</f>
        <v>40.009437343712797</v>
      </c>
      <c r="R74" s="73">
        <f>INDEX(ModelOutput!$E$9:$E$11,MATCH("Tier "&amp;$F74,ModelOutput!$B$9:$B$11,0))</f>
        <v>117.949723218616</v>
      </c>
      <c r="S74" s="73">
        <f>INDEX(ModelOutput!$F$9:$F$11,MATCH("Tier "&amp;$F74,ModelOutput!$B$9:$B$11,0))</f>
        <v>136.83922529015501</v>
      </c>
      <c r="T74" s="73">
        <f>INDEX(ModelOutput!$G$9:$G$11,MATCH("Tier "&amp;$F74,ModelOutput!$B$9:$B$11,0))</f>
        <v>22.729631592092201</v>
      </c>
      <c r="U74" s="77">
        <f t="shared" si="11"/>
        <v>147.61312757469528</v>
      </c>
      <c r="V74" s="77">
        <f t="shared" si="12"/>
        <v>428.30728357339876</v>
      </c>
      <c r="W74" s="77">
        <f t="shared" si="13"/>
        <v>641.826688115151</v>
      </c>
      <c r="X74" s="77">
        <f t="shared" si="14"/>
        <v>134.38919573813689</v>
      </c>
      <c r="Y74" s="30">
        <f t="shared" si="15"/>
        <v>1352.1362950013818</v>
      </c>
      <c r="Z74" s="30">
        <f t="shared" si="16"/>
        <v>2240.3456944131744</v>
      </c>
      <c r="AA74" s="41">
        <f t="shared" si="17"/>
        <v>0.57081680174156979</v>
      </c>
      <c r="AB74" s="40">
        <f t="shared" si="18"/>
        <v>1782.7872193062994</v>
      </c>
      <c r="AC74" s="42">
        <f t="shared" si="19"/>
        <v>3</v>
      </c>
      <c r="AD74" s="43">
        <v>1352.1362950013799</v>
      </c>
      <c r="AE74" s="79">
        <f t="shared" si="20"/>
        <v>1.8189894035458565E-12</v>
      </c>
      <c r="AF74" s="29">
        <f t="shared" si="21"/>
        <v>2</v>
      </c>
    </row>
    <row r="75" spans="1:32" ht="15" customHeight="1" x14ac:dyDescent="0.35">
      <c r="A75" s="19" t="s">
        <v>110</v>
      </c>
      <c r="B75" s="19" t="s">
        <v>112</v>
      </c>
      <c r="C75" s="19" t="s">
        <v>118</v>
      </c>
      <c r="D75" s="19" t="s">
        <v>122</v>
      </c>
      <c r="E75" s="19" t="s">
        <v>95</v>
      </c>
      <c r="F75" s="19">
        <v>1</v>
      </c>
      <c r="G75" s="19" t="s">
        <v>211</v>
      </c>
      <c r="H75" s="16">
        <v>21</v>
      </c>
      <c r="I75" s="13">
        <f>IF($G75="Base",1,INDEX(ModelOutput!$D$16:$D$26,MATCH($G75,ModelOutput!$C$16:$C$26,0)))</f>
        <v>1</v>
      </c>
      <c r="J75" s="13">
        <f>IF($A75="Non-greek",1,INDEX(ModelOutput!$D$16:$D$26,MATCH($A75,ModelOutput!$C$16:$C$26,0)))</f>
        <v>1</v>
      </c>
      <c r="K75" s="13">
        <f>IF($C75="Yes",1,INDEX(ModelOutput!$D$16:$D$26,MATCH($C75,ModelOutput!$C$16:$C$26,0)))</f>
        <v>1.5400747552012299</v>
      </c>
      <c r="L75" s="13">
        <f>IF($D75="2.0-3.0",1,INDEX(ModelOutput!$D$16:$D$26,MATCH($D75,ModelOutput!$C$16:$C$26,0)))</f>
        <v>1</v>
      </c>
      <c r="M75" s="13">
        <f>IF($B75="On campus",1,INDEX(ModelOutput!$D$16:$D$26,MATCH($B75,ModelOutput!$C$16:$C$26,0)))</f>
        <v>1.9771404201318099</v>
      </c>
      <c r="N75" s="13">
        <f>IF($B75="On campus",1,INDEX(ModelOutput!$E$16:$E$26,MATCH($B75,ModelOutput!$C$16:$C$26,0)))</f>
        <v>1.9459582144513401</v>
      </c>
      <c r="O75" s="13">
        <f>IF($B75="On campus",1,INDEX(ModelOutput!$F$16:$F$26,MATCH($B75,ModelOutput!$C$16:$C$26,0)))</f>
        <v>2.5135188217196598</v>
      </c>
      <c r="P75" s="13">
        <f>IF($B75="On campus",1,INDEX(ModelOutput!$G$16:$G$26,MATCH($B75,ModelOutput!$C$16:$C$26,0)))</f>
        <v>3.16845056067557</v>
      </c>
      <c r="Q75" s="72">
        <f>INDEX(ModelOutput!$D$9:$D$11,MATCH("Tier "&amp;$F75,ModelOutput!$B$9:$B$11,0))</f>
        <v>36.175496869914397</v>
      </c>
      <c r="R75" s="72">
        <f>INDEX(ModelOutput!$E$9:$E$11,MATCH("Tier "&amp;$F75,ModelOutput!$B$9:$B$11,0))</f>
        <v>106.647084447761</v>
      </c>
      <c r="S75" s="72">
        <f>INDEX(ModelOutput!$F$9:$F$11,MATCH("Tier "&amp;$F75,ModelOutput!$B$9:$B$11,0))</f>
        <v>123.726482920496</v>
      </c>
      <c r="T75" s="72">
        <f>INDEX(ModelOutput!$G$9:$G$11,MATCH("Tier "&amp;$F75,ModelOutput!$B$9:$B$11,0))</f>
        <v>20.551544113210401</v>
      </c>
      <c r="U75" s="76">
        <f t="shared" si="11"/>
        <v>110.15236389676835</v>
      </c>
      <c r="V75" s="76">
        <f t="shared" si="12"/>
        <v>319.61289984822054</v>
      </c>
      <c r="W75" s="76">
        <f t="shared" si="13"/>
        <v>478.94606712497875</v>
      </c>
      <c r="X75" s="76">
        <f t="shared" si="14"/>
        <v>100.28435706201373</v>
      </c>
      <c r="Y75" s="27">
        <f t="shared" si="15"/>
        <v>1008.9956879319814</v>
      </c>
      <c r="Z75" s="27">
        <f t="shared" si="16"/>
        <v>1682.3723161962066</v>
      </c>
      <c r="AA75" s="33">
        <f t="shared" si="17"/>
        <v>0.17959416158678954</v>
      </c>
      <c r="AB75" s="14">
        <f t="shared" si="18"/>
        <v>1682.3723161962066</v>
      </c>
      <c r="AC75" s="29">
        <f t="shared" si="19"/>
        <v>1</v>
      </c>
      <c r="AD75" s="20">
        <v>1008.99568793198</v>
      </c>
      <c r="AE75" s="78">
        <f t="shared" si="20"/>
        <v>1.3642420526593924E-12</v>
      </c>
      <c r="AF75" s="29">
        <f t="shared" si="21"/>
        <v>4</v>
      </c>
    </row>
    <row r="76" spans="1:32" ht="15" customHeight="1" x14ac:dyDescent="0.35">
      <c r="A76" s="19" t="s">
        <v>110</v>
      </c>
      <c r="B76" s="19" t="s">
        <v>112</v>
      </c>
      <c r="C76" s="19" t="s">
        <v>118</v>
      </c>
      <c r="D76" s="19" t="s">
        <v>122</v>
      </c>
      <c r="E76" s="19" t="s">
        <v>105</v>
      </c>
      <c r="F76" s="19">
        <v>1</v>
      </c>
      <c r="G76" s="19" t="s">
        <v>105</v>
      </c>
      <c r="H76" s="16">
        <v>17</v>
      </c>
      <c r="I76" s="13">
        <f>IF($G76="Base",1,INDEX(ModelOutput!$D$16:$D$26,MATCH($G76,ModelOutput!$C$16:$C$26,0)))</f>
        <v>0.98982624281990295</v>
      </c>
      <c r="J76" s="13">
        <f>IF($A76="Non-greek",1,INDEX(ModelOutput!$D$16:$D$26,MATCH($A76,ModelOutput!$C$16:$C$26,0)))</f>
        <v>1</v>
      </c>
      <c r="K76" s="13">
        <f>IF($C76="Yes",1,INDEX(ModelOutput!$D$16:$D$26,MATCH($C76,ModelOutput!$C$16:$C$26,0)))</f>
        <v>1.5400747552012299</v>
      </c>
      <c r="L76" s="13">
        <f>IF($D76="2.0-3.0",1,INDEX(ModelOutput!$D$16:$D$26,MATCH($D76,ModelOutput!$C$16:$C$26,0)))</f>
        <v>1</v>
      </c>
      <c r="M76" s="13">
        <f>IF($B76="On campus",1,INDEX(ModelOutput!$D$16:$D$26,MATCH($B76,ModelOutput!$C$16:$C$26,0)))</f>
        <v>1.9771404201318099</v>
      </c>
      <c r="N76" s="13">
        <f>IF($B76="On campus",1,INDEX(ModelOutput!$E$16:$E$26,MATCH($B76,ModelOutput!$C$16:$C$26,0)))</f>
        <v>1.9459582144513401</v>
      </c>
      <c r="O76" s="13">
        <f>IF($B76="On campus",1,INDEX(ModelOutput!$F$16:$F$26,MATCH($B76,ModelOutput!$C$16:$C$26,0)))</f>
        <v>2.5135188217196598</v>
      </c>
      <c r="P76" s="13">
        <f>IF($B76="On campus",1,INDEX(ModelOutput!$G$16:$G$26,MATCH($B76,ModelOutput!$C$16:$C$26,0)))</f>
        <v>3.16845056067557</v>
      </c>
      <c r="Q76" s="72">
        <f>INDEX(ModelOutput!$D$9:$D$11,MATCH("Tier "&amp;$F76,ModelOutput!$B$9:$B$11,0))</f>
        <v>36.175496869914397</v>
      </c>
      <c r="R76" s="72">
        <f>INDEX(ModelOutput!$E$9:$E$11,MATCH("Tier "&amp;$F76,ModelOutput!$B$9:$B$11,0))</f>
        <v>106.647084447761</v>
      </c>
      <c r="S76" s="72">
        <f>INDEX(ModelOutput!$F$9:$F$11,MATCH("Tier "&amp;$F76,ModelOutput!$B$9:$B$11,0))</f>
        <v>123.726482920496</v>
      </c>
      <c r="T76" s="72">
        <f>INDEX(ModelOutput!$G$9:$G$11,MATCH("Tier "&amp;$F76,ModelOutput!$B$9:$B$11,0))</f>
        <v>20.551544113210401</v>
      </c>
      <c r="U76" s="76">
        <f t="shared" si="11"/>
        <v>109.03170049366895</v>
      </c>
      <c r="V76" s="76">
        <f t="shared" si="12"/>
        <v>316.36123581353809</v>
      </c>
      <c r="W76" s="76">
        <f t="shared" si="13"/>
        <v>474.0733861356868</v>
      </c>
      <c r="X76" s="76">
        <f t="shared" si="14"/>
        <v>99.264088364302637</v>
      </c>
      <c r="Y76" s="27">
        <f t="shared" si="15"/>
        <v>998.73041080719656</v>
      </c>
      <c r="Z76" s="27">
        <f t="shared" si="16"/>
        <v>1665.68017531388</v>
      </c>
      <c r="AA76" s="33">
        <f t="shared" si="17"/>
        <v>0.16789047879337837</v>
      </c>
      <c r="AB76" s="14">
        <f t="shared" si="18"/>
        <v>1665.68017531388</v>
      </c>
      <c r="AC76" s="29">
        <f t="shared" si="19"/>
        <v>1</v>
      </c>
      <c r="AD76" s="20">
        <v>998.73041080719497</v>
      </c>
      <c r="AE76" s="78">
        <f t="shared" si="20"/>
        <v>1.5916157281026244E-12</v>
      </c>
      <c r="AF76" s="29">
        <f t="shared" si="21"/>
        <v>3</v>
      </c>
    </row>
    <row r="77" spans="1:32" ht="15" customHeight="1" x14ac:dyDescent="0.35">
      <c r="A77" s="19" t="s">
        <v>110</v>
      </c>
      <c r="B77" s="19" t="s">
        <v>112</v>
      </c>
      <c r="C77" s="19" t="s">
        <v>118</v>
      </c>
      <c r="D77" s="19" t="s">
        <v>122</v>
      </c>
      <c r="E77" s="19" t="s">
        <v>97</v>
      </c>
      <c r="F77" s="19">
        <v>2</v>
      </c>
      <c r="G77" s="19" t="s">
        <v>211</v>
      </c>
      <c r="H77" s="16">
        <v>18</v>
      </c>
      <c r="I77" s="13">
        <f>IF($G77="Base",1,INDEX(ModelOutput!$D$16:$D$26,MATCH($G77,ModelOutput!$C$16:$C$26,0)))</f>
        <v>1</v>
      </c>
      <c r="J77" s="13">
        <f>IF($A77="Non-greek",1,INDEX(ModelOutput!$D$16:$D$26,MATCH($A77,ModelOutput!$C$16:$C$26,0)))</f>
        <v>1</v>
      </c>
      <c r="K77" s="13">
        <f>IF($C77="Yes",1,INDEX(ModelOutput!$D$16:$D$26,MATCH($C77,ModelOutput!$C$16:$C$26,0)))</f>
        <v>1.5400747552012299</v>
      </c>
      <c r="L77" s="13">
        <f>IF($D77="2.0-3.0",1,INDEX(ModelOutput!$D$16:$D$26,MATCH($D77,ModelOutput!$C$16:$C$26,0)))</f>
        <v>1</v>
      </c>
      <c r="M77" s="13">
        <f>IF($B77="On campus",1,INDEX(ModelOutput!$D$16:$D$26,MATCH($B77,ModelOutput!$C$16:$C$26,0)))</f>
        <v>1.9771404201318099</v>
      </c>
      <c r="N77" s="13">
        <f>IF($B77="On campus",1,INDEX(ModelOutput!$E$16:$E$26,MATCH($B77,ModelOutput!$C$16:$C$26,0)))</f>
        <v>1.9459582144513401</v>
      </c>
      <c r="O77" s="13">
        <f>IF($B77="On campus",1,INDEX(ModelOutput!$F$16:$F$26,MATCH($B77,ModelOutput!$C$16:$C$26,0)))</f>
        <v>2.5135188217196598</v>
      </c>
      <c r="P77" s="13">
        <f>IF($B77="On campus",1,INDEX(ModelOutput!$G$16:$G$26,MATCH($B77,ModelOutput!$C$16:$C$26,0)))</f>
        <v>3.16845056067557</v>
      </c>
      <c r="Q77" s="72">
        <f>INDEX(ModelOutput!$D$9:$D$11,MATCH("Tier "&amp;$F77,ModelOutput!$B$9:$B$11,0))</f>
        <v>42.8051506068728</v>
      </c>
      <c r="R77" s="72">
        <f>INDEX(ModelOutput!$E$9:$E$11,MATCH("Tier "&amp;$F77,ModelOutput!$B$9:$B$11,0))</f>
        <v>126.191618818284</v>
      </c>
      <c r="S77" s="72">
        <f>INDEX(ModelOutput!$F$9:$F$11,MATCH("Tier "&amp;$F77,ModelOutput!$B$9:$B$11,0))</f>
        <v>146.401050261042</v>
      </c>
      <c r="T77" s="72">
        <f>INDEX(ModelOutput!$G$9:$G$11,MATCH("Tier "&amp;$F77,ModelOutput!$B$9:$B$11,0))</f>
        <v>24.317895180076398</v>
      </c>
      <c r="U77" s="76">
        <f t="shared" si="11"/>
        <v>130.33928858695413</v>
      </c>
      <c r="V77" s="76">
        <f t="shared" si="12"/>
        <v>378.18632769852331</v>
      </c>
      <c r="W77" s="76">
        <f t="shared" si="13"/>
        <v>566.7194733931691</v>
      </c>
      <c r="X77" s="76">
        <f t="shared" si="14"/>
        <v>118.66283476324391</v>
      </c>
      <c r="Y77" s="27">
        <f t="shared" si="15"/>
        <v>1193.9079244418904</v>
      </c>
      <c r="Z77" s="27">
        <f t="shared" si="16"/>
        <v>1983.0540284548244</v>
      </c>
      <c r="AA77" s="33">
        <f t="shared" si="17"/>
        <v>0.39041693182715509</v>
      </c>
      <c r="AB77" s="14">
        <f t="shared" si="18"/>
        <v>1782.7872193062994</v>
      </c>
      <c r="AC77" s="29">
        <f t="shared" si="19"/>
        <v>2</v>
      </c>
      <c r="AD77" s="20">
        <v>1193.9079244418899</v>
      </c>
      <c r="AE77" s="78">
        <f t="shared" si="20"/>
        <v>0</v>
      </c>
      <c r="AF77" s="29">
        <f t="shared" si="21"/>
        <v>2</v>
      </c>
    </row>
    <row r="78" spans="1:32" ht="15" customHeight="1" x14ac:dyDescent="0.35">
      <c r="A78" s="19" t="s">
        <v>110</v>
      </c>
      <c r="B78" s="19" t="s">
        <v>112</v>
      </c>
      <c r="C78" s="19" t="s">
        <v>118</v>
      </c>
      <c r="D78" s="19" t="s">
        <v>122</v>
      </c>
      <c r="E78" s="19" t="s">
        <v>99</v>
      </c>
      <c r="F78" s="19">
        <v>3</v>
      </c>
      <c r="G78" s="19" t="s">
        <v>211</v>
      </c>
      <c r="H78" s="16">
        <v>17</v>
      </c>
      <c r="I78" s="13">
        <f>IF($G78="Base",1,INDEX(ModelOutput!$D$16:$D$26,MATCH($G78,ModelOutput!$C$16:$C$26,0)))</f>
        <v>1</v>
      </c>
      <c r="J78" s="13">
        <f>IF($A78="Non-greek",1,INDEX(ModelOutput!$D$16:$D$26,MATCH($A78,ModelOutput!$C$16:$C$26,0)))</f>
        <v>1</v>
      </c>
      <c r="K78" s="13">
        <f>IF($C78="Yes",1,INDEX(ModelOutput!$D$16:$D$26,MATCH($C78,ModelOutput!$C$16:$C$26,0)))</f>
        <v>1.5400747552012299</v>
      </c>
      <c r="L78" s="13">
        <f>IF($D78="2.0-3.0",1,INDEX(ModelOutput!$D$16:$D$26,MATCH($D78,ModelOutput!$C$16:$C$26,0)))</f>
        <v>1</v>
      </c>
      <c r="M78" s="13">
        <f>IF($B78="On campus",1,INDEX(ModelOutput!$D$16:$D$26,MATCH($B78,ModelOutput!$C$16:$C$26,0)))</f>
        <v>1.9771404201318099</v>
      </c>
      <c r="N78" s="13">
        <f>IF($B78="On campus",1,INDEX(ModelOutput!$E$16:$E$26,MATCH($B78,ModelOutput!$C$16:$C$26,0)))</f>
        <v>1.9459582144513401</v>
      </c>
      <c r="O78" s="13">
        <f>IF($B78="On campus",1,INDEX(ModelOutput!$F$16:$F$26,MATCH($B78,ModelOutput!$C$16:$C$26,0)))</f>
        <v>2.5135188217196598</v>
      </c>
      <c r="P78" s="13">
        <f>IF($B78="On campus",1,INDEX(ModelOutput!$G$16:$G$26,MATCH($B78,ModelOutput!$C$16:$C$26,0)))</f>
        <v>3.16845056067557</v>
      </c>
      <c r="Q78" s="72">
        <f>INDEX(ModelOutput!$D$9:$D$11,MATCH("Tier "&amp;$F78,ModelOutput!$B$9:$B$11,0))</f>
        <v>40.009437343712797</v>
      </c>
      <c r="R78" s="72">
        <f>INDEX(ModelOutput!$E$9:$E$11,MATCH("Tier "&amp;$F78,ModelOutput!$B$9:$B$11,0))</f>
        <v>117.949723218616</v>
      </c>
      <c r="S78" s="72">
        <f>INDEX(ModelOutput!$F$9:$F$11,MATCH("Tier "&amp;$F78,ModelOutput!$B$9:$B$11,0))</f>
        <v>136.83922529015501</v>
      </c>
      <c r="T78" s="72">
        <f>INDEX(ModelOutput!$G$9:$G$11,MATCH("Tier "&amp;$F78,ModelOutput!$B$9:$B$11,0))</f>
        <v>22.729631592092201</v>
      </c>
      <c r="U78" s="76">
        <f t="shared" si="11"/>
        <v>121.82649812489041</v>
      </c>
      <c r="V78" s="76">
        <f t="shared" si="12"/>
        <v>353.48601670083724</v>
      </c>
      <c r="W78" s="76">
        <f t="shared" si="13"/>
        <v>529.70558310675005</v>
      </c>
      <c r="X78" s="76">
        <f t="shared" si="14"/>
        <v>110.91266320004641</v>
      </c>
      <c r="Y78" s="27">
        <f t="shared" si="15"/>
        <v>1115.9307611325241</v>
      </c>
      <c r="Z78" s="27">
        <f t="shared" si="16"/>
        <v>1856.2570818413228</v>
      </c>
      <c r="AA78" s="33">
        <f t="shared" si="17"/>
        <v>0.3015133422397509</v>
      </c>
      <c r="AB78" s="14">
        <f t="shared" si="18"/>
        <v>1782.7872193062994</v>
      </c>
      <c r="AC78" s="29">
        <f t="shared" si="19"/>
        <v>2</v>
      </c>
      <c r="AD78" s="20">
        <v>1115.9307611325301</v>
      </c>
      <c r="AE78" s="78">
        <f t="shared" si="20"/>
        <v>-5.9117155615240335E-12</v>
      </c>
      <c r="AF78" s="29">
        <f t="shared" si="21"/>
        <v>1</v>
      </c>
    </row>
    <row r="79" spans="1:32" ht="15" customHeight="1" x14ac:dyDescent="0.35">
      <c r="A79" s="19" t="s">
        <v>110</v>
      </c>
      <c r="B79" s="19" t="s">
        <v>112</v>
      </c>
      <c r="C79" s="19" t="s">
        <v>118</v>
      </c>
      <c r="D79" s="19" t="s">
        <v>122</v>
      </c>
      <c r="E79" s="19" t="s">
        <v>213</v>
      </c>
      <c r="F79" s="19">
        <v>3</v>
      </c>
      <c r="G79" s="19" t="s">
        <v>107</v>
      </c>
      <c r="H79" s="16">
        <v>7</v>
      </c>
      <c r="I79" s="13">
        <f>IF($G79="Base",1,INDEX(ModelOutput!$D$16:$D$26,MATCH($G79,ModelOutput!$C$16:$C$26,0)))</f>
        <v>1.1906804269762199</v>
      </c>
      <c r="J79" s="13">
        <f>IF($A79="Non-greek",1,INDEX(ModelOutput!$D$16:$D$26,MATCH($A79,ModelOutput!$C$16:$C$26,0)))</f>
        <v>1</v>
      </c>
      <c r="K79" s="13">
        <f>IF($C79="Yes",1,INDEX(ModelOutput!$D$16:$D$26,MATCH($C79,ModelOutput!$C$16:$C$26,0)))</f>
        <v>1.5400747552012299</v>
      </c>
      <c r="L79" s="13">
        <f>IF($D79="2.0-3.0",1,INDEX(ModelOutput!$D$16:$D$26,MATCH($D79,ModelOutput!$C$16:$C$26,0)))</f>
        <v>1</v>
      </c>
      <c r="M79" s="13">
        <f>IF($B79="On campus",1,INDEX(ModelOutput!$D$16:$D$26,MATCH($B79,ModelOutput!$C$16:$C$26,0)))</f>
        <v>1.9771404201318099</v>
      </c>
      <c r="N79" s="13">
        <f>IF($B79="On campus",1,INDEX(ModelOutput!$E$16:$E$26,MATCH($B79,ModelOutput!$C$16:$C$26,0)))</f>
        <v>1.9459582144513401</v>
      </c>
      <c r="O79" s="13">
        <f>IF($B79="On campus",1,INDEX(ModelOutput!$F$16:$F$26,MATCH($B79,ModelOutput!$C$16:$C$26,0)))</f>
        <v>2.5135188217196598</v>
      </c>
      <c r="P79" s="13">
        <f>IF($B79="On campus",1,INDEX(ModelOutput!$G$16:$G$26,MATCH($B79,ModelOutput!$C$16:$C$26,0)))</f>
        <v>3.16845056067557</v>
      </c>
      <c r="Q79" s="72">
        <f>INDEX(ModelOutput!$D$9:$D$11,MATCH("Tier "&amp;$F79,ModelOutput!$B$9:$B$11,0))</f>
        <v>40.009437343712797</v>
      </c>
      <c r="R79" s="72">
        <f>INDEX(ModelOutput!$E$9:$E$11,MATCH("Tier "&amp;$F79,ModelOutput!$B$9:$B$11,0))</f>
        <v>117.949723218616</v>
      </c>
      <c r="S79" s="72">
        <f>INDEX(ModelOutput!$F$9:$F$11,MATCH("Tier "&amp;$F79,ModelOutput!$B$9:$B$11,0))</f>
        <v>136.83922529015501</v>
      </c>
      <c r="T79" s="72">
        <f>INDEX(ModelOutput!$G$9:$G$11,MATCH("Tier "&amp;$F79,ModelOutput!$B$9:$B$11,0))</f>
        <v>22.729631592092201</v>
      </c>
      <c r="U79" s="76">
        <f t="shared" si="11"/>
        <v>145.05642680436216</v>
      </c>
      <c r="V79" s="76">
        <f t="shared" si="12"/>
        <v>420.88888129547615</v>
      </c>
      <c r="W79" s="76">
        <f t="shared" si="13"/>
        <v>630.71006986523275</v>
      </c>
      <c r="X79" s="76">
        <f t="shared" si="14"/>
        <v>132.06153717610093</v>
      </c>
      <c r="Y79" s="27">
        <f t="shared" si="15"/>
        <v>1328.716915141172</v>
      </c>
      <c r="Z79" s="27">
        <f t="shared" si="16"/>
        <v>2202.2639569937824</v>
      </c>
      <c r="AA79" s="33">
        <f t="shared" si="17"/>
        <v>0.54411581843927603</v>
      </c>
      <c r="AB79" s="14">
        <f t="shared" si="18"/>
        <v>1782.7872193062994</v>
      </c>
      <c r="AC79" s="29">
        <f t="shared" si="19"/>
        <v>2</v>
      </c>
      <c r="AD79" s="20">
        <v>1328.7169151411699</v>
      </c>
      <c r="AE79" s="78">
        <f t="shared" si="20"/>
        <v>2.0463630789890885E-12</v>
      </c>
      <c r="AF79" s="29">
        <f t="shared" si="21"/>
        <v>2</v>
      </c>
    </row>
    <row r="80" spans="1:32" ht="15" customHeight="1" x14ac:dyDescent="0.35">
      <c r="A80" s="37" t="s">
        <v>110</v>
      </c>
      <c r="B80" s="37" t="s">
        <v>112</v>
      </c>
      <c r="C80" s="37" t="s">
        <v>118</v>
      </c>
      <c r="D80" s="37" t="s">
        <v>124</v>
      </c>
      <c r="E80" s="37" t="s">
        <v>95</v>
      </c>
      <c r="F80" s="37">
        <v>1</v>
      </c>
      <c r="G80" s="37" t="s">
        <v>211</v>
      </c>
      <c r="H80" s="38">
        <v>4</v>
      </c>
      <c r="I80" s="39">
        <f>IF($G80="Base",1,INDEX(ModelOutput!$D$16:$D$26,MATCH($G80,ModelOutput!$C$16:$C$26,0)))</f>
        <v>1</v>
      </c>
      <c r="J80" s="39">
        <f>IF($A80="Non-greek",1,INDEX(ModelOutput!$D$16:$D$26,MATCH($A80,ModelOutput!$C$16:$C$26,0)))</f>
        <v>1</v>
      </c>
      <c r="K80" s="39">
        <f>IF($C80="Yes",1,INDEX(ModelOutput!$D$16:$D$26,MATCH($C80,ModelOutput!$C$16:$C$26,0)))</f>
        <v>1.5400747552012299</v>
      </c>
      <c r="L80" s="39">
        <f>IF($D80="2.0-3.0",1,INDEX(ModelOutput!$D$16:$D$26,MATCH($D80,ModelOutput!$C$16:$C$26,0)))</f>
        <v>0.87654761766211098</v>
      </c>
      <c r="M80" s="39">
        <f>IF($B80="On campus",1,INDEX(ModelOutput!$D$16:$D$26,MATCH($B80,ModelOutput!$C$16:$C$26,0)))</f>
        <v>1.9771404201318099</v>
      </c>
      <c r="N80" s="39">
        <f>IF($B80="On campus",1,INDEX(ModelOutput!$E$16:$E$26,MATCH($B80,ModelOutput!$C$16:$C$26,0)))</f>
        <v>1.9459582144513401</v>
      </c>
      <c r="O80" s="39">
        <f>IF($B80="On campus",1,INDEX(ModelOutput!$F$16:$F$26,MATCH($B80,ModelOutput!$C$16:$C$26,0)))</f>
        <v>2.5135188217196598</v>
      </c>
      <c r="P80" s="39">
        <f>IF($B80="On campus",1,INDEX(ModelOutput!$G$16:$G$26,MATCH($B80,ModelOutput!$C$16:$C$26,0)))</f>
        <v>3.16845056067557</v>
      </c>
      <c r="Q80" s="73">
        <f>INDEX(ModelOutput!$D$9:$D$11,MATCH("Tier "&amp;$F80,ModelOutput!$B$9:$B$11,0))</f>
        <v>36.175496869914397</v>
      </c>
      <c r="R80" s="73">
        <f>INDEX(ModelOutput!$E$9:$E$11,MATCH("Tier "&amp;$F80,ModelOutput!$B$9:$B$11,0))</f>
        <v>106.647084447761</v>
      </c>
      <c r="S80" s="73">
        <f>INDEX(ModelOutput!$F$9:$F$11,MATCH("Tier "&amp;$F80,ModelOutput!$B$9:$B$11,0))</f>
        <v>123.726482920496</v>
      </c>
      <c r="T80" s="73">
        <f>INDEX(ModelOutput!$G$9:$G$11,MATCH("Tier "&amp;$F80,ModelOutput!$B$9:$B$11,0))</f>
        <v>20.551544113210401</v>
      </c>
      <c r="U80" s="77">
        <f t="shared" si="11"/>
        <v>96.553792153562213</v>
      </c>
      <c r="V80" s="77">
        <f t="shared" si="12"/>
        <v>280.15592593603662</v>
      </c>
      <c r="W80" s="77">
        <f t="shared" si="13"/>
        <v>419.81903412703764</v>
      </c>
      <c r="X80" s="77">
        <f t="shared" si="14"/>
        <v>87.904014271484627</v>
      </c>
      <c r="Y80" s="30">
        <f t="shared" si="15"/>
        <v>884.43276648812105</v>
      </c>
      <c r="Z80" s="30">
        <f t="shared" si="16"/>
        <v>1479.8232950465513</v>
      </c>
      <c r="AA80" s="41">
        <f t="shared" si="17"/>
        <v>3.757705842649961E-2</v>
      </c>
      <c r="AB80" s="40">
        <f t="shared" si="18"/>
        <v>1479.8232950465513</v>
      </c>
      <c r="AC80" s="42">
        <f t="shared" si="19"/>
        <v>1</v>
      </c>
      <c r="AD80" s="43">
        <v>884.43276648811798</v>
      </c>
      <c r="AE80" s="79">
        <f t="shared" si="20"/>
        <v>3.0695446184836328E-12</v>
      </c>
      <c r="AF80" s="29">
        <f t="shared" si="21"/>
        <v>4</v>
      </c>
    </row>
    <row r="81" spans="1:32" ht="15" customHeight="1" x14ac:dyDescent="0.35">
      <c r="A81" s="37" t="s">
        <v>110</v>
      </c>
      <c r="B81" s="37" t="s">
        <v>112</v>
      </c>
      <c r="C81" s="37" t="s">
        <v>118</v>
      </c>
      <c r="D81" s="37" t="s">
        <v>124</v>
      </c>
      <c r="E81" s="37" t="s">
        <v>105</v>
      </c>
      <c r="F81" s="37">
        <v>1</v>
      </c>
      <c r="G81" s="37" t="s">
        <v>105</v>
      </c>
      <c r="H81" s="38">
        <v>12</v>
      </c>
      <c r="I81" s="39">
        <f>IF($G81="Base",1,INDEX(ModelOutput!$D$16:$D$26,MATCH($G81,ModelOutput!$C$16:$C$26,0)))</f>
        <v>0.98982624281990295</v>
      </c>
      <c r="J81" s="39">
        <f>IF($A81="Non-greek",1,INDEX(ModelOutput!$D$16:$D$26,MATCH($A81,ModelOutput!$C$16:$C$26,0)))</f>
        <v>1</v>
      </c>
      <c r="K81" s="39">
        <f>IF($C81="Yes",1,INDEX(ModelOutput!$D$16:$D$26,MATCH($C81,ModelOutput!$C$16:$C$26,0)))</f>
        <v>1.5400747552012299</v>
      </c>
      <c r="L81" s="39">
        <f>IF($D81="2.0-3.0",1,INDEX(ModelOutput!$D$16:$D$26,MATCH($D81,ModelOutput!$C$16:$C$26,0)))</f>
        <v>0.87654761766211098</v>
      </c>
      <c r="M81" s="39">
        <f>IF($B81="On campus",1,INDEX(ModelOutput!$D$16:$D$26,MATCH($B81,ModelOutput!$C$16:$C$26,0)))</f>
        <v>1.9771404201318099</v>
      </c>
      <c r="N81" s="39">
        <f>IF($B81="On campus",1,INDEX(ModelOutput!$E$16:$E$26,MATCH($B81,ModelOutput!$C$16:$C$26,0)))</f>
        <v>1.9459582144513401</v>
      </c>
      <c r="O81" s="39">
        <f>IF($B81="On campus",1,INDEX(ModelOutput!$F$16:$F$26,MATCH($B81,ModelOutput!$C$16:$C$26,0)))</f>
        <v>2.5135188217196598</v>
      </c>
      <c r="P81" s="39">
        <f>IF($B81="On campus",1,INDEX(ModelOutput!$G$16:$G$26,MATCH($B81,ModelOutput!$C$16:$C$26,0)))</f>
        <v>3.16845056067557</v>
      </c>
      <c r="Q81" s="73">
        <f>INDEX(ModelOutput!$D$9:$D$11,MATCH("Tier "&amp;$F81,ModelOutput!$B$9:$B$11,0))</f>
        <v>36.175496869914397</v>
      </c>
      <c r="R81" s="73">
        <f>INDEX(ModelOutput!$E$9:$E$11,MATCH("Tier "&amp;$F81,ModelOutput!$B$9:$B$11,0))</f>
        <v>106.647084447761</v>
      </c>
      <c r="S81" s="73">
        <f>INDEX(ModelOutput!$F$9:$F$11,MATCH("Tier "&amp;$F81,ModelOutput!$B$9:$B$11,0))</f>
        <v>123.726482920496</v>
      </c>
      <c r="T81" s="73">
        <f>INDEX(ModelOutput!$G$9:$G$11,MATCH("Tier "&amp;$F81,ModelOutput!$B$9:$B$11,0))</f>
        <v>20.551544113210401</v>
      </c>
      <c r="U81" s="77">
        <f t="shared" si="11"/>
        <v>95.571477317374331</v>
      </c>
      <c r="V81" s="77">
        <f t="shared" si="12"/>
        <v>277.30568757299812</v>
      </c>
      <c r="W81" s="77">
        <f t="shared" si="13"/>
        <v>415.54789721424629</v>
      </c>
      <c r="X81" s="77">
        <f t="shared" si="14"/>
        <v>87.009700175130746</v>
      </c>
      <c r="Y81" s="30">
        <f t="shared" si="15"/>
        <v>875.43476227974952</v>
      </c>
      <c r="Z81" s="30">
        <f t="shared" si="16"/>
        <v>1465.1918387224675</v>
      </c>
      <c r="AA81" s="41">
        <f t="shared" si="17"/>
        <v>2.7318223156062027E-2</v>
      </c>
      <c r="AB81" s="40">
        <f t="shared" si="18"/>
        <v>1465.1918387224675</v>
      </c>
      <c r="AC81" s="42">
        <f t="shared" si="19"/>
        <v>1</v>
      </c>
      <c r="AD81" s="43">
        <v>875.43476227974804</v>
      </c>
      <c r="AE81" s="79">
        <f t="shared" si="20"/>
        <v>1.4779288903810084E-12</v>
      </c>
      <c r="AF81" s="29">
        <f t="shared" si="21"/>
        <v>3</v>
      </c>
    </row>
    <row r="82" spans="1:32" ht="15" customHeight="1" x14ac:dyDescent="0.35">
      <c r="A82" s="37" t="s">
        <v>110</v>
      </c>
      <c r="B82" s="37" t="s">
        <v>112</v>
      </c>
      <c r="C82" s="37" t="s">
        <v>118</v>
      </c>
      <c r="D82" s="37" t="s">
        <v>124</v>
      </c>
      <c r="E82" s="37" t="s">
        <v>97</v>
      </c>
      <c r="F82" s="37">
        <v>2</v>
      </c>
      <c r="G82" s="37" t="s">
        <v>211</v>
      </c>
      <c r="H82" s="38">
        <v>16</v>
      </c>
      <c r="I82" s="39">
        <f>IF($G82="Base",1,INDEX(ModelOutput!$D$16:$D$26,MATCH($G82,ModelOutput!$C$16:$C$26,0)))</f>
        <v>1</v>
      </c>
      <c r="J82" s="39">
        <f>IF($A82="Non-greek",1,INDEX(ModelOutput!$D$16:$D$26,MATCH($A82,ModelOutput!$C$16:$C$26,0)))</f>
        <v>1</v>
      </c>
      <c r="K82" s="39">
        <f>IF($C82="Yes",1,INDEX(ModelOutput!$D$16:$D$26,MATCH($C82,ModelOutput!$C$16:$C$26,0)))</f>
        <v>1.5400747552012299</v>
      </c>
      <c r="L82" s="39">
        <f>IF($D82="2.0-3.0",1,INDEX(ModelOutput!$D$16:$D$26,MATCH($D82,ModelOutput!$C$16:$C$26,0)))</f>
        <v>0.87654761766211098</v>
      </c>
      <c r="M82" s="39">
        <f>IF($B82="On campus",1,INDEX(ModelOutput!$D$16:$D$26,MATCH($B82,ModelOutput!$C$16:$C$26,0)))</f>
        <v>1.9771404201318099</v>
      </c>
      <c r="N82" s="39">
        <f>IF($B82="On campus",1,INDEX(ModelOutput!$E$16:$E$26,MATCH($B82,ModelOutput!$C$16:$C$26,0)))</f>
        <v>1.9459582144513401</v>
      </c>
      <c r="O82" s="39">
        <f>IF($B82="On campus",1,INDEX(ModelOutput!$F$16:$F$26,MATCH($B82,ModelOutput!$C$16:$C$26,0)))</f>
        <v>2.5135188217196598</v>
      </c>
      <c r="P82" s="39">
        <f>IF($B82="On campus",1,INDEX(ModelOutput!$G$16:$G$26,MATCH($B82,ModelOutput!$C$16:$C$26,0)))</f>
        <v>3.16845056067557</v>
      </c>
      <c r="Q82" s="73">
        <f>INDEX(ModelOutput!$D$9:$D$11,MATCH("Tier "&amp;$F82,ModelOutput!$B$9:$B$11,0))</f>
        <v>42.8051506068728</v>
      </c>
      <c r="R82" s="73">
        <f>INDEX(ModelOutput!$E$9:$E$11,MATCH("Tier "&amp;$F82,ModelOutput!$B$9:$B$11,0))</f>
        <v>126.191618818284</v>
      </c>
      <c r="S82" s="73">
        <f>INDEX(ModelOutput!$F$9:$F$11,MATCH("Tier "&amp;$F82,ModelOutput!$B$9:$B$11,0))</f>
        <v>146.401050261042</v>
      </c>
      <c r="T82" s="73">
        <f>INDEX(ModelOutput!$G$9:$G$11,MATCH("Tier "&amp;$F82,ModelOutput!$B$9:$B$11,0))</f>
        <v>24.317895180076398</v>
      </c>
      <c r="U82" s="77">
        <f t="shared" si="11"/>
        <v>114.248592898669</v>
      </c>
      <c r="V82" s="77">
        <f t="shared" si="12"/>
        <v>331.49832457652298</v>
      </c>
      <c r="W82" s="77">
        <f t="shared" si="13"/>
        <v>496.75660428550844</v>
      </c>
      <c r="X82" s="77">
        <f t="shared" si="14"/>
        <v>104.01362511675418</v>
      </c>
      <c r="Y82" s="30">
        <f t="shared" si="15"/>
        <v>1046.5171468774547</v>
      </c>
      <c r="Z82" s="30">
        <f t="shared" si="16"/>
        <v>1743.3851336014072</v>
      </c>
      <c r="AA82" s="41">
        <f t="shared" si="17"/>
        <v>0.22237325542961872</v>
      </c>
      <c r="AB82" s="40">
        <f t="shared" si="18"/>
        <v>1743.3851336014072</v>
      </c>
      <c r="AC82" s="42">
        <f t="shared" si="19"/>
        <v>1</v>
      </c>
      <c r="AD82" s="43">
        <v>1046.5171468774499</v>
      </c>
      <c r="AE82" s="79">
        <f t="shared" si="20"/>
        <v>4.7748471843078732E-12</v>
      </c>
      <c r="AF82" s="29">
        <f t="shared" si="21"/>
        <v>2</v>
      </c>
    </row>
    <row r="83" spans="1:32" ht="15" customHeight="1" x14ac:dyDescent="0.35">
      <c r="A83" s="37" t="s">
        <v>110</v>
      </c>
      <c r="B83" s="37" t="s">
        <v>112</v>
      </c>
      <c r="C83" s="37" t="s">
        <v>118</v>
      </c>
      <c r="D83" s="37" t="s">
        <v>124</v>
      </c>
      <c r="E83" s="37" t="s">
        <v>99</v>
      </c>
      <c r="F83" s="37">
        <v>3</v>
      </c>
      <c r="G83" s="37" t="s">
        <v>211</v>
      </c>
      <c r="H83" s="38">
        <v>22</v>
      </c>
      <c r="I83" s="39">
        <f>IF($G83="Base",1,INDEX(ModelOutput!$D$16:$D$26,MATCH($G83,ModelOutput!$C$16:$C$26,0)))</f>
        <v>1</v>
      </c>
      <c r="J83" s="39">
        <f>IF($A83="Non-greek",1,INDEX(ModelOutput!$D$16:$D$26,MATCH($A83,ModelOutput!$C$16:$C$26,0)))</f>
        <v>1</v>
      </c>
      <c r="K83" s="39">
        <f>IF($C83="Yes",1,INDEX(ModelOutput!$D$16:$D$26,MATCH($C83,ModelOutput!$C$16:$C$26,0)))</f>
        <v>1.5400747552012299</v>
      </c>
      <c r="L83" s="39">
        <f>IF($D83="2.0-3.0",1,INDEX(ModelOutput!$D$16:$D$26,MATCH($D83,ModelOutput!$C$16:$C$26,0)))</f>
        <v>0.87654761766211098</v>
      </c>
      <c r="M83" s="39">
        <f>IF($B83="On campus",1,INDEX(ModelOutput!$D$16:$D$26,MATCH($B83,ModelOutput!$C$16:$C$26,0)))</f>
        <v>1.9771404201318099</v>
      </c>
      <c r="N83" s="39">
        <f>IF($B83="On campus",1,INDEX(ModelOutput!$E$16:$E$26,MATCH($B83,ModelOutput!$C$16:$C$26,0)))</f>
        <v>1.9459582144513401</v>
      </c>
      <c r="O83" s="39">
        <f>IF($B83="On campus",1,INDEX(ModelOutput!$F$16:$F$26,MATCH($B83,ModelOutput!$C$16:$C$26,0)))</f>
        <v>2.5135188217196598</v>
      </c>
      <c r="P83" s="39">
        <f>IF($B83="On campus",1,INDEX(ModelOutput!$G$16:$G$26,MATCH($B83,ModelOutput!$C$16:$C$26,0)))</f>
        <v>3.16845056067557</v>
      </c>
      <c r="Q83" s="73">
        <f>INDEX(ModelOutput!$D$9:$D$11,MATCH("Tier "&amp;$F83,ModelOutput!$B$9:$B$11,0))</f>
        <v>40.009437343712797</v>
      </c>
      <c r="R83" s="73">
        <f>INDEX(ModelOutput!$E$9:$E$11,MATCH("Tier "&amp;$F83,ModelOutput!$B$9:$B$11,0))</f>
        <v>117.949723218616</v>
      </c>
      <c r="S83" s="73">
        <f>INDEX(ModelOutput!$F$9:$F$11,MATCH("Tier "&amp;$F83,ModelOutput!$B$9:$B$11,0))</f>
        <v>136.83922529015501</v>
      </c>
      <c r="T83" s="73">
        <f>INDEX(ModelOutput!$G$9:$G$11,MATCH("Tier "&amp;$F83,ModelOutput!$B$9:$B$11,0))</f>
        <v>22.729631592092201</v>
      </c>
      <c r="U83" s="77">
        <f t="shared" si="11"/>
        <v>106.78672669949032</v>
      </c>
      <c r="V83" s="77">
        <f t="shared" si="12"/>
        <v>309.84732581598809</v>
      </c>
      <c r="W83" s="77">
        <f t="shared" si="13"/>
        <v>464.31216693454104</v>
      </c>
      <c r="X83" s="77">
        <f t="shared" si="14"/>
        <v>97.220230696560762</v>
      </c>
      <c r="Y83" s="30">
        <f t="shared" si="15"/>
        <v>978.16645014658025</v>
      </c>
      <c r="Z83" s="30">
        <f t="shared" si="16"/>
        <v>1632.2415721205125</v>
      </c>
      <c r="AA83" s="41">
        <f t="shared" si="17"/>
        <v>0.14444502577516949</v>
      </c>
      <c r="AB83" s="40">
        <f t="shared" si="18"/>
        <v>1632.2415721205125</v>
      </c>
      <c r="AC83" s="42">
        <f t="shared" si="19"/>
        <v>1</v>
      </c>
      <c r="AD83" s="43">
        <v>978.16645014658002</v>
      </c>
      <c r="AE83" s="79">
        <f t="shared" si="20"/>
        <v>0</v>
      </c>
      <c r="AF83" s="29">
        <f t="shared" si="21"/>
        <v>1</v>
      </c>
    </row>
    <row r="84" spans="1:32" ht="15" customHeight="1" x14ac:dyDescent="0.35">
      <c r="A84" s="37" t="s">
        <v>110</v>
      </c>
      <c r="B84" s="37" t="s">
        <v>112</v>
      </c>
      <c r="C84" s="37" t="s">
        <v>118</v>
      </c>
      <c r="D84" s="37" t="s">
        <v>124</v>
      </c>
      <c r="E84" s="37" t="s">
        <v>213</v>
      </c>
      <c r="F84" s="37">
        <v>3</v>
      </c>
      <c r="G84" s="37" t="s">
        <v>107</v>
      </c>
      <c r="H84" s="38">
        <v>4</v>
      </c>
      <c r="I84" s="39">
        <f>IF($G84="Base",1,INDEX(ModelOutput!$D$16:$D$26,MATCH($G84,ModelOutput!$C$16:$C$26,0)))</f>
        <v>1.1906804269762199</v>
      </c>
      <c r="J84" s="39">
        <f>IF($A84="Non-greek",1,INDEX(ModelOutput!$D$16:$D$26,MATCH($A84,ModelOutput!$C$16:$C$26,0)))</f>
        <v>1</v>
      </c>
      <c r="K84" s="39">
        <f>IF($C84="Yes",1,INDEX(ModelOutput!$D$16:$D$26,MATCH($C84,ModelOutput!$C$16:$C$26,0)))</f>
        <v>1.5400747552012299</v>
      </c>
      <c r="L84" s="39">
        <f>IF($D84="2.0-3.0",1,INDEX(ModelOutput!$D$16:$D$26,MATCH($D84,ModelOutput!$C$16:$C$26,0)))</f>
        <v>0.87654761766211098</v>
      </c>
      <c r="M84" s="39">
        <f>IF($B84="On campus",1,INDEX(ModelOutput!$D$16:$D$26,MATCH($B84,ModelOutput!$C$16:$C$26,0)))</f>
        <v>1.9771404201318099</v>
      </c>
      <c r="N84" s="39">
        <f>IF($B84="On campus",1,INDEX(ModelOutput!$E$16:$E$26,MATCH($B84,ModelOutput!$C$16:$C$26,0)))</f>
        <v>1.9459582144513401</v>
      </c>
      <c r="O84" s="39">
        <f>IF($B84="On campus",1,INDEX(ModelOutput!$F$16:$F$26,MATCH($B84,ModelOutput!$C$16:$C$26,0)))</f>
        <v>2.5135188217196598</v>
      </c>
      <c r="P84" s="39">
        <f>IF($B84="On campus",1,INDEX(ModelOutput!$G$16:$G$26,MATCH($B84,ModelOutput!$C$16:$C$26,0)))</f>
        <v>3.16845056067557</v>
      </c>
      <c r="Q84" s="73">
        <f>INDEX(ModelOutput!$D$9:$D$11,MATCH("Tier "&amp;$F84,ModelOutput!$B$9:$B$11,0))</f>
        <v>40.009437343712797</v>
      </c>
      <c r="R84" s="73">
        <f>INDEX(ModelOutput!$E$9:$E$11,MATCH("Tier "&amp;$F84,ModelOutput!$B$9:$B$11,0))</f>
        <v>117.949723218616</v>
      </c>
      <c r="S84" s="73">
        <f>INDEX(ModelOutput!$F$9:$F$11,MATCH("Tier "&amp;$F84,ModelOutput!$B$9:$B$11,0))</f>
        <v>136.83922529015501</v>
      </c>
      <c r="T84" s="73">
        <f>INDEX(ModelOutput!$G$9:$G$11,MATCH("Tier "&amp;$F84,ModelOutput!$B$9:$B$11,0))</f>
        <v>22.729631592092201</v>
      </c>
      <c r="U84" s="77">
        <f t="shared" si="11"/>
        <v>127.14886534194201</v>
      </c>
      <c r="V84" s="77">
        <f t="shared" si="12"/>
        <v>368.92914620002063</v>
      </c>
      <c r="W84" s="77">
        <f t="shared" si="13"/>
        <v>552.84740917587328</v>
      </c>
      <c r="X84" s="77">
        <f t="shared" si="14"/>
        <v>115.75822579650757</v>
      </c>
      <c r="Y84" s="30">
        <f t="shared" si="15"/>
        <v>1164.6836465143435</v>
      </c>
      <c r="Z84" s="30">
        <f t="shared" si="16"/>
        <v>1935.5330742301123</v>
      </c>
      <c r="AA84" s="41">
        <f t="shared" si="17"/>
        <v>0.35709764832679225</v>
      </c>
      <c r="AB84" s="40">
        <f t="shared" si="18"/>
        <v>1782.7872193062994</v>
      </c>
      <c r="AC84" s="42">
        <f t="shared" si="19"/>
        <v>2</v>
      </c>
      <c r="AD84" s="43">
        <v>1164.6836465143399</v>
      </c>
      <c r="AE84" s="79">
        <f t="shared" si="20"/>
        <v>3.637978807091713E-12</v>
      </c>
      <c r="AF84" s="29">
        <f t="shared" si="21"/>
        <v>2</v>
      </c>
    </row>
    <row r="85" spans="1:32" ht="15" customHeight="1" x14ac:dyDescent="0.35">
      <c r="A85" s="19" t="s">
        <v>110</v>
      </c>
      <c r="B85" s="19" t="s">
        <v>114</v>
      </c>
      <c r="C85" s="19" t="s">
        <v>210</v>
      </c>
      <c r="D85" s="19" t="s">
        <v>121</v>
      </c>
      <c r="E85" s="19" t="s">
        <v>95</v>
      </c>
      <c r="F85" s="19">
        <v>1</v>
      </c>
      <c r="G85" s="19" t="s">
        <v>211</v>
      </c>
      <c r="H85" s="16">
        <v>11</v>
      </c>
      <c r="I85" s="13">
        <f>IF($G85="Base",1,INDEX(ModelOutput!$D$16:$D$26,MATCH($G85,ModelOutput!$C$16:$C$26,0)))</f>
        <v>1</v>
      </c>
      <c r="J85" s="13">
        <f>IF($A85="Non-greek",1,INDEX(ModelOutput!$D$16:$D$26,MATCH($A85,ModelOutput!$C$16:$C$26,0)))</f>
        <v>1</v>
      </c>
      <c r="K85" s="13">
        <f>IF($C85="Yes",1,INDEX(ModelOutput!$D$16:$D$26,MATCH($C85,ModelOutput!$C$16:$C$26,0)))</f>
        <v>1</v>
      </c>
      <c r="L85" s="13">
        <f>IF($D85="2.0-3.0",1,INDEX(ModelOutput!$D$16:$D$26,MATCH($D85,ModelOutput!$C$16:$C$26,0)))</f>
        <v>1.12144800201769</v>
      </c>
      <c r="M85" s="13">
        <f>IF($B85="On campus",1,INDEX(ModelOutput!$D$16:$D$26,MATCH($B85,ModelOutput!$C$16:$C$26,0)))</f>
        <v>1.7006219753182299</v>
      </c>
      <c r="N85" s="13">
        <f>IF($B85="On campus",1,INDEX(ModelOutput!$E$16:$E$26,MATCH($B85,ModelOutput!$C$16:$C$26,0)))</f>
        <v>1.6738008433039699</v>
      </c>
      <c r="O85" s="13">
        <f>IF($B85="On campus",1,INDEX(ModelOutput!$F$16:$F$26,MATCH($B85,ModelOutput!$C$16:$C$26,0)))</f>
        <v>2.1619836912278898</v>
      </c>
      <c r="P85" s="13">
        <f>IF($B85="On campus",1,INDEX(ModelOutput!$G$16:$G$26,MATCH($B85,ModelOutput!$C$16:$C$26,0)))</f>
        <v>2.7253181394344401</v>
      </c>
      <c r="Q85" s="72">
        <f>INDEX(ModelOutput!$D$9:$D$11,MATCH("Tier "&amp;$F85,ModelOutput!$B$9:$B$11,0))</f>
        <v>36.175496869914397</v>
      </c>
      <c r="R85" s="72">
        <f>INDEX(ModelOutput!$E$9:$E$11,MATCH("Tier "&amp;$F85,ModelOutput!$B$9:$B$11,0))</f>
        <v>106.647084447761</v>
      </c>
      <c r="S85" s="72">
        <f>INDEX(ModelOutput!$F$9:$F$11,MATCH("Tier "&amp;$F85,ModelOutput!$B$9:$B$11,0))</f>
        <v>123.726482920496</v>
      </c>
      <c r="T85" s="72">
        <f>INDEX(ModelOutput!$G$9:$G$11,MATCH("Tier "&amp;$F85,ModelOutput!$B$9:$B$11,0))</f>
        <v>20.551544113210401</v>
      </c>
      <c r="U85" s="76">
        <f t="shared" si="11"/>
        <v>68.992428646046534</v>
      </c>
      <c r="V85" s="76">
        <f t="shared" si="12"/>
        <v>200.18517448976331</v>
      </c>
      <c r="W85" s="76">
        <f t="shared" si="13"/>
        <v>299.98132761265327</v>
      </c>
      <c r="X85" s="76">
        <f t="shared" si="14"/>
        <v>62.811737344101012</v>
      </c>
      <c r="Y85" s="27">
        <f t="shared" si="15"/>
        <v>631.9706680925641</v>
      </c>
      <c r="Z85" s="27">
        <f t="shared" si="16"/>
        <v>1069.3002411981824</v>
      </c>
      <c r="AA85" s="33">
        <f t="shared" si="17"/>
        <v>-0.25026089091113046</v>
      </c>
      <c r="AB85" s="14">
        <f t="shared" si="18"/>
        <v>1069.6723315837799</v>
      </c>
      <c r="AC85" s="29">
        <f t="shared" si="19"/>
        <v>2</v>
      </c>
      <c r="AD85" s="20">
        <v>631.97066809256501</v>
      </c>
      <c r="AE85" s="78">
        <f t="shared" si="20"/>
        <v>-9.0949470177292824E-13</v>
      </c>
      <c r="AF85" s="29">
        <f t="shared" si="21"/>
        <v>4</v>
      </c>
    </row>
    <row r="86" spans="1:32" ht="15" customHeight="1" x14ac:dyDescent="0.35">
      <c r="A86" s="19" t="s">
        <v>110</v>
      </c>
      <c r="B86" s="19" t="s">
        <v>114</v>
      </c>
      <c r="C86" s="19" t="s">
        <v>210</v>
      </c>
      <c r="D86" s="19" t="s">
        <v>121</v>
      </c>
      <c r="E86" s="19" t="s">
        <v>105</v>
      </c>
      <c r="F86" s="19">
        <v>1</v>
      </c>
      <c r="G86" s="19" t="s">
        <v>105</v>
      </c>
      <c r="H86" s="16">
        <v>12</v>
      </c>
      <c r="I86" s="13">
        <f>IF($G86="Base",1,INDEX(ModelOutput!$D$16:$D$26,MATCH($G86,ModelOutput!$C$16:$C$26,0)))</f>
        <v>0.98982624281990295</v>
      </c>
      <c r="J86" s="13">
        <f>IF($A86="Non-greek",1,INDEX(ModelOutput!$D$16:$D$26,MATCH($A86,ModelOutput!$C$16:$C$26,0)))</f>
        <v>1</v>
      </c>
      <c r="K86" s="13">
        <f>IF($C86="Yes",1,INDEX(ModelOutput!$D$16:$D$26,MATCH($C86,ModelOutput!$C$16:$C$26,0)))</f>
        <v>1</v>
      </c>
      <c r="L86" s="13">
        <f>IF($D86="2.0-3.0",1,INDEX(ModelOutput!$D$16:$D$26,MATCH($D86,ModelOutput!$C$16:$C$26,0)))</f>
        <v>1.12144800201769</v>
      </c>
      <c r="M86" s="13">
        <f>IF($B86="On campus",1,INDEX(ModelOutput!$D$16:$D$26,MATCH($B86,ModelOutput!$C$16:$C$26,0)))</f>
        <v>1.7006219753182299</v>
      </c>
      <c r="N86" s="13">
        <f>IF($B86="On campus",1,INDEX(ModelOutput!$E$16:$E$26,MATCH($B86,ModelOutput!$C$16:$C$26,0)))</f>
        <v>1.6738008433039699</v>
      </c>
      <c r="O86" s="13">
        <f>IF($B86="On campus",1,INDEX(ModelOutput!$F$16:$F$26,MATCH($B86,ModelOutput!$C$16:$C$26,0)))</f>
        <v>2.1619836912278898</v>
      </c>
      <c r="P86" s="13">
        <f>IF($B86="On campus",1,INDEX(ModelOutput!$G$16:$G$26,MATCH($B86,ModelOutput!$C$16:$C$26,0)))</f>
        <v>2.7253181394344401</v>
      </c>
      <c r="Q86" s="72">
        <f>INDEX(ModelOutput!$D$9:$D$11,MATCH("Tier "&amp;$F86,ModelOutput!$B$9:$B$11,0))</f>
        <v>36.175496869914397</v>
      </c>
      <c r="R86" s="72">
        <f>INDEX(ModelOutput!$E$9:$E$11,MATCH("Tier "&amp;$F86,ModelOutput!$B$9:$B$11,0))</f>
        <v>106.647084447761</v>
      </c>
      <c r="S86" s="72">
        <f>INDEX(ModelOutput!$F$9:$F$11,MATCH("Tier "&amp;$F86,ModelOutput!$B$9:$B$11,0))</f>
        <v>123.726482920496</v>
      </c>
      <c r="T86" s="72">
        <f>INDEX(ModelOutput!$G$9:$G$11,MATCH("Tier "&amp;$F86,ModelOutput!$B$9:$B$11,0))</f>
        <v>20.551544113210401</v>
      </c>
      <c r="U86" s="76">
        <f t="shared" si="11"/>
        <v>68.290516429736485</v>
      </c>
      <c r="V86" s="76">
        <f t="shared" si="12"/>
        <v>198.14853913344911</v>
      </c>
      <c r="W86" s="76">
        <f t="shared" si="13"/>
        <v>296.92939042695895</v>
      </c>
      <c r="X86" s="76">
        <f t="shared" si="14"/>
        <v>62.172705980302084</v>
      </c>
      <c r="Y86" s="27">
        <f t="shared" si="15"/>
        <v>625.54115197044666</v>
      </c>
      <c r="Z86" s="27">
        <f t="shared" si="16"/>
        <v>1058.8453467407835</v>
      </c>
      <c r="AA86" s="33">
        <f t="shared" si="17"/>
        <v>-0.25759133277779012</v>
      </c>
      <c r="AB86" s="14">
        <f t="shared" si="18"/>
        <v>1069.6723315837799</v>
      </c>
      <c r="AC86" s="29">
        <f t="shared" si="19"/>
        <v>2</v>
      </c>
      <c r="AD86" s="20">
        <v>625.54115197044803</v>
      </c>
      <c r="AE86" s="78">
        <f t="shared" si="20"/>
        <v>-1.3642420526593924E-12</v>
      </c>
      <c r="AF86" s="29">
        <f t="shared" si="21"/>
        <v>3</v>
      </c>
    </row>
    <row r="87" spans="1:32" ht="15" customHeight="1" x14ac:dyDescent="0.35">
      <c r="A87" s="19" t="s">
        <v>110</v>
      </c>
      <c r="B87" s="19" t="s">
        <v>114</v>
      </c>
      <c r="C87" s="19" t="s">
        <v>210</v>
      </c>
      <c r="D87" s="19" t="s">
        <v>121</v>
      </c>
      <c r="E87" s="19" t="s">
        <v>97</v>
      </c>
      <c r="F87" s="19">
        <v>2</v>
      </c>
      <c r="G87" s="19" t="s">
        <v>211</v>
      </c>
      <c r="H87" s="16">
        <v>9</v>
      </c>
      <c r="I87" s="13">
        <f>IF($G87="Base",1,INDEX(ModelOutput!$D$16:$D$26,MATCH($G87,ModelOutput!$C$16:$C$26,0)))</f>
        <v>1</v>
      </c>
      <c r="J87" s="13">
        <f>IF($A87="Non-greek",1,INDEX(ModelOutput!$D$16:$D$26,MATCH($A87,ModelOutput!$C$16:$C$26,0)))</f>
        <v>1</v>
      </c>
      <c r="K87" s="13">
        <f>IF($C87="Yes",1,INDEX(ModelOutput!$D$16:$D$26,MATCH($C87,ModelOutput!$C$16:$C$26,0)))</f>
        <v>1</v>
      </c>
      <c r="L87" s="13">
        <f>IF($D87="2.0-3.0",1,INDEX(ModelOutput!$D$16:$D$26,MATCH($D87,ModelOutput!$C$16:$C$26,0)))</f>
        <v>1.12144800201769</v>
      </c>
      <c r="M87" s="13">
        <f>IF($B87="On campus",1,INDEX(ModelOutput!$D$16:$D$26,MATCH($B87,ModelOutput!$C$16:$C$26,0)))</f>
        <v>1.7006219753182299</v>
      </c>
      <c r="N87" s="13">
        <f>IF($B87="On campus",1,INDEX(ModelOutput!$E$16:$E$26,MATCH($B87,ModelOutput!$C$16:$C$26,0)))</f>
        <v>1.6738008433039699</v>
      </c>
      <c r="O87" s="13">
        <f>IF($B87="On campus",1,INDEX(ModelOutput!$F$16:$F$26,MATCH($B87,ModelOutput!$C$16:$C$26,0)))</f>
        <v>2.1619836912278898</v>
      </c>
      <c r="P87" s="13">
        <f>IF($B87="On campus",1,INDEX(ModelOutput!$G$16:$G$26,MATCH($B87,ModelOutput!$C$16:$C$26,0)))</f>
        <v>2.7253181394344401</v>
      </c>
      <c r="Q87" s="72">
        <f>INDEX(ModelOutput!$D$9:$D$11,MATCH("Tier "&amp;$F87,ModelOutput!$B$9:$B$11,0))</f>
        <v>42.8051506068728</v>
      </c>
      <c r="R87" s="72">
        <f>INDEX(ModelOutput!$E$9:$E$11,MATCH("Tier "&amp;$F87,ModelOutput!$B$9:$B$11,0))</f>
        <v>126.191618818284</v>
      </c>
      <c r="S87" s="72">
        <f>INDEX(ModelOutput!$F$9:$F$11,MATCH("Tier "&amp;$F87,ModelOutput!$B$9:$B$11,0))</f>
        <v>146.401050261042</v>
      </c>
      <c r="T87" s="72">
        <f>INDEX(ModelOutput!$G$9:$G$11,MATCH("Tier "&amp;$F87,ModelOutput!$B$9:$B$11,0))</f>
        <v>24.317895180076398</v>
      </c>
      <c r="U87" s="76">
        <f t="shared" si="11"/>
        <v>81.636233209115161</v>
      </c>
      <c r="V87" s="76">
        <f t="shared" si="12"/>
        <v>236.87184101744319</v>
      </c>
      <c r="W87" s="76">
        <f t="shared" si="13"/>
        <v>354.95700180384716</v>
      </c>
      <c r="X87" s="76">
        <f t="shared" si="14"/>
        <v>74.322845835729879</v>
      </c>
      <c r="Y87" s="27">
        <f t="shared" si="15"/>
        <v>747.78792186613532</v>
      </c>
      <c r="Z87" s="27">
        <f t="shared" si="16"/>
        <v>1257.6281249067445</v>
      </c>
      <c r="AA87" s="33">
        <f t="shared" si="17"/>
        <v>-0.11821492822619328</v>
      </c>
      <c r="AB87" s="14">
        <f t="shared" si="18"/>
        <v>1257.6281249067445</v>
      </c>
      <c r="AC87" s="29">
        <f t="shared" si="19"/>
        <v>1</v>
      </c>
      <c r="AD87" s="20">
        <v>747.78792186613703</v>
      </c>
      <c r="AE87" s="78">
        <f t="shared" si="20"/>
        <v>-1.7053025658242404E-12</v>
      </c>
      <c r="AF87" s="29">
        <f t="shared" si="21"/>
        <v>2</v>
      </c>
    </row>
    <row r="88" spans="1:32" ht="15" customHeight="1" x14ac:dyDescent="0.35">
      <c r="A88" s="19" t="s">
        <v>110</v>
      </c>
      <c r="B88" s="19" t="s">
        <v>114</v>
      </c>
      <c r="C88" s="19" t="s">
        <v>210</v>
      </c>
      <c r="D88" s="19" t="s">
        <v>121</v>
      </c>
      <c r="E88" s="19" t="s">
        <v>99</v>
      </c>
      <c r="F88" s="19">
        <v>3</v>
      </c>
      <c r="G88" s="19" t="s">
        <v>211</v>
      </c>
      <c r="H88" s="16">
        <v>14</v>
      </c>
      <c r="I88" s="13">
        <f>IF($G88="Base",1,INDEX(ModelOutput!$D$16:$D$26,MATCH($G88,ModelOutput!$C$16:$C$26,0)))</f>
        <v>1</v>
      </c>
      <c r="J88" s="13">
        <f>IF($A88="Non-greek",1,INDEX(ModelOutput!$D$16:$D$26,MATCH($A88,ModelOutput!$C$16:$C$26,0)))</f>
        <v>1</v>
      </c>
      <c r="K88" s="13">
        <f>IF($C88="Yes",1,INDEX(ModelOutput!$D$16:$D$26,MATCH($C88,ModelOutput!$C$16:$C$26,0)))</f>
        <v>1</v>
      </c>
      <c r="L88" s="13">
        <f>IF($D88="2.0-3.0",1,INDEX(ModelOutput!$D$16:$D$26,MATCH($D88,ModelOutput!$C$16:$C$26,0)))</f>
        <v>1.12144800201769</v>
      </c>
      <c r="M88" s="13">
        <f>IF($B88="On campus",1,INDEX(ModelOutput!$D$16:$D$26,MATCH($B88,ModelOutput!$C$16:$C$26,0)))</f>
        <v>1.7006219753182299</v>
      </c>
      <c r="N88" s="13">
        <f>IF($B88="On campus",1,INDEX(ModelOutput!$E$16:$E$26,MATCH($B88,ModelOutput!$C$16:$C$26,0)))</f>
        <v>1.6738008433039699</v>
      </c>
      <c r="O88" s="13">
        <f>IF($B88="On campus",1,INDEX(ModelOutput!$F$16:$F$26,MATCH($B88,ModelOutput!$C$16:$C$26,0)))</f>
        <v>2.1619836912278898</v>
      </c>
      <c r="P88" s="13">
        <f>IF($B88="On campus",1,INDEX(ModelOutput!$G$16:$G$26,MATCH($B88,ModelOutput!$C$16:$C$26,0)))</f>
        <v>2.7253181394344401</v>
      </c>
      <c r="Q88" s="72">
        <f>INDEX(ModelOutput!$D$9:$D$11,MATCH("Tier "&amp;$F88,ModelOutput!$B$9:$B$11,0))</f>
        <v>40.009437343712797</v>
      </c>
      <c r="R88" s="72">
        <f>INDEX(ModelOutput!$E$9:$E$11,MATCH("Tier "&amp;$F88,ModelOutput!$B$9:$B$11,0))</f>
        <v>117.949723218616</v>
      </c>
      <c r="S88" s="72">
        <f>INDEX(ModelOutput!$F$9:$F$11,MATCH("Tier "&amp;$F88,ModelOutput!$B$9:$B$11,0))</f>
        <v>136.83922529015501</v>
      </c>
      <c r="T88" s="72">
        <f>INDEX(ModelOutput!$G$9:$G$11,MATCH("Tier "&amp;$F88,ModelOutput!$B$9:$B$11,0))</f>
        <v>22.729631592092201</v>
      </c>
      <c r="U88" s="76">
        <f t="shared" si="11"/>
        <v>76.304363172416785</v>
      </c>
      <c r="V88" s="76">
        <f t="shared" si="12"/>
        <v>221.40113858530944</v>
      </c>
      <c r="W88" s="76">
        <f t="shared" si="13"/>
        <v>331.77385716528454</v>
      </c>
      <c r="X88" s="76">
        <f t="shared" si="14"/>
        <v>69.468631730350964</v>
      </c>
      <c r="Y88" s="27">
        <f t="shared" si="15"/>
        <v>698.94799065336167</v>
      </c>
      <c r="Z88" s="27">
        <f t="shared" si="16"/>
        <v>1178.2105892107606</v>
      </c>
      <c r="AA88" s="33">
        <f t="shared" si="17"/>
        <v>-0.17389847730313113</v>
      </c>
      <c r="AB88" s="14">
        <f t="shared" si="18"/>
        <v>1178.2105892107606</v>
      </c>
      <c r="AC88" s="29">
        <f t="shared" si="19"/>
        <v>1</v>
      </c>
      <c r="AD88" s="20">
        <v>698.94799065336497</v>
      </c>
      <c r="AE88" s="78">
        <f t="shared" si="20"/>
        <v>-3.2969182939268649E-12</v>
      </c>
      <c r="AF88" s="29">
        <f t="shared" si="21"/>
        <v>1</v>
      </c>
    </row>
    <row r="89" spans="1:32" ht="15" customHeight="1" x14ac:dyDescent="0.35">
      <c r="A89" s="19" t="s">
        <v>110</v>
      </c>
      <c r="B89" s="19" t="s">
        <v>114</v>
      </c>
      <c r="C89" s="19" t="s">
        <v>210</v>
      </c>
      <c r="D89" s="19" t="s">
        <v>121</v>
      </c>
      <c r="E89" s="19" t="s">
        <v>213</v>
      </c>
      <c r="F89" s="19">
        <v>3</v>
      </c>
      <c r="G89" s="19" t="s">
        <v>107</v>
      </c>
      <c r="H89" s="16">
        <v>4</v>
      </c>
      <c r="I89" s="13">
        <f>IF($G89="Base",1,INDEX(ModelOutput!$D$16:$D$26,MATCH($G89,ModelOutput!$C$16:$C$26,0)))</f>
        <v>1.1906804269762199</v>
      </c>
      <c r="J89" s="13">
        <f>IF($A89="Non-greek",1,INDEX(ModelOutput!$D$16:$D$26,MATCH($A89,ModelOutput!$C$16:$C$26,0)))</f>
        <v>1</v>
      </c>
      <c r="K89" s="13">
        <f>IF($C89="Yes",1,INDEX(ModelOutput!$D$16:$D$26,MATCH($C89,ModelOutput!$C$16:$C$26,0)))</f>
        <v>1</v>
      </c>
      <c r="L89" s="13">
        <f>IF($D89="2.0-3.0",1,INDEX(ModelOutput!$D$16:$D$26,MATCH($D89,ModelOutput!$C$16:$C$26,0)))</f>
        <v>1.12144800201769</v>
      </c>
      <c r="M89" s="13">
        <f>IF($B89="On campus",1,INDEX(ModelOutput!$D$16:$D$26,MATCH($B89,ModelOutput!$C$16:$C$26,0)))</f>
        <v>1.7006219753182299</v>
      </c>
      <c r="N89" s="13">
        <f>IF($B89="On campus",1,INDEX(ModelOutput!$E$16:$E$26,MATCH($B89,ModelOutput!$C$16:$C$26,0)))</f>
        <v>1.6738008433039699</v>
      </c>
      <c r="O89" s="13">
        <f>IF($B89="On campus",1,INDEX(ModelOutput!$F$16:$F$26,MATCH($B89,ModelOutput!$C$16:$C$26,0)))</f>
        <v>2.1619836912278898</v>
      </c>
      <c r="P89" s="13">
        <f>IF($B89="On campus",1,INDEX(ModelOutput!$G$16:$G$26,MATCH($B89,ModelOutput!$C$16:$C$26,0)))</f>
        <v>2.7253181394344401</v>
      </c>
      <c r="Q89" s="72">
        <f>INDEX(ModelOutput!$D$9:$D$11,MATCH("Tier "&amp;$F89,ModelOutput!$B$9:$B$11,0))</f>
        <v>40.009437343712797</v>
      </c>
      <c r="R89" s="72">
        <f>INDEX(ModelOutput!$E$9:$E$11,MATCH("Tier "&amp;$F89,ModelOutput!$B$9:$B$11,0))</f>
        <v>117.949723218616</v>
      </c>
      <c r="S89" s="72">
        <f>INDEX(ModelOutput!$F$9:$F$11,MATCH("Tier "&amp;$F89,ModelOutput!$B$9:$B$11,0))</f>
        <v>136.83922529015501</v>
      </c>
      <c r="T89" s="72">
        <f>INDEX(ModelOutput!$G$9:$G$11,MATCH("Tier "&amp;$F89,ModelOutput!$B$9:$B$11,0))</f>
        <v>22.729631592092201</v>
      </c>
      <c r="U89" s="76">
        <f t="shared" si="11"/>
        <v>90.854111722281772</v>
      </c>
      <c r="V89" s="76">
        <f t="shared" si="12"/>
        <v>263.61800222377747</v>
      </c>
      <c r="W89" s="76">
        <f t="shared" si="13"/>
        <v>395.03663790910844</v>
      </c>
      <c r="X89" s="76">
        <f t="shared" si="14"/>
        <v>82.714940090148062</v>
      </c>
      <c r="Y89" s="27">
        <f t="shared" si="15"/>
        <v>832.22369194531575</v>
      </c>
      <c r="Z89" s="27">
        <f t="shared" si="16"/>
        <v>1394.9272696386963</v>
      </c>
      <c r="AA89" s="33">
        <f t="shared" si="17"/>
        <v>-2.1947729843584063E-2</v>
      </c>
      <c r="AB89" s="14">
        <f t="shared" si="18"/>
        <v>1394.9272696386963</v>
      </c>
      <c r="AC89" s="29">
        <f t="shared" si="19"/>
        <v>1</v>
      </c>
      <c r="AD89" s="20">
        <v>832.22369194531996</v>
      </c>
      <c r="AE89" s="78">
        <f t="shared" si="20"/>
        <v>-4.2064129956997931E-12</v>
      </c>
      <c r="AF89" s="29">
        <f t="shared" si="21"/>
        <v>2</v>
      </c>
    </row>
    <row r="90" spans="1:32" ht="15" customHeight="1" x14ac:dyDescent="0.35">
      <c r="A90" s="37" t="s">
        <v>110</v>
      </c>
      <c r="B90" s="37" t="s">
        <v>114</v>
      </c>
      <c r="C90" s="37" t="s">
        <v>210</v>
      </c>
      <c r="D90" s="37" t="s">
        <v>123</v>
      </c>
      <c r="E90" s="37" t="s">
        <v>95</v>
      </c>
      <c r="F90" s="37">
        <v>1</v>
      </c>
      <c r="G90" s="37" t="s">
        <v>211</v>
      </c>
      <c r="H90" s="38">
        <v>24</v>
      </c>
      <c r="I90" s="39">
        <f>IF($G90="Base",1,INDEX(ModelOutput!$D$16:$D$26,MATCH($G90,ModelOutput!$C$16:$C$26,0)))</f>
        <v>1</v>
      </c>
      <c r="J90" s="39">
        <f>IF($A90="Non-greek",1,INDEX(ModelOutput!$D$16:$D$26,MATCH($A90,ModelOutput!$C$16:$C$26,0)))</f>
        <v>1</v>
      </c>
      <c r="K90" s="39">
        <f>IF($C90="Yes",1,INDEX(ModelOutput!$D$16:$D$26,MATCH($C90,ModelOutput!$C$16:$C$26,0)))</f>
        <v>1</v>
      </c>
      <c r="L90" s="39">
        <f>IF($D90="2.0-3.0",1,INDEX(ModelOutput!$D$16:$D$26,MATCH($D90,ModelOutput!$C$16:$C$26,0)))</f>
        <v>1.01762556011242</v>
      </c>
      <c r="M90" s="39">
        <f>IF($B90="On campus",1,INDEX(ModelOutput!$D$16:$D$26,MATCH($B90,ModelOutput!$C$16:$C$26,0)))</f>
        <v>1.7006219753182299</v>
      </c>
      <c r="N90" s="39">
        <f>IF($B90="On campus",1,INDEX(ModelOutput!$E$16:$E$26,MATCH($B90,ModelOutput!$C$16:$C$26,0)))</f>
        <v>1.6738008433039699</v>
      </c>
      <c r="O90" s="39">
        <f>IF($B90="On campus",1,INDEX(ModelOutput!$F$16:$F$26,MATCH($B90,ModelOutput!$C$16:$C$26,0)))</f>
        <v>2.1619836912278898</v>
      </c>
      <c r="P90" s="39">
        <f>IF($B90="On campus",1,INDEX(ModelOutput!$G$16:$G$26,MATCH($B90,ModelOutput!$C$16:$C$26,0)))</f>
        <v>2.7253181394344401</v>
      </c>
      <c r="Q90" s="73">
        <f>INDEX(ModelOutput!$D$9:$D$11,MATCH("Tier "&amp;$F90,ModelOutput!$B$9:$B$11,0))</f>
        <v>36.175496869914397</v>
      </c>
      <c r="R90" s="73">
        <f>INDEX(ModelOutput!$E$9:$E$11,MATCH("Tier "&amp;$F90,ModelOutput!$B$9:$B$11,0))</f>
        <v>106.647084447761</v>
      </c>
      <c r="S90" s="73">
        <f>INDEX(ModelOutput!$F$9:$F$11,MATCH("Tier "&amp;$F90,ModelOutput!$B$9:$B$11,0))</f>
        <v>123.726482920496</v>
      </c>
      <c r="T90" s="73">
        <f>INDEX(ModelOutput!$G$9:$G$11,MATCH("Tier "&amp;$F90,ModelOutput!$B$9:$B$11,0))</f>
        <v>20.551544113210401</v>
      </c>
      <c r="U90" s="77">
        <f t="shared" si="11"/>
        <v>62.605184295777804</v>
      </c>
      <c r="V90" s="77">
        <f t="shared" si="12"/>
        <v>181.65224776345403</v>
      </c>
      <c r="W90" s="77">
        <f t="shared" si="13"/>
        <v>272.20938107327265</v>
      </c>
      <c r="X90" s="77">
        <f t="shared" si="14"/>
        <v>56.996694703118948</v>
      </c>
      <c r="Y90" s="30">
        <f t="shared" si="15"/>
        <v>573.46350783562343</v>
      </c>
      <c r="Z90" s="30">
        <f t="shared" si="16"/>
        <v>974.16303742257617</v>
      </c>
      <c r="AA90" s="41">
        <f t="shared" si="17"/>
        <v>-0.31696627416252121</v>
      </c>
      <c r="AB90" s="40">
        <f t="shared" si="18"/>
        <v>1069.6723315837799</v>
      </c>
      <c r="AC90" s="42">
        <f t="shared" si="19"/>
        <v>2</v>
      </c>
      <c r="AD90" s="43">
        <v>573.46350783562298</v>
      </c>
      <c r="AE90" s="79">
        <f t="shared" si="20"/>
        <v>0</v>
      </c>
      <c r="AF90" s="29">
        <f t="shared" si="21"/>
        <v>4</v>
      </c>
    </row>
    <row r="91" spans="1:32" ht="15" customHeight="1" x14ac:dyDescent="0.35">
      <c r="A91" s="37" t="s">
        <v>110</v>
      </c>
      <c r="B91" s="37" t="s">
        <v>114</v>
      </c>
      <c r="C91" s="37" t="s">
        <v>210</v>
      </c>
      <c r="D91" s="37" t="s">
        <v>123</v>
      </c>
      <c r="E91" s="37" t="s">
        <v>105</v>
      </c>
      <c r="F91" s="37">
        <v>1</v>
      </c>
      <c r="G91" s="37" t="s">
        <v>105</v>
      </c>
      <c r="H91" s="38">
        <v>33</v>
      </c>
      <c r="I91" s="39">
        <f>IF($G91="Base",1,INDEX(ModelOutput!$D$16:$D$26,MATCH($G91,ModelOutput!$C$16:$C$26,0)))</f>
        <v>0.98982624281990295</v>
      </c>
      <c r="J91" s="39">
        <f>IF($A91="Non-greek",1,INDEX(ModelOutput!$D$16:$D$26,MATCH($A91,ModelOutput!$C$16:$C$26,0)))</f>
        <v>1</v>
      </c>
      <c r="K91" s="39">
        <f>IF($C91="Yes",1,INDEX(ModelOutput!$D$16:$D$26,MATCH($C91,ModelOutput!$C$16:$C$26,0)))</f>
        <v>1</v>
      </c>
      <c r="L91" s="39">
        <f>IF($D91="2.0-3.0",1,INDEX(ModelOutput!$D$16:$D$26,MATCH($D91,ModelOutput!$C$16:$C$26,0)))</f>
        <v>1.01762556011242</v>
      </c>
      <c r="M91" s="39">
        <f>IF($B91="On campus",1,INDEX(ModelOutput!$D$16:$D$26,MATCH($B91,ModelOutput!$C$16:$C$26,0)))</f>
        <v>1.7006219753182299</v>
      </c>
      <c r="N91" s="39">
        <f>IF($B91="On campus",1,INDEX(ModelOutput!$E$16:$E$26,MATCH($B91,ModelOutput!$C$16:$C$26,0)))</f>
        <v>1.6738008433039699</v>
      </c>
      <c r="O91" s="39">
        <f>IF($B91="On campus",1,INDEX(ModelOutput!$F$16:$F$26,MATCH($B91,ModelOutput!$C$16:$C$26,0)))</f>
        <v>2.1619836912278898</v>
      </c>
      <c r="P91" s="39">
        <f>IF($B91="On campus",1,INDEX(ModelOutput!$G$16:$G$26,MATCH($B91,ModelOutput!$C$16:$C$26,0)))</f>
        <v>2.7253181394344401</v>
      </c>
      <c r="Q91" s="73">
        <f>INDEX(ModelOutput!$D$9:$D$11,MATCH("Tier "&amp;$F91,ModelOutput!$B$9:$B$11,0))</f>
        <v>36.175496869914397</v>
      </c>
      <c r="R91" s="73">
        <f>INDEX(ModelOutput!$E$9:$E$11,MATCH("Tier "&amp;$F91,ModelOutput!$B$9:$B$11,0))</f>
        <v>106.647084447761</v>
      </c>
      <c r="S91" s="73">
        <f>INDEX(ModelOutput!$F$9:$F$11,MATCH("Tier "&amp;$F91,ModelOutput!$B$9:$B$11,0))</f>
        <v>123.726482920496</v>
      </c>
      <c r="T91" s="73">
        <f>INDEX(ModelOutput!$G$9:$G$11,MATCH("Tier "&amp;$F91,ModelOutput!$B$9:$B$11,0))</f>
        <v>20.551544113210401</v>
      </c>
      <c r="U91" s="77">
        <f t="shared" si="11"/>
        <v>61.968254352537343</v>
      </c>
      <c r="V91" s="77">
        <f t="shared" si="12"/>
        <v>179.80416190348984</v>
      </c>
      <c r="W91" s="77">
        <f t="shared" si="13"/>
        <v>269.43998892808867</v>
      </c>
      <c r="X91" s="77">
        <f t="shared" si="14"/>
        <v>56.416824171141286</v>
      </c>
      <c r="Y91" s="30">
        <f t="shared" si="15"/>
        <v>567.62922935525717</v>
      </c>
      <c r="Z91" s="30">
        <f t="shared" si="16"/>
        <v>964.67604577518387</v>
      </c>
      <c r="AA91" s="41">
        <f t="shared" si="17"/>
        <v>-0.32361807165737577</v>
      </c>
      <c r="AB91" s="40">
        <f t="shared" si="18"/>
        <v>1069.6723315837799</v>
      </c>
      <c r="AC91" s="42">
        <f t="shared" si="19"/>
        <v>2</v>
      </c>
      <c r="AD91" s="43">
        <v>567.62922935525705</v>
      </c>
      <c r="AE91" s="79">
        <f t="shared" si="20"/>
        <v>0</v>
      </c>
      <c r="AF91" s="29">
        <f t="shared" si="21"/>
        <v>3</v>
      </c>
    </row>
    <row r="92" spans="1:32" ht="15" customHeight="1" x14ac:dyDescent="0.35">
      <c r="A92" s="37" t="s">
        <v>110</v>
      </c>
      <c r="B92" s="37" t="s">
        <v>114</v>
      </c>
      <c r="C92" s="37" t="s">
        <v>210</v>
      </c>
      <c r="D92" s="37" t="s">
        <v>123</v>
      </c>
      <c r="E92" s="37" t="s">
        <v>97</v>
      </c>
      <c r="F92" s="37">
        <v>2</v>
      </c>
      <c r="G92" s="37" t="s">
        <v>211</v>
      </c>
      <c r="H92" s="38">
        <v>37</v>
      </c>
      <c r="I92" s="39">
        <f>IF($G92="Base",1,INDEX(ModelOutput!$D$16:$D$26,MATCH($G92,ModelOutput!$C$16:$C$26,0)))</f>
        <v>1</v>
      </c>
      <c r="J92" s="39">
        <f>IF($A92="Non-greek",1,INDEX(ModelOutput!$D$16:$D$26,MATCH($A92,ModelOutput!$C$16:$C$26,0)))</f>
        <v>1</v>
      </c>
      <c r="K92" s="39">
        <f>IF($C92="Yes",1,INDEX(ModelOutput!$D$16:$D$26,MATCH($C92,ModelOutput!$C$16:$C$26,0)))</f>
        <v>1</v>
      </c>
      <c r="L92" s="39">
        <f>IF($D92="2.0-3.0",1,INDEX(ModelOutput!$D$16:$D$26,MATCH($D92,ModelOutput!$C$16:$C$26,0)))</f>
        <v>1.01762556011242</v>
      </c>
      <c r="M92" s="39">
        <f>IF($B92="On campus",1,INDEX(ModelOutput!$D$16:$D$26,MATCH($B92,ModelOutput!$C$16:$C$26,0)))</f>
        <v>1.7006219753182299</v>
      </c>
      <c r="N92" s="39">
        <f>IF($B92="On campus",1,INDEX(ModelOutput!$E$16:$E$26,MATCH($B92,ModelOutput!$C$16:$C$26,0)))</f>
        <v>1.6738008433039699</v>
      </c>
      <c r="O92" s="39">
        <f>IF($B92="On campus",1,INDEX(ModelOutput!$F$16:$F$26,MATCH($B92,ModelOutput!$C$16:$C$26,0)))</f>
        <v>2.1619836912278898</v>
      </c>
      <c r="P92" s="39">
        <f>IF($B92="On campus",1,INDEX(ModelOutput!$G$16:$G$26,MATCH($B92,ModelOutput!$C$16:$C$26,0)))</f>
        <v>2.7253181394344401</v>
      </c>
      <c r="Q92" s="73">
        <f>INDEX(ModelOutput!$D$9:$D$11,MATCH("Tier "&amp;$F92,ModelOutput!$B$9:$B$11,0))</f>
        <v>42.8051506068728</v>
      </c>
      <c r="R92" s="73">
        <f>INDEX(ModelOutput!$E$9:$E$11,MATCH("Tier "&amp;$F92,ModelOutput!$B$9:$B$11,0))</f>
        <v>126.191618818284</v>
      </c>
      <c r="S92" s="73">
        <f>INDEX(ModelOutput!$F$9:$F$11,MATCH("Tier "&amp;$F92,ModelOutput!$B$9:$B$11,0))</f>
        <v>146.401050261042</v>
      </c>
      <c r="T92" s="73">
        <f>INDEX(ModelOutput!$G$9:$G$11,MATCH("Tier "&amp;$F92,ModelOutput!$B$9:$B$11,0))</f>
        <v>24.317895180076398</v>
      </c>
      <c r="U92" s="77">
        <f t="shared" si="11"/>
        <v>74.078439121052995</v>
      </c>
      <c r="V92" s="77">
        <f t="shared" si="12"/>
        <v>214.94250242235785</v>
      </c>
      <c r="W92" s="77">
        <f t="shared" si="13"/>
        <v>322.09546686656569</v>
      </c>
      <c r="X92" s="77">
        <f t="shared" si="14"/>
        <v>67.442117232949172</v>
      </c>
      <c r="Y92" s="30">
        <f t="shared" si="15"/>
        <v>678.5585256429257</v>
      </c>
      <c r="Z92" s="30">
        <f t="shared" si="16"/>
        <v>1145.0557295482065</v>
      </c>
      <c r="AA92" s="41">
        <f t="shared" si="17"/>
        <v>-0.19714498374506018</v>
      </c>
      <c r="AB92" s="40">
        <f t="shared" si="18"/>
        <v>1145.0557295482065</v>
      </c>
      <c r="AC92" s="42">
        <f t="shared" si="19"/>
        <v>1</v>
      </c>
      <c r="AD92" s="43">
        <v>678.55852564292604</v>
      </c>
      <c r="AE92" s="79">
        <f t="shared" si="20"/>
        <v>0</v>
      </c>
      <c r="AF92" s="29">
        <f t="shared" si="21"/>
        <v>2</v>
      </c>
    </row>
    <row r="93" spans="1:32" ht="15" customHeight="1" x14ac:dyDescent="0.35">
      <c r="A93" s="37" t="s">
        <v>110</v>
      </c>
      <c r="B93" s="37" t="s">
        <v>114</v>
      </c>
      <c r="C93" s="37" t="s">
        <v>210</v>
      </c>
      <c r="D93" s="37" t="s">
        <v>123</v>
      </c>
      <c r="E93" s="37" t="s">
        <v>99</v>
      </c>
      <c r="F93" s="37">
        <v>3</v>
      </c>
      <c r="G93" s="37" t="s">
        <v>211</v>
      </c>
      <c r="H93" s="38">
        <v>43</v>
      </c>
      <c r="I93" s="39">
        <f>IF($G93="Base",1,INDEX(ModelOutput!$D$16:$D$26,MATCH($G93,ModelOutput!$C$16:$C$26,0)))</f>
        <v>1</v>
      </c>
      <c r="J93" s="39">
        <f>IF($A93="Non-greek",1,INDEX(ModelOutput!$D$16:$D$26,MATCH($A93,ModelOutput!$C$16:$C$26,0)))</f>
        <v>1</v>
      </c>
      <c r="K93" s="39">
        <f>IF($C93="Yes",1,INDEX(ModelOutput!$D$16:$D$26,MATCH($C93,ModelOutput!$C$16:$C$26,0)))</f>
        <v>1</v>
      </c>
      <c r="L93" s="39">
        <f>IF($D93="2.0-3.0",1,INDEX(ModelOutput!$D$16:$D$26,MATCH($D93,ModelOutput!$C$16:$C$26,0)))</f>
        <v>1.01762556011242</v>
      </c>
      <c r="M93" s="39">
        <f>IF($B93="On campus",1,INDEX(ModelOutput!$D$16:$D$26,MATCH($B93,ModelOutput!$C$16:$C$26,0)))</f>
        <v>1.7006219753182299</v>
      </c>
      <c r="N93" s="39">
        <f>IF($B93="On campus",1,INDEX(ModelOutput!$E$16:$E$26,MATCH($B93,ModelOutput!$C$16:$C$26,0)))</f>
        <v>1.6738008433039699</v>
      </c>
      <c r="O93" s="39">
        <f>IF($B93="On campus",1,INDEX(ModelOutput!$F$16:$F$26,MATCH($B93,ModelOutput!$C$16:$C$26,0)))</f>
        <v>2.1619836912278898</v>
      </c>
      <c r="P93" s="39">
        <f>IF($B93="On campus",1,INDEX(ModelOutput!$G$16:$G$26,MATCH($B93,ModelOutput!$C$16:$C$26,0)))</f>
        <v>2.7253181394344401</v>
      </c>
      <c r="Q93" s="73">
        <f>INDEX(ModelOutput!$D$9:$D$11,MATCH("Tier "&amp;$F93,ModelOutput!$B$9:$B$11,0))</f>
        <v>40.009437343712797</v>
      </c>
      <c r="R93" s="73">
        <f>INDEX(ModelOutput!$E$9:$E$11,MATCH("Tier "&amp;$F93,ModelOutput!$B$9:$B$11,0))</f>
        <v>117.949723218616</v>
      </c>
      <c r="S93" s="73">
        <f>INDEX(ModelOutput!$F$9:$F$11,MATCH("Tier "&amp;$F93,ModelOutput!$B$9:$B$11,0))</f>
        <v>136.83922529015501</v>
      </c>
      <c r="T93" s="73">
        <f>INDEX(ModelOutput!$G$9:$G$11,MATCH("Tier "&amp;$F93,ModelOutput!$B$9:$B$11,0))</f>
        <v>22.729631592092201</v>
      </c>
      <c r="U93" s="77">
        <f t="shared" si="11"/>
        <v>69.24018783987033</v>
      </c>
      <c r="V93" s="77">
        <f t="shared" si="12"/>
        <v>200.90406087223027</v>
      </c>
      <c r="W93" s="77">
        <f t="shared" si="13"/>
        <v>301.05859265970224</v>
      </c>
      <c r="X93" s="77">
        <f t="shared" si="14"/>
        <v>63.037301014092584</v>
      </c>
      <c r="Y93" s="30">
        <f t="shared" si="15"/>
        <v>634.24014238589541</v>
      </c>
      <c r="Z93" s="30">
        <f t="shared" si="16"/>
        <v>1072.9905833265639</v>
      </c>
      <c r="AA93" s="41">
        <f t="shared" si="17"/>
        <v>-0.24767341013354693</v>
      </c>
      <c r="AB93" s="40">
        <f t="shared" si="18"/>
        <v>1072.9905833265639</v>
      </c>
      <c r="AC93" s="42">
        <f t="shared" si="19"/>
        <v>1</v>
      </c>
      <c r="AD93" s="43">
        <v>634.240142385897</v>
      </c>
      <c r="AE93" s="79">
        <f t="shared" si="20"/>
        <v>-1.5916157281026244E-12</v>
      </c>
      <c r="AF93" s="29">
        <f t="shared" si="21"/>
        <v>1</v>
      </c>
    </row>
    <row r="94" spans="1:32" ht="15" customHeight="1" x14ac:dyDescent="0.35">
      <c r="A94" s="37" t="s">
        <v>110</v>
      </c>
      <c r="B94" s="37" t="s">
        <v>114</v>
      </c>
      <c r="C94" s="37" t="s">
        <v>210</v>
      </c>
      <c r="D94" s="37" t="s">
        <v>123</v>
      </c>
      <c r="E94" s="37" t="s">
        <v>213</v>
      </c>
      <c r="F94" s="37">
        <v>3</v>
      </c>
      <c r="G94" s="37" t="s">
        <v>107</v>
      </c>
      <c r="H94" s="38">
        <v>14</v>
      </c>
      <c r="I94" s="39">
        <f>IF($G94="Base",1,INDEX(ModelOutput!$D$16:$D$26,MATCH($G94,ModelOutput!$C$16:$C$26,0)))</f>
        <v>1.1906804269762199</v>
      </c>
      <c r="J94" s="39">
        <f>IF($A94="Non-greek",1,INDEX(ModelOutput!$D$16:$D$26,MATCH($A94,ModelOutput!$C$16:$C$26,0)))</f>
        <v>1</v>
      </c>
      <c r="K94" s="39">
        <f>IF($C94="Yes",1,INDEX(ModelOutput!$D$16:$D$26,MATCH($C94,ModelOutput!$C$16:$C$26,0)))</f>
        <v>1</v>
      </c>
      <c r="L94" s="39">
        <f>IF($D94="2.0-3.0",1,INDEX(ModelOutput!$D$16:$D$26,MATCH($D94,ModelOutput!$C$16:$C$26,0)))</f>
        <v>1.01762556011242</v>
      </c>
      <c r="M94" s="39">
        <f>IF($B94="On campus",1,INDEX(ModelOutput!$D$16:$D$26,MATCH($B94,ModelOutput!$C$16:$C$26,0)))</f>
        <v>1.7006219753182299</v>
      </c>
      <c r="N94" s="39">
        <f>IF($B94="On campus",1,INDEX(ModelOutput!$E$16:$E$26,MATCH($B94,ModelOutput!$C$16:$C$26,0)))</f>
        <v>1.6738008433039699</v>
      </c>
      <c r="O94" s="39">
        <f>IF($B94="On campus",1,INDEX(ModelOutput!$F$16:$F$26,MATCH($B94,ModelOutput!$C$16:$C$26,0)))</f>
        <v>2.1619836912278898</v>
      </c>
      <c r="P94" s="39">
        <f>IF($B94="On campus",1,INDEX(ModelOutput!$G$16:$G$26,MATCH($B94,ModelOutput!$C$16:$C$26,0)))</f>
        <v>2.7253181394344401</v>
      </c>
      <c r="Q94" s="73">
        <f>INDEX(ModelOutput!$D$9:$D$11,MATCH("Tier "&amp;$F94,ModelOutput!$B$9:$B$11,0))</f>
        <v>40.009437343712797</v>
      </c>
      <c r="R94" s="73">
        <f>INDEX(ModelOutput!$E$9:$E$11,MATCH("Tier "&amp;$F94,ModelOutput!$B$9:$B$11,0))</f>
        <v>117.949723218616</v>
      </c>
      <c r="S94" s="73">
        <f>INDEX(ModelOutput!$F$9:$F$11,MATCH("Tier "&amp;$F94,ModelOutput!$B$9:$B$11,0))</f>
        <v>136.83922529015501</v>
      </c>
      <c r="T94" s="73">
        <f>INDEX(ModelOutput!$G$9:$G$11,MATCH("Tier "&amp;$F94,ModelOutput!$B$9:$B$11,0))</f>
        <v>22.729631592092201</v>
      </c>
      <c r="U94" s="77">
        <f t="shared" si="11"/>
        <v>82.442936421090479</v>
      </c>
      <c r="V94" s="77">
        <f t="shared" si="12"/>
        <v>239.21253298060364</v>
      </c>
      <c r="W94" s="77">
        <f t="shared" si="13"/>
        <v>358.46457365291423</v>
      </c>
      <c r="X94" s="77">
        <f t="shared" si="14"/>
        <v>75.05728048688826</v>
      </c>
      <c r="Y94" s="30">
        <f t="shared" si="15"/>
        <v>755.17732354149666</v>
      </c>
      <c r="Z94" s="30">
        <f t="shared" si="16"/>
        <v>1269.6438681060608</v>
      </c>
      <c r="AA94" s="41">
        <f t="shared" si="17"/>
        <v>-0.10979009836624531</v>
      </c>
      <c r="AB94" s="40">
        <f t="shared" si="18"/>
        <v>1269.6438681060608</v>
      </c>
      <c r="AC94" s="42">
        <f t="shared" si="19"/>
        <v>1</v>
      </c>
      <c r="AD94" s="43">
        <v>755.17732354149905</v>
      </c>
      <c r="AE94" s="79">
        <f t="shared" si="20"/>
        <v>-2.3874235921539366E-12</v>
      </c>
      <c r="AF94" s="29">
        <f t="shared" si="21"/>
        <v>2</v>
      </c>
    </row>
    <row r="95" spans="1:32" ht="15" customHeight="1" x14ac:dyDescent="0.35">
      <c r="A95" s="19" t="s">
        <v>110</v>
      </c>
      <c r="B95" s="19" t="s">
        <v>114</v>
      </c>
      <c r="C95" s="19" t="s">
        <v>210</v>
      </c>
      <c r="D95" s="19" t="s">
        <v>122</v>
      </c>
      <c r="E95" s="19" t="s">
        <v>95</v>
      </c>
      <c r="F95" s="19">
        <v>1</v>
      </c>
      <c r="G95" s="19" t="s">
        <v>211</v>
      </c>
      <c r="H95" s="16">
        <v>62</v>
      </c>
      <c r="I95" s="13">
        <f>IF($G95="Base",1,INDEX(ModelOutput!$D$16:$D$26,MATCH($G95,ModelOutput!$C$16:$C$26,0)))</f>
        <v>1</v>
      </c>
      <c r="J95" s="13">
        <f>IF($A95="Non-greek",1,INDEX(ModelOutput!$D$16:$D$26,MATCH($A95,ModelOutput!$C$16:$C$26,0)))</f>
        <v>1</v>
      </c>
      <c r="K95" s="13">
        <f>IF($C95="Yes",1,INDEX(ModelOutput!$D$16:$D$26,MATCH($C95,ModelOutput!$C$16:$C$26,0)))</f>
        <v>1</v>
      </c>
      <c r="L95" s="13">
        <f>IF($D95="2.0-3.0",1,INDEX(ModelOutput!$D$16:$D$26,MATCH($D95,ModelOutput!$C$16:$C$26,0)))</f>
        <v>1</v>
      </c>
      <c r="M95" s="13">
        <f>IF($B95="On campus",1,INDEX(ModelOutput!$D$16:$D$26,MATCH($B95,ModelOutput!$C$16:$C$26,0)))</f>
        <v>1.7006219753182299</v>
      </c>
      <c r="N95" s="13">
        <f>IF($B95="On campus",1,INDEX(ModelOutput!$E$16:$E$26,MATCH($B95,ModelOutput!$C$16:$C$26,0)))</f>
        <v>1.6738008433039699</v>
      </c>
      <c r="O95" s="13">
        <f>IF($B95="On campus",1,INDEX(ModelOutput!$F$16:$F$26,MATCH($B95,ModelOutput!$C$16:$C$26,0)))</f>
        <v>2.1619836912278898</v>
      </c>
      <c r="P95" s="13">
        <f>IF($B95="On campus",1,INDEX(ModelOutput!$G$16:$G$26,MATCH($B95,ModelOutput!$C$16:$C$26,0)))</f>
        <v>2.7253181394344401</v>
      </c>
      <c r="Q95" s="72">
        <f>INDEX(ModelOutput!$D$9:$D$11,MATCH("Tier "&amp;$F95,ModelOutput!$B$9:$B$11,0))</f>
        <v>36.175496869914397</v>
      </c>
      <c r="R95" s="72">
        <f>INDEX(ModelOutput!$E$9:$E$11,MATCH("Tier "&amp;$F95,ModelOutput!$B$9:$B$11,0))</f>
        <v>106.647084447761</v>
      </c>
      <c r="S95" s="72">
        <f>INDEX(ModelOutput!$F$9:$F$11,MATCH("Tier "&amp;$F95,ModelOutput!$B$9:$B$11,0))</f>
        <v>123.726482920496</v>
      </c>
      <c r="T95" s="72">
        <f>INDEX(ModelOutput!$G$9:$G$11,MATCH("Tier "&amp;$F95,ModelOutput!$B$9:$B$11,0))</f>
        <v>20.551544113210401</v>
      </c>
      <c r="U95" s="76">
        <f t="shared" si="11"/>
        <v>61.520844945032266</v>
      </c>
      <c r="V95" s="76">
        <f t="shared" si="12"/>
        <v>178.50597988457207</v>
      </c>
      <c r="W95" s="76">
        <f t="shared" si="13"/>
        <v>267.49463824709841</v>
      </c>
      <c r="X95" s="76">
        <f t="shared" si="14"/>
        <v>56.009495965119392</v>
      </c>
      <c r="Y95" s="27">
        <f t="shared" si="15"/>
        <v>563.53095904182214</v>
      </c>
      <c r="Z95" s="27">
        <f t="shared" si="16"/>
        <v>958.01193874581338</v>
      </c>
      <c r="AA95" s="33">
        <f t="shared" si="17"/>
        <v>-0.32829060559552825</v>
      </c>
      <c r="AB95" s="14">
        <f t="shared" si="18"/>
        <v>1069.6723315837799</v>
      </c>
      <c r="AC95" s="29">
        <f t="shared" si="19"/>
        <v>2</v>
      </c>
      <c r="AD95" s="20">
        <v>563.53095904182101</v>
      </c>
      <c r="AE95" s="78">
        <f t="shared" si="20"/>
        <v>1.1368683772161603E-12</v>
      </c>
      <c r="AF95" s="29">
        <f t="shared" si="21"/>
        <v>4</v>
      </c>
    </row>
    <row r="96" spans="1:32" ht="15" customHeight="1" x14ac:dyDescent="0.35">
      <c r="A96" s="19" t="s">
        <v>110</v>
      </c>
      <c r="B96" s="19" t="s">
        <v>114</v>
      </c>
      <c r="C96" s="19" t="s">
        <v>210</v>
      </c>
      <c r="D96" s="19" t="s">
        <v>122</v>
      </c>
      <c r="E96" s="19" t="s">
        <v>105</v>
      </c>
      <c r="F96" s="19">
        <v>1</v>
      </c>
      <c r="G96" s="19" t="s">
        <v>105</v>
      </c>
      <c r="H96" s="16">
        <v>66</v>
      </c>
      <c r="I96" s="13">
        <f>IF($G96="Base",1,INDEX(ModelOutput!$D$16:$D$26,MATCH($G96,ModelOutput!$C$16:$C$26,0)))</f>
        <v>0.98982624281990295</v>
      </c>
      <c r="J96" s="13">
        <f>IF($A96="Non-greek",1,INDEX(ModelOutput!$D$16:$D$26,MATCH($A96,ModelOutput!$C$16:$C$26,0)))</f>
        <v>1</v>
      </c>
      <c r="K96" s="13">
        <f>IF($C96="Yes",1,INDEX(ModelOutput!$D$16:$D$26,MATCH($C96,ModelOutput!$C$16:$C$26,0)))</f>
        <v>1</v>
      </c>
      <c r="L96" s="13">
        <f>IF($D96="2.0-3.0",1,INDEX(ModelOutput!$D$16:$D$26,MATCH($D96,ModelOutput!$C$16:$C$26,0)))</f>
        <v>1</v>
      </c>
      <c r="M96" s="13">
        <f>IF($B96="On campus",1,INDEX(ModelOutput!$D$16:$D$26,MATCH($B96,ModelOutput!$C$16:$C$26,0)))</f>
        <v>1.7006219753182299</v>
      </c>
      <c r="N96" s="13">
        <f>IF($B96="On campus",1,INDEX(ModelOutput!$E$16:$E$26,MATCH($B96,ModelOutput!$C$16:$C$26,0)))</f>
        <v>1.6738008433039699</v>
      </c>
      <c r="O96" s="13">
        <f>IF($B96="On campus",1,INDEX(ModelOutput!$F$16:$F$26,MATCH($B96,ModelOutput!$C$16:$C$26,0)))</f>
        <v>2.1619836912278898</v>
      </c>
      <c r="P96" s="13">
        <f>IF($B96="On campus",1,INDEX(ModelOutput!$G$16:$G$26,MATCH($B96,ModelOutput!$C$16:$C$26,0)))</f>
        <v>2.7253181394344401</v>
      </c>
      <c r="Q96" s="72">
        <f>INDEX(ModelOutput!$D$9:$D$11,MATCH("Tier "&amp;$F96,ModelOutput!$B$9:$B$11,0))</f>
        <v>36.175496869914397</v>
      </c>
      <c r="R96" s="72">
        <f>INDEX(ModelOutput!$E$9:$E$11,MATCH("Tier "&amp;$F96,ModelOutput!$B$9:$B$11,0))</f>
        <v>106.647084447761</v>
      </c>
      <c r="S96" s="72">
        <f>INDEX(ModelOutput!$F$9:$F$11,MATCH("Tier "&amp;$F96,ModelOutput!$B$9:$B$11,0))</f>
        <v>123.726482920496</v>
      </c>
      <c r="T96" s="72">
        <f>INDEX(ModelOutput!$G$9:$G$11,MATCH("Tier "&amp;$F96,ModelOutput!$B$9:$B$11,0))</f>
        <v>20.551544113210401</v>
      </c>
      <c r="U96" s="76">
        <f t="shared" si="11"/>
        <v>60.894946807047113</v>
      </c>
      <c r="V96" s="76">
        <f t="shared" si="12"/>
        <v>176.68990339003116</v>
      </c>
      <c r="W96" s="76">
        <f t="shared" si="13"/>
        <v>264.7732127505945</v>
      </c>
      <c r="X96" s="76">
        <f t="shared" si="14"/>
        <v>55.439668953390637</v>
      </c>
      <c r="Y96" s="27">
        <f t="shared" si="15"/>
        <v>557.79773190106346</v>
      </c>
      <c r="Z96" s="27">
        <f t="shared" si="16"/>
        <v>948.6892644545502</v>
      </c>
      <c r="AA96" s="33">
        <f t="shared" si="17"/>
        <v>-0.3348271920921565</v>
      </c>
      <c r="AB96" s="14">
        <f t="shared" si="18"/>
        <v>1069.6723315837799</v>
      </c>
      <c r="AC96" s="29">
        <f t="shared" si="19"/>
        <v>2</v>
      </c>
      <c r="AD96" s="20">
        <v>557.797731901063</v>
      </c>
      <c r="AE96" s="78">
        <f t="shared" si="20"/>
        <v>0</v>
      </c>
      <c r="AF96" s="29">
        <f t="shared" si="21"/>
        <v>3</v>
      </c>
    </row>
    <row r="97" spans="1:32" ht="15" customHeight="1" x14ac:dyDescent="0.35">
      <c r="A97" s="19" t="s">
        <v>110</v>
      </c>
      <c r="B97" s="19" t="s">
        <v>114</v>
      </c>
      <c r="C97" s="19" t="s">
        <v>210</v>
      </c>
      <c r="D97" s="19" t="s">
        <v>122</v>
      </c>
      <c r="E97" s="19" t="s">
        <v>97</v>
      </c>
      <c r="F97" s="19">
        <v>2</v>
      </c>
      <c r="G97" s="19" t="s">
        <v>211</v>
      </c>
      <c r="H97" s="16">
        <v>46</v>
      </c>
      <c r="I97" s="13">
        <f>IF($G97="Base",1,INDEX(ModelOutput!$D$16:$D$26,MATCH($G97,ModelOutput!$C$16:$C$26,0)))</f>
        <v>1</v>
      </c>
      <c r="J97" s="13">
        <f>IF($A97="Non-greek",1,INDEX(ModelOutput!$D$16:$D$26,MATCH($A97,ModelOutput!$C$16:$C$26,0)))</f>
        <v>1</v>
      </c>
      <c r="K97" s="13">
        <f>IF($C97="Yes",1,INDEX(ModelOutput!$D$16:$D$26,MATCH($C97,ModelOutput!$C$16:$C$26,0)))</f>
        <v>1</v>
      </c>
      <c r="L97" s="13">
        <f>IF($D97="2.0-3.0",1,INDEX(ModelOutput!$D$16:$D$26,MATCH($D97,ModelOutput!$C$16:$C$26,0)))</f>
        <v>1</v>
      </c>
      <c r="M97" s="13">
        <f>IF($B97="On campus",1,INDEX(ModelOutput!$D$16:$D$26,MATCH($B97,ModelOutput!$C$16:$C$26,0)))</f>
        <v>1.7006219753182299</v>
      </c>
      <c r="N97" s="13">
        <f>IF($B97="On campus",1,INDEX(ModelOutput!$E$16:$E$26,MATCH($B97,ModelOutput!$C$16:$C$26,0)))</f>
        <v>1.6738008433039699</v>
      </c>
      <c r="O97" s="13">
        <f>IF($B97="On campus",1,INDEX(ModelOutput!$F$16:$F$26,MATCH($B97,ModelOutput!$C$16:$C$26,0)))</f>
        <v>2.1619836912278898</v>
      </c>
      <c r="P97" s="13">
        <f>IF($B97="On campus",1,INDEX(ModelOutput!$G$16:$G$26,MATCH($B97,ModelOutput!$C$16:$C$26,0)))</f>
        <v>2.7253181394344401</v>
      </c>
      <c r="Q97" s="72">
        <f>INDEX(ModelOutput!$D$9:$D$11,MATCH("Tier "&amp;$F97,ModelOutput!$B$9:$B$11,0))</f>
        <v>42.8051506068728</v>
      </c>
      <c r="R97" s="72">
        <f>INDEX(ModelOutput!$E$9:$E$11,MATCH("Tier "&amp;$F97,ModelOutput!$B$9:$B$11,0))</f>
        <v>126.191618818284</v>
      </c>
      <c r="S97" s="72">
        <f>INDEX(ModelOutput!$F$9:$F$11,MATCH("Tier "&amp;$F97,ModelOutput!$B$9:$B$11,0))</f>
        <v>146.401050261042</v>
      </c>
      <c r="T97" s="72">
        <f>INDEX(ModelOutput!$G$9:$G$11,MATCH("Tier "&amp;$F97,ModelOutput!$B$9:$B$11,0))</f>
        <v>24.317895180076398</v>
      </c>
      <c r="U97" s="76">
        <f t="shared" si="11"/>
        <v>72.795379778854354</v>
      </c>
      <c r="V97" s="76">
        <f t="shared" si="12"/>
        <v>211.21963799593689</v>
      </c>
      <c r="W97" s="76">
        <f t="shared" si="13"/>
        <v>316.51668304300739</v>
      </c>
      <c r="X97" s="76">
        <f t="shared" si="14"/>
        <v>66.274000847127553</v>
      </c>
      <c r="Y97" s="27">
        <f t="shared" si="15"/>
        <v>666.80570166492623</v>
      </c>
      <c r="Z97" s="27">
        <f t="shared" si="16"/>
        <v>1125.9447215139185</v>
      </c>
      <c r="AA97" s="33">
        <f t="shared" si="17"/>
        <v>-0.21054465353411966</v>
      </c>
      <c r="AB97" s="14">
        <f t="shared" si="18"/>
        <v>1125.9447215139185</v>
      </c>
      <c r="AC97" s="29">
        <f t="shared" si="19"/>
        <v>1</v>
      </c>
      <c r="AD97" s="20">
        <v>666.805701664926</v>
      </c>
      <c r="AE97" s="78">
        <f t="shared" si="20"/>
        <v>0</v>
      </c>
      <c r="AF97" s="29">
        <f t="shared" si="21"/>
        <v>2</v>
      </c>
    </row>
    <row r="98" spans="1:32" ht="15" customHeight="1" x14ac:dyDescent="0.35">
      <c r="A98" s="19" t="s">
        <v>110</v>
      </c>
      <c r="B98" s="19" t="s">
        <v>114</v>
      </c>
      <c r="C98" s="19" t="s">
        <v>210</v>
      </c>
      <c r="D98" s="19" t="s">
        <v>122</v>
      </c>
      <c r="E98" s="19" t="s">
        <v>99</v>
      </c>
      <c r="F98" s="19">
        <v>3</v>
      </c>
      <c r="G98" s="19" t="s">
        <v>211</v>
      </c>
      <c r="H98" s="16">
        <v>52</v>
      </c>
      <c r="I98" s="13">
        <f>IF($G98="Base",1,INDEX(ModelOutput!$D$16:$D$26,MATCH($G98,ModelOutput!$C$16:$C$26,0)))</f>
        <v>1</v>
      </c>
      <c r="J98" s="13">
        <f>IF($A98="Non-greek",1,INDEX(ModelOutput!$D$16:$D$26,MATCH($A98,ModelOutput!$C$16:$C$26,0)))</f>
        <v>1</v>
      </c>
      <c r="K98" s="13">
        <f>IF($C98="Yes",1,INDEX(ModelOutput!$D$16:$D$26,MATCH($C98,ModelOutput!$C$16:$C$26,0)))</f>
        <v>1</v>
      </c>
      <c r="L98" s="13">
        <f>IF($D98="2.0-3.0",1,INDEX(ModelOutput!$D$16:$D$26,MATCH($D98,ModelOutput!$C$16:$C$26,0)))</f>
        <v>1</v>
      </c>
      <c r="M98" s="13">
        <f>IF($B98="On campus",1,INDEX(ModelOutput!$D$16:$D$26,MATCH($B98,ModelOutput!$C$16:$C$26,0)))</f>
        <v>1.7006219753182299</v>
      </c>
      <c r="N98" s="13">
        <f>IF($B98="On campus",1,INDEX(ModelOutput!$E$16:$E$26,MATCH($B98,ModelOutput!$C$16:$C$26,0)))</f>
        <v>1.6738008433039699</v>
      </c>
      <c r="O98" s="13">
        <f>IF($B98="On campus",1,INDEX(ModelOutput!$F$16:$F$26,MATCH($B98,ModelOutput!$C$16:$C$26,0)))</f>
        <v>2.1619836912278898</v>
      </c>
      <c r="P98" s="13">
        <f>IF($B98="On campus",1,INDEX(ModelOutput!$G$16:$G$26,MATCH($B98,ModelOutput!$C$16:$C$26,0)))</f>
        <v>2.7253181394344401</v>
      </c>
      <c r="Q98" s="72">
        <f>INDEX(ModelOutput!$D$9:$D$11,MATCH("Tier "&amp;$F98,ModelOutput!$B$9:$B$11,0))</f>
        <v>40.009437343712797</v>
      </c>
      <c r="R98" s="72">
        <f>INDEX(ModelOutput!$E$9:$E$11,MATCH("Tier "&amp;$F98,ModelOutput!$B$9:$B$11,0))</f>
        <v>117.949723218616</v>
      </c>
      <c r="S98" s="72">
        <f>INDEX(ModelOutput!$F$9:$F$11,MATCH("Tier "&amp;$F98,ModelOutput!$B$9:$B$11,0))</f>
        <v>136.83922529015501</v>
      </c>
      <c r="T98" s="72">
        <f>INDEX(ModelOutput!$G$9:$G$11,MATCH("Tier "&amp;$F98,ModelOutput!$B$9:$B$11,0))</f>
        <v>22.729631592092201</v>
      </c>
      <c r="U98" s="76">
        <f t="shared" si="11"/>
        <v>68.040928366835814</v>
      </c>
      <c r="V98" s="76">
        <f t="shared" si="12"/>
        <v>197.42434619078929</v>
      </c>
      <c r="W98" s="76">
        <f t="shared" si="13"/>
        <v>295.84417339757414</v>
      </c>
      <c r="X98" s="76">
        <f t="shared" si="14"/>
        <v>61.945477280590985</v>
      </c>
      <c r="Y98" s="27">
        <f t="shared" si="15"/>
        <v>623.25492523579021</v>
      </c>
      <c r="Z98" s="27">
        <f t="shared" si="16"/>
        <v>1055.1277638367928</v>
      </c>
      <c r="AA98" s="33">
        <f t="shared" si="17"/>
        <v>-0.26019791340595766</v>
      </c>
      <c r="AB98" s="14">
        <f t="shared" si="18"/>
        <v>1069.6723315837799</v>
      </c>
      <c r="AC98" s="29">
        <f t="shared" si="19"/>
        <v>2</v>
      </c>
      <c r="AD98" s="20">
        <v>623.25492523579101</v>
      </c>
      <c r="AE98" s="78">
        <f t="shared" si="20"/>
        <v>0</v>
      </c>
      <c r="AF98" s="29">
        <f t="shared" si="21"/>
        <v>1</v>
      </c>
    </row>
    <row r="99" spans="1:32" ht="15" customHeight="1" x14ac:dyDescent="0.35">
      <c r="A99" s="19" t="s">
        <v>110</v>
      </c>
      <c r="B99" s="19" t="s">
        <v>114</v>
      </c>
      <c r="C99" s="19" t="s">
        <v>210</v>
      </c>
      <c r="D99" s="19" t="s">
        <v>122</v>
      </c>
      <c r="E99" s="19" t="s">
        <v>213</v>
      </c>
      <c r="F99" s="19">
        <v>3</v>
      </c>
      <c r="G99" s="19" t="s">
        <v>107</v>
      </c>
      <c r="H99" s="16">
        <v>31</v>
      </c>
      <c r="I99" s="13">
        <f>IF($G99="Base",1,INDEX(ModelOutput!$D$16:$D$26,MATCH($G99,ModelOutput!$C$16:$C$26,0)))</f>
        <v>1.1906804269762199</v>
      </c>
      <c r="J99" s="13">
        <f>IF($A99="Non-greek",1,INDEX(ModelOutput!$D$16:$D$26,MATCH($A99,ModelOutput!$C$16:$C$26,0)))</f>
        <v>1</v>
      </c>
      <c r="K99" s="13">
        <f>IF($C99="Yes",1,INDEX(ModelOutput!$D$16:$D$26,MATCH($C99,ModelOutput!$C$16:$C$26,0)))</f>
        <v>1</v>
      </c>
      <c r="L99" s="13">
        <f>IF($D99="2.0-3.0",1,INDEX(ModelOutput!$D$16:$D$26,MATCH($D99,ModelOutput!$C$16:$C$26,0)))</f>
        <v>1</v>
      </c>
      <c r="M99" s="13">
        <f>IF($B99="On campus",1,INDEX(ModelOutput!$D$16:$D$26,MATCH($B99,ModelOutput!$C$16:$C$26,0)))</f>
        <v>1.7006219753182299</v>
      </c>
      <c r="N99" s="13">
        <f>IF($B99="On campus",1,INDEX(ModelOutput!$E$16:$E$26,MATCH($B99,ModelOutput!$C$16:$C$26,0)))</f>
        <v>1.6738008433039699</v>
      </c>
      <c r="O99" s="13">
        <f>IF($B99="On campus",1,INDEX(ModelOutput!$F$16:$F$26,MATCH($B99,ModelOutput!$C$16:$C$26,0)))</f>
        <v>2.1619836912278898</v>
      </c>
      <c r="P99" s="13">
        <f>IF($B99="On campus",1,INDEX(ModelOutput!$G$16:$G$26,MATCH($B99,ModelOutput!$C$16:$C$26,0)))</f>
        <v>2.7253181394344401</v>
      </c>
      <c r="Q99" s="72">
        <f>INDEX(ModelOutput!$D$9:$D$11,MATCH("Tier "&amp;$F99,ModelOutput!$B$9:$B$11,0))</f>
        <v>40.009437343712797</v>
      </c>
      <c r="R99" s="72">
        <f>INDEX(ModelOutput!$E$9:$E$11,MATCH("Tier "&amp;$F99,ModelOutput!$B$9:$B$11,0))</f>
        <v>117.949723218616</v>
      </c>
      <c r="S99" s="72">
        <f>INDEX(ModelOutput!$F$9:$F$11,MATCH("Tier "&amp;$F99,ModelOutput!$B$9:$B$11,0))</f>
        <v>136.83922529015501</v>
      </c>
      <c r="T99" s="72">
        <f>INDEX(ModelOutput!$G$9:$G$11,MATCH("Tier "&amp;$F99,ModelOutput!$B$9:$B$11,0))</f>
        <v>22.729631592092201</v>
      </c>
      <c r="U99" s="76">
        <f t="shared" si="11"/>
        <v>81.015001639682453</v>
      </c>
      <c r="V99" s="76">
        <f t="shared" si="12"/>
        <v>235.06930481795007</v>
      </c>
      <c r="W99" s="76">
        <f t="shared" si="13"/>
        <v>352.25586669945045</v>
      </c>
      <c r="X99" s="76">
        <f t="shared" si="14"/>
        <v>73.757267337699801</v>
      </c>
      <c r="Y99" s="27">
        <f t="shared" si="15"/>
        <v>742.09744049478275</v>
      </c>
      <c r="Z99" s="27">
        <f t="shared" si="16"/>
        <v>1248.3749585689809</v>
      </c>
      <c r="AA99" s="33">
        <f t="shared" si="17"/>
        <v>-0.12470277927030449</v>
      </c>
      <c r="AB99" s="14">
        <f t="shared" si="18"/>
        <v>1248.3749585689809</v>
      </c>
      <c r="AC99" s="29">
        <f t="shared" si="19"/>
        <v>1</v>
      </c>
      <c r="AD99" s="20">
        <v>742.097440494784</v>
      </c>
      <c r="AE99" s="78">
        <f t="shared" si="20"/>
        <v>-1.2505552149377763E-12</v>
      </c>
      <c r="AF99" s="29">
        <f t="shared" si="21"/>
        <v>2</v>
      </c>
    </row>
    <row r="100" spans="1:32" ht="15" customHeight="1" x14ac:dyDescent="0.35">
      <c r="A100" s="37" t="s">
        <v>110</v>
      </c>
      <c r="B100" s="37" t="s">
        <v>114</v>
      </c>
      <c r="C100" s="37" t="s">
        <v>210</v>
      </c>
      <c r="D100" s="37" t="s">
        <v>124</v>
      </c>
      <c r="E100" s="37" t="s">
        <v>95</v>
      </c>
      <c r="F100" s="37">
        <v>1</v>
      </c>
      <c r="G100" s="37" t="s">
        <v>211</v>
      </c>
      <c r="H100" s="38">
        <v>29</v>
      </c>
      <c r="I100" s="39">
        <f>IF($G100="Base",1,INDEX(ModelOutput!$D$16:$D$26,MATCH($G100,ModelOutput!$C$16:$C$26,0)))</f>
        <v>1</v>
      </c>
      <c r="J100" s="39">
        <f>IF($A100="Non-greek",1,INDEX(ModelOutput!$D$16:$D$26,MATCH($A100,ModelOutput!$C$16:$C$26,0)))</f>
        <v>1</v>
      </c>
      <c r="K100" s="39">
        <f>IF($C100="Yes",1,INDEX(ModelOutput!$D$16:$D$26,MATCH($C100,ModelOutput!$C$16:$C$26,0)))</f>
        <v>1</v>
      </c>
      <c r="L100" s="39">
        <f>IF($D100="2.0-3.0",1,INDEX(ModelOutput!$D$16:$D$26,MATCH($D100,ModelOutput!$C$16:$C$26,0)))</f>
        <v>0.87654761766211098</v>
      </c>
      <c r="M100" s="39">
        <f>IF($B100="On campus",1,INDEX(ModelOutput!$D$16:$D$26,MATCH($B100,ModelOutput!$C$16:$C$26,0)))</f>
        <v>1.7006219753182299</v>
      </c>
      <c r="N100" s="39">
        <f>IF($B100="On campus",1,INDEX(ModelOutput!$E$16:$E$26,MATCH($B100,ModelOutput!$C$16:$C$26,0)))</f>
        <v>1.6738008433039699</v>
      </c>
      <c r="O100" s="39">
        <f>IF($B100="On campus",1,INDEX(ModelOutput!$F$16:$F$26,MATCH($B100,ModelOutput!$C$16:$C$26,0)))</f>
        <v>2.1619836912278898</v>
      </c>
      <c r="P100" s="39">
        <f>IF($B100="On campus",1,INDEX(ModelOutput!$G$16:$G$26,MATCH($B100,ModelOutput!$C$16:$C$26,0)))</f>
        <v>2.7253181394344401</v>
      </c>
      <c r="Q100" s="73">
        <f>INDEX(ModelOutput!$D$9:$D$11,MATCH("Tier "&amp;$F100,ModelOutput!$B$9:$B$11,0))</f>
        <v>36.175496869914397</v>
      </c>
      <c r="R100" s="73">
        <f>INDEX(ModelOutput!$E$9:$E$11,MATCH("Tier "&amp;$F100,ModelOutput!$B$9:$B$11,0))</f>
        <v>106.647084447761</v>
      </c>
      <c r="S100" s="73">
        <f>INDEX(ModelOutput!$F$9:$F$11,MATCH("Tier "&amp;$F100,ModelOutput!$B$9:$B$11,0))</f>
        <v>123.726482920496</v>
      </c>
      <c r="T100" s="73">
        <f>INDEX(ModelOutput!$G$9:$G$11,MATCH("Tier "&amp;$F100,ModelOutput!$B$9:$B$11,0))</f>
        <v>20.551544113210401</v>
      </c>
      <c r="U100" s="77">
        <f t="shared" si="11"/>
        <v>53.925950073128156</v>
      </c>
      <c r="V100" s="77">
        <f t="shared" si="12"/>
        <v>156.46899140626235</v>
      </c>
      <c r="W100" s="77">
        <f t="shared" si="13"/>
        <v>234.47178789288228</v>
      </c>
      <c r="X100" s="77">
        <f t="shared" si="14"/>
        <v>49.094990254681022</v>
      </c>
      <c r="Y100" s="30">
        <f t="shared" si="15"/>
        <v>493.96171962695377</v>
      </c>
      <c r="Z100" s="30">
        <f t="shared" si="16"/>
        <v>844.88693186358148</v>
      </c>
      <c r="AA100" s="41">
        <f t="shared" si="17"/>
        <v>-0.40760812429403692</v>
      </c>
      <c r="AB100" s="40">
        <f t="shared" si="18"/>
        <v>1069.6723315837799</v>
      </c>
      <c r="AC100" s="42">
        <f t="shared" si="19"/>
        <v>2</v>
      </c>
      <c r="AD100" s="43">
        <v>493.96171962695303</v>
      </c>
      <c r="AE100" s="79">
        <f t="shared" si="20"/>
        <v>7.3896444519050419E-13</v>
      </c>
      <c r="AF100" s="29">
        <f t="shared" si="21"/>
        <v>4</v>
      </c>
    </row>
    <row r="101" spans="1:32" ht="15" customHeight="1" x14ac:dyDescent="0.35">
      <c r="A101" s="37" t="s">
        <v>110</v>
      </c>
      <c r="B101" s="37" t="s">
        <v>114</v>
      </c>
      <c r="C101" s="37" t="s">
        <v>210</v>
      </c>
      <c r="D101" s="37" t="s">
        <v>124</v>
      </c>
      <c r="E101" s="37" t="s">
        <v>105</v>
      </c>
      <c r="F101" s="37">
        <v>1</v>
      </c>
      <c r="G101" s="37" t="s">
        <v>105</v>
      </c>
      <c r="H101" s="38">
        <v>30</v>
      </c>
      <c r="I101" s="39">
        <f>IF($G101="Base",1,INDEX(ModelOutput!$D$16:$D$26,MATCH($G101,ModelOutput!$C$16:$C$26,0)))</f>
        <v>0.98982624281990295</v>
      </c>
      <c r="J101" s="39">
        <f>IF($A101="Non-greek",1,INDEX(ModelOutput!$D$16:$D$26,MATCH($A101,ModelOutput!$C$16:$C$26,0)))</f>
        <v>1</v>
      </c>
      <c r="K101" s="39">
        <f>IF($C101="Yes",1,INDEX(ModelOutput!$D$16:$D$26,MATCH($C101,ModelOutput!$C$16:$C$26,0)))</f>
        <v>1</v>
      </c>
      <c r="L101" s="39">
        <f>IF($D101="2.0-3.0",1,INDEX(ModelOutput!$D$16:$D$26,MATCH($D101,ModelOutput!$C$16:$C$26,0)))</f>
        <v>0.87654761766211098</v>
      </c>
      <c r="M101" s="39">
        <f>IF($B101="On campus",1,INDEX(ModelOutput!$D$16:$D$26,MATCH($B101,ModelOutput!$C$16:$C$26,0)))</f>
        <v>1.7006219753182299</v>
      </c>
      <c r="N101" s="39">
        <f>IF($B101="On campus",1,INDEX(ModelOutput!$E$16:$E$26,MATCH($B101,ModelOutput!$C$16:$C$26,0)))</f>
        <v>1.6738008433039699</v>
      </c>
      <c r="O101" s="39">
        <f>IF($B101="On campus",1,INDEX(ModelOutput!$F$16:$F$26,MATCH($B101,ModelOutput!$C$16:$C$26,0)))</f>
        <v>2.1619836912278898</v>
      </c>
      <c r="P101" s="39">
        <f>IF($B101="On campus",1,INDEX(ModelOutput!$G$16:$G$26,MATCH($B101,ModelOutput!$C$16:$C$26,0)))</f>
        <v>2.7253181394344401</v>
      </c>
      <c r="Q101" s="73">
        <f>INDEX(ModelOutput!$D$9:$D$11,MATCH("Tier "&amp;$F101,ModelOutput!$B$9:$B$11,0))</f>
        <v>36.175496869914397</v>
      </c>
      <c r="R101" s="73">
        <f>INDEX(ModelOutput!$E$9:$E$11,MATCH("Tier "&amp;$F101,ModelOutput!$B$9:$B$11,0))</f>
        <v>106.647084447761</v>
      </c>
      <c r="S101" s="73">
        <f>INDEX(ModelOutput!$F$9:$F$11,MATCH("Tier "&amp;$F101,ModelOutput!$B$9:$B$11,0))</f>
        <v>123.726482920496</v>
      </c>
      <c r="T101" s="73">
        <f>INDEX(ModelOutput!$G$9:$G$11,MATCH("Tier "&amp;$F101,ModelOutput!$B$9:$B$11,0))</f>
        <v>20.551544113210401</v>
      </c>
      <c r="U101" s="77">
        <f t="shared" si="11"/>
        <v>53.377320551378112</v>
      </c>
      <c r="V101" s="77">
        <f t="shared" si="12"/>
        <v>154.87711388148037</v>
      </c>
      <c r="W101" s="77">
        <f t="shared" si="13"/>
        <v>232.08632885727687</v>
      </c>
      <c r="X101" s="77">
        <f t="shared" si="14"/>
        <v>48.595509745070665</v>
      </c>
      <c r="Y101" s="30">
        <f t="shared" si="15"/>
        <v>488.936273035206</v>
      </c>
      <c r="Z101" s="30">
        <f t="shared" si="16"/>
        <v>836.71516392333501</v>
      </c>
      <c r="AA101" s="41">
        <f t="shared" si="17"/>
        <v>-0.41333775361529879</v>
      </c>
      <c r="AB101" s="40">
        <f t="shared" si="18"/>
        <v>1069.6723315837799</v>
      </c>
      <c r="AC101" s="42">
        <f t="shared" si="19"/>
        <v>2</v>
      </c>
      <c r="AD101" s="43">
        <v>488.936273035206</v>
      </c>
      <c r="AE101" s="79">
        <f t="shared" si="20"/>
        <v>0</v>
      </c>
      <c r="AF101" s="29">
        <f t="shared" si="21"/>
        <v>3</v>
      </c>
    </row>
    <row r="102" spans="1:32" ht="15" customHeight="1" x14ac:dyDescent="0.35">
      <c r="A102" s="37" t="s">
        <v>110</v>
      </c>
      <c r="B102" s="37" t="s">
        <v>114</v>
      </c>
      <c r="C102" s="37" t="s">
        <v>210</v>
      </c>
      <c r="D102" s="37" t="s">
        <v>124</v>
      </c>
      <c r="E102" s="37" t="s">
        <v>97</v>
      </c>
      <c r="F102" s="37">
        <v>2</v>
      </c>
      <c r="G102" s="37" t="s">
        <v>211</v>
      </c>
      <c r="H102" s="38">
        <v>39</v>
      </c>
      <c r="I102" s="39">
        <f>IF($G102="Base",1,INDEX(ModelOutput!$D$16:$D$26,MATCH($G102,ModelOutput!$C$16:$C$26,0)))</f>
        <v>1</v>
      </c>
      <c r="J102" s="39">
        <f>IF($A102="Non-greek",1,INDEX(ModelOutput!$D$16:$D$26,MATCH($A102,ModelOutput!$C$16:$C$26,0)))</f>
        <v>1</v>
      </c>
      <c r="K102" s="39">
        <f>IF($C102="Yes",1,INDEX(ModelOutput!$D$16:$D$26,MATCH($C102,ModelOutput!$C$16:$C$26,0)))</f>
        <v>1</v>
      </c>
      <c r="L102" s="39">
        <f>IF($D102="2.0-3.0",1,INDEX(ModelOutput!$D$16:$D$26,MATCH($D102,ModelOutput!$C$16:$C$26,0)))</f>
        <v>0.87654761766211098</v>
      </c>
      <c r="M102" s="39">
        <f>IF($B102="On campus",1,INDEX(ModelOutput!$D$16:$D$26,MATCH($B102,ModelOutput!$C$16:$C$26,0)))</f>
        <v>1.7006219753182299</v>
      </c>
      <c r="N102" s="39">
        <f>IF($B102="On campus",1,INDEX(ModelOutput!$E$16:$E$26,MATCH($B102,ModelOutput!$C$16:$C$26,0)))</f>
        <v>1.6738008433039699</v>
      </c>
      <c r="O102" s="39">
        <f>IF($B102="On campus",1,INDEX(ModelOutput!$F$16:$F$26,MATCH($B102,ModelOutput!$C$16:$C$26,0)))</f>
        <v>2.1619836912278898</v>
      </c>
      <c r="P102" s="39">
        <f>IF($B102="On campus",1,INDEX(ModelOutput!$G$16:$G$26,MATCH($B102,ModelOutput!$C$16:$C$26,0)))</f>
        <v>2.7253181394344401</v>
      </c>
      <c r="Q102" s="73">
        <f>INDEX(ModelOutput!$D$9:$D$11,MATCH("Tier "&amp;$F102,ModelOutput!$B$9:$B$11,0))</f>
        <v>42.8051506068728</v>
      </c>
      <c r="R102" s="73">
        <f>INDEX(ModelOutput!$E$9:$E$11,MATCH("Tier "&amp;$F102,ModelOutput!$B$9:$B$11,0))</f>
        <v>126.191618818284</v>
      </c>
      <c r="S102" s="73">
        <f>INDEX(ModelOutput!$F$9:$F$11,MATCH("Tier "&amp;$F102,ModelOutput!$B$9:$B$11,0))</f>
        <v>146.401050261042</v>
      </c>
      <c r="T102" s="73">
        <f>INDEX(ModelOutput!$G$9:$G$11,MATCH("Tier "&amp;$F102,ModelOutput!$B$9:$B$11,0))</f>
        <v>24.317895180076398</v>
      </c>
      <c r="U102" s="77">
        <f t="shared" si="11"/>
        <v>63.808616721963382</v>
      </c>
      <c r="V102" s="77">
        <f t="shared" si="12"/>
        <v>185.14407048879198</v>
      </c>
      <c r="W102" s="77">
        <f t="shared" si="13"/>
        <v>277.44194447166166</v>
      </c>
      <c r="X102" s="77">
        <f t="shared" si="14"/>
        <v>58.092317555486382</v>
      </c>
      <c r="Y102" s="30">
        <f t="shared" si="15"/>
        <v>584.48694923790333</v>
      </c>
      <c r="Z102" s="30">
        <f t="shared" si="16"/>
        <v>992.0880125263327</v>
      </c>
      <c r="AA102" s="41">
        <f t="shared" si="17"/>
        <v>-0.3043981905252523</v>
      </c>
      <c r="AB102" s="40">
        <f t="shared" si="18"/>
        <v>1069.6723315837799</v>
      </c>
      <c r="AC102" s="42">
        <f t="shared" si="19"/>
        <v>2</v>
      </c>
      <c r="AD102" s="43">
        <v>584.48694923790299</v>
      </c>
      <c r="AE102" s="79">
        <f t="shared" si="20"/>
        <v>0</v>
      </c>
      <c r="AF102" s="29">
        <f t="shared" si="21"/>
        <v>2</v>
      </c>
    </row>
    <row r="103" spans="1:32" ht="15" customHeight="1" x14ac:dyDescent="0.35">
      <c r="A103" s="37" t="s">
        <v>110</v>
      </c>
      <c r="B103" s="37" t="s">
        <v>114</v>
      </c>
      <c r="C103" s="37" t="s">
        <v>210</v>
      </c>
      <c r="D103" s="37" t="s">
        <v>124</v>
      </c>
      <c r="E103" s="37" t="s">
        <v>99</v>
      </c>
      <c r="F103" s="37">
        <v>3</v>
      </c>
      <c r="G103" s="37" t="s">
        <v>211</v>
      </c>
      <c r="H103" s="38">
        <v>35</v>
      </c>
      <c r="I103" s="39">
        <f>IF($G103="Base",1,INDEX(ModelOutput!$D$16:$D$26,MATCH($G103,ModelOutput!$C$16:$C$26,0)))</f>
        <v>1</v>
      </c>
      <c r="J103" s="39">
        <f>IF($A103="Non-greek",1,INDEX(ModelOutput!$D$16:$D$26,MATCH($A103,ModelOutput!$C$16:$C$26,0)))</f>
        <v>1</v>
      </c>
      <c r="K103" s="39">
        <f>IF($C103="Yes",1,INDEX(ModelOutput!$D$16:$D$26,MATCH($C103,ModelOutput!$C$16:$C$26,0)))</f>
        <v>1</v>
      </c>
      <c r="L103" s="39">
        <f>IF($D103="2.0-3.0",1,INDEX(ModelOutput!$D$16:$D$26,MATCH($D103,ModelOutput!$C$16:$C$26,0)))</f>
        <v>0.87654761766211098</v>
      </c>
      <c r="M103" s="39">
        <f>IF($B103="On campus",1,INDEX(ModelOutput!$D$16:$D$26,MATCH($B103,ModelOutput!$C$16:$C$26,0)))</f>
        <v>1.7006219753182299</v>
      </c>
      <c r="N103" s="39">
        <f>IF($B103="On campus",1,INDEX(ModelOutput!$E$16:$E$26,MATCH($B103,ModelOutput!$C$16:$C$26,0)))</f>
        <v>1.6738008433039699</v>
      </c>
      <c r="O103" s="39">
        <f>IF($B103="On campus",1,INDEX(ModelOutput!$F$16:$F$26,MATCH($B103,ModelOutput!$C$16:$C$26,0)))</f>
        <v>2.1619836912278898</v>
      </c>
      <c r="P103" s="39">
        <f>IF($B103="On campus",1,INDEX(ModelOutput!$G$16:$G$26,MATCH($B103,ModelOutput!$C$16:$C$26,0)))</f>
        <v>2.7253181394344401</v>
      </c>
      <c r="Q103" s="73">
        <f>INDEX(ModelOutput!$D$9:$D$11,MATCH("Tier "&amp;$F103,ModelOutput!$B$9:$B$11,0))</f>
        <v>40.009437343712797</v>
      </c>
      <c r="R103" s="73">
        <f>INDEX(ModelOutput!$E$9:$E$11,MATCH("Tier "&amp;$F103,ModelOutput!$B$9:$B$11,0))</f>
        <v>117.949723218616</v>
      </c>
      <c r="S103" s="73">
        <f>INDEX(ModelOutput!$F$9:$F$11,MATCH("Tier "&amp;$F103,ModelOutput!$B$9:$B$11,0))</f>
        <v>136.83922529015501</v>
      </c>
      <c r="T103" s="73">
        <f>INDEX(ModelOutput!$G$9:$G$11,MATCH("Tier "&amp;$F103,ModelOutput!$B$9:$B$11,0))</f>
        <v>22.729631592092201</v>
      </c>
      <c r="U103" s="77">
        <f t="shared" si="11"/>
        <v>59.641113663468275</v>
      </c>
      <c r="V103" s="77">
        <f t="shared" si="12"/>
        <v>173.05184032203621</v>
      </c>
      <c r="W103" s="77">
        <f t="shared" si="13"/>
        <v>259.32150539086007</v>
      </c>
      <c r="X103" s="77">
        <f t="shared" si="14"/>
        <v>54.298160535244449</v>
      </c>
      <c r="Y103" s="30">
        <f t="shared" si="15"/>
        <v>546.31261991160909</v>
      </c>
      <c r="Z103" s="30">
        <f t="shared" si="16"/>
        <v>930.01357698436993</v>
      </c>
      <c r="AA103" s="41">
        <f t="shared" si="17"/>
        <v>-0.3479216371750693</v>
      </c>
      <c r="AB103" s="40">
        <f t="shared" si="18"/>
        <v>1069.6723315837799</v>
      </c>
      <c r="AC103" s="42">
        <f t="shared" si="19"/>
        <v>2</v>
      </c>
      <c r="AD103" s="43">
        <v>546.31261991161</v>
      </c>
      <c r="AE103" s="79">
        <f t="shared" si="20"/>
        <v>-9.0949470177292824E-13</v>
      </c>
      <c r="AF103" s="29">
        <f t="shared" si="21"/>
        <v>1</v>
      </c>
    </row>
    <row r="104" spans="1:32" ht="15" customHeight="1" x14ac:dyDescent="0.35">
      <c r="A104" s="37" t="s">
        <v>110</v>
      </c>
      <c r="B104" s="37" t="s">
        <v>114</v>
      </c>
      <c r="C104" s="37" t="s">
        <v>210</v>
      </c>
      <c r="D104" s="37" t="s">
        <v>124</v>
      </c>
      <c r="E104" s="37" t="s">
        <v>213</v>
      </c>
      <c r="F104" s="37">
        <v>3</v>
      </c>
      <c r="G104" s="37" t="s">
        <v>107</v>
      </c>
      <c r="H104" s="38">
        <v>13</v>
      </c>
      <c r="I104" s="39">
        <f>IF($G104="Base",1,INDEX(ModelOutput!$D$16:$D$26,MATCH($G104,ModelOutput!$C$16:$C$26,0)))</f>
        <v>1.1906804269762199</v>
      </c>
      <c r="J104" s="39">
        <f>IF($A104="Non-greek",1,INDEX(ModelOutput!$D$16:$D$26,MATCH($A104,ModelOutput!$C$16:$C$26,0)))</f>
        <v>1</v>
      </c>
      <c r="K104" s="39">
        <f>IF($C104="Yes",1,INDEX(ModelOutput!$D$16:$D$26,MATCH($C104,ModelOutput!$C$16:$C$26,0)))</f>
        <v>1</v>
      </c>
      <c r="L104" s="39">
        <f>IF($D104="2.0-3.0",1,INDEX(ModelOutput!$D$16:$D$26,MATCH($D104,ModelOutput!$C$16:$C$26,0)))</f>
        <v>0.87654761766211098</v>
      </c>
      <c r="M104" s="39">
        <f>IF($B104="On campus",1,INDEX(ModelOutput!$D$16:$D$26,MATCH($B104,ModelOutput!$C$16:$C$26,0)))</f>
        <v>1.7006219753182299</v>
      </c>
      <c r="N104" s="39">
        <f>IF($B104="On campus",1,INDEX(ModelOutput!$E$16:$E$26,MATCH($B104,ModelOutput!$C$16:$C$26,0)))</f>
        <v>1.6738008433039699</v>
      </c>
      <c r="O104" s="39">
        <f>IF($B104="On campus",1,INDEX(ModelOutput!$F$16:$F$26,MATCH($B104,ModelOutput!$C$16:$C$26,0)))</f>
        <v>2.1619836912278898</v>
      </c>
      <c r="P104" s="39">
        <f>IF($B104="On campus",1,INDEX(ModelOutput!$G$16:$G$26,MATCH($B104,ModelOutput!$C$16:$C$26,0)))</f>
        <v>2.7253181394344401</v>
      </c>
      <c r="Q104" s="73">
        <f>INDEX(ModelOutput!$D$9:$D$11,MATCH("Tier "&amp;$F104,ModelOutput!$B$9:$B$11,0))</f>
        <v>40.009437343712797</v>
      </c>
      <c r="R104" s="73">
        <f>INDEX(ModelOutput!$E$9:$E$11,MATCH("Tier "&amp;$F104,ModelOutput!$B$9:$B$11,0))</f>
        <v>117.949723218616</v>
      </c>
      <c r="S104" s="73">
        <f>INDEX(ModelOutput!$F$9:$F$11,MATCH("Tier "&amp;$F104,ModelOutput!$B$9:$B$11,0))</f>
        <v>136.83922529015501</v>
      </c>
      <c r="T104" s="73">
        <f>INDEX(ModelOutput!$G$9:$G$11,MATCH("Tier "&amp;$F104,ModelOutput!$B$9:$B$11,0))</f>
        <v>22.729631592092201</v>
      </c>
      <c r="U104" s="77">
        <f t="shared" si="11"/>
        <v>71.013506682155665</v>
      </c>
      <c r="V104" s="77">
        <f t="shared" si="12"/>
        <v>206.04943912366272</v>
      </c>
      <c r="W104" s="77">
        <f t="shared" si="13"/>
        <v>308.76904076290538</v>
      </c>
      <c r="X104" s="77">
        <f t="shared" si="14"/>
        <v>64.65175697012819</v>
      </c>
      <c r="Y104" s="30">
        <f t="shared" si="15"/>
        <v>650.48374353885197</v>
      </c>
      <c r="Z104" s="30">
        <f t="shared" si="16"/>
        <v>1099.4039451467554</v>
      </c>
      <c r="AA104" s="41">
        <f t="shared" si="17"/>
        <v>-0.22915370014365444</v>
      </c>
      <c r="AB104" s="40">
        <f t="shared" si="18"/>
        <v>1099.4039451467554</v>
      </c>
      <c r="AC104" s="42">
        <f t="shared" si="19"/>
        <v>1</v>
      </c>
      <c r="AD104" s="43">
        <v>650.48374353885299</v>
      </c>
      <c r="AE104" s="79">
        <f t="shared" si="20"/>
        <v>-1.0231815394945443E-12</v>
      </c>
      <c r="AF104" s="29">
        <f t="shared" si="21"/>
        <v>2</v>
      </c>
    </row>
    <row r="105" spans="1:32" ht="15" customHeight="1" x14ac:dyDescent="0.35">
      <c r="A105" s="19" t="s">
        <v>110</v>
      </c>
      <c r="B105" s="19" t="s">
        <v>114</v>
      </c>
      <c r="C105" s="19" t="s">
        <v>118</v>
      </c>
      <c r="D105" s="19" t="s">
        <v>121</v>
      </c>
      <c r="E105" s="19" t="s">
        <v>95</v>
      </c>
      <c r="F105" s="19">
        <v>1</v>
      </c>
      <c r="G105" s="19" t="s">
        <v>211</v>
      </c>
      <c r="H105" s="16">
        <v>5</v>
      </c>
      <c r="I105" s="13">
        <f>IF($G105="Base",1,INDEX(ModelOutput!$D$16:$D$26,MATCH($G105,ModelOutput!$C$16:$C$26,0)))</f>
        <v>1</v>
      </c>
      <c r="J105" s="13">
        <f>IF($A105="Non-greek",1,INDEX(ModelOutput!$D$16:$D$26,MATCH($A105,ModelOutput!$C$16:$C$26,0)))</f>
        <v>1</v>
      </c>
      <c r="K105" s="13">
        <f>IF($C105="Yes",1,INDEX(ModelOutput!$D$16:$D$26,MATCH($C105,ModelOutput!$C$16:$C$26,0)))</f>
        <v>1.5400747552012299</v>
      </c>
      <c r="L105" s="13">
        <f>IF($D105="2.0-3.0",1,INDEX(ModelOutput!$D$16:$D$26,MATCH($D105,ModelOutput!$C$16:$C$26,0)))</f>
        <v>1.12144800201769</v>
      </c>
      <c r="M105" s="13">
        <f>IF($B105="On campus",1,INDEX(ModelOutput!$D$16:$D$26,MATCH($B105,ModelOutput!$C$16:$C$26,0)))</f>
        <v>1.7006219753182299</v>
      </c>
      <c r="N105" s="13">
        <f>IF($B105="On campus",1,INDEX(ModelOutput!$E$16:$E$26,MATCH($B105,ModelOutput!$C$16:$C$26,0)))</f>
        <v>1.6738008433039699</v>
      </c>
      <c r="O105" s="13">
        <f>IF($B105="On campus",1,INDEX(ModelOutput!$F$16:$F$26,MATCH($B105,ModelOutput!$C$16:$C$26,0)))</f>
        <v>2.1619836912278898</v>
      </c>
      <c r="P105" s="13">
        <f>IF($B105="On campus",1,INDEX(ModelOutput!$G$16:$G$26,MATCH($B105,ModelOutput!$C$16:$C$26,0)))</f>
        <v>2.7253181394344401</v>
      </c>
      <c r="Q105" s="72">
        <f>INDEX(ModelOutput!$D$9:$D$11,MATCH("Tier "&amp;$F105,ModelOutput!$B$9:$B$11,0))</f>
        <v>36.175496869914397</v>
      </c>
      <c r="R105" s="72">
        <f>INDEX(ModelOutput!$E$9:$E$11,MATCH("Tier "&amp;$F105,ModelOutput!$B$9:$B$11,0))</f>
        <v>106.647084447761</v>
      </c>
      <c r="S105" s="72">
        <f>INDEX(ModelOutput!$F$9:$F$11,MATCH("Tier "&amp;$F105,ModelOutput!$B$9:$B$11,0))</f>
        <v>123.726482920496</v>
      </c>
      <c r="T105" s="72">
        <f>INDEX(ModelOutput!$G$9:$G$11,MATCH("Tier "&amp;$F105,ModelOutput!$B$9:$B$11,0))</f>
        <v>20.551544113210401</v>
      </c>
      <c r="U105" s="76">
        <f t="shared" si="11"/>
        <v>106.25349765779845</v>
      </c>
      <c r="V105" s="76">
        <f t="shared" si="12"/>
        <v>308.30013359723768</v>
      </c>
      <c r="W105" s="76">
        <f t="shared" si="13"/>
        <v>461.99366968799694</v>
      </c>
      <c r="X105" s="76">
        <f t="shared" si="14"/>
        <v>96.734771013980307</v>
      </c>
      <c r="Y105" s="27">
        <f t="shared" si="15"/>
        <v>973.28207195701339</v>
      </c>
      <c r="Z105" s="27">
        <f t="shared" si="16"/>
        <v>1624.2991923998554</v>
      </c>
      <c r="AA105" s="33">
        <f t="shared" si="17"/>
        <v>0.13887623184210307</v>
      </c>
      <c r="AB105" s="14">
        <f t="shared" si="18"/>
        <v>1624.2991923998554</v>
      </c>
      <c r="AC105" s="29">
        <f t="shared" si="19"/>
        <v>1</v>
      </c>
      <c r="AD105" s="20">
        <v>973.28207195701395</v>
      </c>
      <c r="AE105" s="78">
        <f t="shared" si="20"/>
        <v>0</v>
      </c>
      <c r="AF105" s="29">
        <f t="shared" si="21"/>
        <v>4</v>
      </c>
    </row>
    <row r="106" spans="1:32" ht="15" customHeight="1" x14ac:dyDescent="0.35">
      <c r="A106" s="19" t="s">
        <v>110</v>
      </c>
      <c r="B106" s="19" t="s">
        <v>114</v>
      </c>
      <c r="C106" s="19" t="s">
        <v>118</v>
      </c>
      <c r="D106" s="19" t="s">
        <v>121</v>
      </c>
      <c r="E106" s="19" t="s">
        <v>105</v>
      </c>
      <c r="F106" s="19">
        <v>1</v>
      </c>
      <c r="G106" s="19" t="s">
        <v>105</v>
      </c>
      <c r="H106" s="16">
        <v>5</v>
      </c>
      <c r="I106" s="13">
        <f>IF($G106="Base",1,INDEX(ModelOutput!$D$16:$D$26,MATCH($G106,ModelOutput!$C$16:$C$26,0)))</f>
        <v>0.98982624281990295</v>
      </c>
      <c r="J106" s="13">
        <f>IF($A106="Non-greek",1,INDEX(ModelOutput!$D$16:$D$26,MATCH($A106,ModelOutput!$C$16:$C$26,0)))</f>
        <v>1</v>
      </c>
      <c r="K106" s="13">
        <f>IF($C106="Yes",1,INDEX(ModelOutput!$D$16:$D$26,MATCH($C106,ModelOutput!$C$16:$C$26,0)))</f>
        <v>1.5400747552012299</v>
      </c>
      <c r="L106" s="13">
        <f>IF($D106="2.0-3.0",1,INDEX(ModelOutput!$D$16:$D$26,MATCH($D106,ModelOutput!$C$16:$C$26,0)))</f>
        <v>1.12144800201769</v>
      </c>
      <c r="M106" s="13">
        <f>IF($B106="On campus",1,INDEX(ModelOutput!$D$16:$D$26,MATCH($B106,ModelOutput!$C$16:$C$26,0)))</f>
        <v>1.7006219753182299</v>
      </c>
      <c r="N106" s="13">
        <f>IF($B106="On campus",1,INDEX(ModelOutput!$E$16:$E$26,MATCH($B106,ModelOutput!$C$16:$C$26,0)))</f>
        <v>1.6738008433039699</v>
      </c>
      <c r="O106" s="13">
        <f>IF($B106="On campus",1,INDEX(ModelOutput!$F$16:$F$26,MATCH($B106,ModelOutput!$C$16:$C$26,0)))</f>
        <v>2.1619836912278898</v>
      </c>
      <c r="P106" s="13">
        <f>IF($B106="On campus",1,INDEX(ModelOutput!$G$16:$G$26,MATCH($B106,ModelOutput!$C$16:$C$26,0)))</f>
        <v>2.7253181394344401</v>
      </c>
      <c r="Q106" s="72">
        <f>INDEX(ModelOutput!$D$9:$D$11,MATCH("Tier "&amp;$F106,ModelOutput!$B$9:$B$11,0))</f>
        <v>36.175496869914397</v>
      </c>
      <c r="R106" s="72">
        <f>INDEX(ModelOutput!$E$9:$E$11,MATCH("Tier "&amp;$F106,ModelOutput!$B$9:$B$11,0))</f>
        <v>106.647084447761</v>
      </c>
      <c r="S106" s="72">
        <f>INDEX(ModelOutput!$F$9:$F$11,MATCH("Tier "&amp;$F106,ModelOutput!$B$9:$B$11,0))</f>
        <v>123.726482920496</v>
      </c>
      <c r="T106" s="72">
        <f>INDEX(ModelOutput!$G$9:$G$11,MATCH("Tier "&amp;$F106,ModelOutput!$B$9:$B$11,0))</f>
        <v>20.551544113210401</v>
      </c>
      <c r="U106" s="76">
        <f t="shared" si="11"/>
        <v>105.17250037309201</v>
      </c>
      <c r="V106" s="76">
        <f t="shared" si="12"/>
        <v>305.16356289942797</v>
      </c>
      <c r="W106" s="76">
        <f t="shared" si="13"/>
        <v>457.2934582738493</v>
      </c>
      <c r="X106" s="76">
        <f t="shared" si="14"/>
        <v>95.750614942811779</v>
      </c>
      <c r="Y106" s="27">
        <f t="shared" si="15"/>
        <v>963.38013648918104</v>
      </c>
      <c r="Z106" s="27">
        <f t="shared" si="16"/>
        <v>1608.1978733777225</v>
      </c>
      <c r="AA106" s="33">
        <f t="shared" si="17"/>
        <v>0.12758680337879058</v>
      </c>
      <c r="AB106" s="14">
        <f t="shared" si="18"/>
        <v>1608.1978733777225</v>
      </c>
      <c r="AC106" s="29">
        <f t="shared" si="19"/>
        <v>1</v>
      </c>
      <c r="AD106" s="20">
        <v>963.38013648918195</v>
      </c>
      <c r="AE106" s="78">
        <f t="shared" si="20"/>
        <v>-9.0949470177292824E-13</v>
      </c>
      <c r="AF106" s="29">
        <f t="shared" si="21"/>
        <v>3</v>
      </c>
    </row>
    <row r="107" spans="1:32" ht="15" customHeight="1" x14ac:dyDescent="0.35">
      <c r="A107" s="19" t="s">
        <v>110</v>
      </c>
      <c r="B107" s="19" t="s">
        <v>114</v>
      </c>
      <c r="C107" s="19" t="s">
        <v>118</v>
      </c>
      <c r="D107" s="19" t="s">
        <v>121</v>
      </c>
      <c r="E107" s="19" t="s">
        <v>97</v>
      </c>
      <c r="F107" s="19">
        <v>2</v>
      </c>
      <c r="G107" s="19" t="s">
        <v>211</v>
      </c>
      <c r="H107" s="16">
        <v>5</v>
      </c>
      <c r="I107" s="13">
        <f>IF($G107="Base",1,INDEX(ModelOutput!$D$16:$D$26,MATCH($G107,ModelOutput!$C$16:$C$26,0)))</f>
        <v>1</v>
      </c>
      <c r="J107" s="13">
        <f>IF($A107="Non-greek",1,INDEX(ModelOutput!$D$16:$D$26,MATCH($A107,ModelOutput!$C$16:$C$26,0)))</f>
        <v>1</v>
      </c>
      <c r="K107" s="13">
        <f>IF($C107="Yes",1,INDEX(ModelOutput!$D$16:$D$26,MATCH($C107,ModelOutput!$C$16:$C$26,0)))</f>
        <v>1.5400747552012299</v>
      </c>
      <c r="L107" s="13">
        <f>IF($D107="2.0-3.0",1,INDEX(ModelOutput!$D$16:$D$26,MATCH($D107,ModelOutput!$C$16:$C$26,0)))</f>
        <v>1.12144800201769</v>
      </c>
      <c r="M107" s="13">
        <f>IF($B107="On campus",1,INDEX(ModelOutput!$D$16:$D$26,MATCH($B107,ModelOutput!$C$16:$C$26,0)))</f>
        <v>1.7006219753182299</v>
      </c>
      <c r="N107" s="13">
        <f>IF($B107="On campus",1,INDEX(ModelOutput!$E$16:$E$26,MATCH($B107,ModelOutput!$C$16:$C$26,0)))</f>
        <v>1.6738008433039699</v>
      </c>
      <c r="O107" s="13">
        <f>IF($B107="On campus",1,INDEX(ModelOutput!$F$16:$F$26,MATCH($B107,ModelOutput!$C$16:$C$26,0)))</f>
        <v>2.1619836912278898</v>
      </c>
      <c r="P107" s="13">
        <f>IF($B107="On campus",1,INDEX(ModelOutput!$G$16:$G$26,MATCH($B107,ModelOutput!$C$16:$C$26,0)))</f>
        <v>2.7253181394344401</v>
      </c>
      <c r="Q107" s="72">
        <f>INDEX(ModelOutput!$D$9:$D$11,MATCH("Tier "&amp;$F107,ModelOutput!$B$9:$B$11,0))</f>
        <v>42.8051506068728</v>
      </c>
      <c r="R107" s="72">
        <f>INDEX(ModelOutput!$E$9:$E$11,MATCH("Tier "&amp;$F107,ModelOutput!$B$9:$B$11,0))</f>
        <v>126.191618818284</v>
      </c>
      <c r="S107" s="72">
        <f>INDEX(ModelOutput!$F$9:$F$11,MATCH("Tier "&amp;$F107,ModelOutput!$B$9:$B$11,0))</f>
        <v>146.401050261042</v>
      </c>
      <c r="T107" s="72">
        <f>INDEX(ModelOutput!$G$9:$G$11,MATCH("Tier "&amp;$F107,ModelOutput!$B$9:$B$11,0))</f>
        <v>24.317895180076398</v>
      </c>
      <c r="U107" s="76">
        <f t="shared" si="11"/>
        <v>125.72590187507856</v>
      </c>
      <c r="V107" s="76">
        <f t="shared" si="12"/>
        <v>364.80034256900348</v>
      </c>
      <c r="W107" s="76">
        <f t="shared" si="13"/>
        <v>546.66031766002243</v>
      </c>
      <c r="X107" s="76">
        <f t="shared" si="14"/>
        <v>114.46273860632046</v>
      </c>
      <c r="Y107" s="27">
        <f t="shared" si="15"/>
        <v>1151.649300710425</v>
      </c>
      <c r="Z107" s="27">
        <f t="shared" si="16"/>
        <v>1914.3382117998851</v>
      </c>
      <c r="AA107" s="33">
        <f t="shared" si="17"/>
        <v>0.34223688549941866</v>
      </c>
      <c r="AB107" s="14">
        <f t="shared" si="18"/>
        <v>1782.7872193062994</v>
      </c>
      <c r="AC107" s="29">
        <f t="shared" si="19"/>
        <v>2</v>
      </c>
      <c r="AD107" s="20">
        <v>1151.64930071043</v>
      </c>
      <c r="AE107" s="78">
        <f t="shared" si="20"/>
        <v>-5.0022208597511053E-12</v>
      </c>
      <c r="AF107" s="29">
        <f t="shared" si="21"/>
        <v>2</v>
      </c>
    </row>
    <row r="108" spans="1:32" ht="15" customHeight="1" x14ac:dyDescent="0.35">
      <c r="A108" s="19" t="s">
        <v>110</v>
      </c>
      <c r="B108" s="19" t="s">
        <v>114</v>
      </c>
      <c r="C108" s="19" t="s">
        <v>118</v>
      </c>
      <c r="D108" s="19" t="s">
        <v>121</v>
      </c>
      <c r="E108" s="19" t="s">
        <v>99</v>
      </c>
      <c r="F108" s="19">
        <v>3</v>
      </c>
      <c r="G108" s="19" t="s">
        <v>211</v>
      </c>
      <c r="H108" s="16">
        <v>7</v>
      </c>
      <c r="I108" s="13">
        <f>IF($G108="Base",1,INDEX(ModelOutput!$D$16:$D$26,MATCH($G108,ModelOutput!$C$16:$C$26,0)))</f>
        <v>1</v>
      </c>
      <c r="J108" s="13">
        <f>IF($A108="Non-greek",1,INDEX(ModelOutput!$D$16:$D$26,MATCH($A108,ModelOutput!$C$16:$C$26,0)))</f>
        <v>1</v>
      </c>
      <c r="K108" s="13">
        <f>IF($C108="Yes",1,INDEX(ModelOutput!$D$16:$D$26,MATCH($C108,ModelOutput!$C$16:$C$26,0)))</f>
        <v>1.5400747552012299</v>
      </c>
      <c r="L108" s="13">
        <f>IF($D108="2.0-3.0",1,INDEX(ModelOutput!$D$16:$D$26,MATCH($D108,ModelOutput!$C$16:$C$26,0)))</f>
        <v>1.12144800201769</v>
      </c>
      <c r="M108" s="13">
        <f>IF($B108="On campus",1,INDEX(ModelOutput!$D$16:$D$26,MATCH($B108,ModelOutput!$C$16:$C$26,0)))</f>
        <v>1.7006219753182299</v>
      </c>
      <c r="N108" s="13">
        <f>IF($B108="On campus",1,INDEX(ModelOutput!$E$16:$E$26,MATCH($B108,ModelOutput!$C$16:$C$26,0)))</f>
        <v>1.6738008433039699</v>
      </c>
      <c r="O108" s="13">
        <f>IF($B108="On campus",1,INDEX(ModelOutput!$F$16:$F$26,MATCH($B108,ModelOutput!$C$16:$C$26,0)))</f>
        <v>2.1619836912278898</v>
      </c>
      <c r="P108" s="13">
        <f>IF($B108="On campus",1,INDEX(ModelOutput!$G$16:$G$26,MATCH($B108,ModelOutput!$C$16:$C$26,0)))</f>
        <v>2.7253181394344401</v>
      </c>
      <c r="Q108" s="72">
        <f>INDEX(ModelOutput!$D$9:$D$11,MATCH("Tier "&amp;$F108,ModelOutput!$B$9:$B$11,0))</f>
        <v>40.009437343712797</v>
      </c>
      <c r="R108" s="72">
        <f>INDEX(ModelOutput!$E$9:$E$11,MATCH("Tier "&amp;$F108,ModelOutput!$B$9:$B$11,0))</f>
        <v>117.949723218616</v>
      </c>
      <c r="S108" s="72">
        <f>INDEX(ModelOutput!$F$9:$F$11,MATCH("Tier "&amp;$F108,ModelOutput!$B$9:$B$11,0))</f>
        <v>136.83922529015501</v>
      </c>
      <c r="T108" s="72">
        <f>INDEX(ModelOutput!$G$9:$G$11,MATCH("Tier "&amp;$F108,ModelOutput!$B$9:$B$11,0))</f>
        <v>22.729631592092201</v>
      </c>
      <c r="U108" s="76">
        <f t="shared" si="11"/>
        <v>117.51442343354553</v>
      </c>
      <c r="V108" s="76">
        <f t="shared" si="12"/>
        <v>340.974304308044</v>
      </c>
      <c r="W108" s="76">
        <f t="shared" si="13"/>
        <v>510.95654185599341</v>
      </c>
      <c r="X108" s="76">
        <f t="shared" si="14"/>
        <v>106.98688600628466</v>
      </c>
      <c r="Y108" s="27">
        <f t="shared" si="15"/>
        <v>1076.4321556038676</v>
      </c>
      <c r="Z108" s="27">
        <f t="shared" si="16"/>
        <v>1792.0292699542078</v>
      </c>
      <c r="AA108" s="33">
        <f t="shared" si="17"/>
        <v>0.25648005728601797</v>
      </c>
      <c r="AB108" s="14">
        <f t="shared" si="18"/>
        <v>1782.7872193062994</v>
      </c>
      <c r="AC108" s="29">
        <f t="shared" si="19"/>
        <v>2</v>
      </c>
      <c r="AD108" s="20">
        <v>1076.4321556038699</v>
      </c>
      <c r="AE108" s="78">
        <f t="shared" si="20"/>
        <v>-2.2737367544323206E-12</v>
      </c>
      <c r="AF108" s="29">
        <f t="shared" si="21"/>
        <v>1</v>
      </c>
    </row>
    <row r="109" spans="1:32" ht="15" customHeight="1" x14ac:dyDescent="0.35">
      <c r="A109" s="19" t="s">
        <v>110</v>
      </c>
      <c r="B109" s="19" t="s">
        <v>114</v>
      </c>
      <c r="C109" s="19" t="s">
        <v>118</v>
      </c>
      <c r="D109" s="19" t="s">
        <v>121</v>
      </c>
      <c r="E109" s="19" t="s">
        <v>213</v>
      </c>
      <c r="F109" s="19">
        <v>3</v>
      </c>
      <c r="G109" s="19" t="s">
        <v>107</v>
      </c>
      <c r="H109" s="16">
        <v>1</v>
      </c>
      <c r="I109" s="13">
        <f>IF($G109="Base",1,INDEX(ModelOutput!$D$16:$D$26,MATCH($G109,ModelOutput!$C$16:$C$26,0)))</f>
        <v>1.1906804269762199</v>
      </c>
      <c r="J109" s="13">
        <f>IF($A109="Non-greek",1,INDEX(ModelOutput!$D$16:$D$26,MATCH($A109,ModelOutput!$C$16:$C$26,0)))</f>
        <v>1</v>
      </c>
      <c r="K109" s="13">
        <f>IF($C109="Yes",1,INDEX(ModelOutput!$D$16:$D$26,MATCH($C109,ModelOutput!$C$16:$C$26,0)))</f>
        <v>1.5400747552012299</v>
      </c>
      <c r="L109" s="13">
        <f>IF($D109="2.0-3.0",1,INDEX(ModelOutput!$D$16:$D$26,MATCH($D109,ModelOutput!$C$16:$C$26,0)))</f>
        <v>1.12144800201769</v>
      </c>
      <c r="M109" s="13">
        <f>IF($B109="On campus",1,INDEX(ModelOutput!$D$16:$D$26,MATCH($B109,ModelOutput!$C$16:$C$26,0)))</f>
        <v>1.7006219753182299</v>
      </c>
      <c r="N109" s="13">
        <f>IF($B109="On campus",1,INDEX(ModelOutput!$E$16:$E$26,MATCH($B109,ModelOutput!$C$16:$C$26,0)))</f>
        <v>1.6738008433039699</v>
      </c>
      <c r="O109" s="13">
        <f>IF($B109="On campus",1,INDEX(ModelOutput!$F$16:$F$26,MATCH($B109,ModelOutput!$C$16:$C$26,0)))</f>
        <v>2.1619836912278898</v>
      </c>
      <c r="P109" s="13">
        <f>IF($B109="On campus",1,INDEX(ModelOutput!$G$16:$G$26,MATCH($B109,ModelOutput!$C$16:$C$26,0)))</f>
        <v>2.7253181394344401</v>
      </c>
      <c r="Q109" s="72">
        <f>INDEX(ModelOutput!$D$9:$D$11,MATCH("Tier "&amp;$F109,ModelOutput!$B$9:$B$11,0))</f>
        <v>40.009437343712797</v>
      </c>
      <c r="R109" s="72">
        <f>INDEX(ModelOutput!$E$9:$E$11,MATCH("Tier "&amp;$F109,ModelOutput!$B$9:$B$11,0))</f>
        <v>117.949723218616</v>
      </c>
      <c r="S109" s="72">
        <f>INDEX(ModelOutput!$F$9:$F$11,MATCH("Tier "&amp;$F109,ModelOutput!$B$9:$B$11,0))</f>
        <v>136.83922529015501</v>
      </c>
      <c r="T109" s="72">
        <f>INDEX(ModelOutput!$G$9:$G$11,MATCH("Tier "&amp;$F109,ModelOutput!$B$9:$B$11,0))</f>
        <v>22.729631592092201</v>
      </c>
      <c r="U109" s="76">
        <f t="shared" si="11"/>
        <v>139.92212386971829</v>
      </c>
      <c r="V109" s="76">
        <f t="shared" si="12"/>
        <v>405.99143024142131</v>
      </c>
      <c r="W109" s="76">
        <f t="shared" si="13"/>
        <v>608.38595342338715</v>
      </c>
      <c r="X109" s="76">
        <f t="shared" si="14"/>
        <v>127.38719111081919</v>
      </c>
      <c r="Y109" s="27">
        <f t="shared" si="15"/>
        <v>1281.6866986453458</v>
      </c>
      <c r="Z109" s="27">
        <f t="shared" si="16"/>
        <v>2125.7891585122838</v>
      </c>
      <c r="AA109" s="33">
        <f t="shared" si="17"/>
        <v>0.49049556748242362</v>
      </c>
      <c r="AB109" s="14">
        <f t="shared" si="18"/>
        <v>1782.7872193062994</v>
      </c>
      <c r="AC109" s="29">
        <f t="shared" si="19"/>
        <v>2</v>
      </c>
      <c r="AD109" s="20">
        <v>1281.6866986453499</v>
      </c>
      <c r="AE109" s="78">
        <f t="shared" si="20"/>
        <v>-4.0927261579781771E-12</v>
      </c>
      <c r="AF109" s="29">
        <f t="shared" si="21"/>
        <v>2</v>
      </c>
    </row>
    <row r="110" spans="1:32" ht="15" customHeight="1" x14ac:dyDescent="0.35">
      <c r="A110" s="37" t="s">
        <v>110</v>
      </c>
      <c r="B110" s="37" t="s">
        <v>114</v>
      </c>
      <c r="C110" s="37" t="s">
        <v>118</v>
      </c>
      <c r="D110" s="37" t="s">
        <v>123</v>
      </c>
      <c r="E110" s="37" t="s">
        <v>95</v>
      </c>
      <c r="F110" s="37">
        <v>1</v>
      </c>
      <c r="G110" s="37" t="s">
        <v>211</v>
      </c>
      <c r="H110" s="38">
        <v>14</v>
      </c>
      <c r="I110" s="39">
        <f>IF($G110="Base",1,INDEX(ModelOutput!$D$16:$D$26,MATCH($G110,ModelOutput!$C$16:$C$26,0)))</f>
        <v>1</v>
      </c>
      <c r="J110" s="39">
        <f>IF($A110="Non-greek",1,INDEX(ModelOutput!$D$16:$D$26,MATCH($A110,ModelOutput!$C$16:$C$26,0)))</f>
        <v>1</v>
      </c>
      <c r="K110" s="39">
        <f>IF($C110="Yes",1,INDEX(ModelOutput!$D$16:$D$26,MATCH($C110,ModelOutput!$C$16:$C$26,0)))</f>
        <v>1.5400747552012299</v>
      </c>
      <c r="L110" s="39">
        <f>IF($D110="2.0-3.0",1,INDEX(ModelOutput!$D$16:$D$26,MATCH($D110,ModelOutput!$C$16:$C$26,0)))</f>
        <v>1.01762556011242</v>
      </c>
      <c r="M110" s="39">
        <f>IF($B110="On campus",1,INDEX(ModelOutput!$D$16:$D$26,MATCH($B110,ModelOutput!$C$16:$C$26,0)))</f>
        <v>1.7006219753182299</v>
      </c>
      <c r="N110" s="39">
        <f>IF($B110="On campus",1,INDEX(ModelOutput!$E$16:$E$26,MATCH($B110,ModelOutput!$C$16:$C$26,0)))</f>
        <v>1.6738008433039699</v>
      </c>
      <c r="O110" s="39">
        <f>IF($B110="On campus",1,INDEX(ModelOutput!$F$16:$F$26,MATCH($B110,ModelOutput!$C$16:$C$26,0)))</f>
        <v>2.1619836912278898</v>
      </c>
      <c r="P110" s="39">
        <f>IF($B110="On campus",1,INDEX(ModelOutput!$G$16:$G$26,MATCH($B110,ModelOutput!$C$16:$C$26,0)))</f>
        <v>2.7253181394344401</v>
      </c>
      <c r="Q110" s="73">
        <f>INDEX(ModelOutput!$D$9:$D$11,MATCH("Tier "&amp;$F110,ModelOutput!$B$9:$B$11,0))</f>
        <v>36.175496869914397</v>
      </c>
      <c r="R110" s="73">
        <f>INDEX(ModelOutput!$E$9:$E$11,MATCH("Tier "&amp;$F110,ModelOutput!$B$9:$B$11,0))</f>
        <v>106.647084447761</v>
      </c>
      <c r="S110" s="73">
        <f>INDEX(ModelOutput!$F$9:$F$11,MATCH("Tier "&amp;$F110,ModelOutput!$B$9:$B$11,0))</f>
        <v>123.726482920496</v>
      </c>
      <c r="T110" s="73">
        <f>INDEX(ModelOutput!$G$9:$G$11,MATCH("Tier "&amp;$F110,ModelOutput!$B$9:$B$11,0))</f>
        <v>20.551544113210401</v>
      </c>
      <c r="U110" s="77">
        <f t="shared" si="11"/>
        <v>96.416663878647881</v>
      </c>
      <c r="V110" s="77">
        <f t="shared" si="12"/>
        <v>279.75804100605461</v>
      </c>
      <c r="W110" s="77">
        <f t="shared" si="13"/>
        <v>419.22279591989872</v>
      </c>
      <c r="X110" s="77">
        <f t="shared" si="14"/>
        <v>87.779170642185164</v>
      </c>
      <c r="Y110" s="30">
        <f t="shared" si="15"/>
        <v>883.17667144678626</v>
      </c>
      <c r="Z110" s="30">
        <f t="shared" si="16"/>
        <v>1477.7807865846094</v>
      </c>
      <c r="AA110" s="41">
        <f t="shared" si="17"/>
        <v>3.6144955060613437E-2</v>
      </c>
      <c r="AB110" s="40">
        <f t="shared" si="18"/>
        <v>1477.7807865846094</v>
      </c>
      <c r="AC110" s="42">
        <f t="shared" si="19"/>
        <v>1</v>
      </c>
      <c r="AD110" s="43">
        <v>883.17667144678501</v>
      </c>
      <c r="AE110" s="79">
        <f t="shared" si="20"/>
        <v>1.2505552149377763E-12</v>
      </c>
      <c r="AF110" s="29">
        <f t="shared" si="21"/>
        <v>4</v>
      </c>
    </row>
    <row r="111" spans="1:32" ht="15" customHeight="1" x14ac:dyDescent="0.35">
      <c r="A111" s="37" t="s">
        <v>110</v>
      </c>
      <c r="B111" s="37" t="s">
        <v>114</v>
      </c>
      <c r="C111" s="37" t="s">
        <v>118</v>
      </c>
      <c r="D111" s="37" t="s">
        <v>123</v>
      </c>
      <c r="E111" s="37" t="s">
        <v>105</v>
      </c>
      <c r="F111" s="37">
        <v>1</v>
      </c>
      <c r="G111" s="37" t="s">
        <v>105</v>
      </c>
      <c r="H111" s="38">
        <v>11</v>
      </c>
      <c r="I111" s="39">
        <f>IF($G111="Base",1,INDEX(ModelOutput!$D$16:$D$26,MATCH($G111,ModelOutput!$C$16:$C$26,0)))</f>
        <v>0.98982624281990295</v>
      </c>
      <c r="J111" s="39">
        <f>IF($A111="Non-greek",1,INDEX(ModelOutput!$D$16:$D$26,MATCH($A111,ModelOutput!$C$16:$C$26,0)))</f>
        <v>1</v>
      </c>
      <c r="K111" s="39">
        <f>IF($C111="Yes",1,INDEX(ModelOutput!$D$16:$D$26,MATCH($C111,ModelOutput!$C$16:$C$26,0)))</f>
        <v>1.5400747552012299</v>
      </c>
      <c r="L111" s="39">
        <f>IF($D111="2.0-3.0",1,INDEX(ModelOutput!$D$16:$D$26,MATCH($D111,ModelOutput!$C$16:$C$26,0)))</f>
        <v>1.01762556011242</v>
      </c>
      <c r="M111" s="39">
        <f>IF($B111="On campus",1,INDEX(ModelOutput!$D$16:$D$26,MATCH($B111,ModelOutput!$C$16:$C$26,0)))</f>
        <v>1.7006219753182299</v>
      </c>
      <c r="N111" s="39">
        <f>IF($B111="On campus",1,INDEX(ModelOutput!$E$16:$E$26,MATCH($B111,ModelOutput!$C$16:$C$26,0)))</f>
        <v>1.6738008433039699</v>
      </c>
      <c r="O111" s="39">
        <f>IF($B111="On campus",1,INDEX(ModelOutput!$F$16:$F$26,MATCH($B111,ModelOutput!$C$16:$C$26,0)))</f>
        <v>2.1619836912278898</v>
      </c>
      <c r="P111" s="39">
        <f>IF($B111="On campus",1,INDEX(ModelOutput!$G$16:$G$26,MATCH($B111,ModelOutput!$C$16:$C$26,0)))</f>
        <v>2.7253181394344401</v>
      </c>
      <c r="Q111" s="73">
        <f>INDEX(ModelOutput!$D$9:$D$11,MATCH("Tier "&amp;$F111,ModelOutput!$B$9:$B$11,0))</f>
        <v>36.175496869914397</v>
      </c>
      <c r="R111" s="73">
        <f>INDEX(ModelOutput!$E$9:$E$11,MATCH("Tier "&amp;$F111,ModelOutput!$B$9:$B$11,0))</f>
        <v>106.647084447761</v>
      </c>
      <c r="S111" s="73">
        <f>INDEX(ModelOutput!$F$9:$F$11,MATCH("Tier "&amp;$F111,ModelOutput!$B$9:$B$11,0))</f>
        <v>123.726482920496</v>
      </c>
      <c r="T111" s="73">
        <f>INDEX(ModelOutput!$G$9:$G$11,MATCH("Tier "&amp;$F111,ModelOutput!$B$9:$B$11,0))</f>
        <v>20.551544113210401</v>
      </c>
      <c r="U111" s="77">
        <f t="shared" si="11"/>
        <v>95.435744152231493</v>
      </c>
      <c r="V111" s="77">
        <f t="shared" si="12"/>
        <v>276.91185062767943</v>
      </c>
      <c r="W111" s="77">
        <f t="shared" si="13"/>
        <v>414.95772498984826</v>
      </c>
      <c r="X111" s="77">
        <f t="shared" si="14"/>
        <v>86.886126674601243</v>
      </c>
      <c r="Y111" s="30">
        <f t="shared" si="15"/>
        <v>874.19144644436039</v>
      </c>
      <c r="Z111" s="30">
        <f t="shared" si="16"/>
        <v>1463.1701102456557</v>
      </c>
      <c r="AA111" s="41">
        <f t="shared" si="17"/>
        <v>2.5900689662077259E-2</v>
      </c>
      <c r="AB111" s="40">
        <f t="shared" si="18"/>
        <v>1463.1701102456557</v>
      </c>
      <c r="AC111" s="42">
        <f t="shared" si="19"/>
        <v>1</v>
      </c>
      <c r="AD111" s="43">
        <v>874.19144644436005</v>
      </c>
      <c r="AE111" s="79">
        <f t="shared" si="20"/>
        <v>0</v>
      </c>
      <c r="AF111" s="29">
        <f t="shared" si="21"/>
        <v>3</v>
      </c>
    </row>
    <row r="112" spans="1:32" ht="15" customHeight="1" x14ac:dyDescent="0.35">
      <c r="A112" s="37" t="s">
        <v>110</v>
      </c>
      <c r="B112" s="37" t="s">
        <v>114</v>
      </c>
      <c r="C112" s="37" t="s">
        <v>118</v>
      </c>
      <c r="D112" s="37" t="s">
        <v>123</v>
      </c>
      <c r="E112" s="37" t="s">
        <v>97</v>
      </c>
      <c r="F112" s="37">
        <v>2</v>
      </c>
      <c r="G112" s="37" t="s">
        <v>211</v>
      </c>
      <c r="H112" s="38">
        <v>14</v>
      </c>
      <c r="I112" s="39">
        <f>IF($G112="Base",1,INDEX(ModelOutput!$D$16:$D$26,MATCH($G112,ModelOutput!$C$16:$C$26,0)))</f>
        <v>1</v>
      </c>
      <c r="J112" s="39">
        <f>IF($A112="Non-greek",1,INDEX(ModelOutput!$D$16:$D$26,MATCH($A112,ModelOutput!$C$16:$C$26,0)))</f>
        <v>1</v>
      </c>
      <c r="K112" s="39">
        <f>IF($C112="Yes",1,INDEX(ModelOutput!$D$16:$D$26,MATCH($C112,ModelOutput!$C$16:$C$26,0)))</f>
        <v>1.5400747552012299</v>
      </c>
      <c r="L112" s="39">
        <f>IF($D112="2.0-3.0",1,INDEX(ModelOutput!$D$16:$D$26,MATCH($D112,ModelOutput!$C$16:$C$26,0)))</f>
        <v>1.01762556011242</v>
      </c>
      <c r="M112" s="39">
        <f>IF($B112="On campus",1,INDEX(ModelOutput!$D$16:$D$26,MATCH($B112,ModelOutput!$C$16:$C$26,0)))</f>
        <v>1.7006219753182299</v>
      </c>
      <c r="N112" s="39">
        <f>IF($B112="On campus",1,INDEX(ModelOutput!$E$16:$E$26,MATCH($B112,ModelOutput!$C$16:$C$26,0)))</f>
        <v>1.6738008433039699</v>
      </c>
      <c r="O112" s="39">
        <f>IF($B112="On campus",1,INDEX(ModelOutput!$F$16:$F$26,MATCH($B112,ModelOutput!$C$16:$C$26,0)))</f>
        <v>2.1619836912278898</v>
      </c>
      <c r="P112" s="39">
        <f>IF($B112="On campus",1,INDEX(ModelOutput!$G$16:$G$26,MATCH($B112,ModelOutput!$C$16:$C$26,0)))</f>
        <v>2.7253181394344401</v>
      </c>
      <c r="Q112" s="73">
        <f>INDEX(ModelOutput!$D$9:$D$11,MATCH("Tier "&amp;$F112,ModelOutput!$B$9:$B$11,0))</f>
        <v>42.8051506068728</v>
      </c>
      <c r="R112" s="73">
        <f>INDEX(ModelOutput!$E$9:$E$11,MATCH("Tier "&amp;$F112,ModelOutput!$B$9:$B$11,0))</f>
        <v>126.191618818284</v>
      </c>
      <c r="S112" s="73">
        <f>INDEX(ModelOutput!$F$9:$F$11,MATCH("Tier "&amp;$F112,ModelOutput!$B$9:$B$11,0))</f>
        <v>146.401050261042</v>
      </c>
      <c r="T112" s="73">
        <f>INDEX(ModelOutput!$G$9:$G$11,MATCH("Tier "&amp;$F112,ModelOutput!$B$9:$B$11,0))</f>
        <v>24.317895180076398</v>
      </c>
      <c r="U112" s="77">
        <f t="shared" si="11"/>
        <v>114.08633399504491</v>
      </c>
      <c r="V112" s="77">
        <f t="shared" si="12"/>
        <v>331.02752180045258</v>
      </c>
      <c r="W112" s="77">
        <f t="shared" si="13"/>
        <v>496.0510972859521</v>
      </c>
      <c r="X112" s="77">
        <f t="shared" si="14"/>
        <v>103.86590218778683</v>
      </c>
      <c r="Y112" s="30">
        <f t="shared" si="15"/>
        <v>1045.0308552692363</v>
      </c>
      <c r="Z112" s="30">
        <f t="shared" si="16"/>
        <v>1740.9683075756684</v>
      </c>
      <c r="AA112" s="41">
        <f t="shared" si="17"/>
        <v>0.22067869956817998</v>
      </c>
      <c r="AB112" s="40">
        <f t="shared" si="18"/>
        <v>1740.9683075756684</v>
      </c>
      <c r="AC112" s="42">
        <f t="shared" si="19"/>
        <v>1</v>
      </c>
      <c r="AD112" s="43">
        <v>1045.03085526924</v>
      </c>
      <c r="AE112" s="79">
        <f t="shared" si="20"/>
        <v>-3.637978807091713E-12</v>
      </c>
      <c r="AF112" s="29">
        <f t="shared" si="21"/>
        <v>2</v>
      </c>
    </row>
    <row r="113" spans="1:32" ht="15" customHeight="1" x14ac:dyDescent="0.35">
      <c r="A113" s="37" t="s">
        <v>110</v>
      </c>
      <c r="B113" s="37" t="s">
        <v>114</v>
      </c>
      <c r="C113" s="37" t="s">
        <v>118</v>
      </c>
      <c r="D113" s="37" t="s">
        <v>123</v>
      </c>
      <c r="E113" s="37" t="s">
        <v>99</v>
      </c>
      <c r="F113" s="37">
        <v>3</v>
      </c>
      <c r="G113" s="37" t="s">
        <v>211</v>
      </c>
      <c r="H113" s="38">
        <v>17</v>
      </c>
      <c r="I113" s="39">
        <f>IF($G113="Base",1,INDEX(ModelOutput!$D$16:$D$26,MATCH($G113,ModelOutput!$C$16:$C$26,0)))</f>
        <v>1</v>
      </c>
      <c r="J113" s="39">
        <f>IF($A113="Non-greek",1,INDEX(ModelOutput!$D$16:$D$26,MATCH($A113,ModelOutput!$C$16:$C$26,0)))</f>
        <v>1</v>
      </c>
      <c r="K113" s="39">
        <f>IF($C113="Yes",1,INDEX(ModelOutput!$D$16:$D$26,MATCH($C113,ModelOutput!$C$16:$C$26,0)))</f>
        <v>1.5400747552012299</v>
      </c>
      <c r="L113" s="39">
        <f>IF($D113="2.0-3.0",1,INDEX(ModelOutput!$D$16:$D$26,MATCH($D113,ModelOutput!$C$16:$C$26,0)))</f>
        <v>1.01762556011242</v>
      </c>
      <c r="M113" s="39">
        <f>IF($B113="On campus",1,INDEX(ModelOutput!$D$16:$D$26,MATCH($B113,ModelOutput!$C$16:$C$26,0)))</f>
        <v>1.7006219753182299</v>
      </c>
      <c r="N113" s="39">
        <f>IF($B113="On campus",1,INDEX(ModelOutput!$E$16:$E$26,MATCH($B113,ModelOutput!$C$16:$C$26,0)))</f>
        <v>1.6738008433039699</v>
      </c>
      <c r="O113" s="39">
        <f>IF($B113="On campus",1,INDEX(ModelOutput!$F$16:$F$26,MATCH($B113,ModelOutput!$C$16:$C$26,0)))</f>
        <v>2.1619836912278898</v>
      </c>
      <c r="P113" s="39">
        <f>IF($B113="On campus",1,INDEX(ModelOutput!$G$16:$G$26,MATCH($B113,ModelOutput!$C$16:$C$26,0)))</f>
        <v>2.7253181394344401</v>
      </c>
      <c r="Q113" s="73">
        <f>INDEX(ModelOutput!$D$9:$D$11,MATCH("Tier "&amp;$F113,ModelOutput!$B$9:$B$11,0))</f>
        <v>40.009437343712797</v>
      </c>
      <c r="R113" s="73">
        <f>INDEX(ModelOutput!$E$9:$E$11,MATCH("Tier "&amp;$F113,ModelOutput!$B$9:$B$11,0))</f>
        <v>117.949723218616</v>
      </c>
      <c r="S113" s="73">
        <f>INDEX(ModelOutput!$F$9:$F$11,MATCH("Tier "&amp;$F113,ModelOutput!$B$9:$B$11,0))</f>
        <v>136.83922529015501</v>
      </c>
      <c r="T113" s="73">
        <f>INDEX(ModelOutput!$G$9:$G$11,MATCH("Tier "&amp;$F113,ModelOutput!$B$9:$B$11,0))</f>
        <v>22.729631592092201</v>
      </c>
      <c r="U113" s="77">
        <f t="shared" si="11"/>
        <v>106.6350653375755</v>
      </c>
      <c r="V113" s="77">
        <f t="shared" si="12"/>
        <v>309.40727236673303</v>
      </c>
      <c r="W113" s="77">
        <f t="shared" si="13"/>
        <v>463.65273839161779</v>
      </c>
      <c r="X113" s="77">
        <f t="shared" si="14"/>
        <v>97.082155927824886</v>
      </c>
      <c r="Y113" s="30">
        <f t="shared" si="15"/>
        <v>976.77723202375114</v>
      </c>
      <c r="Z113" s="30">
        <f t="shared" si="16"/>
        <v>1629.9825951498317</v>
      </c>
      <c r="AA113" s="41">
        <f t="shared" si="17"/>
        <v>0.14286114566722818</v>
      </c>
      <c r="AB113" s="40">
        <f t="shared" si="18"/>
        <v>1629.9825951498317</v>
      </c>
      <c r="AC113" s="42">
        <f t="shared" si="19"/>
        <v>1</v>
      </c>
      <c r="AD113" s="43">
        <v>976.77723202375205</v>
      </c>
      <c r="AE113" s="79">
        <f t="shared" si="20"/>
        <v>-9.0949470177292824E-13</v>
      </c>
      <c r="AF113" s="29">
        <f t="shared" si="21"/>
        <v>1</v>
      </c>
    </row>
    <row r="114" spans="1:32" ht="15" customHeight="1" x14ac:dyDescent="0.35">
      <c r="A114" s="37" t="s">
        <v>110</v>
      </c>
      <c r="B114" s="37" t="s">
        <v>114</v>
      </c>
      <c r="C114" s="37" t="s">
        <v>118</v>
      </c>
      <c r="D114" s="37" t="s">
        <v>123</v>
      </c>
      <c r="E114" s="37" t="s">
        <v>213</v>
      </c>
      <c r="F114" s="37">
        <v>3</v>
      </c>
      <c r="G114" s="37" t="s">
        <v>107</v>
      </c>
      <c r="H114" s="38">
        <v>11</v>
      </c>
      <c r="I114" s="39">
        <f>IF($G114="Base",1,INDEX(ModelOutput!$D$16:$D$26,MATCH($G114,ModelOutput!$C$16:$C$26,0)))</f>
        <v>1.1906804269762199</v>
      </c>
      <c r="J114" s="39">
        <f>IF($A114="Non-greek",1,INDEX(ModelOutput!$D$16:$D$26,MATCH($A114,ModelOutput!$C$16:$C$26,0)))</f>
        <v>1</v>
      </c>
      <c r="K114" s="39">
        <f>IF($C114="Yes",1,INDEX(ModelOutput!$D$16:$D$26,MATCH($C114,ModelOutput!$C$16:$C$26,0)))</f>
        <v>1.5400747552012299</v>
      </c>
      <c r="L114" s="39">
        <f>IF($D114="2.0-3.0",1,INDEX(ModelOutput!$D$16:$D$26,MATCH($D114,ModelOutput!$C$16:$C$26,0)))</f>
        <v>1.01762556011242</v>
      </c>
      <c r="M114" s="39">
        <f>IF($B114="On campus",1,INDEX(ModelOutput!$D$16:$D$26,MATCH($B114,ModelOutput!$C$16:$C$26,0)))</f>
        <v>1.7006219753182299</v>
      </c>
      <c r="N114" s="39">
        <f>IF($B114="On campus",1,INDEX(ModelOutput!$E$16:$E$26,MATCH($B114,ModelOutput!$C$16:$C$26,0)))</f>
        <v>1.6738008433039699</v>
      </c>
      <c r="O114" s="39">
        <f>IF($B114="On campus",1,INDEX(ModelOutput!$F$16:$F$26,MATCH($B114,ModelOutput!$C$16:$C$26,0)))</f>
        <v>2.1619836912278898</v>
      </c>
      <c r="P114" s="39">
        <f>IF($B114="On campus",1,INDEX(ModelOutput!$G$16:$G$26,MATCH($B114,ModelOutput!$C$16:$C$26,0)))</f>
        <v>2.7253181394344401</v>
      </c>
      <c r="Q114" s="73">
        <f>INDEX(ModelOutput!$D$9:$D$11,MATCH("Tier "&amp;$F114,ModelOutput!$B$9:$B$11,0))</f>
        <v>40.009437343712797</v>
      </c>
      <c r="R114" s="73">
        <f>INDEX(ModelOutput!$E$9:$E$11,MATCH("Tier "&amp;$F114,ModelOutput!$B$9:$B$11,0))</f>
        <v>117.949723218616</v>
      </c>
      <c r="S114" s="73">
        <f>INDEX(ModelOutput!$F$9:$F$11,MATCH("Tier "&amp;$F114,ModelOutput!$B$9:$B$11,0))</f>
        <v>136.83922529015501</v>
      </c>
      <c r="T114" s="73">
        <f>INDEX(ModelOutput!$G$9:$G$11,MATCH("Tier "&amp;$F114,ModelOutput!$B$9:$B$11,0))</f>
        <v>22.729631592092201</v>
      </c>
      <c r="U114" s="77">
        <f t="shared" si="11"/>
        <v>126.96828512678147</v>
      </c>
      <c r="V114" s="77">
        <f t="shared" si="12"/>
        <v>368.40518317116931</v>
      </c>
      <c r="W114" s="77">
        <f t="shared" si="13"/>
        <v>552.06224051682511</v>
      </c>
      <c r="X114" s="77">
        <f t="shared" si="14"/>
        <v>115.5938228719145</v>
      </c>
      <c r="Y114" s="30">
        <f t="shared" si="15"/>
        <v>1163.0295316866902</v>
      </c>
      <c r="Z114" s="30">
        <f t="shared" si="16"/>
        <v>1932.8433545661328</v>
      </c>
      <c r="AA114" s="41">
        <f t="shared" si="17"/>
        <v>0.35521175328358989</v>
      </c>
      <c r="AB114" s="40">
        <f t="shared" si="18"/>
        <v>1782.7872193062994</v>
      </c>
      <c r="AC114" s="42">
        <f t="shared" si="19"/>
        <v>2</v>
      </c>
      <c r="AD114" s="43">
        <v>1163.02953168669</v>
      </c>
      <c r="AE114" s="79">
        <f t="shared" si="20"/>
        <v>0</v>
      </c>
      <c r="AF114" s="29">
        <f t="shared" si="21"/>
        <v>2</v>
      </c>
    </row>
    <row r="115" spans="1:32" ht="15" customHeight="1" x14ac:dyDescent="0.35">
      <c r="A115" s="19" t="s">
        <v>110</v>
      </c>
      <c r="B115" s="19" t="s">
        <v>114</v>
      </c>
      <c r="C115" s="19" t="s">
        <v>118</v>
      </c>
      <c r="D115" s="19" t="s">
        <v>122</v>
      </c>
      <c r="E115" s="19" t="s">
        <v>95</v>
      </c>
      <c r="F115" s="19">
        <v>1</v>
      </c>
      <c r="G115" s="19" t="s">
        <v>211</v>
      </c>
      <c r="H115" s="16">
        <v>24</v>
      </c>
      <c r="I115" s="13">
        <f>IF($G115="Base",1,INDEX(ModelOutput!$D$16:$D$26,MATCH($G115,ModelOutput!$C$16:$C$26,0)))</f>
        <v>1</v>
      </c>
      <c r="J115" s="13">
        <f>IF($A115="Non-greek",1,INDEX(ModelOutput!$D$16:$D$26,MATCH($A115,ModelOutput!$C$16:$C$26,0)))</f>
        <v>1</v>
      </c>
      <c r="K115" s="13">
        <f>IF($C115="Yes",1,INDEX(ModelOutput!$D$16:$D$26,MATCH($C115,ModelOutput!$C$16:$C$26,0)))</f>
        <v>1.5400747552012299</v>
      </c>
      <c r="L115" s="13">
        <f>IF($D115="2.0-3.0",1,INDEX(ModelOutput!$D$16:$D$26,MATCH($D115,ModelOutput!$C$16:$C$26,0)))</f>
        <v>1</v>
      </c>
      <c r="M115" s="13">
        <f>IF($B115="On campus",1,INDEX(ModelOutput!$D$16:$D$26,MATCH($B115,ModelOutput!$C$16:$C$26,0)))</f>
        <v>1.7006219753182299</v>
      </c>
      <c r="N115" s="13">
        <f>IF($B115="On campus",1,INDEX(ModelOutput!$E$16:$E$26,MATCH($B115,ModelOutput!$C$16:$C$26,0)))</f>
        <v>1.6738008433039699</v>
      </c>
      <c r="O115" s="13">
        <f>IF($B115="On campus",1,INDEX(ModelOutput!$F$16:$F$26,MATCH($B115,ModelOutput!$C$16:$C$26,0)))</f>
        <v>2.1619836912278898</v>
      </c>
      <c r="P115" s="13">
        <f>IF($B115="On campus",1,INDEX(ModelOutput!$G$16:$G$26,MATCH($B115,ModelOutput!$C$16:$C$26,0)))</f>
        <v>2.7253181394344401</v>
      </c>
      <c r="Q115" s="72">
        <f>INDEX(ModelOutput!$D$9:$D$11,MATCH("Tier "&amp;$F115,ModelOutput!$B$9:$B$11,0))</f>
        <v>36.175496869914397</v>
      </c>
      <c r="R115" s="72">
        <f>INDEX(ModelOutput!$E$9:$E$11,MATCH("Tier "&amp;$F115,ModelOutput!$B$9:$B$11,0))</f>
        <v>106.647084447761</v>
      </c>
      <c r="S115" s="72">
        <f>INDEX(ModelOutput!$F$9:$F$11,MATCH("Tier "&amp;$F115,ModelOutput!$B$9:$B$11,0))</f>
        <v>123.726482920496</v>
      </c>
      <c r="T115" s="72">
        <f>INDEX(ModelOutput!$G$9:$G$11,MATCH("Tier "&amp;$F115,ModelOutput!$B$9:$B$11,0))</f>
        <v>20.551544113210401</v>
      </c>
      <c r="U115" s="76">
        <f t="shared" si="11"/>
        <v>94.746700218493388</v>
      </c>
      <c r="V115" s="76">
        <f t="shared" si="12"/>
        <v>274.912553272688</v>
      </c>
      <c r="W115" s="76">
        <f t="shared" si="13"/>
        <v>411.96173951604158</v>
      </c>
      <c r="X115" s="76">
        <f t="shared" si="14"/>
        <v>86.258810787425531</v>
      </c>
      <c r="Y115" s="27">
        <f t="shared" si="15"/>
        <v>867.87980379464852</v>
      </c>
      <c r="Z115" s="27">
        <f t="shared" si="16"/>
        <v>1452.9068872437631</v>
      </c>
      <c r="AA115" s="33">
        <f t="shared" si="17"/>
        <v>1.8704638101107562E-2</v>
      </c>
      <c r="AB115" s="14">
        <f t="shared" si="18"/>
        <v>1452.9068872437631</v>
      </c>
      <c r="AC115" s="29">
        <f t="shared" si="19"/>
        <v>1</v>
      </c>
      <c r="AD115" s="20">
        <v>867.87980379464705</v>
      </c>
      <c r="AE115" s="78">
        <f t="shared" si="20"/>
        <v>1.4779288903810084E-12</v>
      </c>
      <c r="AF115" s="29">
        <f t="shared" si="21"/>
        <v>4</v>
      </c>
    </row>
    <row r="116" spans="1:32" ht="15" customHeight="1" x14ac:dyDescent="0.35">
      <c r="A116" s="19" t="s">
        <v>110</v>
      </c>
      <c r="B116" s="19" t="s">
        <v>114</v>
      </c>
      <c r="C116" s="19" t="s">
        <v>118</v>
      </c>
      <c r="D116" s="19" t="s">
        <v>122</v>
      </c>
      <c r="E116" s="19" t="s">
        <v>105</v>
      </c>
      <c r="F116" s="19">
        <v>1</v>
      </c>
      <c r="G116" s="19" t="s">
        <v>105</v>
      </c>
      <c r="H116" s="16">
        <v>20</v>
      </c>
      <c r="I116" s="13">
        <f>IF($G116="Base",1,INDEX(ModelOutput!$D$16:$D$26,MATCH($G116,ModelOutput!$C$16:$C$26,0)))</f>
        <v>0.98982624281990295</v>
      </c>
      <c r="J116" s="13">
        <f>IF($A116="Non-greek",1,INDEX(ModelOutput!$D$16:$D$26,MATCH($A116,ModelOutput!$C$16:$C$26,0)))</f>
        <v>1</v>
      </c>
      <c r="K116" s="13">
        <f>IF($C116="Yes",1,INDEX(ModelOutput!$D$16:$D$26,MATCH($C116,ModelOutput!$C$16:$C$26,0)))</f>
        <v>1.5400747552012299</v>
      </c>
      <c r="L116" s="13">
        <f>IF($D116="2.0-3.0",1,INDEX(ModelOutput!$D$16:$D$26,MATCH($D116,ModelOutput!$C$16:$C$26,0)))</f>
        <v>1</v>
      </c>
      <c r="M116" s="13">
        <f>IF($B116="On campus",1,INDEX(ModelOutput!$D$16:$D$26,MATCH($B116,ModelOutput!$C$16:$C$26,0)))</f>
        <v>1.7006219753182299</v>
      </c>
      <c r="N116" s="13">
        <f>IF($B116="On campus",1,INDEX(ModelOutput!$E$16:$E$26,MATCH($B116,ModelOutput!$C$16:$C$26,0)))</f>
        <v>1.6738008433039699</v>
      </c>
      <c r="O116" s="13">
        <f>IF($B116="On campus",1,INDEX(ModelOutput!$F$16:$F$26,MATCH($B116,ModelOutput!$C$16:$C$26,0)))</f>
        <v>2.1619836912278898</v>
      </c>
      <c r="P116" s="13">
        <f>IF($B116="On campus",1,INDEX(ModelOutput!$G$16:$G$26,MATCH($B116,ModelOutput!$C$16:$C$26,0)))</f>
        <v>2.7253181394344401</v>
      </c>
      <c r="Q116" s="72">
        <f>INDEX(ModelOutput!$D$9:$D$11,MATCH("Tier "&amp;$F116,ModelOutput!$B$9:$B$11,0))</f>
        <v>36.175496869914397</v>
      </c>
      <c r="R116" s="72">
        <f>INDEX(ModelOutput!$E$9:$E$11,MATCH("Tier "&amp;$F116,ModelOutput!$B$9:$B$11,0))</f>
        <v>106.647084447761</v>
      </c>
      <c r="S116" s="72">
        <f>INDEX(ModelOutput!$F$9:$F$11,MATCH("Tier "&amp;$F116,ModelOutput!$B$9:$B$11,0))</f>
        <v>123.726482920496</v>
      </c>
      <c r="T116" s="72">
        <f>INDEX(ModelOutput!$G$9:$G$11,MATCH("Tier "&amp;$F116,ModelOutput!$B$9:$B$11,0))</f>
        <v>20.551544113210401</v>
      </c>
      <c r="U116" s="76">
        <f t="shared" si="11"/>
        <v>93.782770296855006</v>
      </c>
      <c r="V116" s="76">
        <f t="shared" si="12"/>
        <v>272.11565970993121</v>
      </c>
      <c r="W116" s="76">
        <f t="shared" si="13"/>
        <v>407.77054081071503</v>
      </c>
      <c r="X116" s="76">
        <f t="shared" si="14"/>
        <v>85.381234591830307</v>
      </c>
      <c r="Y116" s="27">
        <f t="shared" si="15"/>
        <v>859.05020540933162</v>
      </c>
      <c r="Z116" s="27">
        <f t="shared" si="16"/>
        <v>1438.5492719168253</v>
      </c>
      <c r="AA116" s="33">
        <f t="shared" si="17"/>
        <v>8.6378062524612442E-3</v>
      </c>
      <c r="AB116" s="14">
        <f t="shared" si="18"/>
        <v>1438.5492719168253</v>
      </c>
      <c r="AC116" s="29">
        <f t="shared" si="19"/>
        <v>1</v>
      </c>
      <c r="AD116" s="20">
        <v>859.05020540933106</v>
      </c>
      <c r="AE116" s="78">
        <f t="shared" si="20"/>
        <v>0</v>
      </c>
      <c r="AF116" s="29">
        <f t="shared" si="21"/>
        <v>3</v>
      </c>
    </row>
    <row r="117" spans="1:32" ht="15" customHeight="1" x14ac:dyDescent="0.35">
      <c r="A117" s="19" t="s">
        <v>110</v>
      </c>
      <c r="B117" s="19" t="s">
        <v>114</v>
      </c>
      <c r="C117" s="19" t="s">
        <v>118</v>
      </c>
      <c r="D117" s="19" t="s">
        <v>122</v>
      </c>
      <c r="E117" s="19" t="s">
        <v>97</v>
      </c>
      <c r="F117" s="19">
        <v>2</v>
      </c>
      <c r="G117" s="19" t="s">
        <v>211</v>
      </c>
      <c r="H117" s="16">
        <v>24</v>
      </c>
      <c r="I117" s="13">
        <f>IF($G117="Base",1,INDEX(ModelOutput!$D$16:$D$26,MATCH($G117,ModelOutput!$C$16:$C$26,0)))</f>
        <v>1</v>
      </c>
      <c r="J117" s="13">
        <f>IF($A117="Non-greek",1,INDEX(ModelOutput!$D$16:$D$26,MATCH($A117,ModelOutput!$C$16:$C$26,0)))</f>
        <v>1</v>
      </c>
      <c r="K117" s="13">
        <f>IF($C117="Yes",1,INDEX(ModelOutput!$D$16:$D$26,MATCH($C117,ModelOutput!$C$16:$C$26,0)))</f>
        <v>1.5400747552012299</v>
      </c>
      <c r="L117" s="13">
        <f>IF($D117="2.0-3.0",1,INDEX(ModelOutput!$D$16:$D$26,MATCH($D117,ModelOutput!$C$16:$C$26,0)))</f>
        <v>1</v>
      </c>
      <c r="M117" s="13">
        <f>IF($B117="On campus",1,INDEX(ModelOutput!$D$16:$D$26,MATCH($B117,ModelOutput!$C$16:$C$26,0)))</f>
        <v>1.7006219753182299</v>
      </c>
      <c r="N117" s="13">
        <f>IF($B117="On campus",1,INDEX(ModelOutput!$E$16:$E$26,MATCH($B117,ModelOutput!$C$16:$C$26,0)))</f>
        <v>1.6738008433039699</v>
      </c>
      <c r="O117" s="13">
        <f>IF($B117="On campus",1,INDEX(ModelOutput!$F$16:$F$26,MATCH($B117,ModelOutput!$C$16:$C$26,0)))</f>
        <v>2.1619836912278898</v>
      </c>
      <c r="P117" s="13">
        <f>IF($B117="On campus",1,INDEX(ModelOutput!$G$16:$G$26,MATCH($B117,ModelOutput!$C$16:$C$26,0)))</f>
        <v>2.7253181394344401</v>
      </c>
      <c r="Q117" s="72">
        <f>INDEX(ModelOutput!$D$9:$D$11,MATCH("Tier "&amp;$F117,ModelOutput!$B$9:$B$11,0))</f>
        <v>42.8051506068728</v>
      </c>
      <c r="R117" s="72">
        <f>INDEX(ModelOutput!$E$9:$E$11,MATCH("Tier "&amp;$F117,ModelOutput!$B$9:$B$11,0))</f>
        <v>126.191618818284</v>
      </c>
      <c r="S117" s="72">
        <f>INDEX(ModelOutput!$F$9:$F$11,MATCH("Tier "&amp;$F117,ModelOutput!$B$9:$B$11,0))</f>
        <v>146.401050261042</v>
      </c>
      <c r="T117" s="72">
        <f>INDEX(ModelOutput!$G$9:$G$11,MATCH("Tier "&amp;$F117,ModelOutput!$B$9:$B$11,0))</f>
        <v>24.317895180076398</v>
      </c>
      <c r="U117" s="76">
        <f t="shared" si="11"/>
        <v>112.11032669269969</v>
      </c>
      <c r="V117" s="76">
        <f t="shared" si="12"/>
        <v>325.29403228028491</v>
      </c>
      <c r="W117" s="76">
        <f t="shared" si="13"/>
        <v>487.45935315456495</v>
      </c>
      <c r="X117" s="76">
        <f t="shared" si="14"/>
        <v>102.06691563084605</v>
      </c>
      <c r="Y117" s="27">
        <f t="shared" si="15"/>
        <v>1026.9306277583955</v>
      </c>
      <c r="Z117" s="27">
        <f t="shared" si="16"/>
        <v>1711.5359265556135</v>
      </c>
      <c r="AA117" s="33">
        <f t="shared" si="17"/>
        <v>0.20004220639801695</v>
      </c>
      <c r="AB117" s="14">
        <f t="shared" si="18"/>
        <v>1711.5359265556135</v>
      </c>
      <c r="AC117" s="29">
        <f t="shared" si="19"/>
        <v>1</v>
      </c>
      <c r="AD117" s="20">
        <v>1026.9306277583901</v>
      </c>
      <c r="AE117" s="78">
        <f t="shared" si="20"/>
        <v>5.4569682106375694E-12</v>
      </c>
      <c r="AF117" s="29">
        <f t="shared" si="21"/>
        <v>2</v>
      </c>
    </row>
    <row r="118" spans="1:32" ht="15" customHeight="1" x14ac:dyDescent="0.35">
      <c r="A118" s="19" t="s">
        <v>110</v>
      </c>
      <c r="B118" s="19" t="s">
        <v>114</v>
      </c>
      <c r="C118" s="19" t="s">
        <v>118</v>
      </c>
      <c r="D118" s="19" t="s">
        <v>122</v>
      </c>
      <c r="E118" s="19" t="s">
        <v>99</v>
      </c>
      <c r="F118" s="19">
        <v>3</v>
      </c>
      <c r="G118" s="19" t="s">
        <v>211</v>
      </c>
      <c r="H118" s="16">
        <v>16</v>
      </c>
      <c r="I118" s="13">
        <f>IF($G118="Base",1,INDEX(ModelOutput!$D$16:$D$26,MATCH($G118,ModelOutput!$C$16:$C$26,0)))</f>
        <v>1</v>
      </c>
      <c r="J118" s="13">
        <f>IF($A118="Non-greek",1,INDEX(ModelOutput!$D$16:$D$26,MATCH($A118,ModelOutput!$C$16:$C$26,0)))</f>
        <v>1</v>
      </c>
      <c r="K118" s="13">
        <f>IF($C118="Yes",1,INDEX(ModelOutput!$D$16:$D$26,MATCH($C118,ModelOutput!$C$16:$C$26,0)))</f>
        <v>1.5400747552012299</v>
      </c>
      <c r="L118" s="13">
        <f>IF($D118="2.0-3.0",1,INDEX(ModelOutput!$D$16:$D$26,MATCH($D118,ModelOutput!$C$16:$C$26,0)))</f>
        <v>1</v>
      </c>
      <c r="M118" s="13">
        <f>IF($B118="On campus",1,INDEX(ModelOutput!$D$16:$D$26,MATCH($B118,ModelOutput!$C$16:$C$26,0)))</f>
        <v>1.7006219753182299</v>
      </c>
      <c r="N118" s="13">
        <f>IF($B118="On campus",1,INDEX(ModelOutput!$E$16:$E$26,MATCH($B118,ModelOutput!$C$16:$C$26,0)))</f>
        <v>1.6738008433039699</v>
      </c>
      <c r="O118" s="13">
        <f>IF($B118="On campus",1,INDEX(ModelOutput!$F$16:$F$26,MATCH($B118,ModelOutput!$C$16:$C$26,0)))</f>
        <v>2.1619836912278898</v>
      </c>
      <c r="P118" s="13">
        <f>IF($B118="On campus",1,INDEX(ModelOutput!$G$16:$G$26,MATCH($B118,ModelOutput!$C$16:$C$26,0)))</f>
        <v>2.7253181394344401</v>
      </c>
      <c r="Q118" s="72">
        <f>INDEX(ModelOutput!$D$9:$D$11,MATCH("Tier "&amp;$F118,ModelOutput!$B$9:$B$11,0))</f>
        <v>40.009437343712797</v>
      </c>
      <c r="R118" s="72">
        <f>INDEX(ModelOutput!$E$9:$E$11,MATCH("Tier "&amp;$F118,ModelOutput!$B$9:$B$11,0))</f>
        <v>117.949723218616</v>
      </c>
      <c r="S118" s="72">
        <f>INDEX(ModelOutput!$F$9:$F$11,MATCH("Tier "&amp;$F118,ModelOutput!$B$9:$B$11,0))</f>
        <v>136.83922529015501</v>
      </c>
      <c r="T118" s="72">
        <f>INDEX(ModelOutput!$G$9:$G$11,MATCH("Tier "&amp;$F118,ModelOutput!$B$9:$B$11,0))</f>
        <v>22.729631592092201</v>
      </c>
      <c r="U118" s="76">
        <f t="shared" si="11"/>
        <v>104.78811609821909</v>
      </c>
      <c r="V118" s="76">
        <f t="shared" si="12"/>
        <v>304.04825163054267</v>
      </c>
      <c r="W118" s="76">
        <f t="shared" si="13"/>
        <v>455.62214292297921</v>
      </c>
      <c r="X118" s="76">
        <f t="shared" si="14"/>
        <v>95.400665758729517</v>
      </c>
      <c r="Y118" s="27">
        <f t="shared" si="15"/>
        <v>959.85917641047035</v>
      </c>
      <c r="Z118" s="27">
        <f t="shared" si="16"/>
        <v>1602.4725177969185</v>
      </c>
      <c r="AA118" s="33">
        <f t="shared" si="17"/>
        <v>0.12357247435595298</v>
      </c>
      <c r="AB118" s="14">
        <f t="shared" si="18"/>
        <v>1602.4725177969185</v>
      </c>
      <c r="AC118" s="29">
        <f t="shared" si="19"/>
        <v>1</v>
      </c>
      <c r="AD118" s="20">
        <v>959.85917641047104</v>
      </c>
      <c r="AE118" s="78">
        <f t="shared" si="20"/>
        <v>0</v>
      </c>
      <c r="AF118" s="29">
        <f t="shared" si="21"/>
        <v>1</v>
      </c>
    </row>
    <row r="119" spans="1:32" ht="15" customHeight="1" x14ac:dyDescent="0.35">
      <c r="A119" s="19" t="s">
        <v>110</v>
      </c>
      <c r="B119" s="19" t="s">
        <v>114</v>
      </c>
      <c r="C119" s="19" t="s">
        <v>118</v>
      </c>
      <c r="D119" s="19" t="s">
        <v>122</v>
      </c>
      <c r="E119" s="19" t="s">
        <v>213</v>
      </c>
      <c r="F119" s="19">
        <v>3</v>
      </c>
      <c r="G119" s="19" t="s">
        <v>107</v>
      </c>
      <c r="H119" s="16">
        <v>13</v>
      </c>
      <c r="I119" s="13">
        <f>IF($G119="Base",1,INDEX(ModelOutput!$D$16:$D$26,MATCH($G119,ModelOutput!$C$16:$C$26,0)))</f>
        <v>1.1906804269762199</v>
      </c>
      <c r="J119" s="13">
        <f>IF($A119="Non-greek",1,INDEX(ModelOutput!$D$16:$D$26,MATCH($A119,ModelOutput!$C$16:$C$26,0)))</f>
        <v>1</v>
      </c>
      <c r="K119" s="13">
        <f>IF($C119="Yes",1,INDEX(ModelOutput!$D$16:$D$26,MATCH($C119,ModelOutput!$C$16:$C$26,0)))</f>
        <v>1.5400747552012299</v>
      </c>
      <c r="L119" s="13">
        <f>IF($D119="2.0-3.0",1,INDEX(ModelOutput!$D$16:$D$26,MATCH($D119,ModelOutput!$C$16:$C$26,0)))</f>
        <v>1</v>
      </c>
      <c r="M119" s="13">
        <f>IF($B119="On campus",1,INDEX(ModelOutput!$D$16:$D$26,MATCH($B119,ModelOutput!$C$16:$C$26,0)))</f>
        <v>1.7006219753182299</v>
      </c>
      <c r="N119" s="13">
        <f>IF($B119="On campus",1,INDEX(ModelOutput!$E$16:$E$26,MATCH($B119,ModelOutput!$C$16:$C$26,0)))</f>
        <v>1.6738008433039699</v>
      </c>
      <c r="O119" s="13">
        <f>IF($B119="On campus",1,INDEX(ModelOutput!$F$16:$F$26,MATCH($B119,ModelOutput!$C$16:$C$26,0)))</f>
        <v>2.1619836912278898</v>
      </c>
      <c r="P119" s="13">
        <f>IF($B119="On campus",1,INDEX(ModelOutput!$G$16:$G$26,MATCH($B119,ModelOutput!$C$16:$C$26,0)))</f>
        <v>2.7253181394344401</v>
      </c>
      <c r="Q119" s="72">
        <f>INDEX(ModelOutput!$D$9:$D$11,MATCH("Tier "&amp;$F119,ModelOutput!$B$9:$B$11,0))</f>
        <v>40.009437343712797</v>
      </c>
      <c r="R119" s="72">
        <f>INDEX(ModelOutput!$E$9:$E$11,MATCH("Tier "&amp;$F119,ModelOutput!$B$9:$B$11,0))</f>
        <v>117.949723218616</v>
      </c>
      <c r="S119" s="72">
        <f>INDEX(ModelOutput!$F$9:$F$11,MATCH("Tier "&amp;$F119,ModelOutput!$B$9:$B$11,0))</f>
        <v>136.83922529015501</v>
      </c>
      <c r="T119" s="72">
        <f>INDEX(ModelOutput!$G$9:$G$11,MATCH("Tier "&amp;$F119,ModelOutput!$B$9:$B$11,0))</f>
        <v>22.729631592092201</v>
      </c>
      <c r="U119" s="76">
        <f t="shared" si="11"/>
        <v>124.7691588178612</v>
      </c>
      <c r="V119" s="76">
        <f t="shared" si="12"/>
        <v>362.02430207282777</v>
      </c>
      <c r="W119" s="76">
        <f t="shared" si="13"/>
        <v>542.50036767535323</v>
      </c>
      <c r="X119" s="76">
        <f t="shared" si="14"/>
        <v>113.5917054394197</v>
      </c>
      <c r="Y119" s="27">
        <f t="shared" si="15"/>
        <v>1142.8855340054617</v>
      </c>
      <c r="Z119" s="27">
        <f t="shared" si="16"/>
        <v>1900.0876439174174</v>
      </c>
      <c r="AA119" s="33">
        <f t="shared" si="17"/>
        <v>0.33224510989087674</v>
      </c>
      <c r="AB119" s="14">
        <f t="shared" si="18"/>
        <v>1782.7872193062994</v>
      </c>
      <c r="AC119" s="29">
        <f t="shared" si="19"/>
        <v>2</v>
      </c>
      <c r="AD119" s="20">
        <v>1142.8855340054599</v>
      </c>
      <c r="AE119" s="78">
        <f t="shared" si="20"/>
        <v>1.8189894035458565E-12</v>
      </c>
      <c r="AF119" s="29">
        <f t="shared" si="21"/>
        <v>2</v>
      </c>
    </row>
    <row r="120" spans="1:32" ht="15" customHeight="1" x14ac:dyDescent="0.35">
      <c r="A120" s="37" t="s">
        <v>110</v>
      </c>
      <c r="B120" s="37" t="s">
        <v>114</v>
      </c>
      <c r="C120" s="37" t="s">
        <v>118</v>
      </c>
      <c r="D120" s="37" t="s">
        <v>124</v>
      </c>
      <c r="E120" s="37" t="s">
        <v>95</v>
      </c>
      <c r="F120" s="37">
        <v>1</v>
      </c>
      <c r="G120" s="37" t="s">
        <v>211</v>
      </c>
      <c r="H120" s="38">
        <v>12</v>
      </c>
      <c r="I120" s="39">
        <f>IF($G120="Base",1,INDEX(ModelOutput!$D$16:$D$26,MATCH($G120,ModelOutput!$C$16:$C$26,0)))</f>
        <v>1</v>
      </c>
      <c r="J120" s="39">
        <f>IF($A120="Non-greek",1,INDEX(ModelOutput!$D$16:$D$26,MATCH($A120,ModelOutput!$C$16:$C$26,0)))</f>
        <v>1</v>
      </c>
      <c r="K120" s="39">
        <f>IF($C120="Yes",1,INDEX(ModelOutput!$D$16:$D$26,MATCH($C120,ModelOutput!$C$16:$C$26,0)))</f>
        <v>1.5400747552012299</v>
      </c>
      <c r="L120" s="39">
        <f>IF($D120="2.0-3.0",1,INDEX(ModelOutput!$D$16:$D$26,MATCH($D120,ModelOutput!$C$16:$C$26,0)))</f>
        <v>0.87654761766211098</v>
      </c>
      <c r="M120" s="39">
        <f>IF($B120="On campus",1,INDEX(ModelOutput!$D$16:$D$26,MATCH($B120,ModelOutput!$C$16:$C$26,0)))</f>
        <v>1.7006219753182299</v>
      </c>
      <c r="N120" s="39">
        <f>IF($B120="On campus",1,INDEX(ModelOutput!$E$16:$E$26,MATCH($B120,ModelOutput!$C$16:$C$26,0)))</f>
        <v>1.6738008433039699</v>
      </c>
      <c r="O120" s="39">
        <f>IF($B120="On campus",1,INDEX(ModelOutput!$F$16:$F$26,MATCH($B120,ModelOutput!$C$16:$C$26,0)))</f>
        <v>2.1619836912278898</v>
      </c>
      <c r="P120" s="39">
        <f>IF($B120="On campus",1,INDEX(ModelOutput!$G$16:$G$26,MATCH($B120,ModelOutput!$C$16:$C$26,0)))</f>
        <v>2.7253181394344401</v>
      </c>
      <c r="Q120" s="73">
        <f>INDEX(ModelOutput!$D$9:$D$11,MATCH("Tier "&amp;$F120,ModelOutput!$B$9:$B$11,0))</f>
        <v>36.175496869914397</v>
      </c>
      <c r="R120" s="73">
        <f>INDEX(ModelOutput!$E$9:$E$11,MATCH("Tier "&amp;$F120,ModelOutput!$B$9:$B$11,0))</f>
        <v>106.647084447761</v>
      </c>
      <c r="S120" s="73">
        <f>INDEX(ModelOutput!$F$9:$F$11,MATCH("Tier "&amp;$F120,ModelOutput!$B$9:$B$11,0))</f>
        <v>123.726482920496</v>
      </c>
      <c r="T120" s="73">
        <f>INDEX(ModelOutput!$G$9:$G$11,MATCH("Tier "&amp;$F120,ModelOutput!$B$9:$B$11,0))</f>
        <v>20.551544113210401</v>
      </c>
      <c r="U120" s="77">
        <f t="shared" si="11"/>
        <v>83.049994357866581</v>
      </c>
      <c r="V120" s="77">
        <f t="shared" si="12"/>
        <v>240.97394363658285</v>
      </c>
      <c r="W120" s="77">
        <f t="shared" si="13"/>
        <v>361.10408134072543</v>
      </c>
      <c r="X120" s="77">
        <f t="shared" si="14"/>
        <v>75.60995509808464</v>
      </c>
      <c r="Y120" s="30">
        <f t="shared" si="15"/>
        <v>760.73797443325952</v>
      </c>
      <c r="Z120" s="30">
        <f t="shared" si="16"/>
        <v>1278.6859199624726</v>
      </c>
      <c r="AA120" s="41">
        <f t="shared" si="17"/>
        <v>-0.10345027009166707</v>
      </c>
      <c r="AB120" s="40">
        <f t="shared" si="18"/>
        <v>1278.6859199624726</v>
      </c>
      <c r="AC120" s="42">
        <f t="shared" si="19"/>
        <v>1</v>
      </c>
      <c r="AD120" s="43">
        <v>760.73797443325702</v>
      </c>
      <c r="AE120" s="79">
        <f t="shared" si="20"/>
        <v>2.5011104298755527E-12</v>
      </c>
      <c r="AF120" s="29">
        <f t="shared" si="21"/>
        <v>4</v>
      </c>
    </row>
    <row r="121" spans="1:32" ht="15" customHeight="1" x14ac:dyDescent="0.35">
      <c r="A121" s="37" t="s">
        <v>110</v>
      </c>
      <c r="B121" s="37" t="s">
        <v>114</v>
      </c>
      <c r="C121" s="37" t="s">
        <v>118</v>
      </c>
      <c r="D121" s="37" t="s">
        <v>124</v>
      </c>
      <c r="E121" s="37" t="s">
        <v>105</v>
      </c>
      <c r="F121" s="37">
        <v>1</v>
      </c>
      <c r="G121" s="37" t="s">
        <v>105</v>
      </c>
      <c r="H121" s="38">
        <v>18</v>
      </c>
      <c r="I121" s="39">
        <f>IF($G121="Base",1,INDEX(ModelOutput!$D$16:$D$26,MATCH($G121,ModelOutput!$C$16:$C$26,0)))</f>
        <v>0.98982624281990295</v>
      </c>
      <c r="J121" s="39">
        <f>IF($A121="Non-greek",1,INDEX(ModelOutput!$D$16:$D$26,MATCH($A121,ModelOutput!$C$16:$C$26,0)))</f>
        <v>1</v>
      </c>
      <c r="K121" s="39">
        <f>IF($C121="Yes",1,INDEX(ModelOutput!$D$16:$D$26,MATCH($C121,ModelOutput!$C$16:$C$26,0)))</f>
        <v>1.5400747552012299</v>
      </c>
      <c r="L121" s="39">
        <f>IF($D121="2.0-3.0",1,INDEX(ModelOutput!$D$16:$D$26,MATCH($D121,ModelOutput!$C$16:$C$26,0)))</f>
        <v>0.87654761766211098</v>
      </c>
      <c r="M121" s="39">
        <f>IF($B121="On campus",1,INDEX(ModelOutput!$D$16:$D$26,MATCH($B121,ModelOutput!$C$16:$C$26,0)))</f>
        <v>1.7006219753182299</v>
      </c>
      <c r="N121" s="39">
        <f>IF($B121="On campus",1,INDEX(ModelOutput!$E$16:$E$26,MATCH($B121,ModelOutput!$C$16:$C$26,0)))</f>
        <v>1.6738008433039699</v>
      </c>
      <c r="O121" s="39">
        <f>IF($B121="On campus",1,INDEX(ModelOutput!$F$16:$F$26,MATCH($B121,ModelOutput!$C$16:$C$26,0)))</f>
        <v>2.1619836912278898</v>
      </c>
      <c r="P121" s="39">
        <f>IF($B121="On campus",1,INDEX(ModelOutput!$G$16:$G$26,MATCH($B121,ModelOutput!$C$16:$C$26,0)))</f>
        <v>2.7253181394344401</v>
      </c>
      <c r="Q121" s="73">
        <f>INDEX(ModelOutput!$D$9:$D$11,MATCH("Tier "&amp;$F121,ModelOutput!$B$9:$B$11,0))</f>
        <v>36.175496869914397</v>
      </c>
      <c r="R121" s="73">
        <f>INDEX(ModelOutput!$E$9:$E$11,MATCH("Tier "&amp;$F121,ModelOutput!$B$9:$B$11,0))</f>
        <v>106.647084447761</v>
      </c>
      <c r="S121" s="73">
        <f>INDEX(ModelOutput!$F$9:$F$11,MATCH("Tier "&amp;$F121,ModelOutput!$B$9:$B$11,0))</f>
        <v>123.726482920496</v>
      </c>
      <c r="T121" s="73">
        <f>INDEX(ModelOutput!$G$9:$G$11,MATCH("Tier "&amp;$F121,ModelOutput!$B$9:$B$11,0))</f>
        <v>20.551544113210401</v>
      </c>
      <c r="U121" s="77">
        <f t="shared" si="11"/>
        <v>82.205063881461228</v>
      </c>
      <c r="V121" s="77">
        <f t="shared" si="12"/>
        <v>238.52233324729386</v>
      </c>
      <c r="W121" s="77">
        <f t="shared" si="13"/>
        <v>357.43029610042288</v>
      </c>
      <c r="X121" s="77">
        <f t="shared" si="14"/>
        <v>74.84071777451868</v>
      </c>
      <c r="Y121" s="30">
        <f t="shared" si="15"/>
        <v>752.99841100369667</v>
      </c>
      <c r="Z121" s="30">
        <f t="shared" si="16"/>
        <v>1266.1007864523363</v>
      </c>
      <c r="AA121" s="41">
        <f t="shared" si="17"/>
        <v>-0.11227432756600308</v>
      </c>
      <c r="AB121" s="40">
        <f t="shared" si="18"/>
        <v>1266.1007864523363</v>
      </c>
      <c r="AC121" s="42">
        <f t="shared" si="19"/>
        <v>1</v>
      </c>
      <c r="AD121" s="43">
        <v>752.99841100369497</v>
      </c>
      <c r="AE121" s="79">
        <f t="shared" si="20"/>
        <v>1.7053025658242404E-12</v>
      </c>
      <c r="AF121" s="29">
        <f t="shared" si="21"/>
        <v>3</v>
      </c>
    </row>
    <row r="122" spans="1:32" ht="15" customHeight="1" x14ac:dyDescent="0.35">
      <c r="A122" s="37" t="s">
        <v>110</v>
      </c>
      <c r="B122" s="37" t="s">
        <v>114</v>
      </c>
      <c r="C122" s="37" t="s">
        <v>118</v>
      </c>
      <c r="D122" s="37" t="s">
        <v>124</v>
      </c>
      <c r="E122" s="37" t="s">
        <v>97</v>
      </c>
      <c r="F122" s="37">
        <v>2</v>
      </c>
      <c r="G122" s="37" t="s">
        <v>211</v>
      </c>
      <c r="H122" s="38">
        <v>15</v>
      </c>
      <c r="I122" s="39">
        <f>IF($G122="Base",1,INDEX(ModelOutput!$D$16:$D$26,MATCH($G122,ModelOutput!$C$16:$C$26,0)))</f>
        <v>1</v>
      </c>
      <c r="J122" s="39">
        <f>IF($A122="Non-greek",1,INDEX(ModelOutput!$D$16:$D$26,MATCH($A122,ModelOutput!$C$16:$C$26,0)))</f>
        <v>1</v>
      </c>
      <c r="K122" s="39">
        <f>IF($C122="Yes",1,INDEX(ModelOutput!$D$16:$D$26,MATCH($C122,ModelOutput!$C$16:$C$26,0)))</f>
        <v>1.5400747552012299</v>
      </c>
      <c r="L122" s="39">
        <f>IF($D122="2.0-3.0",1,INDEX(ModelOutput!$D$16:$D$26,MATCH($D122,ModelOutput!$C$16:$C$26,0)))</f>
        <v>0.87654761766211098</v>
      </c>
      <c r="M122" s="39">
        <f>IF($B122="On campus",1,INDEX(ModelOutput!$D$16:$D$26,MATCH($B122,ModelOutput!$C$16:$C$26,0)))</f>
        <v>1.7006219753182299</v>
      </c>
      <c r="N122" s="39">
        <f>IF($B122="On campus",1,INDEX(ModelOutput!$E$16:$E$26,MATCH($B122,ModelOutput!$C$16:$C$26,0)))</f>
        <v>1.6738008433039699</v>
      </c>
      <c r="O122" s="39">
        <f>IF($B122="On campus",1,INDEX(ModelOutput!$F$16:$F$26,MATCH($B122,ModelOutput!$C$16:$C$26,0)))</f>
        <v>2.1619836912278898</v>
      </c>
      <c r="P122" s="39">
        <f>IF($B122="On campus",1,INDEX(ModelOutput!$G$16:$G$26,MATCH($B122,ModelOutput!$C$16:$C$26,0)))</f>
        <v>2.7253181394344401</v>
      </c>
      <c r="Q122" s="73">
        <f>INDEX(ModelOutput!$D$9:$D$11,MATCH("Tier "&amp;$F122,ModelOutput!$B$9:$B$11,0))</f>
        <v>42.8051506068728</v>
      </c>
      <c r="R122" s="73">
        <f>INDEX(ModelOutput!$E$9:$E$11,MATCH("Tier "&amp;$F122,ModelOutput!$B$9:$B$11,0))</f>
        <v>126.191618818284</v>
      </c>
      <c r="S122" s="73">
        <f>INDEX(ModelOutput!$F$9:$F$11,MATCH("Tier "&amp;$F122,ModelOutput!$B$9:$B$11,0))</f>
        <v>146.401050261042</v>
      </c>
      <c r="T122" s="73">
        <f>INDEX(ModelOutput!$G$9:$G$11,MATCH("Tier "&amp;$F122,ModelOutput!$B$9:$B$11,0))</f>
        <v>24.317895180076398</v>
      </c>
      <c r="U122" s="77">
        <f t="shared" si="11"/>
        <v>98.270039777806886</v>
      </c>
      <c r="V122" s="77">
        <f t="shared" si="12"/>
        <v>285.13570903498555</v>
      </c>
      <c r="W122" s="77">
        <f t="shared" si="13"/>
        <v>427.28133471474752</v>
      </c>
      <c r="X122" s="77">
        <f t="shared" si="14"/>
        <v>89.4665117383378</v>
      </c>
      <c r="Y122" s="30">
        <f t="shared" si="15"/>
        <v>900.1535952658777</v>
      </c>
      <c r="Z122" s="30">
        <f t="shared" si="16"/>
        <v>1505.3865882295156</v>
      </c>
      <c r="AA122" s="41">
        <f t="shared" si="17"/>
        <v>5.5500743391629026E-2</v>
      </c>
      <c r="AB122" s="40">
        <f t="shared" si="18"/>
        <v>1505.3865882295156</v>
      </c>
      <c r="AC122" s="42">
        <f t="shared" si="19"/>
        <v>1</v>
      </c>
      <c r="AD122" s="43">
        <v>900.15359526587599</v>
      </c>
      <c r="AE122" s="79">
        <f t="shared" si="20"/>
        <v>1.7053025658242404E-12</v>
      </c>
      <c r="AF122" s="29">
        <f t="shared" si="21"/>
        <v>2</v>
      </c>
    </row>
    <row r="123" spans="1:32" ht="15" customHeight="1" x14ac:dyDescent="0.35">
      <c r="A123" s="37" t="s">
        <v>110</v>
      </c>
      <c r="B123" s="37" t="s">
        <v>114</v>
      </c>
      <c r="C123" s="37" t="s">
        <v>118</v>
      </c>
      <c r="D123" s="37" t="s">
        <v>124</v>
      </c>
      <c r="E123" s="37" t="s">
        <v>99</v>
      </c>
      <c r="F123" s="37">
        <v>3</v>
      </c>
      <c r="G123" s="37" t="s">
        <v>211</v>
      </c>
      <c r="H123" s="38">
        <v>15</v>
      </c>
      <c r="I123" s="39">
        <f>IF($G123="Base",1,INDEX(ModelOutput!$D$16:$D$26,MATCH($G123,ModelOutput!$C$16:$C$26,0)))</f>
        <v>1</v>
      </c>
      <c r="J123" s="39">
        <f>IF($A123="Non-greek",1,INDEX(ModelOutput!$D$16:$D$26,MATCH($A123,ModelOutput!$C$16:$C$26,0)))</f>
        <v>1</v>
      </c>
      <c r="K123" s="39">
        <f>IF($C123="Yes",1,INDEX(ModelOutput!$D$16:$D$26,MATCH($C123,ModelOutput!$C$16:$C$26,0)))</f>
        <v>1.5400747552012299</v>
      </c>
      <c r="L123" s="39">
        <f>IF($D123="2.0-3.0",1,INDEX(ModelOutput!$D$16:$D$26,MATCH($D123,ModelOutput!$C$16:$C$26,0)))</f>
        <v>0.87654761766211098</v>
      </c>
      <c r="M123" s="39">
        <f>IF($B123="On campus",1,INDEX(ModelOutput!$D$16:$D$26,MATCH($B123,ModelOutput!$C$16:$C$26,0)))</f>
        <v>1.7006219753182299</v>
      </c>
      <c r="N123" s="39">
        <f>IF($B123="On campus",1,INDEX(ModelOutput!$E$16:$E$26,MATCH($B123,ModelOutput!$C$16:$C$26,0)))</f>
        <v>1.6738008433039699</v>
      </c>
      <c r="O123" s="39">
        <f>IF($B123="On campus",1,INDEX(ModelOutput!$F$16:$F$26,MATCH($B123,ModelOutput!$C$16:$C$26,0)))</f>
        <v>2.1619836912278898</v>
      </c>
      <c r="P123" s="39">
        <f>IF($B123="On campus",1,INDEX(ModelOutput!$G$16:$G$26,MATCH($B123,ModelOutput!$C$16:$C$26,0)))</f>
        <v>2.7253181394344401</v>
      </c>
      <c r="Q123" s="73">
        <f>INDEX(ModelOutput!$D$9:$D$11,MATCH("Tier "&amp;$F123,ModelOutput!$B$9:$B$11,0))</f>
        <v>40.009437343712797</v>
      </c>
      <c r="R123" s="73">
        <f>INDEX(ModelOutput!$E$9:$E$11,MATCH("Tier "&amp;$F123,ModelOutput!$B$9:$B$11,0))</f>
        <v>117.949723218616</v>
      </c>
      <c r="S123" s="73">
        <f>INDEX(ModelOutput!$F$9:$F$11,MATCH("Tier "&amp;$F123,ModelOutput!$B$9:$B$11,0))</f>
        <v>136.83922529015501</v>
      </c>
      <c r="T123" s="73">
        <f>INDEX(ModelOutput!$G$9:$G$11,MATCH("Tier "&amp;$F123,ModelOutput!$B$9:$B$11,0))</f>
        <v>22.729631592092201</v>
      </c>
      <c r="U123" s="77">
        <f t="shared" si="11"/>
        <v>91.851773525194631</v>
      </c>
      <c r="V123" s="77">
        <f t="shared" si="12"/>
        <v>266.51277062108221</v>
      </c>
      <c r="W123" s="77">
        <f t="shared" si="13"/>
        <v>399.37450393324326</v>
      </c>
      <c r="X123" s="77">
        <f t="shared" si="14"/>
        <v>83.623226294193671</v>
      </c>
      <c r="Y123" s="30">
        <f t="shared" si="15"/>
        <v>841.36227437371372</v>
      </c>
      <c r="Z123" s="30">
        <f t="shared" si="16"/>
        <v>1409.7873171079723</v>
      </c>
      <c r="AA123" s="41">
        <f t="shared" si="17"/>
        <v>-1.1528618053102013E-2</v>
      </c>
      <c r="AB123" s="40">
        <f t="shared" si="18"/>
        <v>1409.7873171079723</v>
      </c>
      <c r="AC123" s="42">
        <f t="shared" si="19"/>
        <v>1</v>
      </c>
      <c r="AD123" s="43">
        <v>841.36227437371394</v>
      </c>
      <c r="AE123" s="79">
        <f t="shared" si="20"/>
        <v>0</v>
      </c>
      <c r="AF123" s="29">
        <f t="shared" si="21"/>
        <v>1</v>
      </c>
    </row>
    <row r="124" spans="1:32" ht="15" customHeight="1" x14ac:dyDescent="0.35">
      <c r="A124" s="37" t="s">
        <v>110</v>
      </c>
      <c r="B124" s="37" t="s">
        <v>114</v>
      </c>
      <c r="C124" s="37" t="s">
        <v>118</v>
      </c>
      <c r="D124" s="37" t="s">
        <v>124</v>
      </c>
      <c r="E124" s="37" t="s">
        <v>213</v>
      </c>
      <c r="F124" s="37">
        <v>3</v>
      </c>
      <c r="G124" s="37" t="s">
        <v>107</v>
      </c>
      <c r="H124" s="38">
        <v>5</v>
      </c>
      <c r="I124" s="39">
        <f>IF($G124="Base",1,INDEX(ModelOutput!$D$16:$D$26,MATCH($G124,ModelOutput!$C$16:$C$26,0)))</f>
        <v>1.1906804269762199</v>
      </c>
      <c r="J124" s="39">
        <f>IF($A124="Non-greek",1,INDEX(ModelOutput!$D$16:$D$26,MATCH($A124,ModelOutput!$C$16:$C$26,0)))</f>
        <v>1</v>
      </c>
      <c r="K124" s="39">
        <f>IF($C124="Yes",1,INDEX(ModelOutput!$D$16:$D$26,MATCH($C124,ModelOutput!$C$16:$C$26,0)))</f>
        <v>1.5400747552012299</v>
      </c>
      <c r="L124" s="39">
        <f>IF($D124="2.0-3.0",1,INDEX(ModelOutput!$D$16:$D$26,MATCH($D124,ModelOutput!$C$16:$C$26,0)))</f>
        <v>0.87654761766211098</v>
      </c>
      <c r="M124" s="39">
        <f>IF($B124="On campus",1,INDEX(ModelOutput!$D$16:$D$26,MATCH($B124,ModelOutput!$C$16:$C$26,0)))</f>
        <v>1.7006219753182299</v>
      </c>
      <c r="N124" s="39">
        <f>IF($B124="On campus",1,INDEX(ModelOutput!$E$16:$E$26,MATCH($B124,ModelOutput!$C$16:$C$26,0)))</f>
        <v>1.6738008433039699</v>
      </c>
      <c r="O124" s="39">
        <f>IF($B124="On campus",1,INDEX(ModelOutput!$F$16:$F$26,MATCH($B124,ModelOutput!$C$16:$C$26,0)))</f>
        <v>2.1619836912278898</v>
      </c>
      <c r="P124" s="39">
        <f>IF($B124="On campus",1,INDEX(ModelOutput!$G$16:$G$26,MATCH($B124,ModelOutput!$C$16:$C$26,0)))</f>
        <v>2.7253181394344401</v>
      </c>
      <c r="Q124" s="73">
        <f>INDEX(ModelOutput!$D$9:$D$11,MATCH("Tier "&amp;$F124,ModelOutput!$B$9:$B$11,0))</f>
        <v>40.009437343712797</v>
      </c>
      <c r="R124" s="73">
        <f>INDEX(ModelOutput!$E$9:$E$11,MATCH("Tier "&amp;$F124,ModelOutput!$B$9:$B$11,0))</f>
        <v>117.949723218616</v>
      </c>
      <c r="S124" s="73">
        <f>INDEX(ModelOutput!$F$9:$F$11,MATCH("Tier "&amp;$F124,ModelOutput!$B$9:$B$11,0))</f>
        <v>136.83922529015501</v>
      </c>
      <c r="T124" s="73">
        <f>INDEX(ModelOutput!$G$9:$G$11,MATCH("Tier "&amp;$F124,ModelOutput!$B$9:$B$11,0))</f>
        <v>22.729631592092201</v>
      </c>
      <c r="U124" s="77">
        <f t="shared" si="11"/>
        <v>109.36610891950178</v>
      </c>
      <c r="V124" s="77">
        <f t="shared" si="12"/>
        <v>317.33153951772562</v>
      </c>
      <c r="W124" s="77">
        <f t="shared" si="13"/>
        <v>475.5274048666501</v>
      </c>
      <c r="X124" s="77">
        <f t="shared" si="14"/>
        <v>99.568538789099591</v>
      </c>
      <c r="Y124" s="30">
        <f t="shared" si="15"/>
        <v>1001.7935920929772</v>
      </c>
      <c r="Z124" s="30">
        <f t="shared" si="16"/>
        <v>1670.6611468891047</v>
      </c>
      <c r="AA124" s="41">
        <f t="shared" si="17"/>
        <v>0.17138288349630959</v>
      </c>
      <c r="AB124" s="40">
        <f t="shared" si="18"/>
        <v>1670.6611468891047</v>
      </c>
      <c r="AC124" s="42">
        <f t="shared" si="19"/>
        <v>1</v>
      </c>
      <c r="AD124" s="43">
        <v>1001.79359209298</v>
      </c>
      <c r="AE124" s="79">
        <f t="shared" si="20"/>
        <v>-2.8421709430404007E-12</v>
      </c>
      <c r="AF124" s="29">
        <f t="shared" si="21"/>
        <v>2</v>
      </c>
    </row>
    <row r="125" spans="1:32" ht="15" customHeight="1" x14ac:dyDescent="0.35">
      <c r="A125" s="19" t="s">
        <v>110</v>
      </c>
      <c r="B125" s="19" t="s">
        <v>115</v>
      </c>
      <c r="C125" s="19" t="s">
        <v>210</v>
      </c>
      <c r="D125" s="19" t="s">
        <v>121</v>
      </c>
      <c r="E125" s="19" t="s">
        <v>95</v>
      </c>
      <c r="F125" s="19">
        <v>1</v>
      </c>
      <c r="G125" s="19" t="s">
        <v>211</v>
      </c>
      <c r="H125" s="16">
        <v>11</v>
      </c>
      <c r="I125" s="13">
        <f>IF($G125="Base",1,INDEX(ModelOutput!$D$16:$D$26,MATCH($G125,ModelOutput!$C$16:$C$26,0)))</f>
        <v>1</v>
      </c>
      <c r="J125" s="13">
        <f>IF($A125="Non-greek",1,INDEX(ModelOutput!$D$16:$D$26,MATCH($A125,ModelOutput!$C$16:$C$26,0)))</f>
        <v>1</v>
      </c>
      <c r="K125" s="13">
        <f>IF($C125="Yes",1,INDEX(ModelOutput!$D$16:$D$26,MATCH($C125,ModelOutput!$C$16:$C$26,0)))</f>
        <v>1</v>
      </c>
      <c r="L125" s="13">
        <f>IF($D125="2.0-3.0",1,INDEX(ModelOutput!$D$16:$D$26,MATCH($D125,ModelOutput!$C$16:$C$26,0)))</f>
        <v>1.12144800201769</v>
      </c>
      <c r="M125" s="13">
        <f>IF($B125="On campus",1,INDEX(ModelOutput!$D$16:$D$26,MATCH($B125,ModelOutput!$C$16:$C$26,0)))</f>
        <v>1.95077419049637</v>
      </c>
      <c r="N125" s="13">
        <f>IF($B125="On campus",1,INDEX(ModelOutput!$E$16:$E$26,MATCH($B125,ModelOutput!$C$16:$C$26,0)))</f>
        <v>1.9200078162799401</v>
      </c>
      <c r="O125" s="13">
        <f>IF($B125="On campus",1,INDEX(ModelOutput!$F$16:$F$26,MATCH($B125,ModelOutput!$C$16:$C$26,0)))</f>
        <v>2.4799996979530001</v>
      </c>
      <c r="P125" s="13">
        <f>IF($B125="On campus",1,INDEX(ModelOutput!$G$16:$G$26,MATCH($B125,ModelOutput!$C$16:$C$26,0)))</f>
        <v>3.1261975703362501</v>
      </c>
      <c r="Q125" s="72">
        <f>INDEX(ModelOutput!$D$9:$D$11,MATCH("Tier "&amp;$F125,ModelOutput!$B$9:$B$11,0))</f>
        <v>36.175496869914397</v>
      </c>
      <c r="R125" s="72">
        <f>INDEX(ModelOutput!$E$9:$E$11,MATCH("Tier "&amp;$F125,ModelOutput!$B$9:$B$11,0))</f>
        <v>106.647084447761</v>
      </c>
      <c r="S125" s="72">
        <f>INDEX(ModelOutput!$F$9:$F$11,MATCH("Tier "&amp;$F125,ModelOutput!$B$9:$B$11,0))</f>
        <v>123.726482920496</v>
      </c>
      <c r="T125" s="72">
        <f>INDEX(ModelOutput!$G$9:$G$11,MATCH("Tier "&amp;$F125,ModelOutput!$B$9:$B$11,0))</f>
        <v>20.551544113210401</v>
      </c>
      <c r="U125" s="76">
        <f t="shared" si="11"/>
        <v>79.140838525966373</v>
      </c>
      <c r="V125" s="76">
        <f t="shared" si="12"/>
        <v>229.63132158842399</v>
      </c>
      <c r="W125" s="76">
        <f t="shared" si="13"/>
        <v>344.10694441843577</v>
      </c>
      <c r="X125" s="76">
        <f t="shared" si="14"/>
        <v>72.051001250986587</v>
      </c>
      <c r="Y125" s="27">
        <f t="shared" si="15"/>
        <v>724.93010578381279</v>
      </c>
      <c r="Z125" s="27">
        <f t="shared" si="16"/>
        <v>1220.4595339695134</v>
      </c>
      <c r="AA125" s="33">
        <f t="shared" si="17"/>
        <v>-0.14427565951728771</v>
      </c>
      <c r="AB125" s="14">
        <f t="shared" si="18"/>
        <v>1220.4595339695134</v>
      </c>
      <c r="AC125" s="29">
        <f t="shared" si="19"/>
        <v>1</v>
      </c>
      <c r="AD125" s="20">
        <v>724.93010578381404</v>
      </c>
      <c r="AE125" s="78">
        <f t="shared" si="20"/>
        <v>-1.2505552149377763E-12</v>
      </c>
      <c r="AF125" s="29">
        <f t="shared" si="21"/>
        <v>4</v>
      </c>
    </row>
    <row r="126" spans="1:32" ht="15" customHeight="1" x14ac:dyDescent="0.35">
      <c r="A126" s="19" t="s">
        <v>110</v>
      </c>
      <c r="B126" s="19" t="s">
        <v>115</v>
      </c>
      <c r="C126" s="19" t="s">
        <v>210</v>
      </c>
      <c r="D126" s="19" t="s">
        <v>121</v>
      </c>
      <c r="E126" s="19" t="s">
        <v>105</v>
      </c>
      <c r="F126" s="19">
        <v>1</v>
      </c>
      <c r="G126" s="19" t="s">
        <v>105</v>
      </c>
      <c r="H126" s="16">
        <v>11</v>
      </c>
      <c r="I126" s="13">
        <f>IF($G126="Base",1,INDEX(ModelOutput!$D$16:$D$26,MATCH($G126,ModelOutput!$C$16:$C$26,0)))</f>
        <v>0.98982624281990295</v>
      </c>
      <c r="J126" s="13">
        <f>IF($A126="Non-greek",1,INDEX(ModelOutput!$D$16:$D$26,MATCH($A126,ModelOutput!$C$16:$C$26,0)))</f>
        <v>1</v>
      </c>
      <c r="K126" s="13">
        <f>IF($C126="Yes",1,INDEX(ModelOutput!$D$16:$D$26,MATCH($C126,ModelOutput!$C$16:$C$26,0)))</f>
        <v>1</v>
      </c>
      <c r="L126" s="13">
        <f>IF($D126="2.0-3.0",1,INDEX(ModelOutput!$D$16:$D$26,MATCH($D126,ModelOutput!$C$16:$C$26,0)))</f>
        <v>1.12144800201769</v>
      </c>
      <c r="M126" s="13">
        <f>IF($B126="On campus",1,INDEX(ModelOutput!$D$16:$D$26,MATCH($B126,ModelOutput!$C$16:$C$26,0)))</f>
        <v>1.95077419049637</v>
      </c>
      <c r="N126" s="13">
        <f>IF($B126="On campus",1,INDEX(ModelOutput!$E$16:$E$26,MATCH($B126,ModelOutput!$C$16:$C$26,0)))</f>
        <v>1.9200078162799401</v>
      </c>
      <c r="O126" s="13">
        <f>IF($B126="On campus",1,INDEX(ModelOutput!$F$16:$F$26,MATCH($B126,ModelOutput!$C$16:$C$26,0)))</f>
        <v>2.4799996979530001</v>
      </c>
      <c r="P126" s="13">
        <f>IF($B126="On campus",1,INDEX(ModelOutput!$G$16:$G$26,MATCH($B126,ModelOutput!$C$16:$C$26,0)))</f>
        <v>3.1261975703362501</v>
      </c>
      <c r="Q126" s="72">
        <f>INDEX(ModelOutput!$D$9:$D$11,MATCH("Tier "&amp;$F126,ModelOutput!$B$9:$B$11,0))</f>
        <v>36.175496869914397</v>
      </c>
      <c r="R126" s="72">
        <f>INDEX(ModelOutput!$E$9:$E$11,MATCH("Tier "&amp;$F126,ModelOutput!$B$9:$B$11,0))</f>
        <v>106.647084447761</v>
      </c>
      <c r="S126" s="72">
        <f>INDEX(ModelOutput!$F$9:$F$11,MATCH("Tier "&amp;$F126,ModelOutput!$B$9:$B$11,0))</f>
        <v>123.726482920496</v>
      </c>
      <c r="T126" s="72">
        <f>INDEX(ModelOutput!$G$9:$G$11,MATCH("Tier "&amp;$F126,ModelOutput!$B$9:$B$11,0))</f>
        <v>20.551544113210401</v>
      </c>
      <c r="U126" s="76">
        <f t="shared" si="11"/>
        <v>78.33567885177392</v>
      </c>
      <c r="V126" s="76">
        <f t="shared" si="12"/>
        <v>227.29510828163862</v>
      </c>
      <c r="W126" s="76">
        <f t="shared" si="13"/>
        <v>340.60608392193745</v>
      </c>
      <c r="X126" s="76">
        <f t="shared" si="14"/>
        <v>71.317971859676177</v>
      </c>
      <c r="Y126" s="27">
        <f t="shared" si="15"/>
        <v>717.55484291502614</v>
      </c>
      <c r="Z126" s="27">
        <f t="shared" si="16"/>
        <v>1208.4667815719438</v>
      </c>
      <c r="AA126" s="33">
        <f t="shared" si="17"/>
        <v>-0.1526843693928247</v>
      </c>
      <c r="AB126" s="14">
        <f t="shared" si="18"/>
        <v>1208.4667815719438</v>
      </c>
      <c r="AC126" s="29">
        <f t="shared" si="19"/>
        <v>1</v>
      </c>
      <c r="AD126" s="20">
        <v>717.55484291502796</v>
      </c>
      <c r="AE126" s="78">
        <f t="shared" si="20"/>
        <v>-1.8189894035458565E-12</v>
      </c>
      <c r="AF126" s="29">
        <f t="shared" si="21"/>
        <v>3</v>
      </c>
    </row>
    <row r="127" spans="1:32" ht="15" customHeight="1" x14ac:dyDescent="0.35">
      <c r="A127" s="19" t="s">
        <v>110</v>
      </c>
      <c r="B127" s="19" t="s">
        <v>115</v>
      </c>
      <c r="C127" s="19" t="s">
        <v>210</v>
      </c>
      <c r="D127" s="19" t="s">
        <v>121</v>
      </c>
      <c r="E127" s="19" t="s">
        <v>97</v>
      </c>
      <c r="F127" s="19">
        <v>2</v>
      </c>
      <c r="G127" s="19" t="s">
        <v>211</v>
      </c>
      <c r="H127" s="16">
        <v>5</v>
      </c>
      <c r="I127" s="13">
        <f>IF($G127="Base",1,INDEX(ModelOutput!$D$16:$D$26,MATCH($G127,ModelOutput!$C$16:$C$26,0)))</f>
        <v>1</v>
      </c>
      <c r="J127" s="13">
        <f>IF($A127="Non-greek",1,INDEX(ModelOutput!$D$16:$D$26,MATCH($A127,ModelOutput!$C$16:$C$26,0)))</f>
        <v>1</v>
      </c>
      <c r="K127" s="13">
        <f>IF($C127="Yes",1,INDEX(ModelOutput!$D$16:$D$26,MATCH($C127,ModelOutput!$C$16:$C$26,0)))</f>
        <v>1</v>
      </c>
      <c r="L127" s="13">
        <f>IF($D127="2.0-3.0",1,INDEX(ModelOutput!$D$16:$D$26,MATCH($D127,ModelOutput!$C$16:$C$26,0)))</f>
        <v>1.12144800201769</v>
      </c>
      <c r="M127" s="13">
        <f>IF($B127="On campus",1,INDEX(ModelOutput!$D$16:$D$26,MATCH($B127,ModelOutput!$C$16:$C$26,0)))</f>
        <v>1.95077419049637</v>
      </c>
      <c r="N127" s="13">
        <f>IF($B127="On campus",1,INDEX(ModelOutput!$E$16:$E$26,MATCH($B127,ModelOutput!$C$16:$C$26,0)))</f>
        <v>1.9200078162799401</v>
      </c>
      <c r="O127" s="13">
        <f>IF($B127="On campus",1,INDEX(ModelOutput!$F$16:$F$26,MATCH($B127,ModelOutput!$C$16:$C$26,0)))</f>
        <v>2.4799996979530001</v>
      </c>
      <c r="P127" s="13">
        <f>IF($B127="On campus",1,INDEX(ModelOutput!$G$16:$G$26,MATCH($B127,ModelOutput!$C$16:$C$26,0)))</f>
        <v>3.1261975703362501</v>
      </c>
      <c r="Q127" s="72">
        <f>INDEX(ModelOutput!$D$9:$D$11,MATCH("Tier "&amp;$F127,ModelOutput!$B$9:$B$11,0))</f>
        <v>42.8051506068728</v>
      </c>
      <c r="R127" s="72">
        <f>INDEX(ModelOutput!$E$9:$E$11,MATCH("Tier "&amp;$F127,ModelOutput!$B$9:$B$11,0))</f>
        <v>126.191618818284</v>
      </c>
      <c r="S127" s="72">
        <f>INDEX(ModelOutput!$F$9:$F$11,MATCH("Tier "&amp;$F127,ModelOutput!$B$9:$B$11,0))</f>
        <v>146.401050261042</v>
      </c>
      <c r="T127" s="72">
        <f>INDEX(ModelOutput!$G$9:$G$11,MATCH("Tier "&amp;$F127,ModelOutput!$B$9:$B$11,0))</f>
        <v>24.317895180076398</v>
      </c>
      <c r="U127" s="76">
        <f t="shared" si="11"/>
        <v>93.644477764603764</v>
      </c>
      <c r="V127" s="76">
        <f t="shared" si="12"/>
        <v>271.71439662581008</v>
      </c>
      <c r="W127" s="76">
        <f t="shared" si="13"/>
        <v>407.16924037474331</v>
      </c>
      <c r="X127" s="76">
        <f t="shared" si="14"/>
        <v>85.255331005264367</v>
      </c>
      <c r="Y127" s="27">
        <f t="shared" si="15"/>
        <v>857.78344577042151</v>
      </c>
      <c r="Z127" s="27">
        <f t="shared" si="16"/>
        <v>1436.4894219878177</v>
      </c>
      <c r="AA127" s="33">
        <f t="shared" si="17"/>
        <v>7.1935439291868075E-3</v>
      </c>
      <c r="AB127" s="14">
        <f t="shared" si="18"/>
        <v>1436.4894219878177</v>
      </c>
      <c r="AC127" s="29">
        <f t="shared" si="19"/>
        <v>1</v>
      </c>
      <c r="AD127" s="20">
        <v>857.78344577042401</v>
      </c>
      <c r="AE127" s="78">
        <f t="shared" si="20"/>
        <v>-2.5011104298755527E-12</v>
      </c>
      <c r="AF127" s="29">
        <f t="shared" si="21"/>
        <v>2</v>
      </c>
    </row>
    <row r="128" spans="1:32" ht="15" customHeight="1" x14ac:dyDescent="0.35">
      <c r="A128" s="19" t="s">
        <v>110</v>
      </c>
      <c r="B128" s="19" t="s">
        <v>115</v>
      </c>
      <c r="C128" s="19" t="s">
        <v>210</v>
      </c>
      <c r="D128" s="19" t="s">
        <v>121</v>
      </c>
      <c r="E128" s="19" t="s">
        <v>99</v>
      </c>
      <c r="F128" s="19">
        <v>3</v>
      </c>
      <c r="G128" s="19" t="s">
        <v>211</v>
      </c>
      <c r="H128" s="16">
        <v>4</v>
      </c>
      <c r="I128" s="13">
        <f>IF($G128="Base",1,INDEX(ModelOutput!$D$16:$D$26,MATCH($G128,ModelOutput!$C$16:$C$26,0)))</f>
        <v>1</v>
      </c>
      <c r="J128" s="13">
        <f>IF($A128="Non-greek",1,INDEX(ModelOutput!$D$16:$D$26,MATCH($A128,ModelOutput!$C$16:$C$26,0)))</f>
        <v>1</v>
      </c>
      <c r="K128" s="13">
        <f>IF($C128="Yes",1,INDEX(ModelOutput!$D$16:$D$26,MATCH($C128,ModelOutput!$C$16:$C$26,0)))</f>
        <v>1</v>
      </c>
      <c r="L128" s="13">
        <f>IF($D128="2.0-3.0",1,INDEX(ModelOutput!$D$16:$D$26,MATCH($D128,ModelOutput!$C$16:$C$26,0)))</f>
        <v>1.12144800201769</v>
      </c>
      <c r="M128" s="13">
        <f>IF($B128="On campus",1,INDEX(ModelOutput!$D$16:$D$26,MATCH($B128,ModelOutput!$C$16:$C$26,0)))</f>
        <v>1.95077419049637</v>
      </c>
      <c r="N128" s="13">
        <f>IF($B128="On campus",1,INDEX(ModelOutput!$E$16:$E$26,MATCH($B128,ModelOutput!$C$16:$C$26,0)))</f>
        <v>1.9200078162799401</v>
      </c>
      <c r="O128" s="13">
        <f>IF($B128="On campus",1,INDEX(ModelOutput!$F$16:$F$26,MATCH($B128,ModelOutput!$C$16:$C$26,0)))</f>
        <v>2.4799996979530001</v>
      </c>
      <c r="P128" s="13">
        <f>IF($B128="On campus",1,INDEX(ModelOutput!$G$16:$G$26,MATCH($B128,ModelOutput!$C$16:$C$26,0)))</f>
        <v>3.1261975703362501</v>
      </c>
      <c r="Q128" s="72">
        <f>INDEX(ModelOutput!$D$9:$D$11,MATCH("Tier "&amp;$F128,ModelOutput!$B$9:$B$11,0))</f>
        <v>40.009437343712797</v>
      </c>
      <c r="R128" s="72">
        <f>INDEX(ModelOutput!$E$9:$E$11,MATCH("Tier "&amp;$F128,ModelOutput!$B$9:$B$11,0))</f>
        <v>117.949723218616</v>
      </c>
      <c r="S128" s="72">
        <f>INDEX(ModelOutput!$F$9:$F$11,MATCH("Tier "&amp;$F128,ModelOutput!$B$9:$B$11,0))</f>
        <v>136.83922529015501</v>
      </c>
      <c r="T128" s="72">
        <f>INDEX(ModelOutput!$G$9:$G$11,MATCH("Tier "&amp;$F128,ModelOutput!$B$9:$B$11,0))</f>
        <v>22.729631592092201</v>
      </c>
      <c r="U128" s="76">
        <f t="shared" si="11"/>
        <v>87.528318732420388</v>
      </c>
      <c r="V128" s="76">
        <f t="shared" si="12"/>
        <v>253.9680382631243</v>
      </c>
      <c r="W128" s="76">
        <f t="shared" si="13"/>
        <v>380.57598163069497</v>
      </c>
      <c r="X128" s="76">
        <f t="shared" si="14"/>
        <v>79.687088486144503</v>
      </c>
      <c r="Y128" s="27">
        <f t="shared" si="15"/>
        <v>801.75942711238417</v>
      </c>
      <c r="Z128" s="27">
        <f t="shared" si="16"/>
        <v>1345.3900000368819</v>
      </c>
      <c r="AA128" s="33">
        <f t="shared" si="17"/>
        <v>-5.6680751446892552E-2</v>
      </c>
      <c r="AB128" s="14">
        <f t="shared" si="18"/>
        <v>1345.3900000368819</v>
      </c>
      <c r="AC128" s="29">
        <f t="shared" si="19"/>
        <v>1</v>
      </c>
      <c r="AD128" s="20">
        <v>801.75942711238804</v>
      </c>
      <c r="AE128" s="78">
        <f t="shared" si="20"/>
        <v>-3.865352482534945E-12</v>
      </c>
      <c r="AF128" s="29">
        <f t="shared" si="21"/>
        <v>1</v>
      </c>
    </row>
    <row r="129" spans="1:32" ht="15" customHeight="1" x14ac:dyDescent="0.35">
      <c r="A129" s="19" t="s">
        <v>110</v>
      </c>
      <c r="B129" s="19" t="s">
        <v>115</v>
      </c>
      <c r="C129" s="19" t="s">
        <v>210</v>
      </c>
      <c r="D129" s="19" t="s">
        <v>121</v>
      </c>
      <c r="E129" s="19" t="s">
        <v>213</v>
      </c>
      <c r="F129" s="19">
        <v>3</v>
      </c>
      <c r="G129" s="19" t="s">
        <v>107</v>
      </c>
      <c r="H129" s="16">
        <v>2</v>
      </c>
      <c r="I129" s="13">
        <f>IF($G129="Base",1,INDEX(ModelOutput!$D$16:$D$26,MATCH($G129,ModelOutput!$C$16:$C$26,0)))</f>
        <v>1.1906804269762199</v>
      </c>
      <c r="J129" s="13">
        <f>IF($A129="Non-greek",1,INDEX(ModelOutput!$D$16:$D$26,MATCH($A129,ModelOutput!$C$16:$C$26,0)))</f>
        <v>1</v>
      </c>
      <c r="K129" s="13">
        <f>IF($C129="Yes",1,INDEX(ModelOutput!$D$16:$D$26,MATCH($C129,ModelOutput!$C$16:$C$26,0)))</f>
        <v>1</v>
      </c>
      <c r="L129" s="13">
        <f>IF($D129="2.0-3.0",1,INDEX(ModelOutput!$D$16:$D$26,MATCH($D129,ModelOutput!$C$16:$C$26,0)))</f>
        <v>1.12144800201769</v>
      </c>
      <c r="M129" s="13">
        <f>IF($B129="On campus",1,INDEX(ModelOutput!$D$16:$D$26,MATCH($B129,ModelOutput!$C$16:$C$26,0)))</f>
        <v>1.95077419049637</v>
      </c>
      <c r="N129" s="13">
        <f>IF($B129="On campus",1,INDEX(ModelOutput!$E$16:$E$26,MATCH($B129,ModelOutput!$C$16:$C$26,0)))</f>
        <v>1.9200078162799401</v>
      </c>
      <c r="O129" s="13">
        <f>IF($B129="On campus",1,INDEX(ModelOutput!$F$16:$F$26,MATCH($B129,ModelOutput!$C$16:$C$26,0)))</f>
        <v>2.4799996979530001</v>
      </c>
      <c r="P129" s="13">
        <f>IF($B129="On campus",1,INDEX(ModelOutput!$G$16:$G$26,MATCH($B129,ModelOutput!$C$16:$C$26,0)))</f>
        <v>3.1261975703362501</v>
      </c>
      <c r="Q129" s="72">
        <f>INDEX(ModelOutput!$D$9:$D$11,MATCH("Tier "&amp;$F129,ModelOutput!$B$9:$B$11,0))</f>
        <v>40.009437343712797</v>
      </c>
      <c r="R129" s="72">
        <f>INDEX(ModelOutput!$E$9:$E$11,MATCH("Tier "&amp;$F129,ModelOutput!$B$9:$B$11,0))</f>
        <v>117.949723218616</v>
      </c>
      <c r="S129" s="72">
        <f>INDEX(ModelOutput!$F$9:$F$11,MATCH("Tier "&amp;$F129,ModelOutput!$B$9:$B$11,0))</f>
        <v>136.83922529015501</v>
      </c>
      <c r="T129" s="72">
        <f>INDEX(ModelOutput!$G$9:$G$11,MATCH("Tier "&amp;$F129,ModelOutput!$B$9:$B$11,0))</f>
        <v>22.729631592092201</v>
      </c>
      <c r="U129" s="76">
        <f t="shared" si="11"/>
        <v>104.21825592082897</v>
      </c>
      <c r="V129" s="76">
        <f t="shared" si="12"/>
        <v>302.39477223744979</v>
      </c>
      <c r="W129" s="76">
        <f t="shared" si="13"/>
        <v>453.14437230492996</v>
      </c>
      <c r="X129" s="76">
        <f t="shared" si="14"/>
        <v>94.881856543174351</v>
      </c>
      <c r="Y129" s="27">
        <f t="shared" si="15"/>
        <v>954.6392570063831</v>
      </c>
      <c r="Z129" s="27">
        <f t="shared" si="16"/>
        <v>1593.9845219027752</v>
      </c>
      <c r="AA129" s="33">
        <f t="shared" si="17"/>
        <v>0.11762112202810338</v>
      </c>
      <c r="AB129" s="14">
        <f t="shared" si="18"/>
        <v>1593.9845219027752</v>
      </c>
      <c r="AC129" s="29">
        <f t="shared" si="19"/>
        <v>1</v>
      </c>
      <c r="AD129" s="20">
        <v>954.63925700638799</v>
      </c>
      <c r="AE129" s="78">
        <f t="shared" si="20"/>
        <v>-4.8885340220294893E-12</v>
      </c>
      <c r="AF129" s="29">
        <f t="shared" si="21"/>
        <v>2</v>
      </c>
    </row>
    <row r="130" spans="1:32" ht="15" customHeight="1" x14ac:dyDescent="0.35">
      <c r="A130" s="37" t="s">
        <v>110</v>
      </c>
      <c r="B130" s="37" t="s">
        <v>115</v>
      </c>
      <c r="C130" s="37" t="s">
        <v>210</v>
      </c>
      <c r="D130" s="37" t="s">
        <v>123</v>
      </c>
      <c r="E130" s="37" t="s">
        <v>95</v>
      </c>
      <c r="F130" s="37">
        <v>1</v>
      </c>
      <c r="G130" s="37" t="s">
        <v>211</v>
      </c>
      <c r="H130" s="38">
        <v>16</v>
      </c>
      <c r="I130" s="39">
        <f>IF($G130="Base",1,INDEX(ModelOutput!$D$16:$D$26,MATCH($G130,ModelOutput!$C$16:$C$26,0)))</f>
        <v>1</v>
      </c>
      <c r="J130" s="39">
        <f>IF($A130="Non-greek",1,INDEX(ModelOutput!$D$16:$D$26,MATCH($A130,ModelOutput!$C$16:$C$26,0)))</f>
        <v>1</v>
      </c>
      <c r="K130" s="39">
        <f>IF($C130="Yes",1,INDEX(ModelOutput!$D$16:$D$26,MATCH($C130,ModelOutput!$C$16:$C$26,0)))</f>
        <v>1</v>
      </c>
      <c r="L130" s="39">
        <f>IF($D130="2.0-3.0",1,INDEX(ModelOutput!$D$16:$D$26,MATCH($D130,ModelOutput!$C$16:$C$26,0)))</f>
        <v>1.01762556011242</v>
      </c>
      <c r="M130" s="39">
        <f>IF($B130="On campus",1,INDEX(ModelOutput!$D$16:$D$26,MATCH($B130,ModelOutput!$C$16:$C$26,0)))</f>
        <v>1.95077419049637</v>
      </c>
      <c r="N130" s="39">
        <f>IF($B130="On campus",1,INDEX(ModelOutput!$E$16:$E$26,MATCH($B130,ModelOutput!$C$16:$C$26,0)))</f>
        <v>1.9200078162799401</v>
      </c>
      <c r="O130" s="39">
        <f>IF($B130="On campus",1,INDEX(ModelOutput!$F$16:$F$26,MATCH($B130,ModelOutput!$C$16:$C$26,0)))</f>
        <v>2.4799996979530001</v>
      </c>
      <c r="P130" s="39">
        <f>IF($B130="On campus",1,INDEX(ModelOutput!$G$16:$G$26,MATCH($B130,ModelOutput!$C$16:$C$26,0)))</f>
        <v>3.1261975703362501</v>
      </c>
      <c r="Q130" s="73">
        <f>INDEX(ModelOutput!$D$9:$D$11,MATCH("Tier "&amp;$F130,ModelOutput!$B$9:$B$11,0))</f>
        <v>36.175496869914397</v>
      </c>
      <c r="R130" s="73">
        <f>INDEX(ModelOutput!$E$9:$E$11,MATCH("Tier "&amp;$F130,ModelOutput!$B$9:$B$11,0))</f>
        <v>106.647084447761</v>
      </c>
      <c r="S130" s="73">
        <f>INDEX(ModelOutput!$F$9:$F$11,MATCH("Tier "&amp;$F130,ModelOutput!$B$9:$B$11,0))</f>
        <v>123.726482920496</v>
      </c>
      <c r="T130" s="73">
        <f>INDEX(ModelOutput!$G$9:$G$11,MATCH("Tier "&amp;$F130,ModelOutput!$B$9:$B$11,0))</f>
        <v>20.551544113210401</v>
      </c>
      <c r="U130" s="77">
        <f t="shared" si="11"/>
        <v>71.814065376062558</v>
      </c>
      <c r="V130" s="77">
        <f t="shared" si="12"/>
        <v>208.37230244322029</v>
      </c>
      <c r="W130" s="77">
        <f t="shared" si="13"/>
        <v>312.24989604721804</v>
      </c>
      <c r="X130" s="77">
        <f t="shared" si="14"/>
        <v>65.380597560277536</v>
      </c>
      <c r="Y130" s="30">
        <f t="shared" si="15"/>
        <v>657.81686142677847</v>
      </c>
      <c r="Z130" s="30">
        <f t="shared" si="16"/>
        <v>1111.3281665198383</v>
      </c>
      <c r="AA130" s="41">
        <f t="shared" si="17"/>
        <v>-0.22079304074754691</v>
      </c>
      <c r="AB130" s="40">
        <f t="shared" si="18"/>
        <v>1111.3281665198383</v>
      </c>
      <c r="AC130" s="42">
        <f t="shared" si="19"/>
        <v>1</v>
      </c>
      <c r="AD130" s="43">
        <v>657.81686142677904</v>
      </c>
      <c r="AE130" s="79">
        <f t="shared" si="20"/>
        <v>0</v>
      </c>
      <c r="AF130" s="29">
        <f t="shared" si="21"/>
        <v>4</v>
      </c>
    </row>
    <row r="131" spans="1:32" ht="15" customHeight="1" x14ac:dyDescent="0.35">
      <c r="A131" s="37" t="s">
        <v>110</v>
      </c>
      <c r="B131" s="37" t="s">
        <v>115</v>
      </c>
      <c r="C131" s="37" t="s">
        <v>210</v>
      </c>
      <c r="D131" s="37" t="s">
        <v>123</v>
      </c>
      <c r="E131" s="37" t="s">
        <v>105</v>
      </c>
      <c r="F131" s="37">
        <v>1</v>
      </c>
      <c r="G131" s="37" t="s">
        <v>105</v>
      </c>
      <c r="H131" s="38">
        <v>33</v>
      </c>
      <c r="I131" s="39">
        <f>IF($G131="Base",1,INDEX(ModelOutput!$D$16:$D$26,MATCH($G131,ModelOutput!$C$16:$C$26,0)))</f>
        <v>0.98982624281990295</v>
      </c>
      <c r="J131" s="39">
        <f>IF($A131="Non-greek",1,INDEX(ModelOutput!$D$16:$D$26,MATCH($A131,ModelOutput!$C$16:$C$26,0)))</f>
        <v>1</v>
      </c>
      <c r="K131" s="39">
        <f>IF($C131="Yes",1,INDEX(ModelOutput!$D$16:$D$26,MATCH($C131,ModelOutput!$C$16:$C$26,0)))</f>
        <v>1</v>
      </c>
      <c r="L131" s="39">
        <f>IF($D131="2.0-3.0",1,INDEX(ModelOutput!$D$16:$D$26,MATCH($D131,ModelOutput!$C$16:$C$26,0)))</f>
        <v>1.01762556011242</v>
      </c>
      <c r="M131" s="39">
        <f>IF($B131="On campus",1,INDEX(ModelOutput!$D$16:$D$26,MATCH($B131,ModelOutput!$C$16:$C$26,0)))</f>
        <v>1.95077419049637</v>
      </c>
      <c r="N131" s="39">
        <f>IF($B131="On campus",1,INDEX(ModelOutput!$E$16:$E$26,MATCH($B131,ModelOutput!$C$16:$C$26,0)))</f>
        <v>1.9200078162799401</v>
      </c>
      <c r="O131" s="39">
        <f>IF($B131="On campus",1,INDEX(ModelOutput!$F$16:$F$26,MATCH($B131,ModelOutput!$C$16:$C$26,0)))</f>
        <v>2.4799996979530001</v>
      </c>
      <c r="P131" s="39">
        <f>IF($B131="On campus",1,INDEX(ModelOutput!$G$16:$G$26,MATCH($B131,ModelOutput!$C$16:$C$26,0)))</f>
        <v>3.1261975703362501</v>
      </c>
      <c r="Q131" s="73">
        <f>INDEX(ModelOutput!$D$9:$D$11,MATCH("Tier "&amp;$F131,ModelOutput!$B$9:$B$11,0))</f>
        <v>36.175496869914397</v>
      </c>
      <c r="R131" s="73">
        <f>INDEX(ModelOutput!$E$9:$E$11,MATCH("Tier "&amp;$F131,ModelOutput!$B$9:$B$11,0))</f>
        <v>106.647084447761</v>
      </c>
      <c r="S131" s="73">
        <f>INDEX(ModelOutput!$F$9:$F$11,MATCH("Tier "&amp;$F131,ModelOutput!$B$9:$B$11,0))</f>
        <v>123.726482920496</v>
      </c>
      <c r="T131" s="73">
        <f>INDEX(ModelOutput!$G$9:$G$11,MATCH("Tier "&amp;$F131,ModelOutput!$B$9:$B$11,0))</f>
        <v>20.551544113210401</v>
      </c>
      <c r="U131" s="77">
        <f t="shared" si="11"/>
        <v>71.083446512810895</v>
      </c>
      <c r="V131" s="77">
        <f t="shared" si="12"/>
        <v>206.25237323510524</v>
      </c>
      <c r="W131" s="77">
        <f t="shared" si="13"/>
        <v>309.07314142532306</v>
      </c>
      <c r="X131" s="77">
        <f t="shared" si="14"/>
        <v>64.715431236409628</v>
      </c>
      <c r="Y131" s="30">
        <f t="shared" si="15"/>
        <v>651.12439240964886</v>
      </c>
      <c r="Z131" s="30">
        <f t="shared" si="16"/>
        <v>1100.4456901554338</v>
      </c>
      <c r="AA131" s="41">
        <f t="shared" si="17"/>
        <v>-0.22842328136639023</v>
      </c>
      <c r="AB131" s="40">
        <f t="shared" si="18"/>
        <v>1100.4456901554338</v>
      </c>
      <c r="AC131" s="42">
        <f t="shared" si="19"/>
        <v>1</v>
      </c>
      <c r="AD131" s="43">
        <v>651.12439240964898</v>
      </c>
      <c r="AE131" s="79">
        <f t="shared" si="20"/>
        <v>0</v>
      </c>
      <c r="AF131" s="29">
        <f t="shared" si="21"/>
        <v>3</v>
      </c>
    </row>
    <row r="132" spans="1:32" ht="15" customHeight="1" x14ac:dyDescent="0.35">
      <c r="A132" s="37" t="s">
        <v>110</v>
      </c>
      <c r="B132" s="37" t="s">
        <v>115</v>
      </c>
      <c r="C132" s="37" t="s">
        <v>210</v>
      </c>
      <c r="D132" s="37" t="s">
        <v>123</v>
      </c>
      <c r="E132" s="37" t="s">
        <v>97</v>
      </c>
      <c r="F132" s="37">
        <v>2</v>
      </c>
      <c r="G132" s="37" t="s">
        <v>211</v>
      </c>
      <c r="H132" s="38">
        <v>27</v>
      </c>
      <c r="I132" s="39">
        <f>IF($G132="Base",1,INDEX(ModelOutput!$D$16:$D$26,MATCH($G132,ModelOutput!$C$16:$C$26,0)))</f>
        <v>1</v>
      </c>
      <c r="J132" s="39">
        <f>IF($A132="Non-greek",1,INDEX(ModelOutput!$D$16:$D$26,MATCH($A132,ModelOutput!$C$16:$C$26,0)))</f>
        <v>1</v>
      </c>
      <c r="K132" s="39">
        <f>IF($C132="Yes",1,INDEX(ModelOutput!$D$16:$D$26,MATCH($C132,ModelOutput!$C$16:$C$26,0)))</f>
        <v>1</v>
      </c>
      <c r="L132" s="39">
        <f>IF($D132="2.0-3.0",1,INDEX(ModelOutput!$D$16:$D$26,MATCH($D132,ModelOutput!$C$16:$C$26,0)))</f>
        <v>1.01762556011242</v>
      </c>
      <c r="M132" s="39">
        <f>IF($B132="On campus",1,INDEX(ModelOutput!$D$16:$D$26,MATCH($B132,ModelOutput!$C$16:$C$26,0)))</f>
        <v>1.95077419049637</v>
      </c>
      <c r="N132" s="39">
        <f>IF($B132="On campus",1,INDEX(ModelOutput!$E$16:$E$26,MATCH($B132,ModelOutput!$C$16:$C$26,0)))</f>
        <v>1.9200078162799401</v>
      </c>
      <c r="O132" s="39">
        <f>IF($B132="On campus",1,INDEX(ModelOutput!$F$16:$F$26,MATCH($B132,ModelOutput!$C$16:$C$26,0)))</f>
        <v>2.4799996979530001</v>
      </c>
      <c r="P132" s="39">
        <f>IF($B132="On campus",1,INDEX(ModelOutput!$G$16:$G$26,MATCH($B132,ModelOutput!$C$16:$C$26,0)))</f>
        <v>3.1261975703362501</v>
      </c>
      <c r="Q132" s="73">
        <f>INDEX(ModelOutput!$D$9:$D$11,MATCH("Tier "&amp;$F132,ModelOutput!$B$9:$B$11,0))</f>
        <v>42.8051506068728</v>
      </c>
      <c r="R132" s="73">
        <f>INDEX(ModelOutput!$E$9:$E$11,MATCH("Tier "&amp;$F132,ModelOutput!$B$9:$B$11,0))</f>
        <v>126.191618818284</v>
      </c>
      <c r="S132" s="73">
        <f>INDEX(ModelOutput!$F$9:$F$11,MATCH("Tier "&amp;$F132,ModelOutput!$B$9:$B$11,0))</f>
        <v>146.401050261042</v>
      </c>
      <c r="T132" s="73">
        <f>INDEX(ModelOutput!$G$9:$G$11,MATCH("Tier "&amp;$F132,ModelOutput!$B$9:$B$11,0))</f>
        <v>24.317895180076398</v>
      </c>
      <c r="U132" s="77">
        <f t="shared" si="11"/>
        <v>84.974973396168892</v>
      </c>
      <c r="V132" s="77">
        <f t="shared" si="12"/>
        <v>246.55937195435527</v>
      </c>
      <c r="W132" s="77">
        <f t="shared" si="13"/>
        <v>369.4739529174895</v>
      </c>
      <c r="X132" s="77">
        <f t="shared" si="14"/>
        <v>77.36248476140527</v>
      </c>
      <c r="Y132" s="30">
        <f t="shared" si="15"/>
        <v>778.37078302941904</v>
      </c>
      <c r="Z132" s="30">
        <f t="shared" si="16"/>
        <v>1307.3582413874401</v>
      </c>
      <c r="AA132" s="41">
        <f t="shared" si="17"/>
        <v>-8.3346692169925407E-2</v>
      </c>
      <c r="AB132" s="40">
        <f t="shared" si="18"/>
        <v>1307.3582413874401</v>
      </c>
      <c r="AC132" s="42">
        <f t="shared" si="19"/>
        <v>1</v>
      </c>
      <c r="AD132" s="43">
        <v>778.37078302941995</v>
      </c>
      <c r="AE132" s="79">
        <f t="shared" si="20"/>
        <v>-9.0949470177292824E-13</v>
      </c>
      <c r="AF132" s="29">
        <f t="shared" si="21"/>
        <v>2</v>
      </c>
    </row>
    <row r="133" spans="1:32" ht="15" customHeight="1" x14ac:dyDescent="0.35">
      <c r="A133" s="37" t="s">
        <v>110</v>
      </c>
      <c r="B133" s="37" t="s">
        <v>115</v>
      </c>
      <c r="C133" s="37" t="s">
        <v>210</v>
      </c>
      <c r="D133" s="37" t="s">
        <v>123</v>
      </c>
      <c r="E133" s="37" t="s">
        <v>99</v>
      </c>
      <c r="F133" s="37">
        <v>3</v>
      </c>
      <c r="G133" s="37" t="s">
        <v>211</v>
      </c>
      <c r="H133" s="38">
        <v>25</v>
      </c>
      <c r="I133" s="39">
        <f>IF($G133="Base",1,INDEX(ModelOutput!$D$16:$D$26,MATCH($G133,ModelOutput!$C$16:$C$26,0)))</f>
        <v>1</v>
      </c>
      <c r="J133" s="39">
        <f>IF($A133="Non-greek",1,INDEX(ModelOutput!$D$16:$D$26,MATCH($A133,ModelOutput!$C$16:$C$26,0)))</f>
        <v>1</v>
      </c>
      <c r="K133" s="39">
        <f>IF($C133="Yes",1,INDEX(ModelOutput!$D$16:$D$26,MATCH($C133,ModelOutput!$C$16:$C$26,0)))</f>
        <v>1</v>
      </c>
      <c r="L133" s="39">
        <f>IF($D133="2.0-3.0",1,INDEX(ModelOutput!$D$16:$D$26,MATCH($D133,ModelOutput!$C$16:$C$26,0)))</f>
        <v>1.01762556011242</v>
      </c>
      <c r="M133" s="39">
        <f>IF($B133="On campus",1,INDEX(ModelOutput!$D$16:$D$26,MATCH($B133,ModelOutput!$C$16:$C$26,0)))</f>
        <v>1.95077419049637</v>
      </c>
      <c r="N133" s="39">
        <f>IF($B133="On campus",1,INDEX(ModelOutput!$E$16:$E$26,MATCH($B133,ModelOutput!$C$16:$C$26,0)))</f>
        <v>1.9200078162799401</v>
      </c>
      <c r="O133" s="39">
        <f>IF($B133="On campus",1,INDEX(ModelOutput!$F$16:$F$26,MATCH($B133,ModelOutput!$C$16:$C$26,0)))</f>
        <v>2.4799996979530001</v>
      </c>
      <c r="P133" s="39">
        <f>IF($B133="On campus",1,INDEX(ModelOutput!$G$16:$G$26,MATCH($B133,ModelOutput!$C$16:$C$26,0)))</f>
        <v>3.1261975703362501</v>
      </c>
      <c r="Q133" s="73">
        <f>INDEX(ModelOutput!$D$9:$D$11,MATCH("Tier "&amp;$F133,ModelOutput!$B$9:$B$11,0))</f>
        <v>40.009437343712797</v>
      </c>
      <c r="R133" s="73">
        <f>INDEX(ModelOutput!$E$9:$E$11,MATCH("Tier "&amp;$F133,ModelOutput!$B$9:$B$11,0))</f>
        <v>117.949723218616</v>
      </c>
      <c r="S133" s="73">
        <f>INDEX(ModelOutput!$F$9:$F$11,MATCH("Tier "&amp;$F133,ModelOutput!$B$9:$B$11,0))</f>
        <v>136.83922529015501</v>
      </c>
      <c r="T133" s="73">
        <f>INDEX(ModelOutput!$G$9:$G$11,MATCH("Tier "&amp;$F133,ModelOutput!$B$9:$B$11,0))</f>
        <v>22.729631592092201</v>
      </c>
      <c r="U133" s="77">
        <f t="shared" ref="U133:U196" si="22">$Q133*$I133*$J133*$K133*$L133*$M133</f>
        <v>79.425041745602655</v>
      </c>
      <c r="V133" s="77">
        <f t="shared" ref="V133:V196" si="23">$R133*$I133*$J133*$K133*$L133*$N133</f>
        <v>230.455952236016</v>
      </c>
      <c r="W133" s="77">
        <f t="shared" ref="W133:W196" si="24">$S133*$I133*$J133*$K133*$L133*$O133</f>
        <v>345.34266927710922</v>
      </c>
      <c r="X133" s="77">
        <f t="shared" ref="X133:X196" si="25">$T133*$I133*$J133*$K133*$L133*$P133</f>
        <v>72.309744106318007</v>
      </c>
      <c r="Y133" s="30">
        <f t="shared" ref="Y133:Y196" si="26">SUM(U133:X133)</f>
        <v>727.53340736504583</v>
      </c>
      <c r="Z133" s="30">
        <f t="shared" ref="Z133:Z196" si="27">$Y133*GROSS_MULT+POLICY_FEE</f>
        <v>1224.6927052930823</v>
      </c>
      <c r="AA133" s="41">
        <f t="shared" ref="AA133:AA196" si="28">$Z133/CURRENT_FLAT-1</f>
        <v>-0.14130757443278719</v>
      </c>
      <c r="AB133" s="40">
        <f t="shared" ref="AB133:AB196" si="29">MEDIAN(CURRENT_FLAT*(1-CAP_DOWN),$Z133,CURRENT_FLAT*(1+CAP_UP))</f>
        <v>1224.6927052930823</v>
      </c>
      <c r="AC133" s="42">
        <f t="shared" ref="AC133:AC196" si="30">IF($Z133&gt;CURRENT_FLAT,ROUNDUP(LN($Z133/CURRENT_FLAT)/LN(1+CAP_UP),0),IF($Z133&lt;CURRENT_FLAT,ROUNDUP(LN($Z133/CURRENT_FLAT)/LN(1-CAP_DOWN),0),0))</f>
        <v>1</v>
      </c>
      <c r="AD133" s="43">
        <v>727.53340736504799</v>
      </c>
      <c r="AE133" s="79">
        <f t="shared" ref="AE133:AE196" si="31">$Y133-$AD133</f>
        <v>-2.1600499167107046E-12</v>
      </c>
      <c r="AF133" s="29">
        <f t="shared" ref="AF133:AF196" si="32">IF($E133="Freshman",4,IF($E133="Sophomore",3,IF($E133="Junior",2,IF($E133="Senior",1,2))))</f>
        <v>1</v>
      </c>
    </row>
    <row r="134" spans="1:32" ht="15" customHeight="1" x14ac:dyDescent="0.35">
      <c r="A134" s="37" t="s">
        <v>110</v>
      </c>
      <c r="B134" s="37" t="s">
        <v>115</v>
      </c>
      <c r="C134" s="37" t="s">
        <v>210</v>
      </c>
      <c r="D134" s="37" t="s">
        <v>123</v>
      </c>
      <c r="E134" s="37" t="s">
        <v>213</v>
      </c>
      <c r="F134" s="37">
        <v>3</v>
      </c>
      <c r="G134" s="37" t="s">
        <v>107</v>
      </c>
      <c r="H134" s="38">
        <v>13</v>
      </c>
      <c r="I134" s="39">
        <f>IF($G134="Base",1,INDEX(ModelOutput!$D$16:$D$26,MATCH($G134,ModelOutput!$C$16:$C$26,0)))</f>
        <v>1.1906804269762199</v>
      </c>
      <c r="J134" s="39">
        <f>IF($A134="Non-greek",1,INDEX(ModelOutput!$D$16:$D$26,MATCH($A134,ModelOutput!$C$16:$C$26,0)))</f>
        <v>1</v>
      </c>
      <c r="K134" s="39">
        <f>IF($C134="Yes",1,INDEX(ModelOutput!$D$16:$D$26,MATCH($C134,ModelOutput!$C$16:$C$26,0)))</f>
        <v>1</v>
      </c>
      <c r="L134" s="39">
        <f>IF($D134="2.0-3.0",1,INDEX(ModelOutput!$D$16:$D$26,MATCH($D134,ModelOutput!$C$16:$C$26,0)))</f>
        <v>1.01762556011242</v>
      </c>
      <c r="M134" s="39">
        <f>IF($B134="On campus",1,INDEX(ModelOutput!$D$16:$D$26,MATCH($B134,ModelOutput!$C$16:$C$26,0)))</f>
        <v>1.95077419049637</v>
      </c>
      <c r="N134" s="39">
        <f>IF($B134="On campus",1,INDEX(ModelOutput!$E$16:$E$26,MATCH($B134,ModelOutput!$C$16:$C$26,0)))</f>
        <v>1.9200078162799401</v>
      </c>
      <c r="O134" s="39">
        <f>IF($B134="On campus",1,INDEX(ModelOutput!$F$16:$F$26,MATCH($B134,ModelOutput!$C$16:$C$26,0)))</f>
        <v>2.4799996979530001</v>
      </c>
      <c r="P134" s="39">
        <f>IF($B134="On campus",1,INDEX(ModelOutput!$G$16:$G$26,MATCH($B134,ModelOutput!$C$16:$C$26,0)))</f>
        <v>3.1261975703362501</v>
      </c>
      <c r="Q134" s="73">
        <f>INDEX(ModelOutput!$D$9:$D$11,MATCH("Tier "&amp;$F134,ModelOutput!$B$9:$B$11,0))</f>
        <v>40.009437343712797</v>
      </c>
      <c r="R134" s="73">
        <f>INDEX(ModelOutput!$E$9:$E$11,MATCH("Tier "&amp;$F134,ModelOutput!$B$9:$B$11,0))</f>
        <v>117.949723218616</v>
      </c>
      <c r="S134" s="73">
        <f>INDEX(ModelOutput!$F$9:$F$11,MATCH("Tier "&amp;$F134,ModelOutput!$B$9:$B$11,0))</f>
        <v>136.83922529015501</v>
      </c>
      <c r="T134" s="73">
        <f>INDEX(ModelOutput!$G$9:$G$11,MATCH("Tier "&amp;$F134,ModelOutput!$B$9:$B$11,0))</f>
        <v>22.729631592092201</v>
      </c>
      <c r="U134" s="77">
        <f t="shared" si="22"/>
        <v>94.569842618258264</v>
      </c>
      <c r="V134" s="77">
        <f t="shared" si="23"/>
        <v>274.39939160759093</v>
      </c>
      <c r="W134" s="77">
        <f t="shared" si="24"/>
        <v>411.19275690797593</v>
      </c>
      <c r="X134" s="77">
        <f t="shared" si="25"/>
        <v>86.097796987051936</v>
      </c>
      <c r="Y134" s="30">
        <f t="shared" si="26"/>
        <v>866.25978812087692</v>
      </c>
      <c r="Z134" s="30">
        <f t="shared" si="27"/>
        <v>1450.2726154623531</v>
      </c>
      <c r="AA134" s="41">
        <f t="shared" si="28"/>
        <v>1.6857620301617304E-2</v>
      </c>
      <c r="AB134" s="40">
        <f t="shared" si="29"/>
        <v>1450.2726154623531</v>
      </c>
      <c r="AC134" s="42">
        <f t="shared" si="30"/>
        <v>1</v>
      </c>
      <c r="AD134" s="43">
        <v>866.25978812087999</v>
      </c>
      <c r="AE134" s="79">
        <f t="shared" si="31"/>
        <v>-3.0695446184836328E-12</v>
      </c>
      <c r="AF134" s="29">
        <f t="shared" si="32"/>
        <v>2</v>
      </c>
    </row>
    <row r="135" spans="1:32" ht="15" customHeight="1" x14ac:dyDescent="0.35">
      <c r="A135" s="19" t="s">
        <v>110</v>
      </c>
      <c r="B135" s="19" t="s">
        <v>115</v>
      </c>
      <c r="C135" s="19" t="s">
        <v>210</v>
      </c>
      <c r="D135" s="19" t="s">
        <v>122</v>
      </c>
      <c r="E135" s="19" t="s">
        <v>95</v>
      </c>
      <c r="F135" s="19">
        <v>1</v>
      </c>
      <c r="G135" s="19" t="s">
        <v>211</v>
      </c>
      <c r="H135" s="16">
        <v>46</v>
      </c>
      <c r="I135" s="13">
        <f>IF($G135="Base",1,INDEX(ModelOutput!$D$16:$D$26,MATCH($G135,ModelOutput!$C$16:$C$26,0)))</f>
        <v>1</v>
      </c>
      <c r="J135" s="13">
        <f>IF($A135="Non-greek",1,INDEX(ModelOutput!$D$16:$D$26,MATCH($A135,ModelOutput!$C$16:$C$26,0)))</f>
        <v>1</v>
      </c>
      <c r="K135" s="13">
        <f>IF($C135="Yes",1,INDEX(ModelOutput!$D$16:$D$26,MATCH($C135,ModelOutput!$C$16:$C$26,0)))</f>
        <v>1</v>
      </c>
      <c r="L135" s="13">
        <f>IF($D135="2.0-3.0",1,INDEX(ModelOutput!$D$16:$D$26,MATCH($D135,ModelOutput!$C$16:$C$26,0)))</f>
        <v>1</v>
      </c>
      <c r="M135" s="13">
        <f>IF($B135="On campus",1,INDEX(ModelOutput!$D$16:$D$26,MATCH($B135,ModelOutput!$C$16:$C$26,0)))</f>
        <v>1.95077419049637</v>
      </c>
      <c r="N135" s="13">
        <f>IF($B135="On campus",1,INDEX(ModelOutput!$E$16:$E$26,MATCH($B135,ModelOutput!$C$16:$C$26,0)))</f>
        <v>1.9200078162799401</v>
      </c>
      <c r="O135" s="13">
        <f>IF($B135="On campus",1,INDEX(ModelOutput!$F$16:$F$26,MATCH($B135,ModelOutput!$C$16:$C$26,0)))</f>
        <v>2.4799996979530001</v>
      </c>
      <c r="P135" s="13">
        <f>IF($B135="On campus",1,INDEX(ModelOutput!$G$16:$G$26,MATCH($B135,ModelOutput!$C$16:$C$26,0)))</f>
        <v>3.1261975703362501</v>
      </c>
      <c r="Q135" s="72">
        <f>INDEX(ModelOutput!$D$9:$D$11,MATCH("Tier "&amp;$F135,ModelOutput!$B$9:$B$11,0))</f>
        <v>36.175496869914397</v>
      </c>
      <c r="R135" s="72">
        <f>INDEX(ModelOutput!$E$9:$E$11,MATCH("Tier "&amp;$F135,ModelOutput!$B$9:$B$11,0))</f>
        <v>106.647084447761</v>
      </c>
      <c r="S135" s="72">
        <f>INDEX(ModelOutput!$F$9:$F$11,MATCH("Tier "&amp;$F135,ModelOutput!$B$9:$B$11,0))</f>
        <v>123.726482920496</v>
      </c>
      <c r="T135" s="72">
        <f>INDEX(ModelOutput!$G$9:$G$11,MATCH("Tier "&amp;$F135,ModelOutput!$B$9:$B$11,0))</f>
        <v>20.551544113210401</v>
      </c>
      <c r="U135" s="76">
        <f t="shared" si="22"/>
        <v>70.570225622211225</v>
      </c>
      <c r="V135" s="76">
        <f t="shared" si="23"/>
        <v>204.76323572316795</v>
      </c>
      <c r="W135" s="76">
        <f t="shared" si="24"/>
        <v>306.84164027161711</v>
      </c>
      <c r="X135" s="76">
        <f t="shared" si="25"/>
        <v>64.248187273376615</v>
      </c>
      <c r="Y135" s="27">
        <f t="shared" si="26"/>
        <v>646.42328889037287</v>
      </c>
      <c r="Z135" s="27">
        <f t="shared" si="27"/>
        <v>1092.8013293366992</v>
      </c>
      <c r="AA135" s="33">
        <f t="shared" si="28"/>
        <v>-0.23378311955680331</v>
      </c>
      <c r="AB135" s="14">
        <f t="shared" si="29"/>
        <v>1092.8013293366992</v>
      </c>
      <c r="AC135" s="29">
        <f t="shared" si="30"/>
        <v>1</v>
      </c>
      <c r="AD135" s="20">
        <v>646.42328889037299</v>
      </c>
      <c r="AE135" s="78">
        <f t="shared" si="31"/>
        <v>0</v>
      </c>
      <c r="AF135" s="29">
        <f t="shared" si="32"/>
        <v>4</v>
      </c>
    </row>
    <row r="136" spans="1:32" ht="15" customHeight="1" x14ac:dyDescent="0.35">
      <c r="A136" s="19" t="s">
        <v>110</v>
      </c>
      <c r="B136" s="19" t="s">
        <v>115</v>
      </c>
      <c r="C136" s="19" t="s">
        <v>210</v>
      </c>
      <c r="D136" s="19" t="s">
        <v>122</v>
      </c>
      <c r="E136" s="19" t="s">
        <v>105</v>
      </c>
      <c r="F136" s="19">
        <v>1</v>
      </c>
      <c r="G136" s="19" t="s">
        <v>105</v>
      </c>
      <c r="H136" s="16">
        <v>52</v>
      </c>
      <c r="I136" s="13">
        <f>IF($G136="Base",1,INDEX(ModelOutput!$D$16:$D$26,MATCH($G136,ModelOutput!$C$16:$C$26,0)))</f>
        <v>0.98982624281990295</v>
      </c>
      <c r="J136" s="13">
        <f>IF($A136="Non-greek",1,INDEX(ModelOutput!$D$16:$D$26,MATCH($A136,ModelOutput!$C$16:$C$26,0)))</f>
        <v>1</v>
      </c>
      <c r="K136" s="13">
        <f>IF($C136="Yes",1,INDEX(ModelOutput!$D$16:$D$26,MATCH($C136,ModelOutput!$C$16:$C$26,0)))</f>
        <v>1</v>
      </c>
      <c r="L136" s="13">
        <f>IF($D136="2.0-3.0",1,INDEX(ModelOutput!$D$16:$D$26,MATCH($D136,ModelOutput!$C$16:$C$26,0)))</f>
        <v>1</v>
      </c>
      <c r="M136" s="13">
        <f>IF($B136="On campus",1,INDEX(ModelOutput!$D$16:$D$26,MATCH($B136,ModelOutput!$C$16:$C$26,0)))</f>
        <v>1.95077419049637</v>
      </c>
      <c r="N136" s="13">
        <f>IF($B136="On campus",1,INDEX(ModelOutput!$E$16:$E$26,MATCH($B136,ModelOutput!$C$16:$C$26,0)))</f>
        <v>1.9200078162799401</v>
      </c>
      <c r="O136" s="13">
        <f>IF($B136="On campus",1,INDEX(ModelOutput!$F$16:$F$26,MATCH($B136,ModelOutput!$C$16:$C$26,0)))</f>
        <v>2.4799996979530001</v>
      </c>
      <c r="P136" s="13">
        <f>IF($B136="On campus",1,INDEX(ModelOutput!$G$16:$G$26,MATCH($B136,ModelOutput!$C$16:$C$26,0)))</f>
        <v>3.1261975703362501</v>
      </c>
      <c r="Q136" s="72">
        <f>INDEX(ModelOutput!$D$9:$D$11,MATCH("Tier "&amp;$F136,ModelOutput!$B$9:$B$11,0))</f>
        <v>36.175496869914397</v>
      </c>
      <c r="R136" s="72">
        <f>INDEX(ModelOutput!$E$9:$E$11,MATCH("Tier "&amp;$F136,ModelOutput!$B$9:$B$11,0))</f>
        <v>106.647084447761</v>
      </c>
      <c r="S136" s="72">
        <f>INDEX(ModelOutput!$F$9:$F$11,MATCH("Tier "&amp;$F136,ModelOutput!$B$9:$B$11,0))</f>
        <v>123.726482920496</v>
      </c>
      <c r="T136" s="72">
        <f>INDEX(ModelOutput!$G$9:$G$11,MATCH("Tier "&amp;$F136,ModelOutput!$B$9:$B$11,0))</f>
        <v>20.551544113210401</v>
      </c>
      <c r="U136" s="76">
        <f t="shared" si="22"/>
        <v>69.852261282586198</v>
      </c>
      <c r="V136" s="76">
        <f t="shared" si="23"/>
        <v>202.68002428350948</v>
      </c>
      <c r="W136" s="76">
        <f t="shared" si="24"/>
        <v>303.71990793075099</v>
      </c>
      <c r="X136" s="76">
        <f t="shared" si="25"/>
        <v>63.594541816795882</v>
      </c>
      <c r="Y136" s="27">
        <f t="shared" si="26"/>
        <v>639.84673531364251</v>
      </c>
      <c r="Z136" s="27">
        <f t="shared" si="27"/>
        <v>1082.1073405151112</v>
      </c>
      <c r="AA136" s="33">
        <f t="shared" si="28"/>
        <v>-0.24128120226809091</v>
      </c>
      <c r="AB136" s="14">
        <f t="shared" si="29"/>
        <v>1082.1073405151112</v>
      </c>
      <c r="AC136" s="29">
        <f t="shared" si="30"/>
        <v>1</v>
      </c>
      <c r="AD136" s="20">
        <v>639.84673531364297</v>
      </c>
      <c r="AE136" s="78">
        <f t="shared" si="31"/>
        <v>0</v>
      </c>
      <c r="AF136" s="29">
        <f t="shared" si="32"/>
        <v>3</v>
      </c>
    </row>
    <row r="137" spans="1:32" ht="15" customHeight="1" x14ac:dyDescent="0.35">
      <c r="A137" s="19" t="s">
        <v>110</v>
      </c>
      <c r="B137" s="19" t="s">
        <v>115</v>
      </c>
      <c r="C137" s="19" t="s">
        <v>210</v>
      </c>
      <c r="D137" s="19" t="s">
        <v>122</v>
      </c>
      <c r="E137" s="19" t="s">
        <v>97</v>
      </c>
      <c r="F137" s="19">
        <v>2</v>
      </c>
      <c r="G137" s="19" t="s">
        <v>211</v>
      </c>
      <c r="H137" s="16">
        <v>38</v>
      </c>
      <c r="I137" s="13">
        <f>IF($G137="Base",1,INDEX(ModelOutput!$D$16:$D$26,MATCH($G137,ModelOutput!$C$16:$C$26,0)))</f>
        <v>1</v>
      </c>
      <c r="J137" s="13">
        <f>IF($A137="Non-greek",1,INDEX(ModelOutput!$D$16:$D$26,MATCH($A137,ModelOutput!$C$16:$C$26,0)))</f>
        <v>1</v>
      </c>
      <c r="K137" s="13">
        <f>IF($C137="Yes",1,INDEX(ModelOutput!$D$16:$D$26,MATCH($C137,ModelOutput!$C$16:$C$26,0)))</f>
        <v>1</v>
      </c>
      <c r="L137" s="13">
        <f>IF($D137="2.0-3.0",1,INDEX(ModelOutput!$D$16:$D$26,MATCH($D137,ModelOutput!$C$16:$C$26,0)))</f>
        <v>1</v>
      </c>
      <c r="M137" s="13">
        <f>IF($B137="On campus",1,INDEX(ModelOutput!$D$16:$D$26,MATCH($B137,ModelOutput!$C$16:$C$26,0)))</f>
        <v>1.95077419049637</v>
      </c>
      <c r="N137" s="13">
        <f>IF($B137="On campus",1,INDEX(ModelOutput!$E$16:$E$26,MATCH($B137,ModelOutput!$C$16:$C$26,0)))</f>
        <v>1.9200078162799401</v>
      </c>
      <c r="O137" s="13">
        <f>IF($B137="On campus",1,INDEX(ModelOutput!$F$16:$F$26,MATCH($B137,ModelOutput!$C$16:$C$26,0)))</f>
        <v>2.4799996979530001</v>
      </c>
      <c r="P137" s="13">
        <f>IF($B137="On campus",1,INDEX(ModelOutput!$G$16:$G$26,MATCH($B137,ModelOutput!$C$16:$C$26,0)))</f>
        <v>3.1261975703362501</v>
      </c>
      <c r="Q137" s="72">
        <f>INDEX(ModelOutput!$D$9:$D$11,MATCH("Tier "&amp;$F137,ModelOutput!$B$9:$B$11,0))</f>
        <v>42.8051506068728</v>
      </c>
      <c r="R137" s="72">
        <f>INDEX(ModelOutput!$E$9:$E$11,MATCH("Tier "&amp;$F137,ModelOutput!$B$9:$B$11,0))</f>
        <v>126.191618818284</v>
      </c>
      <c r="S137" s="72">
        <f>INDEX(ModelOutput!$F$9:$F$11,MATCH("Tier "&amp;$F137,ModelOutput!$B$9:$B$11,0))</f>
        <v>146.401050261042</v>
      </c>
      <c r="T137" s="72">
        <f>INDEX(ModelOutput!$G$9:$G$11,MATCH("Tier "&amp;$F137,ModelOutput!$B$9:$B$11,0))</f>
        <v>24.317895180076398</v>
      </c>
      <c r="U137" s="76">
        <f t="shared" si="22"/>
        <v>83.503183024197483</v>
      </c>
      <c r="V137" s="76">
        <f t="shared" si="23"/>
        <v>242.28889448012404</v>
      </c>
      <c r="W137" s="76">
        <f t="shared" si="24"/>
        <v>363.07456042738613</v>
      </c>
      <c r="X137" s="76">
        <f t="shared" si="25"/>
        <v>76.022544827646442</v>
      </c>
      <c r="Y137" s="27">
        <f t="shared" si="26"/>
        <v>764.88918275935407</v>
      </c>
      <c r="Z137" s="27">
        <f t="shared" si="27"/>
        <v>1285.4361083274566</v>
      </c>
      <c r="AA137" s="33">
        <f t="shared" si="28"/>
        <v>-9.8717380285830769E-2</v>
      </c>
      <c r="AB137" s="14">
        <f t="shared" si="29"/>
        <v>1285.4361083274566</v>
      </c>
      <c r="AC137" s="29">
        <f t="shared" si="30"/>
        <v>1</v>
      </c>
      <c r="AD137" s="20">
        <v>764.88918275935498</v>
      </c>
      <c r="AE137" s="78">
        <f t="shared" si="31"/>
        <v>-9.0949470177292824E-13</v>
      </c>
      <c r="AF137" s="29">
        <f t="shared" si="32"/>
        <v>2</v>
      </c>
    </row>
    <row r="138" spans="1:32" ht="15" customHeight="1" x14ac:dyDescent="0.35">
      <c r="A138" s="19" t="s">
        <v>110</v>
      </c>
      <c r="B138" s="19" t="s">
        <v>115</v>
      </c>
      <c r="C138" s="19" t="s">
        <v>210</v>
      </c>
      <c r="D138" s="19" t="s">
        <v>122</v>
      </c>
      <c r="E138" s="19" t="s">
        <v>99</v>
      </c>
      <c r="F138" s="19">
        <v>3</v>
      </c>
      <c r="G138" s="19" t="s">
        <v>211</v>
      </c>
      <c r="H138" s="16">
        <v>44</v>
      </c>
      <c r="I138" s="13">
        <f>IF($G138="Base",1,INDEX(ModelOutput!$D$16:$D$26,MATCH($G138,ModelOutput!$C$16:$C$26,0)))</f>
        <v>1</v>
      </c>
      <c r="J138" s="13">
        <f>IF($A138="Non-greek",1,INDEX(ModelOutput!$D$16:$D$26,MATCH($A138,ModelOutput!$C$16:$C$26,0)))</f>
        <v>1</v>
      </c>
      <c r="K138" s="13">
        <f>IF($C138="Yes",1,INDEX(ModelOutput!$D$16:$D$26,MATCH($C138,ModelOutput!$C$16:$C$26,0)))</f>
        <v>1</v>
      </c>
      <c r="L138" s="13">
        <f>IF($D138="2.0-3.0",1,INDEX(ModelOutput!$D$16:$D$26,MATCH($D138,ModelOutput!$C$16:$C$26,0)))</f>
        <v>1</v>
      </c>
      <c r="M138" s="13">
        <f>IF($B138="On campus",1,INDEX(ModelOutput!$D$16:$D$26,MATCH($B138,ModelOutput!$C$16:$C$26,0)))</f>
        <v>1.95077419049637</v>
      </c>
      <c r="N138" s="13">
        <f>IF($B138="On campus",1,INDEX(ModelOutput!$E$16:$E$26,MATCH($B138,ModelOutput!$C$16:$C$26,0)))</f>
        <v>1.9200078162799401</v>
      </c>
      <c r="O138" s="13">
        <f>IF($B138="On campus",1,INDEX(ModelOutput!$F$16:$F$26,MATCH($B138,ModelOutput!$C$16:$C$26,0)))</f>
        <v>2.4799996979530001</v>
      </c>
      <c r="P138" s="13">
        <f>IF($B138="On campus",1,INDEX(ModelOutput!$G$16:$G$26,MATCH($B138,ModelOutput!$C$16:$C$26,0)))</f>
        <v>3.1261975703362501</v>
      </c>
      <c r="Q138" s="72">
        <f>INDEX(ModelOutput!$D$9:$D$11,MATCH("Tier "&amp;$F138,ModelOutput!$B$9:$B$11,0))</f>
        <v>40.009437343712797</v>
      </c>
      <c r="R138" s="72">
        <f>INDEX(ModelOutput!$E$9:$E$11,MATCH("Tier "&amp;$F138,ModelOutput!$B$9:$B$11,0))</f>
        <v>117.949723218616</v>
      </c>
      <c r="S138" s="72">
        <f>INDEX(ModelOutput!$F$9:$F$11,MATCH("Tier "&amp;$F138,ModelOutput!$B$9:$B$11,0))</f>
        <v>136.83922529015501</v>
      </c>
      <c r="T138" s="72">
        <f>INDEX(ModelOutput!$G$9:$G$11,MATCH("Tier "&amp;$F138,ModelOutput!$B$9:$B$11,0))</f>
        <v>22.729631592092201</v>
      </c>
      <c r="U138" s="76">
        <f t="shared" si="22"/>
        <v>78.049377746396573</v>
      </c>
      <c r="V138" s="76">
        <f t="shared" si="23"/>
        <v>226.46439050779824</v>
      </c>
      <c r="W138" s="76">
        <f t="shared" si="24"/>
        <v>339.36123738770698</v>
      </c>
      <c r="X138" s="76">
        <f t="shared" si="25"/>
        <v>71.057319057836708</v>
      </c>
      <c r="Y138" s="27">
        <f t="shared" si="26"/>
        <v>714.9323246997385</v>
      </c>
      <c r="Z138" s="27">
        <f t="shared" si="27"/>
        <v>1204.20236250328</v>
      </c>
      <c r="AA138" s="33">
        <f t="shared" si="28"/>
        <v>-0.15567436381173461</v>
      </c>
      <c r="AB138" s="14">
        <f t="shared" si="29"/>
        <v>1204.20236250328</v>
      </c>
      <c r="AC138" s="29">
        <f t="shared" si="30"/>
        <v>1</v>
      </c>
      <c r="AD138" s="20">
        <v>714.93232469973998</v>
      </c>
      <c r="AE138" s="78">
        <f t="shared" si="31"/>
        <v>-1.4779288903810084E-12</v>
      </c>
      <c r="AF138" s="29">
        <f t="shared" si="32"/>
        <v>1</v>
      </c>
    </row>
    <row r="139" spans="1:32" ht="15" customHeight="1" x14ac:dyDescent="0.35">
      <c r="A139" s="19" t="s">
        <v>110</v>
      </c>
      <c r="B139" s="19" t="s">
        <v>115</v>
      </c>
      <c r="C139" s="19" t="s">
        <v>210</v>
      </c>
      <c r="D139" s="19" t="s">
        <v>122</v>
      </c>
      <c r="E139" s="19" t="s">
        <v>213</v>
      </c>
      <c r="F139" s="19">
        <v>3</v>
      </c>
      <c r="G139" s="19" t="s">
        <v>107</v>
      </c>
      <c r="H139" s="16">
        <v>19</v>
      </c>
      <c r="I139" s="13">
        <f>IF($G139="Base",1,INDEX(ModelOutput!$D$16:$D$26,MATCH($G139,ModelOutput!$C$16:$C$26,0)))</f>
        <v>1.1906804269762199</v>
      </c>
      <c r="J139" s="13">
        <f>IF($A139="Non-greek",1,INDEX(ModelOutput!$D$16:$D$26,MATCH($A139,ModelOutput!$C$16:$C$26,0)))</f>
        <v>1</v>
      </c>
      <c r="K139" s="13">
        <f>IF($C139="Yes",1,INDEX(ModelOutput!$D$16:$D$26,MATCH($C139,ModelOutput!$C$16:$C$26,0)))</f>
        <v>1</v>
      </c>
      <c r="L139" s="13">
        <f>IF($D139="2.0-3.0",1,INDEX(ModelOutput!$D$16:$D$26,MATCH($D139,ModelOutput!$C$16:$C$26,0)))</f>
        <v>1</v>
      </c>
      <c r="M139" s="13">
        <f>IF($B139="On campus",1,INDEX(ModelOutput!$D$16:$D$26,MATCH($B139,ModelOutput!$C$16:$C$26,0)))</f>
        <v>1.95077419049637</v>
      </c>
      <c r="N139" s="13">
        <f>IF($B139="On campus",1,INDEX(ModelOutput!$E$16:$E$26,MATCH($B139,ModelOutput!$C$16:$C$26,0)))</f>
        <v>1.9200078162799401</v>
      </c>
      <c r="O139" s="13">
        <f>IF($B139="On campus",1,INDEX(ModelOutput!$F$16:$F$26,MATCH($B139,ModelOutput!$C$16:$C$26,0)))</f>
        <v>2.4799996979530001</v>
      </c>
      <c r="P139" s="13">
        <f>IF($B139="On campus",1,INDEX(ModelOutput!$G$16:$G$26,MATCH($B139,ModelOutput!$C$16:$C$26,0)))</f>
        <v>3.1261975703362501</v>
      </c>
      <c r="Q139" s="72">
        <f>INDEX(ModelOutput!$D$9:$D$11,MATCH("Tier "&amp;$F139,ModelOutput!$B$9:$B$11,0))</f>
        <v>40.009437343712797</v>
      </c>
      <c r="R139" s="72">
        <f>INDEX(ModelOutput!$E$9:$E$11,MATCH("Tier "&amp;$F139,ModelOutput!$B$9:$B$11,0))</f>
        <v>117.949723218616</v>
      </c>
      <c r="S139" s="72">
        <f>INDEX(ModelOutput!$F$9:$F$11,MATCH("Tier "&amp;$F139,ModelOutput!$B$9:$B$11,0))</f>
        <v>136.83922529015501</v>
      </c>
      <c r="T139" s="72">
        <f>INDEX(ModelOutput!$G$9:$G$11,MATCH("Tier "&amp;$F139,ModelOutput!$B$9:$B$11,0))</f>
        <v>22.729631592092201</v>
      </c>
      <c r="U139" s="76">
        <f t="shared" si="22"/>
        <v>92.931866420307742</v>
      </c>
      <c r="V139" s="76">
        <f t="shared" si="23"/>
        <v>269.64671718473465</v>
      </c>
      <c r="W139" s="76">
        <f t="shared" si="24"/>
        <v>404.07078303197329</v>
      </c>
      <c r="X139" s="76">
        <f t="shared" si="25"/>
        <v>84.606558995570495</v>
      </c>
      <c r="Y139" s="27">
        <f t="shared" si="26"/>
        <v>851.25592563258613</v>
      </c>
      <c r="Z139" s="27">
        <f t="shared" si="27"/>
        <v>1425.8751653605025</v>
      </c>
      <c r="AA139" s="33">
        <f t="shared" si="28"/>
        <v>-2.4863461038493462E-4</v>
      </c>
      <c r="AB139" s="14">
        <f t="shared" si="29"/>
        <v>1425.8751653605025</v>
      </c>
      <c r="AC139" s="29">
        <f t="shared" si="30"/>
        <v>1</v>
      </c>
      <c r="AD139" s="20">
        <v>851.25592563258795</v>
      </c>
      <c r="AE139" s="78">
        <f t="shared" si="31"/>
        <v>-1.8189894035458565E-12</v>
      </c>
      <c r="AF139" s="29">
        <f t="shared" si="32"/>
        <v>2</v>
      </c>
    </row>
    <row r="140" spans="1:32" ht="15" customHeight="1" x14ac:dyDescent="0.35">
      <c r="A140" s="37" t="s">
        <v>110</v>
      </c>
      <c r="B140" s="37" t="s">
        <v>115</v>
      </c>
      <c r="C140" s="37" t="s">
        <v>210</v>
      </c>
      <c r="D140" s="37" t="s">
        <v>124</v>
      </c>
      <c r="E140" s="37" t="s">
        <v>95</v>
      </c>
      <c r="F140" s="37">
        <v>1</v>
      </c>
      <c r="G140" s="37" t="s">
        <v>211</v>
      </c>
      <c r="H140" s="38">
        <v>26</v>
      </c>
      <c r="I140" s="39">
        <f>IF($G140="Base",1,INDEX(ModelOutput!$D$16:$D$26,MATCH($G140,ModelOutput!$C$16:$C$26,0)))</f>
        <v>1</v>
      </c>
      <c r="J140" s="39">
        <f>IF($A140="Non-greek",1,INDEX(ModelOutput!$D$16:$D$26,MATCH($A140,ModelOutput!$C$16:$C$26,0)))</f>
        <v>1</v>
      </c>
      <c r="K140" s="39">
        <f>IF($C140="Yes",1,INDEX(ModelOutput!$D$16:$D$26,MATCH($C140,ModelOutput!$C$16:$C$26,0)))</f>
        <v>1</v>
      </c>
      <c r="L140" s="39">
        <f>IF($D140="2.0-3.0",1,INDEX(ModelOutput!$D$16:$D$26,MATCH($D140,ModelOutput!$C$16:$C$26,0)))</f>
        <v>0.87654761766211098</v>
      </c>
      <c r="M140" s="39">
        <f>IF($B140="On campus",1,INDEX(ModelOutput!$D$16:$D$26,MATCH($B140,ModelOutput!$C$16:$C$26,0)))</f>
        <v>1.95077419049637</v>
      </c>
      <c r="N140" s="39">
        <f>IF($B140="On campus",1,INDEX(ModelOutput!$E$16:$E$26,MATCH($B140,ModelOutput!$C$16:$C$26,0)))</f>
        <v>1.9200078162799401</v>
      </c>
      <c r="O140" s="39">
        <f>IF($B140="On campus",1,INDEX(ModelOutput!$F$16:$F$26,MATCH($B140,ModelOutput!$C$16:$C$26,0)))</f>
        <v>2.4799996979530001</v>
      </c>
      <c r="P140" s="39">
        <f>IF($B140="On campus",1,INDEX(ModelOutput!$G$16:$G$26,MATCH($B140,ModelOutput!$C$16:$C$26,0)))</f>
        <v>3.1261975703362501</v>
      </c>
      <c r="Q140" s="73">
        <f>INDEX(ModelOutput!$D$9:$D$11,MATCH("Tier "&amp;$F140,ModelOutput!$B$9:$B$11,0))</f>
        <v>36.175496869914397</v>
      </c>
      <c r="R140" s="73">
        <f>INDEX(ModelOutput!$E$9:$E$11,MATCH("Tier "&amp;$F140,ModelOutput!$B$9:$B$11,0))</f>
        <v>106.647084447761</v>
      </c>
      <c r="S140" s="73">
        <f>INDEX(ModelOutput!$F$9:$F$11,MATCH("Tier "&amp;$F140,ModelOutput!$B$9:$B$11,0))</f>
        <v>123.726482920496</v>
      </c>
      <c r="T140" s="73">
        <f>INDEX(ModelOutput!$G$9:$G$11,MATCH("Tier "&amp;$F140,ModelOutput!$B$9:$B$11,0))</f>
        <v>20.551544113210401</v>
      </c>
      <c r="U140" s="77">
        <f t="shared" si="22"/>
        <v>61.858163147026914</v>
      </c>
      <c r="V140" s="77">
        <f t="shared" si="23"/>
        <v>179.48472645792813</v>
      </c>
      <c r="W140" s="77">
        <f t="shared" si="24"/>
        <v>268.96130877962042</v>
      </c>
      <c r="X140" s="77">
        <f t="shared" si="25"/>
        <v>56.316595493587435</v>
      </c>
      <c r="Y140" s="30">
        <f t="shared" si="26"/>
        <v>566.62079387816289</v>
      </c>
      <c r="Z140" s="30">
        <f t="shared" si="27"/>
        <v>963.03625107215032</v>
      </c>
      <c r="AA140" s="41">
        <f t="shared" si="28"/>
        <v>-0.32476781255555742</v>
      </c>
      <c r="AB140" s="40">
        <f t="shared" si="29"/>
        <v>1069.6723315837799</v>
      </c>
      <c r="AC140" s="42">
        <f t="shared" si="30"/>
        <v>2</v>
      </c>
      <c r="AD140" s="43">
        <v>566.620793878163</v>
      </c>
      <c r="AE140" s="79">
        <f t="shared" si="31"/>
        <v>0</v>
      </c>
      <c r="AF140" s="29">
        <f t="shared" si="32"/>
        <v>4</v>
      </c>
    </row>
    <row r="141" spans="1:32" ht="15" customHeight="1" x14ac:dyDescent="0.35">
      <c r="A141" s="37" t="s">
        <v>110</v>
      </c>
      <c r="B141" s="37" t="s">
        <v>115</v>
      </c>
      <c r="C141" s="37" t="s">
        <v>210</v>
      </c>
      <c r="D141" s="37" t="s">
        <v>124</v>
      </c>
      <c r="E141" s="37" t="s">
        <v>105</v>
      </c>
      <c r="F141" s="37">
        <v>1</v>
      </c>
      <c r="G141" s="37" t="s">
        <v>105</v>
      </c>
      <c r="H141" s="38">
        <v>29</v>
      </c>
      <c r="I141" s="39">
        <f>IF($G141="Base",1,INDEX(ModelOutput!$D$16:$D$26,MATCH($G141,ModelOutput!$C$16:$C$26,0)))</f>
        <v>0.98982624281990295</v>
      </c>
      <c r="J141" s="39">
        <f>IF($A141="Non-greek",1,INDEX(ModelOutput!$D$16:$D$26,MATCH($A141,ModelOutput!$C$16:$C$26,0)))</f>
        <v>1</v>
      </c>
      <c r="K141" s="39">
        <f>IF($C141="Yes",1,INDEX(ModelOutput!$D$16:$D$26,MATCH($C141,ModelOutput!$C$16:$C$26,0)))</f>
        <v>1</v>
      </c>
      <c r="L141" s="39">
        <f>IF($D141="2.0-3.0",1,INDEX(ModelOutput!$D$16:$D$26,MATCH($D141,ModelOutput!$C$16:$C$26,0)))</f>
        <v>0.87654761766211098</v>
      </c>
      <c r="M141" s="39">
        <f>IF($B141="On campus",1,INDEX(ModelOutput!$D$16:$D$26,MATCH($B141,ModelOutput!$C$16:$C$26,0)))</f>
        <v>1.95077419049637</v>
      </c>
      <c r="N141" s="39">
        <f>IF($B141="On campus",1,INDEX(ModelOutput!$E$16:$E$26,MATCH($B141,ModelOutput!$C$16:$C$26,0)))</f>
        <v>1.9200078162799401</v>
      </c>
      <c r="O141" s="39">
        <f>IF($B141="On campus",1,INDEX(ModelOutput!$F$16:$F$26,MATCH($B141,ModelOutput!$C$16:$C$26,0)))</f>
        <v>2.4799996979530001</v>
      </c>
      <c r="P141" s="39">
        <f>IF($B141="On campus",1,INDEX(ModelOutput!$G$16:$G$26,MATCH($B141,ModelOutput!$C$16:$C$26,0)))</f>
        <v>3.1261975703362501</v>
      </c>
      <c r="Q141" s="73">
        <f>INDEX(ModelOutput!$D$9:$D$11,MATCH("Tier "&amp;$F141,ModelOutput!$B$9:$B$11,0))</f>
        <v>36.175496869914397</v>
      </c>
      <c r="R141" s="73">
        <f>INDEX(ModelOutput!$E$9:$E$11,MATCH("Tier "&amp;$F141,ModelOutput!$B$9:$B$11,0))</f>
        <v>106.647084447761</v>
      </c>
      <c r="S141" s="73">
        <f>INDEX(ModelOutput!$F$9:$F$11,MATCH("Tier "&amp;$F141,ModelOutput!$B$9:$B$11,0))</f>
        <v>123.726482920496</v>
      </c>
      <c r="T141" s="73">
        <f>INDEX(ModelOutput!$G$9:$G$11,MATCH("Tier "&amp;$F141,ModelOutput!$B$9:$B$11,0))</f>
        <v>20.551544113210401</v>
      </c>
      <c r="U141" s="77">
        <f t="shared" si="22"/>
        <v>61.22883321556224</v>
      </c>
      <c r="V141" s="77">
        <f t="shared" si="23"/>
        <v>177.65869243340904</v>
      </c>
      <c r="W141" s="77">
        <f t="shared" si="24"/>
        <v>266.22496173325544</v>
      </c>
      <c r="X141" s="77">
        <f t="shared" si="25"/>
        <v>55.743644125825931</v>
      </c>
      <c r="Y141" s="30">
        <f t="shared" si="26"/>
        <v>560.85613150805261</v>
      </c>
      <c r="Z141" s="30">
        <f t="shared" si="27"/>
        <v>953.66246064728193</v>
      </c>
      <c r="AA141" s="41">
        <f t="shared" si="28"/>
        <v>-0.33134023909317012</v>
      </c>
      <c r="AB141" s="40">
        <f t="shared" si="29"/>
        <v>1069.6723315837799</v>
      </c>
      <c r="AC141" s="42">
        <f t="shared" si="30"/>
        <v>2</v>
      </c>
      <c r="AD141" s="43">
        <v>560.85613150805295</v>
      </c>
      <c r="AE141" s="79">
        <f t="shared" si="31"/>
        <v>0</v>
      </c>
      <c r="AF141" s="29">
        <f t="shared" si="32"/>
        <v>3</v>
      </c>
    </row>
    <row r="142" spans="1:32" ht="15" customHeight="1" x14ac:dyDescent="0.35">
      <c r="A142" s="37" t="s">
        <v>110</v>
      </c>
      <c r="B142" s="37" t="s">
        <v>115</v>
      </c>
      <c r="C142" s="37" t="s">
        <v>210</v>
      </c>
      <c r="D142" s="37" t="s">
        <v>124</v>
      </c>
      <c r="E142" s="37" t="s">
        <v>97</v>
      </c>
      <c r="F142" s="37">
        <v>2</v>
      </c>
      <c r="G142" s="37" t="s">
        <v>211</v>
      </c>
      <c r="H142" s="38">
        <v>24</v>
      </c>
      <c r="I142" s="39">
        <f>IF($G142="Base",1,INDEX(ModelOutput!$D$16:$D$26,MATCH($G142,ModelOutput!$C$16:$C$26,0)))</f>
        <v>1</v>
      </c>
      <c r="J142" s="39">
        <f>IF($A142="Non-greek",1,INDEX(ModelOutput!$D$16:$D$26,MATCH($A142,ModelOutput!$C$16:$C$26,0)))</f>
        <v>1</v>
      </c>
      <c r="K142" s="39">
        <f>IF($C142="Yes",1,INDEX(ModelOutput!$D$16:$D$26,MATCH($C142,ModelOutput!$C$16:$C$26,0)))</f>
        <v>1</v>
      </c>
      <c r="L142" s="39">
        <f>IF($D142="2.0-3.0",1,INDEX(ModelOutput!$D$16:$D$26,MATCH($D142,ModelOutput!$C$16:$C$26,0)))</f>
        <v>0.87654761766211098</v>
      </c>
      <c r="M142" s="39">
        <f>IF($B142="On campus",1,INDEX(ModelOutput!$D$16:$D$26,MATCH($B142,ModelOutput!$C$16:$C$26,0)))</f>
        <v>1.95077419049637</v>
      </c>
      <c r="N142" s="39">
        <f>IF($B142="On campus",1,INDEX(ModelOutput!$E$16:$E$26,MATCH($B142,ModelOutput!$C$16:$C$26,0)))</f>
        <v>1.9200078162799401</v>
      </c>
      <c r="O142" s="39">
        <f>IF($B142="On campus",1,INDEX(ModelOutput!$F$16:$F$26,MATCH($B142,ModelOutput!$C$16:$C$26,0)))</f>
        <v>2.4799996979530001</v>
      </c>
      <c r="P142" s="39">
        <f>IF($B142="On campus",1,INDEX(ModelOutput!$G$16:$G$26,MATCH($B142,ModelOutput!$C$16:$C$26,0)))</f>
        <v>3.1261975703362501</v>
      </c>
      <c r="Q142" s="73">
        <f>INDEX(ModelOutput!$D$9:$D$11,MATCH("Tier "&amp;$F142,ModelOutput!$B$9:$B$11,0))</f>
        <v>42.8051506068728</v>
      </c>
      <c r="R142" s="73">
        <f>INDEX(ModelOutput!$E$9:$E$11,MATCH("Tier "&amp;$F142,ModelOutput!$B$9:$B$11,0))</f>
        <v>126.191618818284</v>
      </c>
      <c r="S142" s="73">
        <f>INDEX(ModelOutput!$F$9:$F$11,MATCH("Tier "&amp;$F142,ModelOutput!$B$9:$B$11,0))</f>
        <v>146.401050261042</v>
      </c>
      <c r="T142" s="73">
        <f>INDEX(ModelOutput!$G$9:$G$11,MATCH("Tier "&amp;$F142,ModelOutput!$B$9:$B$11,0))</f>
        <v>24.317895180076398</v>
      </c>
      <c r="U142" s="77">
        <f t="shared" si="22"/>
        <v>73.194516147063538</v>
      </c>
      <c r="V142" s="77">
        <f t="shared" si="23"/>
        <v>212.37775324253934</v>
      </c>
      <c r="W142" s="77">
        <f t="shared" si="24"/>
        <v>318.25214097634353</v>
      </c>
      <c r="X142" s="77">
        <f t="shared" si="25"/>
        <v>66.63738055728453</v>
      </c>
      <c r="Y142" s="30">
        <f t="shared" si="26"/>
        <v>670.46179092323086</v>
      </c>
      <c r="Z142" s="30">
        <f t="shared" si="27"/>
        <v>1131.889807675366</v>
      </c>
      <c r="AA142" s="41">
        <f t="shared" si="28"/>
        <v>-0.20637626056981462</v>
      </c>
      <c r="AB142" s="40">
        <f t="shared" si="29"/>
        <v>1131.889807675366</v>
      </c>
      <c r="AC142" s="42">
        <f t="shared" si="30"/>
        <v>1</v>
      </c>
      <c r="AD142" s="43">
        <v>670.46179092323098</v>
      </c>
      <c r="AE142" s="79">
        <f t="shared" si="31"/>
        <v>0</v>
      </c>
      <c r="AF142" s="29">
        <f t="shared" si="32"/>
        <v>2</v>
      </c>
    </row>
    <row r="143" spans="1:32" ht="15" customHeight="1" x14ac:dyDescent="0.35">
      <c r="A143" s="37" t="s">
        <v>110</v>
      </c>
      <c r="B143" s="37" t="s">
        <v>115</v>
      </c>
      <c r="C143" s="37" t="s">
        <v>210</v>
      </c>
      <c r="D143" s="37" t="s">
        <v>124</v>
      </c>
      <c r="E143" s="37" t="s">
        <v>99</v>
      </c>
      <c r="F143" s="37">
        <v>3</v>
      </c>
      <c r="G143" s="37" t="s">
        <v>211</v>
      </c>
      <c r="H143" s="38">
        <v>24</v>
      </c>
      <c r="I143" s="39">
        <f>IF($G143="Base",1,INDEX(ModelOutput!$D$16:$D$26,MATCH($G143,ModelOutput!$C$16:$C$26,0)))</f>
        <v>1</v>
      </c>
      <c r="J143" s="39">
        <f>IF($A143="Non-greek",1,INDEX(ModelOutput!$D$16:$D$26,MATCH($A143,ModelOutput!$C$16:$C$26,0)))</f>
        <v>1</v>
      </c>
      <c r="K143" s="39">
        <f>IF($C143="Yes",1,INDEX(ModelOutput!$D$16:$D$26,MATCH($C143,ModelOutput!$C$16:$C$26,0)))</f>
        <v>1</v>
      </c>
      <c r="L143" s="39">
        <f>IF($D143="2.0-3.0",1,INDEX(ModelOutput!$D$16:$D$26,MATCH($D143,ModelOutput!$C$16:$C$26,0)))</f>
        <v>0.87654761766211098</v>
      </c>
      <c r="M143" s="39">
        <f>IF($B143="On campus",1,INDEX(ModelOutput!$D$16:$D$26,MATCH($B143,ModelOutput!$C$16:$C$26,0)))</f>
        <v>1.95077419049637</v>
      </c>
      <c r="N143" s="39">
        <f>IF($B143="On campus",1,INDEX(ModelOutput!$E$16:$E$26,MATCH($B143,ModelOutput!$C$16:$C$26,0)))</f>
        <v>1.9200078162799401</v>
      </c>
      <c r="O143" s="39">
        <f>IF($B143="On campus",1,INDEX(ModelOutput!$F$16:$F$26,MATCH($B143,ModelOutput!$C$16:$C$26,0)))</f>
        <v>2.4799996979530001</v>
      </c>
      <c r="P143" s="39">
        <f>IF($B143="On campus",1,INDEX(ModelOutput!$G$16:$G$26,MATCH($B143,ModelOutput!$C$16:$C$26,0)))</f>
        <v>3.1261975703362501</v>
      </c>
      <c r="Q143" s="73">
        <f>INDEX(ModelOutput!$D$9:$D$11,MATCH("Tier "&amp;$F143,ModelOutput!$B$9:$B$11,0))</f>
        <v>40.009437343712797</v>
      </c>
      <c r="R143" s="73">
        <f>INDEX(ModelOutput!$E$9:$E$11,MATCH("Tier "&amp;$F143,ModelOutput!$B$9:$B$11,0))</f>
        <v>117.949723218616</v>
      </c>
      <c r="S143" s="73">
        <f>INDEX(ModelOutput!$F$9:$F$11,MATCH("Tier "&amp;$F143,ModelOutput!$B$9:$B$11,0))</f>
        <v>136.83922529015501</v>
      </c>
      <c r="T143" s="73">
        <f>INDEX(ModelOutput!$G$9:$G$11,MATCH("Tier "&amp;$F143,ModelOutput!$B$9:$B$11,0))</f>
        <v>22.729631592092201</v>
      </c>
      <c r="U143" s="77">
        <f t="shared" si="22"/>
        <v>68.413996123614083</v>
      </c>
      <c r="V143" s="77">
        <f t="shared" si="23"/>
        <v>198.50682198491253</v>
      </c>
      <c r="W143" s="77">
        <f t="shared" si="24"/>
        <v>297.46628415906065</v>
      </c>
      <c r="X143" s="77">
        <f t="shared" si="25"/>
        <v>62.285123737603278</v>
      </c>
      <c r="Y143" s="30">
        <f t="shared" si="26"/>
        <v>626.67222600519062</v>
      </c>
      <c r="Z143" s="30">
        <f t="shared" si="27"/>
        <v>1060.6845612994148</v>
      </c>
      <c r="AA143" s="41">
        <f t="shared" si="28"/>
        <v>-0.25630176878866551</v>
      </c>
      <c r="AB143" s="40">
        <f t="shared" si="29"/>
        <v>1069.6723315837799</v>
      </c>
      <c r="AC143" s="42">
        <f t="shared" si="30"/>
        <v>2</v>
      </c>
      <c r="AD143" s="43">
        <v>626.67222600519199</v>
      </c>
      <c r="AE143" s="79">
        <f t="shared" si="31"/>
        <v>-1.3642420526593924E-12</v>
      </c>
      <c r="AF143" s="29">
        <f t="shared" si="32"/>
        <v>1</v>
      </c>
    </row>
    <row r="144" spans="1:32" ht="15" customHeight="1" x14ac:dyDescent="0.35">
      <c r="A144" s="37" t="s">
        <v>110</v>
      </c>
      <c r="B144" s="37" t="s">
        <v>115</v>
      </c>
      <c r="C144" s="37" t="s">
        <v>210</v>
      </c>
      <c r="D144" s="37" t="s">
        <v>124</v>
      </c>
      <c r="E144" s="37" t="s">
        <v>213</v>
      </c>
      <c r="F144" s="37">
        <v>3</v>
      </c>
      <c r="G144" s="37" t="s">
        <v>107</v>
      </c>
      <c r="H144" s="38">
        <v>9</v>
      </c>
      <c r="I144" s="39">
        <f>IF($G144="Base",1,INDEX(ModelOutput!$D$16:$D$26,MATCH($G144,ModelOutput!$C$16:$C$26,0)))</f>
        <v>1.1906804269762199</v>
      </c>
      <c r="J144" s="39">
        <f>IF($A144="Non-greek",1,INDEX(ModelOutput!$D$16:$D$26,MATCH($A144,ModelOutput!$C$16:$C$26,0)))</f>
        <v>1</v>
      </c>
      <c r="K144" s="39">
        <f>IF($C144="Yes",1,INDEX(ModelOutput!$D$16:$D$26,MATCH($C144,ModelOutput!$C$16:$C$26,0)))</f>
        <v>1</v>
      </c>
      <c r="L144" s="39">
        <f>IF($D144="2.0-3.0",1,INDEX(ModelOutput!$D$16:$D$26,MATCH($D144,ModelOutput!$C$16:$C$26,0)))</f>
        <v>0.87654761766211098</v>
      </c>
      <c r="M144" s="39">
        <f>IF($B144="On campus",1,INDEX(ModelOutput!$D$16:$D$26,MATCH($B144,ModelOutput!$C$16:$C$26,0)))</f>
        <v>1.95077419049637</v>
      </c>
      <c r="N144" s="39">
        <f>IF($B144="On campus",1,INDEX(ModelOutput!$E$16:$E$26,MATCH($B144,ModelOutput!$C$16:$C$26,0)))</f>
        <v>1.9200078162799401</v>
      </c>
      <c r="O144" s="39">
        <f>IF($B144="On campus",1,INDEX(ModelOutput!$F$16:$F$26,MATCH($B144,ModelOutput!$C$16:$C$26,0)))</f>
        <v>2.4799996979530001</v>
      </c>
      <c r="P144" s="39">
        <f>IF($B144="On campus",1,INDEX(ModelOutput!$G$16:$G$26,MATCH($B144,ModelOutput!$C$16:$C$26,0)))</f>
        <v>3.1261975703362501</v>
      </c>
      <c r="Q144" s="73">
        <f>INDEX(ModelOutput!$D$9:$D$11,MATCH("Tier "&amp;$F144,ModelOutput!$B$9:$B$11,0))</f>
        <v>40.009437343712797</v>
      </c>
      <c r="R144" s="73">
        <f>INDEX(ModelOutput!$E$9:$E$11,MATCH("Tier "&amp;$F144,ModelOutput!$B$9:$B$11,0))</f>
        <v>117.949723218616</v>
      </c>
      <c r="S144" s="73">
        <f>INDEX(ModelOutput!$F$9:$F$11,MATCH("Tier "&amp;$F144,ModelOutput!$B$9:$B$11,0))</f>
        <v>136.83922529015501</v>
      </c>
      <c r="T144" s="73">
        <f>INDEX(ModelOutput!$G$9:$G$11,MATCH("Tier "&amp;$F144,ModelOutput!$B$9:$B$11,0))</f>
        <v>22.729631592092201</v>
      </c>
      <c r="U144" s="77">
        <f t="shared" si="22"/>
        <v>81.459206115614279</v>
      </c>
      <c r="V144" s="77">
        <f t="shared" si="23"/>
        <v>236.35818755868814</v>
      </c>
      <c r="W144" s="77">
        <f t="shared" si="24"/>
        <v>354.18728223353992</v>
      </c>
      <c r="X144" s="77">
        <f t="shared" si="25"/>
        <v>74.161677726156157</v>
      </c>
      <c r="Y144" s="30">
        <f t="shared" si="26"/>
        <v>746.16635363399848</v>
      </c>
      <c r="Z144" s="30">
        <f t="shared" si="27"/>
        <v>1254.9913285443956</v>
      </c>
      <c r="AA144" s="41">
        <f t="shared" si="28"/>
        <v>-0.12006371613382627</v>
      </c>
      <c r="AB144" s="40">
        <f t="shared" si="29"/>
        <v>1254.9913285443956</v>
      </c>
      <c r="AC144" s="42">
        <f t="shared" si="30"/>
        <v>1</v>
      </c>
      <c r="AD144" s="43">
        <v>746.16635363399996</v>
      </c>
      <c r="AE144" s="79">
        <f t="shared" si="31"/>
        <v>-1.4779288903810084E-12</v>
      </c>
      <c r="AF144" s="29">
        <f t="shared" si="32"/>
        <v>2</v>
      </c>
    </row>
    <row r="145" spans="1:32" ht="15" customHeight="1" x14ac:dyDescent="0.35">
      <c r="A145" s="19" t="s">
        <v>110</v>
      </c>
      <c r="B145" s="19" t="s">
        <v>115</v>
      </c>
      <c r="C145" s="19" t="s">
        <v>118</v>
      </c>
      <c r="D145" s="19" t="s">
        <v>121</v>
      </c>
      <c r="E145" s="19" t="s">
        <v>95</v>
      </c>
      <c r="F145" s="19">
        <v>1</v>
      </c>
      <c r="G145" s="19" t="s">
        <v>211</v>
      </c>
      <c r="H145" s="16">
        <v>1</v>
      </c>
      <c r="I145" s="13">
        <f>IF($G145="Base",1,INDEX(ModelOutput!$D$16:$D$26,MATCH($G145,ModelOutput!$C$16:$C$26,0)))</f>
        <v>1</v>
      </c>
      <c r="J145" s="13">
        <f>IF($A145="Non-greek",1,INDEX(ModelOutput!$D$16:$D$26,MATCH($A145,ModelOutput!$C$16:$C$26,0)))</f>
        <v>1</v>
      </c>
      <c r="K145" s="13">
        <f>IF($C145="Yes",1,INDEX(ModelOutput!$D$16:$D$26,MATCH($C145,ModelOutput!$C$16:$C$26,0)))</f>
        <v>1.5400747552012299</v>
      </c>
      <c r="L145" s="13">
        <f>IF($D145="2.0-3.0",1,INDEX(ModelOutput!$D$16:$D$26,MATCH($D145,ModelOutput!$C$16:$C$26,0)))</f>
        <v>1.12144800201769</v>
      </c>
      <c r="M145" s="13">
        <f>IF($B145="On campus",1,INDEX(ModelOutput!$D$16:$D$26,MATCH($B145,ModelOutput!$C$16:$C$26,0)))</f>
        <v>1.95077419049637</v>
      </c>
      <c r="N145" s="13">
        <f>IF($B145="On campus",1,INDEX(ModelOutput!$E$16:$E$26,MATCH($B145,ModelOutput!$C$16:$C$26,0)))</f>
        <v>1.9200078162799401</v>
      </c>
      <c r="O145" s="13">
        <f>IF($B145="On campus",1,INDEX(ModelOutput!$F$16:$F$26,MATCH($B145,ModelOutput!$C$16:$C$26,0)))</f>
        <v>2.4799996979530001</v>
      </c>
      <c r="P145" s="13">
        <f>IF($B145="On campus",1,INDEX(ModelOutput!$G$16:$G$26,MATCH($B145,ModelOutput!$C$16:$C$26,0)))</f>
        <v>3.1261975703362501</v>
      </c>
      <c r="Q145" s="72">
        <f>INDEX(ModelOutput!$D$9:$D$11,MATCH("Tier "&amp;$F145,ModelOutput!$B$9:$B$11,0))</f>
        <v>36.175496869914397</v>
      </c>
      <c r="R145" s="72">
        <f>INDEX(ModelOutput!$E$9:$E$11,MATCH("Tier "&amp;$F145,ModelOutput!$B$9:$B$11,0))</f>
        <v>106.647084447761</v>
      </c>
      <c r="S145" s="72">
        <f>INDEX(ModelOutput!$F$9:$F$11,MATCH("Tier "&amp;$F145,ModelOutput!$B$9:$B$11,0))</f>
        <v>123.726482920496</v>
      </c>
      <c r="T145" s="72">
        <f>INDEX(ModelOutput!$G$9:$G$11,MATCH("Tier "&amp;$F145,ModelOutput!$B$9:$B$11,0))</f>
        <v>20.551544113210401</v>
      </c>
      <c r="U145" s="76">
        <f t="shared" si="22"/>
        <v>121.88280751929773</v>
      </c>
      <c r="V145" s="76">
        <f t="shared" si="23"/>
        <v>353.64940138182698</v>
      </c>
      <c r="W145" s="76">
        <f t="shared" si="24"/>
        <v>529.95041818826564</v>
      </c>
      <c r="X145" s="76">
        <f t="shared" si="25"/>
        <v>110.96392811361667</v>
      </c>
      <c r="Y145" s="27">
        <f t="shared" si="26"/>
        <v>1116.4465552030069</v>
      </c>
      <c r="Z145" s="27">
        <f t="shared" si="27"/>
        <v>1857.0958032110539</v>
      </c>
      <c r="AA145" s="33">
        <f t="shared" si="28"/>
        <v>0.30210141113592104</v>
      </c>
      <c r="AB145" s="14">
        <f t="shared" si="29"/>
        <v>1782.7872193062994</v>
      </c>
      <c r="AC145" s="29">
        <f t="shared" si="30"/>
        <v>2</v>
      </c>
      <c r="AD145" s="20">
        <v>1116.4465552030099</v>
      </c>
      <c r="AE145" s="78">
        <f t="shared" si="31"/>
        <v>-2.9558577807620168E-12</v>
      </c>
      <c r="AF145" s="29">
        <f t="shared" si="32"/>
        <v>4</v>
      </c>
    </row>
    <row r="146" spans="1:32" ht="15" customHeight="1" x14ac:dyDescent="0.35">
      <c r="A146" s="19" t="s">
        <v>110</v>
      </c>
      <c r="B146" s="19" t="s">
        <v>115</v>
      </c>
      <c r="C146" s="19" t="s">
        <v>118</v>
      </c>
      <c r="D146" s="19" t="s">
        <v>121</v>
      </c>
      <c r="E146" s="19" t="s">
        <v>105</v>
      </c>
      <c r="F146" s="19">
        <v>1</v>
      </c>
      <c r="G146" s="19" t="s">
        <v>105</v>
      </c>
      <c r="H146" s="16">
        <v>4</v>
      </c>
      <c r="I146" s="13">
        <f>IF($G146="Base",1,INDEX(ModelOutput!$D$16:$D$26,MATCH($G146,ModelOutput!$C$16:$C$26,0)))</f>
        <v>0.98982624281990295</v>
      </c>
      <c r="J146" s="13">
        <f>IF($A146="Non-greek",1,INDEX(ModelOutput!$D$16:$D$26,MATCH($A146,ModelOutput!$C$16:$C$26,0)))</f>
        <v>1</v>
      </c>
      <c r="K146" s="13">
        <f>IF($C146="Yes",1,INDEX(ModelOutput!$D$16:$D$26,MATCH($C146,ModelOutput!$C$16:$C$26,0)))</f>
        <v>1.5400747552012299</v>
      </c>
      <c r="L146" s="13">
        <f>IF($D146="2.0-3.0",1,INDEX(ModelOutput!$D$16:$D$26,MATCH($D146,ModelOutput!$C$16:$C$26,0)))</f>
        <v>1.12144800201769</v>
      </c>
      <c r="M146" s="13">
        <f>IF($B146="On campus",1,INDEX(ModelOutput!$D$16:$D$26,MATCH($B146,ModelOutput!$C$16:$C$26,0)))</f>
        <v>1.95077419049637</v>
      </c>
      <c r="N146" s="13">
        <f>IF($B146="On campus",1,INDEX(ModelOutput!$E$16:$E$26,MATCH($B146,ModelOutput!$C$16:$C$26,0)))</f>
        <v>1.9200078162799401</v>
      </c>
      <c r="O146" s="13">
        <f>IF($B146="On campus",1,INDEX(ModelOutput!$F$16:$F$26,MATCH($B146,ModelOutput!$C$16:$C$26,0)))</f>
        <v>2.4799996979530001</v>
      </c>
      <c r="P146" s="13">
        <f>IF($B146="On campus",1,INDEX(ModelOutput!$G$16:$G$26,MATCH($B146,ModelOutput!$C$16:$C$26,0)))</f>
        <v>3.1261975703362501</v>
      </c>
      <c r="Q146" s="72">
        <f>INDEX(ModelOutput!$D$9:$D$11,MATCH("Tier "&amp;$F146,ModelOutput!$B$9:$B$11,0))</f>
        <v>36.175496869914397</v>
      </c>
      <c r="R146" s="72">
        <f>INDEX(ModelOutput!$E$9:$E$11,MATCH("Tier "&amp;$F146,ModelOutput!$B$9:$B$11,0))</f>
        <v>106.647084447761</v>
      </c>
      <c r="S146" s="72">
        <f>INDEX(ModelOutput!$F$9:$F$11,MATCH("Tier "&amp;$F146,ModelOutput!$B$9:$B$11,0))</f>
        <v>123.726482920496</v>
      </c>
      <c r="T146" s="72">
        <f>INDEX(ModelOutput!$G$9:$G$11,MATCH("Tier "&amp;$F146,ModelOutput!$B$9:$B$11,0))</f>
        <v>20.551544113210401</v>
      </c>
      <c r="U146" s="76">
        <f t="shared" si="22"/>
        <v>120.64280143116791</v>
      </c>
      <c r="V146" s="76">
        <f t="shared" si="23"/>
        <v>350.05145824528165</v>
      </c>
      <c r="W146" s="76">
        <f t="shared" si="24"/>
        <v>524.55883131612745</v>
      </c>
      <c r="X146" s="76">
        <f t="shared" si="25"/>
        <v>109.83500805323898</v>
      </c>
      <c r="Y146" s="27">
        <f t="shared" si="26"/>
        <v>1105.0880990458159</v>
      </c>
      <c r="Z146" s="27">
        <f t="shared" si="27"/>
        <v>1838.6260679981783</v>
      </c>
      <c r="AA146" s="33">
        <f t="shared" si="28"/>
        <v>0.28915136933279562</v>
      </c>
      <c r="AB146" s="14">
        <f t="shared" si="29"/>
        <v>1782.7872193062994</v>
      </c>
      <c r="AC146" s="29">
        <f t="shared" si="30"/>
        <v>2</v>
      </c>
      <c r="AD146" s="20">
        <v>1105.0880990458199</v>
      </c>
      <c r="AE146" s="78">
        <f t="shared" si="31"/>
        <v>-4.0927261579781771E-12</v>
      </c>
      <c r="AF146" s="29">
        <f t="shared" si="32"/>
        <v>3</v>
      </c>
    </row>
    <row r="147" spans="1:32" ht="15" customHeight="1" x14ac:dyDescent="0.35">
      <c r="A147" s="19" t="s">
        <v>110</v>
      </c>
      <c r="B147" s="19" t="s">
        <v>115</v>
      </c>
      <c r="C147" s="19" t="s">
        <v>118</v>
      </c>
      <c r="D147" s="19" t="s">
        <v>121</v>
      </c>
      <c r="E147" s="19" t="s">
        <v>97</v>
      </c>
      <c r="F147" s="19">
        <v>2</v>
      </c>
      <c r="G147" s="19" t="s">
        <v>211</v>
      </c>
      <c r="H147" s="16">
        <v>4</v>
      </c>
      <c r="I147" s="13">
        <f>IF($G147="Base",1,INDEX(ModelOutput!$D$16:$D$26,MATCH($G147,ModelOutput!$C$16:$C$26,0)))</f>
        <v>1</v>
      </c>
      <c r="J147" s="13">
        <f>IF($A147="Non-greek",1,INDEX(ModelOutput!$D$16:$D$26,MATCH($A147,ModelOutput!$C$16:$C$26,0)))</f>
        <v>1</v>
      </c>
      <c r="K147" s="13">
        <f>IF($C147="Yes",1,INDEX(ModelOutput!$D$16:$D$26,MATCH($C147,ModelOutput!$C$16:$C$26,0)))</f>
        <v>1.5400747552012299</v>
      </c>
      <c r="L147" s="13">
        <f>IF($D147="2.0-3.0",1,INDEX(ModelOutput!$D$16:$D$26,MATCH($D147,ModelOutput!$C$16:$C$26,0)))</f>
        <v>1.12144800201769</v>
      </c>
      <c r="M147" s="13">
        <f>IF($B147="On campus",1,INDEX(ModelOutput!$D$16:$D$26,MATCH($B147,ModelOutput!$C$16:$C$26,0)))</f>
        <v>1.95077419049637</v>
      </c>
      <c r="N147" s="13">
        <f>IF($B147="On campus",1,INDEX(ModelOutput!$E$16:$E$26,MATCH($B147,ModelOutput!$C$16:$C$26,0)))</f>
        <v>1.9200078162799401</v>
      </c>
      <c r="O147" s="13">
        <f>IF($B147="On campus",1,INDEX(ModelOutput!$F$16:$F$26,MATCH($B147,ModelOutput!$C$16:$C$26,0)))</f>
        <v>2.4799996979530001</v>
      </c>
      <c r="P147" s="13">
        <f>IF($B147="On campus",1,INDEX(ModelOutput!$G$16:$G$26,MATCH($B147,ModelOutput!$C$16:$C$26,0)))</f>
        <v>3.1261975703362501</v>
      </c>
      <c r="Q147" s="72">
        <f>INDEX(ModelOutput!$D$9:$D$11,MATCH("Tier "&amp;$F147,ModelOutput!$B$9:$B$11,0))</f>
        <v>42.8051506068728</v>
      </c>
      <c r="R147" s="72">
        <f>INDEX(ModelOutput!$E$9:$E$11,MATCH("Tier "&amp;$F147,ModelOutput!$B$9:$B$11,0))</f>
        <v>126.191618818284</v>
      </c>
      <c r="S147" s="72">
        <f>INDEX(ModelOutput!$F$9:$F$11,MATCH("Tier "&amp;$F147,ModelOutput!$B$9:$B$11,0))</f>
        <v>146.401050261042</v>
      </c>
      <c r="T147" s="72">
        <f>INDEX(ModelOutput!$G$9:$G$11,MATCH("Tier "&amp;$F147,ModelOutput!$B$9:$B$11,0))</f>
        <v>24.317895180076398</v>
      </c>
      <c r="U147" s="76">
        <f t="shared" si="22"/>
        <v>144.21949616926918</v>
      </c>
      <c r="V147" s="76">
        <f t="shared" si="23"/>
        <v>418.46048286814431</v>
      </c>
      <c r="W147" s="76">
        <f t="shared" si="24"/>
        <v>627.07106819560352</v>
      </c>
      <c r="X147" s="76">
        <f t="shared" si="25"/>
        <v>131.29958302753235</v>
      </c>
      <c r="Y147" s="27">
        <f t="shared" si="26"/>
        <v>1321.0506302605493</v>
      </c>
      <c r="Z147" s="27">
        <f t="shared" si="27"/>
        <v>2189.7979801169927</v>
      </c>
      <c r="AA147" s="33">
        <f t="shared" si="28"/>
        <v>0.53537530755427531</v>
      </c>
      <c r="AB147" s="14">
        <f t="shared" si="29"/>
        <v>1782.7872193062994</v>
      </c>
      <c r="AC147" s="29">
        <f t="shared" si="30"/>
        <v>2</v>
      </c>
      <c r="AD147" s="20">
        <v>1321.05063026055</v>
      </c>
      <c r="AE147" s="78">
        <f t="shared" si="31"/>
        <v>0</v>
      </c>
      <c r="AF147" s="29">
        <f t="shared" si="32"/>
        <v>2</v>
      </c>
    </row>
    <row r="148" spans="1:32" ht="15" customHeight="1" x14ac:dyDescent="0.35">
      <c r="A148" s="19" t="s">
        <v>110</v>
      </c>
      <c r="B148" s="19" t="s">
        <v>115</v>
      </c>
      <c r="C148" s="19" t="s">
        <v>118</v>
      </c>
      <c r="D148" s="19" t="s">
        <v>121</v>
      </c>
      <c r="E148" s="19" t="s">
        <v>99</v>
      </c>
      <c r="F148" s="19">
        <v>3</v>
      </c>
      <c r="G148" s="19" t="s">
        <v>211</v>
      </c>
      <c r="H148" s="16">
        <v>1</v>
      </c>
      <c r="I148" s="13">
        <f>IF($G148="Base",1,INDEX(ModelOutput!$D$16:$D$26,MATCH($G148,ModelOutput!$C$16:$C$26,0)))</f>
        <v>1</v>
      </c>
      <c r="J148" s="13">
        <f>IF($A148="Non-greek",1,INDEX(ModelOutput!$D$16:$D$26,MATCH($A148,ModelOutput!$C$16:$C$26,0)))</f>
        <v>1</v>
      </c>
      <c r="K148" s="13">
        <f>IF($C148="Yes",1,INDEX(ModelOutput!$D$16:$D$26,MATCH($C148,ModelOutput!$C$16:$C$26,0)))</f>
        <v>1.5400747552012299</v>
      </c>
      <c r="L148" s="13">
        <f>IF($D148="2.0-3.0",1,INDEX(ModelOutput!$D$16:$D$26,MATCH($D148,ModelOutput!$C$16:$C$26,0)))</f>
        <v>1.12144800201769</v>
      </c>
      <c r="M148" s="13">
        <f>IF($B148="On campus",1,INDEX(ModelOutput!$D$16:$D$26,MATCH($B148,ModelOutput!$C$16:$C$26,0)))</f>
        <v>1.95077419049637</v>
      </c>
      <c r="N148" s="13">
        <f>IF($B148="On campus",1,INDEX(ModelOutput!$E$16:$E$26,MATCH($B148,ModelOutput!$C$16:$C$26,0)))</f>
        <v>1.9200078162799401</v>
      </c>
      <c r="O148" s="13">
        <f>IF($B148="On campus",1,INDEX(ModelOutput!$F$16:$F$26,MATCH($B148,ModelOutput!$C$16:$C$26,0)))</f>
        <v>2.4799996979530001</v>
      </c>
      <c r="P148" s="13">
        <f>IF($B148="On campus",1,INDEX(ModelOutput!$G$16:$G$26,MATCH($B148,ModelOutput!$C$16:$C$26,0)))</f>
        <v>3.1261975703362501</v>
      </c>
      <c r="Q148" s="72">
        <f>INDEX(ModelOutput!$D$9:$D$11,MATCH("Tier "&amp;$F148,ModelOutput!$B$9:$B$11,0))</f>
        <v>40.009437343712797</v>
      </c>
      <c r="R148" s="72">
        <f>INDEX(ModelOutput!$E$9:$E$11,MATCH("Tier "&amp;$F148,ModelOutput!$B$9:$B$11,0))</f>
        <v>117.949723218616</v>
      </c>
      <c r="S148" s="72">
        <f>INDEX(ModelOutput!$F$9:$F$11,MATCH("Tier "&amp;$F148,ModelOutput!$B$9:$B$11,0))</f>
        <v>136.83922529015501</v>
      </c>
      <c r="T148" s="72">
        <f>INDEX(ModelOutput!$G$9:$G$11,MATCH("Tier "&amp;$F148,ModelOutput!$B$9:$B$11,0))</f>
        <v>22.729631592092201</v>
      </c>
      <c r="U148" s="76">
        <f t="shared" si="22"/>
        <v>134.80015404500756</v>
      </c>
      <c r="V148" s="76">
        <f t="shared" si="23"/>
        <v>391.12976435701773</v>
      </c>
      <c r="W148" s="76">
        <f t="shared" si="24"/>
        <v>586.11546174536034</v>
      </c>
      <c r="X148" s="76">
        <f t="shared" si="25"/>
        <v>122.72407329299774</v>
      </c>
      <c r="Y148" s="27">
        <f t="shared" si="26"/>
        <v>1234.7694534403834</v>
      </c>
      <c r="Z148" s="27">
        <f t="shared" si="27"/>
        <v>2049.4980601569318</v>
      </c>
      <c r="AA148" s="33">
        <f t="shared" si="28"/>
        <v>0.43700411773930892</v>
      </c>
      <c r="AB148" s="14">
        <f t="shared" si="29"/>
        <v>1782.7872193062994</v>
      </c>
      <c r="AC148" s="29">
        <f t="shared" si="30"/>
        <v>2</v>
      </c>
      <c r="AD148" s="20">
        <v>1234.76945344039</v>
      </c>
      <c r="AE148" s="78">
        <f t="shared" si="31"/>
        <v>-6.5938365878537297E-12</v>
      </c>
      <c r="AF148" s="29">
        <f t="shared" si="32"/>
        <v>1</v>
      </c>
    </row>
    <row r="149" spans="1:32" ht="15" customHeight="1" x14ac:dyDescent="0.35">
      <c r="A149" s="19" t="s">
        <v>110</v>
      </c>
      <c r="B149" s="19" t="s">
        <v>115</v>
      </c>
      <c r="C149" s="19" t="s">
        <v>118</v>
      </c>
      <c r="D149" s="19" t="s">
        <v>121</v>
      </c>
      <c r="E149" s="19" t="s">
        <v>213</v>
      </c>
      <c r="F149" s="19">
        <v>3</v>
      </c>
      <c r="G149" s="19" t="s">
        <v>107</v>
      </c>
      <c r="H149" s="16">
        <v>4</v>
      </c>
      <c r="I149" s="13">
        <f>IF($G149="Base",1,INDEX(ModelOutput!$D$16:$D$26,MATCH($G149,ModelOutput!$C$16:$C$26,0)))</f>
        <v>1.1906804269762199</v>
      </c>
      <c r="J149" s="13">
        <f>IF($A149="Non-greek",1,INDEX(ModelOutput!$D$16:$D$26,MATCH($A149,ModelOutput!$C$16:$C$26,0)))</f>
        <v>1</v>
      </c>
      <c r="K149" s="13">
        <f>IF($C149="Yes",1,INDEX(ModelOutput!$D$16:$D$26,MATCH($C149,ModelOutput!$C$16:$C$26,0)))</f>
        <v>1.5400747552012299</v>
      </c>
      <c r="L149" s="13">
        <f>IF($D149="2.0-3.0",1,INDEX(ModelOutput!$D$16:$D$26,MATCH($D149,ModelOutput!$C$16:$C$26,0)))</f>
        <v>1.12144800201769</v>
      </c>
      <c r="M149" s="13">
        <f>IF($B149="On campus",1,INDEX(ModelOutput!$D$16:$D$26,MATCH($B149,ModelOutput!$C$16:$C$26,0)))</f>
        <v>1.95077419049637</v>
      </c>
      <c r="N149" s="13">
        <f>IF($B149="On campus",1,INDEX(ModelOutput!$E$16:$E$26,MATCH($B149,ModelOutput!$C$16:$C$26,0)))</f>
        <v>1.9200078162799401</v>
      </c>
      <c r="O149" s="13">
        <f>IF($B149="On campus",1,INDEX(ModelOutput!$F$16:$F$26,MATCH($B149,ModelOutput!$C$16:$C$26,0)))</f>
        <v>2.4799996979530001</v>
      </c>
      <c r="P149" s="13">
        <f>IF($B149="On campus",1,INDEX(ModelOutput!$G$16:$G$26,MATCH($B149,ModelOutput!$C$16:$C$26,0)))</f>
        <v>3.1261975703362501</v>
      </c>
      <c r="Q149" s="72">
        <f>INDEX(ModelOutput!$D$9:$D$11,MATCH("Tier "&amp;$F149,ModelOutput!$B$9:$B$11,0))</f>
        <v>40.009437343712797</v>
      </c>
      <c r="R149" s="72">
        <f>INDEX(ModelOutput!$E$9:$E$11,MATCH("Tier "&amp;$F149,ModelOutput!$B$9:$B$11,0))</f>
        <v>117.949723218616</v>
      </c>
      <c r="S149" s="72">
        <f>INDEX(ModelOutput!$F$9:$F$11,MATCH("Tier "&amp;$F149,ModelOutput!$B$9:$B$11,0))</f>
        <v>136.83922529015501</v>
      </c>
      <c r="T149" s="72">
        <f>INDEX(ModelOutput!$G$9:$G$11,MATCH("Tier "&amp;$F149,ModelOutput!$B$9:$B$11,0))</f>
        <v>22.729631592092201</v>
      </c>
      <c r="U149" s="76">
        <f t="shared" si="22"/>
        <v>160.5039049747698</v>
      </c>
      <c r="V149" s="76">
        <f t="shared" si="23"/>
        <v>465.71055482772215</v>
      </c>
      <c r="W149" s="76">
        <f t="shared" si="24"/>
        <v>697.87620824833004</v>
      </c>
      <c r="X149" s="76">
        <f t="shared" si="25"/>
        <v>146.12515198876747</v>
      </c>
      <c r="Y149" s="27">
        <f t="shared" si="26"/>
        <v>1470.2158200395893</v>
      </c>
      <c r="Z149" s="27">
        <f t="shared" si="27"/>
        <v>2432.3522075639144</v>
      </c>
      <c r="AA149" s="33">
        <f t="shared" si="28"/>
        <v>0.70544203286242912</v>
      </c>
      <c r="AB149" s="14">
        <f t="shared" si="29"/>
        <v>1782.7872193062994</v>
      </c>
      <c r="AC149" s="29">
        <f t="shared" si="30"/>
        <v>3</v>
      </c>
      <c r="AD149" s="20">
        <v>1470.2158200396</v>
      </c>
      <c r="AE149" s="78">
        <f t="shared" si="31"/>
        <v>-1.0686562745831907E-11</v>
      </c>
      <c r="AF149" s="29">
        <f t="shared" si="32"/>
        <v>2</v>
      </c>
    </row>
    <row r="150" spans="1:32" ht="15" customHeight="1" x14ac:dyDescent="0.35">
      <c r="A150" s="37" t="s">
        <v>110</v>
      </c>
      <c r="B150" s="37" t="s">
        <v>115</v>
      </c>
      <c r="C150" s="37" t="s">
        <v>118</v>
      </c>
      <c r="D150" s="37" t="s">
        <v>123</v>
      </c>
      <c r="E150" s="37" t="s">
        <v>95</v>
      </c>
      <c r="F150" s="37">
        <v>1</v>
      </c>
      <c r="G150" s="37" t="s">
        <v>211</v>
      </c>
      <c r="H150" s="38">
        <v>14</v>
      </c>
      <c r="I150" s="39">
        <f>IF($G150="Base",1,INDEX(ModelOutput!$D$16:$D$26,MATCH($G150,ModelOutput!$C$16:$C$26,0)))</f>
        <v>1</v>
      </c>
      <c r="J150" s="39">
        <f>IF($A150="Non-greek",1,INDEX(ModelOutput!$D$16:$D$26,MATCH($A150,ModelOutput!$C$16:$C$26,0)))</f>
        <v>1</v>
      </c>
      <c r="K150" s="39">
        <f>IF($C150="Yes",1,INDEX(ModelOutput!$D$16:$D$26,MATCH($C150,ModelOutput!$C$16:$C$26,0)))</f>
        <v>1.5400747552012299</v>
      </c>
      <c r="L150" s="39">
        <f>IF($D150="2.0-3.0",1,INDEX(ModelOutput!$D$16:$D$26,MATCH($D150,ModelOutput!$C$16:$C$26,0)))</f>
        <v>1.01762556011242</v>
      </c>
      <c r="M150" s="39">
        <f>IF($B150="On campus",1,INDEX(ModelOutput!$D$16:$D$26,MATCH($B150,ModelOutput!$C$16:$C$26,0)))</f>
        <v>1.95077419049637</v>
      </c>
      <c r="N150" s="39">
        <f>IF($B150="On campus",1,INDEX(ModelOutput!$E$16:$E$26,MATCH($B150,ModelOutput!$C$16:$C$26,0)))</f>
        <v>1.9200078162799401</v>
      </c>
      <c r="O150" s="39">
        <f>IF($B150="On campus",1,INDEX(ModelOutput!$F$16:$F$26,MATCH($B150,ModelOutput!$C$16:$C$26,0)))</f>
        <v>2.4799996979530001</v>
      </c>
      <c r="P150" s="39">
        <f>IF($B150="On campus",1,INDEX(ModelOutput!$G$16:$G$26,MATCH($B150,ModelOutput!$C$16:$C$26,0)))</f>
        <v>3.1261975703362501</v>
      </c>
      <c r="Q150" s="73">
        <f>INDEX(ModelOutput!$D$9:$D$11,MATCH("Tier "&amp;$F150,ModelOutput!$B$9:$B$11,0))</f>
        <v>36.175496869914397</v>
      </c>
      <c r="R150" s="73">
        <f>INDEX(ModelOutput!$E$9:$E$11,MATCH("Tier "&amp;$F150,ModelOutput!$B$9:$B$11,0))</f>
        <v>106.647084447761</v>
      </c>
      <c r="S150" s="73">
        <f>INDEX(ModelOutput!$F$9:$F$11,MATCH("Tier "&amp;$F150,ModelOutput!$B$9:$B$11,0))</f>
        <v>123.726482920496</v>
      </c>
      <c r="T150" s="73">
        <f>INDEX(ModelOutput!$G$9:$G$11,MATCH("Tier "&amp;$F150,ModelOutput!$B$9:$B$11,0))</f>
        <v>20.551544113210401</v>
      </c>
      <c r="U150" s="77">
        <f t="shared" si="22"/>
        <v>110.59902915404466</v>
      </c>
      <c r="V150" s="77">
        <f t="shared" si="23"/>
        <v>320.9089226759591</v>
      </c>
      <c r="W150" s="77">
        <f t="shared" si="24"/>
        <v>480.88818221652878</v>
      </c>
      <c r="X150" s="77">
        <f t="shared" si="25"/>
        <v>100.69100778255456</v>
      </c>
      <c r="Y150" s="30">
        <f t="shared" si="26"/>
        <v>1013.0871418290872</v>
      </c>
      <c r="Z150" s="30">
        <f t="shared" si="27"/>
        <v>1689.0253392012203</v>
      </c>
      <c r="AA150" s="41">
        <f t="shared" si="28"/>
        <v>0.1842589239690906</v>
      </c>
      <c r="AB150" s="40">
        <f t="shared" si="29"/>
        <v>1689.0253392012203</v>
      </c>
      <c r="AC150" s="42">
        <f t="shared" si="30"/>
        <v>1</v>
      </c>
      <c r="AD150" s="43">
        <v>1013.08714182909</v>
      </c>
      <c r="AE150" s="79">
        <f t="shared" si="31"/>
        <v>-2.8421709430404007E-12</v>
      </c>
      <c r="AF150" s="29">
        <f t="shared" si="32"/>
        <v>4</v>
      </c>
    </row>
    <row r="151" spans="1:32" ht="15" customHeight="1" x14ac:dyDescent="0.35">
      <c r="A151" s="37" t="s">
        <v>110</v>
      </c>
      <c r="B151" s="37" t="s">
        <v>115</v>
      </c>
      <c r="C151" s="37" t="s">
        <v>118</v>
      </c>
      <c r="D151" s="37" t="s">
        <v>123</v>
      </c>
      <c r="E151" s="37" t="s">
        <v>105</v>
      </c>
      <c r="F151" s="37">
        <v>1</v>
      </c>
      <c r="G151" s="37" t="s">
        <v>105</v>
      </c>
      <c r="H151" s="38">
        <v>11</v>
      </c>
      <c r="I151" s="39">
        <f>IF($G151="Base",1,INDEX(ModelOutput!$D$16:$D$26,MATCH($G151,ModelOutput!$C$16:$C$26,0)))</f>
        <v>0.98982624281990295</v>
      </c>
      <c r="J151" s="39">
        <f>IF($A151="Non-greek",1,INDEX(ModelOutput!$D$16:$D$26,MATCH($A151,ModelOutput!$C$16:$C$26,0)))</f>
        <v>1</v>
      </c>
      <c r="K151" s="39">
        <f>IF($C151="Yes",1,INDEX(ModelOutput!$D$16:$D$26,MATCH($C151,ModelOutput!$C$16:$C$26,0)))</f>
        <v>1.5400747552012299</v>
      </c>
      <c r="L151" s="39">
        <f>IF($D151="2.0-3.0",1,INDEX(ModelOutput!$D$16:$D$26,MATCH($D151,ModelOutput!$C$16:$C$26,0)))</f>
        <v>1.01762556011242</v>
      </c>
      <c r="M151" s="39">
        <f>IF($B151="On campus",1,INDEX(ModelOutput!$D$16:$D$26,MATCH($B151,ModelOutput!$C$16:$C$26,0)))</f>
        <v>1.95077419049637</v>
      </c>
      <c r="N151" s="39">
        <f>IF($B151="On campus",1,INDEX(ModelOutput!$E$16:$E$26,MATCH($B151,ModelOutput!$C$16:$C$26,0)))</f>
        <v>1.9200078162799401</v>
      </c>
      <c r="O151" s="39">
        <f>IF($B151="On campus",1,INDEX(ModelOutput!$F$16:$F$26,MATCH($B151,ModelOutput!$C$16:$C$26,0)))</f>
        <v>2.4799996979530001</v>
      </c>
      <c r="P151" s="39">
        <f>IF($B151="On campus",1,INDEX(ModelOutput!$G$16:$G$26,MATCH($B151,ModelOutput!$C$16:$C$26,0)))</f>
        <v>3.1261975703362501</v>
      </c>
      <c r="Q151" s="73">
        <f>INDEX(ModelOutput!$D$9:$D$11,MATCH("Tier "&amp;$F151,ModelOutput!$B$9:$B$11,0))</f>
        <v>36.175496869914397</v>
      </c>
      <c r="R151" s="73">
        <f>INDEX(ModelOutput!$E$9:$E$11,MATCH("Tier "&amp;$F151,ModelOutput!$B$9:$B$11,0))</f>
        <v>106.647084447761</v>
      </c>
      <c r="S151" s="73">
        <f>INDEX(ModelOutput!$F$9:$F$11,MATCH("Tier "&amp;$F151,ModelOutput!$B$9:$B$11,0))</f>
        <v>123.726482920496</v>
      </c>
      <c r="T151" s="73">
        <f>INDEX(ModelOutput!$G$9:$G$11,MATCH("Tier "&amp;$F151,ModelOutput!$B$9:$B$11,0))</f>
        <v>20.551544113210401</v>
      </c>
      <c r="U151" s="77">
        <f t="shared" si="22"/>
        <v>109.47382148707695</v>
      </c>
      <c r="V151" s="77">
        <f t="shared" si="23"/>
        <v>317.64407321972743</v>
      </c>
      <c r="W151" s="77">
        <f t="shared" si="24"/>
        <v>475.99574261987959</v>
      </c>
      <c r="X151" s="77">
        <f t="shared" si="25"/>
        <v>99.666601919155568</v>
      </c>
      <c r="Y151" s="30">
        <f t="shared" si="26"/>
        <v>1002.7802392458395</v>
      </c>
      <c r="Z151" s="30">
        <f t="shared" si="27"/>
        <v>1672.265512078327</v>
      </c>
      <c r="AA151" s="41">
        <f t="shared" si="28"/>
        <v>0.17250778301589897</v>
      </c>
      <c r="AB151" s="40">
        <f t="shared" si="29"/>
        <v>1672.265512078327</v>
      </c>
      <c r="AC151" s="42">
        <f t="shared" si="30"/>
        <v>1</v>
      </c>
      <c r="AD151" s="43">
        <v>1002.78023924584</v>
      </c>
      <c r="AE151" s="79">
        <f t="shared" si="31"/>
        <v>0</v>
      </c>
      <c r="AF151" s="29">
        <f t="shared" si="32"/>
        <v>3</v>
      </c>
    </row>
    <row r="152" spans="1:32" ht="15" customHeight="1" x14ac:dyDescent="0.35">
      <c r="A152" s="37" t="s">
        <v>110</v>
      </c>
      <c r="B152" s="37" t="s">
        <v>115</v>
      </c>
      <c r="C152" s="37" t="s">
        <v>118</v>
      </c>
      <c r="D152" s="37" t="s">
        <v>123</v>
      </c>
      <c r="E152" s="37" t="s">
        <v>97</v>
      </c>
      <c r="F152" s="37">
        <v>2</v>
      </c>
      <c r="G152" s="37" t="s">
        <v>211</v>
      </c>
      <c r="H152" s="38">
        <v>16</v>
      </c>
      <c r="I152" s="39">
        <f>IF($G152="Base",1,INDEX(ModelOutput!$D$16:$D$26,MATCH($G152,ModelOutput!$C$16:$C$26,0)))</f>
        <v>1</v>
      </c>
      <c r="J152" s="39">
        <f>IF($A152="Non-greek",1,INDEX(ModelOutput!$D$16:$D$26,MATCH($A152,ModelOutput!$C$16:$C$26,0)))</f>
        <v>1</v>
      </c>
      <c r="K152" s="39">
        <f>IF($C152="Yes",1,INDEX(ModelOutput!$D$16:$D$26,MATCH($C152,ModelOutput!$C$16:$C$26,0)))</f>
        <v>1.5400747552012299</v>
      </c>
      <c r="L152" s="39">
        <f>IF($D152="2.0-3.0",1,INDEX(ModelOutput!$D$16:$D$26,MATCH($D152,ModelOutput!$C$16:$C$26,0)))</f>
        <v>1.01762556011242</v>
      </c>
      <c r="M152" s="39">
        <f>IF($B152="On campus",1,INDEX(ModelOutput!$D$16:$D$26,MATCH($B152,ModelOutput!$C$16:$C$26,0)))</f>
        <v>1.95077419049637</v>
      </c>
      <c r="N152" s="39">
        <f>IF($B152="On campus",1,INDEX(ModelOutput!$E$16:$E$26,MATCH($B152,ModelOutput!$C$16:$C$26,0)))</f>
        <v>1.9200078162799401</v>
      </c>
      <c r="O152" s="39">
        <f>IF($B152="On campus",1,INDEX(ModelOutput!$F$16:$F$26,MATCH($B152,ModelOutput!$C$16:$C$26,0)))</f>
        <v>2.4799996979530001</v>
      </c>
      <c r="P152" s="39">
        <f>IF($B152="On campus",1,INDEX(ModelOutput!$G$16:$G$26,MATCH($B152,ModelOutput!$C$16:$C$26,0)))</f>
        <v>3.1261975703362501</v>
      </c>
      <c r="Q152" s="73">
        <f>INDEX(ModelOutput!$D$9:$D$11,MATCH("Tier "&amp;$F152,ModelOutput!$B$9:$B$11,0))</f>
        <v>42.8051506068728</v>
      </c>
      <c r="R152" s="73">
        <f>INDEX(ModelOutput!$E$9:$E$11,MATCH("Tier "&amp;$F152,ModelOutput!$B$9:$B$11,0))</f>
        <v>126.191618818284</v>
      </c>
      <c r="S152" s="73">
        <f>INDEX(ModelOutput!$F$9:$F$11,MATCH("Tier "&amp;$F152,ModelOutput!$B$9:$B$11,0))</f>
        <v>146.401050261042</v>
      </c>
      <c r="T152" s="73">
        <f>INDEX(ModelOutput!$G$9:$G$11,MATCH("Tier "&amp;$F152,ModelOutput!$B$9:$B$11,0))</f>
        <v>24.317895180076398</v>
      </c>
      <c r="U152" s="77">
        <f t="shared" si="22"/>
        <v>130.86781135133586</v>
      </c>
      <c r="V152" s="77">
        <f t="shared" si="23"/>
        <v>379.7198644051727</v>
      </c>
      <c r="W152" s="77">
        <f t="shared" si="24"/>
        <v>569.01750759263348</v>
      </c>
      <c r="X152" s="77">
        <f t="shared" si="25"/>
        <v>119.14400978068009</v>
      </c>
      <c r="Y152" s="30">
        <f t="shared" si="26"/>
        <v>1198.7491931298221</v>
      </c>
      <c r="Z152" s="30">
        <f t="shared" si="27"/>
        <v>1990.9263087650208</v>
      </c>
      <c r="AA152" s="41">
        <f t="shared" si="28"/>
        <v>0.39593657560807394</v>
      </c>
      <c r="AB152" s="40">
        <f t="shared" si="29"/>
        <v>1782.7872193062994</v>
      </c>
      <c r="AC152" s="42">
        <f t="shared" si="30"/>
        <v>2</v>
      </c>
      <c r="AD152" s="43">
        <v>1198.74919312982</v>
      </c>
      <c r="AE152" s="79">
        <f t="shared" si="31"/>
        <v>2.0463630789890885E-12</v>
      </c>
      <c r="AF152" s="29">
        <f t="shared" si="32"/>
        <v>2</v>
      </c>
    </row>
    <row r="153" spans="1:32" ht="15" customHeight="1" x14ac:dyDescent="0.35">
      <c r="A153" s="37" t="s">
        <v>110</v>
      </c>
      <c r="B153" s="37" t="s">
        <v>115</v>
      </c>
      <c r="C153" s="37" t="s">
        <v>118</v>
      </c>
      <c r="D153" s="37" t="s">
        <v>123</v>
      </c>
      <c r="E153" s="37" t="s">
        <v>99</v>
      </c>
      <c r="F153" s="37">
        <v>3</v>
      </c>
      <c r="G153" s="37" t="s">
        <v>211</v>
      </c>
      <c r="H153" s="38">
        <v>9</v>
      </c>
      <c r="I153" s="39">
        <f>IF($G153="Base",1,INDEX(ModelOutput!$D$16:$D$26,MATCH($G153,ModelOutput!$C$16:$C$26,0)))</f>
        <v>1</v>
      </c>
      <c r="J153" s="39">
        <f>IF($A153="Non-greek",1,INDEX(ModelOutput!$D$16:$D$26,MATCH($A153,ModelOutput!$C$16:$C$26,0)))</f>
        <v>1</v>
      </c>
      <c r="K153" s="39">
        <f>IF($C153="Yes",1,INDEX(ModelOutput!$D$16:$D$26,MATCH($C153,ModelOutput!$C$16:$C$26,0)))</f>
        <v>1.5400747552012299</v>
      </c>
      <c r="L153" s="39">
        <f>IF($D153="2.0-3.0",1,INDEX(ModelOutput!$D$16:$D$26,MATCH($D153,ModelOutput!$C$16:$C$26,0)))</f>
        <v>1.01762556011242</v>
      </c>
      <c r="M153" s="39">
        <f>IF($B153="On campus",1,INDEX(ModelOutput!$D$16:$D$26,MATCH($B153,ModelOutput!$C$16:$C$26,0)))</f>
        <v>1.95077419049637</v>
      </c>
      <c r="N153" s="39">
        <f>IF($B153="On campus",1,INDEX(ModelOutput!$E$16:$E$26,MATCH($B153,ModelOutput!$C$16:$C$26,0)))</f>
        <v>1.9200078162799401</v>
      </c>
      <c r="O153" s="39">
        <f>IF($B153="On campus",1,INDEX(ModelOutput!$F$16:$F$26,MATCH($B153,ModelOutput!$C$16:$C$26,0)))</f>
        <v>2.4799996979530001</v>
      </c>
      <c r="P153" s="39">
        <f>IF($B153="On campus",1,INDEX(ModelOutput!$G$16:$G$26,MATCH($B153,ModelOutput!$C$16:$C$26,0)))</f>
        <v>3.1261975703362501</v>
      </c>
      <c r="Q153" s="73">
        <f>INDEX(ModelOutput!$D$9:$D$11,MATCH("Tier "&amp;$F153,ModelOutput!$B$9:$B$11,0))</f>
        <v>40.009437343712797</v>
      </c>
      <c r="R153" s="73">
        <f>INDEX(ModelOutput!$E$9:$E$11,MATCH("Tier "&amp;$F153,ModelOutput!$B$9:$B$11,0))</f>
        <v>117.949723218616</v>
      </c>
      <c r="S153" s="73">
        <f>INDEX(ModelOutput!$F$9:$F$11,MATCH("Tier "&amp;$F153,ModelOutput!$B$9:$B$11,0))</f>
        <v>136.83922529015501</v>
      </c>
      <c r="T153" s="73">
        <f>INDEX(ModelOutput!$G$9:$G$11,MATCH("Tier "&amp;$F153,ModelOutput!$B$9:$B$11,0))</f>
        <v>22.729631592092201</v>
      </c>
      <c r="U153" s="77">
        <f t="shared" si="22"/>
        <v>122.32050172320649</v>
      </c>
      <c r="V153" s="77">
        <f t="shared" si="23"/>
        <v>354.91939422454868</v>
      </c>
      <c r="W153" s="77">
        <f t="shared" si="24"/>
        <v>531.85352684748329</v>
      </c>
      <c r="X153" s="77">
        <f t="shared" si="25"/>
        <v>111.36241145320129</v>
      </c>
      <c r="Y153" s="30">
        <f t="shared" si="26"/>
        <v>1120.4558342484397</v>
      </c>
      <c r="Z153" s="30">
        <f t="shared" si="27"/>
        <v>1863.6152035009245</v>
      </c>
      <c r="AA153" s="41">
        <f t="shared" si="28"/>
        <v>0.3066724840458499</v>
      </c>
      <c r="AB153" s="40">
        <f t="shared" si="29"/>
        <v>1782.7872193062994</v>
      </c>
      <c r="AC153" s="42">
        <f t="shared" si="30"/>
        <v>2</v>
      </c>
      <c r="AD153" s="43">
        <v>1120.4558342484399</v>
      </c>
      <c r="AE153" s="79">
        <f t="shared" si="31"/>
        <v>0</v>
      </c>
      <c r="AF153" s="29">
        <f t="shared" si="32"/>
        <v>1</v>
      </c>
    </row>
    <row r="154" spans="1:32" ht="15" customHeight="1" x14ac:dyDescent="0.35">
      <c r="A154" s="37" t="s">
        <v>110</v>
      </c>
      <c r="B154" s="37" t="s">
        <v>115</v>
      </c>
      <c r="C154" s="37" t="s">
        <v>118</v>
      </c>
      <c r="D154" s="37" t="s">
        <v>123</v>
      </c>
      <c r="E154" s="37" t="s">
        <v>213</v>
      </c>
      <c r="F154" s="37">
        <v>3</v>
      </c>
      <c r="G154" s="37" t="s">
        <v>107</v>
      </c>
      <c r="H154" s="38">
        <v>3</v>
      </c>
      <c r="I154" s="39">
        <f>IF($G154="Base",1,INDEX(ModelOutput!$D$16:$D$26,MATCH($G154,ModelOutput!$C$16:$C$26,0)))</f>
        <v>1.1906804269762199</v>
      </c>
      <c r="J154" s="39">
        <f>IF($A154="Non-greek",1,INDEX(ModelOutput!$D$16:$D$26,MATCH($A154,ModelOutput!$C$16:$C$26,0)))</f>
        <v>1</v>
      </c>
      <c r="K154" s="39">
        <f>IF($C154="Yes",1,INDEX(ModelOutput!$D$16:$D$26,MATCH($C154,ModelOutput!$C$16:$C$26,0)))</f>
        <v>1.5400747552012299</v>
      </c>
      <c r="L154" s="39">
        <f>IF($D154="2.0-3.0",1,INDEX(ModelOutput!$D$16:$D$26,MATCH($D154,ModelOutput!$C$16:$C$26,0)))</f>
        <v>1.01762556011242</v>
      </c>
      <c r="M154" s="39">
        <f>IF($B154="On campus",1,INDEX(ModelOutput!$D$16:$D$26,MATCH($B154,ModelOutput!$C$16:$C$26,0)))</f>
        <v>1.95077419049637</v>
      </c>
      <c r="N154" s="39">
        <f>IF($B154="On campus",1,INDEX(ModelOutput!$E$16:$E$26,MATCH($B154,ModelOutput!$C$16:$C$26,0)))</f>
        <v>1.9200078162799401</v>
      </c>
      <c r="O154" s="39">
        <f>IF($B154="On campus",1,INDEX(ModelOutput!$F$16:$F$26,MATCH($B154,ModelOutput!$C$16:$C$26,0)))</f>
        <v>2.4799996979530001</v>
      </c>
      <c r="P154" s="39">
        <f>IF($B154="On campus",1,INDEX(ModelOutput!$G$16:$G$26,MATCH($B154,ModelOutput!$C$16:$C$26,0)))</f>
        <v>3.1261975703362501</v>
      </c>
      <c r="Q154" s="73">
        <f>INDEX(ModelOutput!$D$9:$D$11,MATCH("Tier "&amp;$F154,ModelOutput!$B$9:$B$11,0))</f>
        <v>40.009437343712797</v>
      </c>
      <c r="R154" s="73">
        <f>INDEX(ModelOutput!$E$9:$E$11,MATCH("Tier "&amp;$F154,ModelOutput!$B$9:$B$11,0))</f>
        <v>117.949723218616</v>
      </c>
      <c r="S154" s="73">
        <f>INDEX(ModelOutput!$F$9:$F$11,MATCH("Tier "&amp;$F154,ModelOutput!$B$9:$B$11,0))</f>
        <v>136.83922529015501</v>
      </c>
      <c r="T154" s="73">
        <f>INDEX(ModelOutput!$G$9:$G$11,MATCH("Tier "&amp;$F154,ModelOutput!$B$9:$B$11,0))</f>
        <v>22.729631592092201</v>
      </c>
      <c r="U154" s="77">
        <f t="shared" si="22"/>
        <v>145.64462721973291</v>
      </c>
      <c r="V154" s="77">
        <f t="shared" si="23"/>
        <v>422.59557585742698</v>
      </c>
      <c r="W154" s="77">
        <f t="shared" si="24"/>
        <v>633.26758443556992</v>
      </c>
      <c r="X154" s="77">
        <f t="shared" si="25"/>
        <v>132.59704361819922</v>
      </c>
      <c r="Y154" s="30">
        <f t="shared" si="26"/>
        <v>1334.1048311309291</v>
      </c>
      <c r="Z154" s="30">
        <f t="shared" si="27"/>
        <v>2211.0251284331803</v>
      </c>
      <c r="AA154" s="41">
        <f t="shared" si="28"/>
        <v>0.55025870760779316</v>
      </c>
      <c r="AB154" s="40">
        <f t="shared" si="29"/>
        <v>1782.7872193062994</v>
      </c>
      <c r="AC154" s="42">
        <f t="shared" si="30"/>
        <v>2</v>
      </c>
      <c r="AD154" s="43">
        <v>1334.1048311309301</v>
      </c>
      <c r="AE154" s="79">
        <f t="shared" si="31"/>
        <v>0</v>
      </c>
      <c r="AF154" s="29">
        <f t="shared" si="32"/>
        <v>2</v>
      </c>
    </row>
    <row r="155" spans="1:32" ht="15" customHeight="1" x14ac:dyDescent="0.35">
      <c r="A155" s="19" t="s">
        <v>110</v>
      </c>
      <c r="B155" s="19" t="s">
        <v>115</v>
      </c>
      <c r="C155" s="19" t="s">
        <v>118</v>
      </c>
      <c r="D155" s="19" t="s">
        <v>122</v>
      </c>
      <c r="E155" s="19" t="s">
        <v>95</v>
      </c>
      <c r="F155" s="19">
        <v>1</v>
      </c>
      <c r="G155" s="19" t="s">
        <v>211</v>
      </c>
      <c r="H155" s="16">
        <v>24</v>
      </c>
      <c r="I155" s="13">
        <f>IF($G155="Base",1,INDEX(ModelOutput!$D$16:$D$26,MATCH($G155,ModelOutput!$C$16:$C$26,0)))</f>
        <v>1</v>
      </c>
      <c r="J155" s="13">
        <f>IF($A155="Non-greek",1,INDEX(ModelOutput!$D$16:$D$26,MATCH($A155,ModelOutput!$C$16:$C$26,0)))</f>
        <v>1</v>
      </c>
      <c r="K155" s="13">
        <f>IF($C155="Yes",1,INDEX(ModelOutput!$D$16:$D$26,MATCH($C155,ModelOutput!$C$16:$C$26,0)))</f>
        <v>1.5400747552012299</v>
      </c>
      <c r="L155" s="13">
        <f>IF($D155="2.0-3.0",1,INDEX(ModelOutput!$D$16:$D$26,MATCH($D155,ModelOutput!$C$16:$C$26,0)))</f>
        <v>1</v>
      </c>
      <c r="M155" s="13">
        <f>IF($B155="On campus",1,INDEX(ModelOutput!$D$16:$D$26,MATCH($B155,ModelOutput!$C$16:$C$26,0)))</f>
        <v>1.95077419049637</v>
      </c>
      <c r="N155" s="13">
        <f>IF($B155="On campus",1,INDEX(ModelOutput!$E$16:$E$26,MATCH($B155,ModelOutput!$C$16:$C$26,0)))</f>
        <v>1.9200078162799401</v>
      </c>
      <c r="O155" s="13">
        <f>IF($B155="On campus",1,INDEX(ModelOutput!$F$16:$F$26,MATCH($B155,ModelOutput!$C$16:$C$26,0)))</f>
        <v>2.4799996979530001</v>
      </c>
      <c r="P155" s="13">
        <f>IF($B155="On campus",1,INDEX(ModelOutput!$G$16:$G$26,MATCH($B155,ModelOutput!$C$16:$C$26,0)))</f>
        <v>3.1261975703362501</v>
      </c>
      <c r="Q155" s="72">
        <f>INDEX(ModelOutput!$D$9:$D$11,MATCH("Tier "&amp;$F155,ModelOutput!$B$9:$B$11,0))</f>
        <v>36.175496869914397</v>
      </c>
      <c r="R155" s="72">
        <f>INDEX(ModelOutput!$E$9:$E$11,MATCH("Tier "&amp;$F155,ModelOutput!$B$9:$B$11,0))</f>
        <v>106.647084447761</v>
      </c>
      <c r="S155" s="72">
        <f>INDEX(ModelOutput!$F$9:$F$11,MATCH("Tier "&amp;$F155,ModelOutput!$B$9:$B$11,0))</f>
        <v>123.726482920496</v>
      </c>
      <c r="T155" s="72">
        <f>INDEX(ModelOutput!$G$9:$G$11,MATCH("Tier "&amp;$F155,ModelOutput!$B$9:$B$11,0))</f>
        <v>20.551544113210401</v>
      </c>
      <c r="U155" s="76">
        <f t="shared" si="22"/>
        <v>108.68342294962251</v>
      </c>
      <c r="V155" s="76">
        <f t="shared" si="23"/>
        <v>315.35069013056966</v>
      </c>
      <c r="W155" s="76">
        <f t="shared" si="24"/>
        <v>472.55906402685451</v>
      </c>
      <c r="X155" s="76">
        <f t="shared" si="25"/>
        <v>98.94701128716828</v>
      </c>
      <c r="Y155" s="27">
        <f t="shared" si="26"/>
        <v>995.54018839421497</v>
      </c>
      <c r="Z155" s="27">
        <f t="shared" si="27"/>
        <v>1660.4926249617445</v>
      </c>
      <c r="AA155" s="33">
        <f t="shared" si="28"/>
        <v>0.16425323152688054</v>
      </c>
      <c r="AB155" s="14">
        <f t="shared" si="29"/>
        <v>1660.4926249617445</v>
      </c>
      <c r="AC155" s="29">
        <f t="shared" si="30"/>
        <v>1</v>
      </c>
      <c r="AD155" s="20">
        <v>995.54018839421406</v>
      </c>
      <c r="AE155" s="78">
        <f t="shared" si="31"/>
        <v>9.0949470177292824E-13</v>
      </c>
      <c r="AF155" s="29">
        <f t="shared" si="32"/>
        <v>4</v>
      </c>
    </row>
    <row r="156" spans="1:32" ht="15" customHeight="1" x14ac:dyDescent="0.35">
      <c r="A156" s="19" t="s">
        <v>110</v>
      </c>
      <c r="B156" s="19" t="s">
        <v>115</v>
      </c>
      <c r="C156" s="19" t="s">
        <v>118</v>
      </c>
      <c r="D156" s="19" t="s">
        <v>122</v>
      </c>
      <c r="E156" s="19" t="s">
        <v>105</v>
      </c>
      <c r="F156" s="19">
        <v>1</v>
      </c>
      <c r="G156" s="19" t="s">
        <v>105</v>
      </c>
      <c r="H156" s="16">
        <v>18</v>
      </c>
      <c r="I156" s="13">
        <f>IF($G156="Base",1,INDEX(ModelOutput!$D$16:$D$26,MATCH($G156,ModelOutput!$C$16:$C$26,0)))</f>
        <v>0.98982624281990295</v>
      </c>
      <c r="J156" s="13">
        <f>IF($A156="Non-greek",1,INDEX(ModelOutput!$D$16:$D$26,MATCH($A156,ModelOutput!$C$16:$C$26,0)))</f>
        <v>1</v>
      </c>
      <c r="K156" s="13">
        <f>IF($C156="Yes",1,INDEX(ModelOutput!$D$16:$D$26,MATCH($C156,ModelOutput!$C$16:$C$26,0)))</f>
        <v>1.5400747552012299</v>
      </c>
      <c r="L156" s="13">
        <f>IF($D156="2.0-3.0",1,INDEX(ModelOutput!$D$16:$D$26,MATCH($D156,ModelOutput!$C$16:$C$26,0)))</f>
        <v>1</v>
      </c>
      <c r="M156" s="13">
        <f>IF($B156="On campus",1,INDEX(ModelOutput!$D$16:$D$26,MATCH($B156,ModelOutput!$C$16:$C$26,0)))</f>
        <v>1.95077419049637</v>
      </c>
      <c r="N156" s="13">
        <f>IF($B156="On campus",1,INDEX(ModelOutput!$E$16:$E$26,MATCH($B156,ModelOutput!$C$16:$C$26,0)))</f>
        <v>1.9200078162799401</v>
      </c>
      <c r="O156" s="13">
        <f>IF($B156="On campus",1,INDEX(ModelOutput!$F$16:$F$26,MATCH($B156,ModelOutput!$C$16:$C$26,0)))</f>
        <v>2.4799996979530001</v>
      </c>
      <c r="P156" s="13">
        <f>IF($B156="On campus",1,INDEX(ModelOutput!$G$16:$G$26,MATCH($B156,ModelOutput!$C$16:$C$26,0)))</f>
        <v>3.1261975703362501</v>
      </c>
      <c r="Q156" s="72">
        <f>INDEX(ModelOutput!$D$9:$D$11,MATCH("Tier "&amp;$F156,ModelOutput!$B$9:$B$11,0))</f>
        <v>36.175496869914397</v>
      </c>
      <c r="R156" s="72">
        <f>INDEX(ModelOutput!$E$9:$E$11,MATCH("Tier "&amp;$F156,ModelOutput!$B$9:$B$11,0))</f>
        <v>106.647084447761</v>
      </c>
      <c r="S156" s="72">
        <f>INDEX(ModelOutput!$F$9:$F$11,MATCH("Tier "&amp;$F156,ModelOutput!$B$9:$B$11,0))</f>
        <v>123.726482920496</v>
      </c>
      <c r="T156" s="72">
        <f>INDEX(ModelOutput!$G$9:$G$11,MATCH("Tier "&amp;$F156,ModelOutput!$B$9:$B$11,0))</f>
        <v>20.551544113210401</v>
      </c>
      <c r="U156" s="76">
        <f t="shared" si="22"/>
        <v>107.57770419503129</v>
      </c>
      <c r="V156" s="76">
        <f t="shared" si="23"/>
        <v>312.14238878260522</v>
      </c>
      <c r="W156" s="76">
        <f t="shared" si="24"/>
        <v>467.75136285619141</v>
      </c>
      <c r="X156" s="76">
        <f t="shared" si="25"/>
        <v>97.940348420636298</v>
      </c>
      <c r="Y156" s="27">
        <f t="shared" si="26"/>
        <v>985.41180425446419</v>
      </c>
      <c r="Z156" s="27">
        <f t="shared" si="27"/>
        <v>1644.0230827452126</v>
      </c>
      <c r="AA156" s="33">
        <f t="shared" si="28"/>
        <v>0.15270562363081575</v>
      </c>
      <c r="AB156" s="14">
        <f t="shared" si="29"/>
        <v>1644.0230827452126</v>
      </c>
      <c r="AC156" s="29">
        <f t="shared" si="30"/>
        <v>1</v>
      </c>
      <c r="AD156" s="20">
        <v>985.41180425446396</v>
      </c>
      <c r="AE156" s="78">
        <f t="shared" si="31"/>
        <v>0</v>
      </c>
      <c r="AF156" s="29">
        <f t="shared" si="32"/>
        <v>3</v>
      </c>
    </row>
    <row r="157" spans="1:32" ht="15" customHeight="1" x14ac:dyDescent="0.35">
      <c r="A157" s="19" t="s">
        <v>110</v>
      </c>
      <c r="B157" s="19" t="s">
        <v>115</v>
      </c>
      <c r="C157" s="19" t="s">
        <v>118</v>
      </c>
      <c r="D157" s="19" t="s">
        <v>122</v>
      </c>
      <c r="E157" s="19" t="s">
        <v>97</v>
      </c>
      <c r="F157" s="19">
        <v>2</v>
      </c>
      <c r="G157" s="19" t="s">
        <v>211</v>
      </c>
      <c r="H157" s="16">
        <v>15</v>
      </c>
      <c r="I157" s="13">
        <f>IF($G157="Base",1,INDEX(ModelOutput!$D$16:$D$26,MATCH($G157,ModelOutput!$C$16:$C$26,0)))</f>
        <v>1</v>
      </c>
      <c r="J157" s="13">
        <f>IF($A157="Non-greek",1,INDEX(ModelOutput!$D$16:$D$26,MATCH($A157,ModelOutput!$C$16:$C$26,0)))</f>
        <v>1</v>
      </c>
      <c r="K157" s="13">
        <f>IF($C157="Yes",1,INDEX(ModelOutput!$D$16:$D$26,MATCH($C157,ModelOutput!$C$16:$C$26,0)))</f>
        <v>1.5400747552012299</v>
      </c>
      <c r="L157" s="13">
        <f>IF($D157="2.0-3.0",1,INDEX(ModelOutput!$D$16:$D$26,MATCH($D157,ModelOutput!$C$16:$C$26,0)))</f>
        <v>1</v>
      </c>
      <c r="M157" s="13">
        <f>IF($B157="On campus",1,INDEX(ModelOutput!$D$16:$D$26,MATCH($B157,ModelOutput!$C$16:$C$26,0)))</f>
        <v>1.95077419049637</v>
      </c>
      <c r="N157" s="13">
        <f>IF($B157="On campus",1,INDEX(ModelOutput!$E$16:$E$26,MATCH($B157,ModelOutput!$C$16:$C$26,0)))</f>
        <v>1.9200078162799401</v>
      </c>
      <c r="O157" s="13">
        <f>IF($B157="On campus",1,INDEX(ModelOutput!$F$16:$F$26,MATCH($B157,ModelOutput!$C$16:$C$26,0)))</f>
        <v>2.4799996979530001</v>
      </c>
      <c r="P157" s="13">
        <f>IF($B157="On campus",1,INDEX(ModelOutput!$G$16:$G$26,MATCH($B157,ModelOutput!$C$16:$C$26,0)))</f>
        <v>3.1261975703362501</v>
      </c>
      <c r="Q157" s="72">
        <f>INDEX(ModelOutput!$D$9:$D$11,MATCH("Tier "&amp;$F157,ModelOutput!$B$9:$B$11,0))</f>
        <v>42.8051506068728</v>
      </c>
      <c r="R157" s="72">
        <f>INDEX(ModelOutput!$E$9:$E$11,MATCH("Tier "&amp;$F157,ModelOutput!$B$9:$B$11,0))</f>
        <v>126.191618818284</v>
      </c>
      <c r="S157" s="72">
        <f>INDEX(ModelOutput!$F$9:$F$11,MATCH("Tier "&amp;$F157,ModelOutput!$B$9:$B$11,0))</f>
        <v>146.401050261042</v>
      </c>
      <c r="T157" s="72">
        <f>INDEX(ModelOutput!$G$9:$G$11,MATCH("Tier "&amp;$F157,ModelOutput!$B$9:$B$11,0))</f>
        <v>24.317895180076398</v>
      </c>
      <c r="U157" s="76">
        <f t="shared" si="22"/>
        <v>128.60114415451446</v>
      </c>
      <c r="V157" s="76">
        <f t="shared" si="23"/>
        <v>373.14300985445368</v>
      </c>
      <c r="W157" s="76">
        <f t="shared" si="24"/>
        <v>559.16196477000096</v>
      </c>
      <c r="X157" s="76">
        <f t="shared" si="25"/>
        <v>117.08040211521212</v>
      </c>
      <c r="Y157" s="27">
        <f t="shared" si="26"/>
        <v>1177.9865208941812</v>
      </c>
      <c r="Z157" s="27">
        <f t="shared" si="27"/>
        <v>1957.1645850591783</v>
      </c>
      <c r="AA157" s="33">
        <f t="shared" si="28"/>
        <v>0.37226456687069676</v>
      </c>
      <c r="AB157" s="14">
        <f t="shared" si="29"/>
        <v>1782.7872193062994</v>
      </c>
      <c r="AC157" s="29">
        <f t="shared" si="30"/>
        <v>2</v>
      </c>
      <c r="AD157" s="20">
        <v>1177.9865208941801</v>
      </c>
      <c r="AE157" s="78">
        <f t="shared" si="31"/>
        <v>0</v>
      </c>
      <c r="AF157" s="29">
        <f t="shared" si="32"/>
        <v>2</v>
      </c>
    </row>
    <row r="158" spans="1:32" ht="15" customHeight="1" x14ac:dyDescent="0.35">
      <c r="A158" s="19" t="s">
        <v>110</v>
      </c>
      <c r="B158" s="19" t="s">
        <v>115</v>
      </c>
      <c r="C158" s="19" t="s">
        <v>118</v>
      </c>
      <c r="D158" s="19" t="s">
        <v>122</v>
      </c>
      <c r="E158" s="19" t="s">
        <v>99</v>
      </c>
      <c r="F158" s="19">
        <v>3</v>
      </c>
      <c r="G158" s="19" t="s">
        <v>211</v>
      </c>
      <c r="H158" s="16">
        <v>29</v>
      </c>
      <c r="I158" s="13">
        <f>IF($G158="Base",1,INDEX(ModelOutput!$D$16:$D$26,MATCH($G158,ModelOutput!$C$16:$C$26,0)))</f>
        <v>1</v>
      </c>
      <c r="J158" s="13">
        <f>IF($A158="Non-greek",1,INDEX(ModelOutput!$D$16:$D$26,MATCH($A158,ModelOutput!$C$16:$C$26,0)))</f>
        <v>1</v>
      </c>
      <c r="K158" s="13">
        <f>IF($C158="Yes",1,INDEX(ModelOutput!$D$16:$D$26,MATCH($C158,ModelOutput!$C$16:$C$26,0)))</f>
        <v>1.5400747552012299</v>
      </c>
      <c r="L158" s="13">
        <f>IF($D158="2.0-3.0",1,INDEX(ModelOutput!$D$16:$D$26,MATCH($D158,ModelOutput!$C$16:$C$26,0)))</f>
        <v>1</v>
      </c>
      <c r="M158" s="13">
        <f>IF($B158="On campus",1,INDEX(ModelOutput!$D$16:$D$26,MATCH($B158,ModelOutput!$C$16:$C$26,0)))</f>
        <v>1.95077419049637</v>
      </c>
      <c r="N158" s="13">
        <f>IF($B158="On campus",1,INDEX(ModelOutput!$E$16:$E$26,MATCH($B158,ModelOutput!$C$16:$C$26,0)))</f>
        <v>1.9200078162799401</v>
      </c>
      <c r="O158" s="13">
        <f>IF($B158="On campus",1,INDEX(ModelOutput!$F$16:$F$26,MATCH($B158,ModelOutput!$C$16:$C$26,0)))</f>
        <v>2.4799996979530001</v>
      </c>
      <c r="P158" s="13">
        <f>IF($B158="On campus",1,INDEX(ModelOutput!$G$16:$G$26,MATCH($B158,ModelOutput!$C$16:$C$26,0)))</f>
        <v>3.1261975703362501</v>
      </c>
      <c r="Q158" s="72">
        <f>INDEX(ModelOutput!$D$9:$D$11,MATCH("Tier "&amp;$F158,ModelOutput!$B$9:$B$11,0))</f>
        <v>40.009437343712797</v>
      </c>
      <c r="R158" s="72">
        <f>INDEX(ModelOutput!$E$9:$E$11,MATCH("Tier "&amp;$F158,ModelOutput!$B$9:$B$11,0))</f>
        <v>117.949723218616</v>
      </c>
      <c r="S158" s="72">
        <f>INDEX(ModelOutput!$F$9:$F$11,MATCH("Tier "&amp;$F158,ModelOutput!$B$9:$B$11,0))</f>
        <v>136.83922529015501</v>
      </c>
      <c r="T158" s="72">
        <f>INDEX(ModelOutput!$G$9:$G$11,MATCH("Tier "&amp;$F158,ModelOutput!$B$9:$B$11,0))</f>
        <v>22.729631592092201</v>
      </c>
      <c r="U158" s="76">
        <f t="shared" si="22"/>
        <v>120.20187632639002</v>
      </c>
      <c r="V158" s="76">
        <f t="shared" si="23"/>
        <v>348.77209077309311</v>
      </c>
      <c r="W158" s="76">
        <f t="shared" si="24"/>
        <v>522.64167459465932</v>
      </c>
      <c r="X158" s="76">
        <f t="shared" si="25"/>
        <v>109.43358325325356</v>
      </c>
      <c r="Y158" s="27">
        <f t="shared" si="26"/>
        <v>1101.0492249473959</v>
      </c>
      <c r="Z158" s="27">
        <f t="shared" si="27"/>
        <v>1832.0585438449305</v>
      </c>
      <c r="AA158" s="33">
        <f t="shared" si="28"/>
        <v>0.28454655441003984</v>
      </c>
      <c r="AB158" s="14">
        <f t="shared" si="29"/>
        <v>1782.7872193062994</v>
      </c>
      <c r="AC158" s="29">
        <f t="shared" si="30"/>
        <v>2</v>
      </c>
      <c r="AD158" s="20">
        <v>1101.0492249474</v>
      </c>
      <c r="AE158" s="78">
        <f t="shared" si="31"/>
        <v>-4.0927261579781771E-12</v>
      </c>
      <c r="AF158" s="29">
        <f t="shared" si="32"/>
        <v>1</v>
      </c>
    </row>
    <row r="159" spans="1:32" ht="15" customHeight="1" x14ac:dyDescent="0.35">
      <c r="A159" s="19" t="s">
        <v>110</v>
      </c>
      <c r="B159" s="19" t="s">
        <v>115</v>
      </c>
      <c r="C159" s="19" t="s">
        <v>118</v>
      </c>
      <c r="D159" s="19" t="s">
        <v>122</v>
      </c>
      <c r="E159" s="19" t="s">
        <v>213</v>
      </c>
      <c r="F159" s="19">
        <v>3</v>
      </c>
      <c r="G159" s="19" t="s">
        <v>107</v>
      </c>
      <c r="H159" s="16">
        <v>9</v>
      </c>
      <c r="I159" s="13">
        <f>IF($G159="Base",1,INDEX(ModelOutput!$D$16:$D$26,MATCH($G159,ModelOutput!$C$16:$C$26,0)))</f>
        <v>1.1906804269762199</v>
      </c>
      <c r="J159" s="13">
        <f>IF($A159="Non-greek",1,INDEX(ModelOutput!$D$16:$D$26,MATCH($A159,ModelOutput!$C$16:$C$26,0)))</f>
        <v>1</v>
      </c>
      <c r="K159" s="13">
        <f>IF($C159="Yes",1,INDEX(ModelOutput!$D$16:$D$26,MATCH($C159,ModelOutput!$C$16:$C$26,0)))</f>
        <v>1.5400747552012299</v>
      </c>
      <c r="L159" s="13">
        <f>IF($D159="2.0-3.0",1,INDEX(ModelOutput!$D$16:$D$26,MATCH($D159,ModelOutput!$C$16:$C$26,0)))</f>
        <v>1</v>
      </c>
      <c r="M159" s="13">
        <f>IF($B159="On campus",1,INDEX(ModelOutput!$D$16:$D$26,MATCH($B159,ModelOutput!$C$16:$C$26,0)))</f>
        <v>1.95077419049637</v>
      </c>
      <c r="N159" s="13">
        <f>IF($B159="On campus",1,INDEX(ModelOutput!$E$16:$E$26,MATCH($B159,ModelOutput!$C$16:$C$26,0)))</f>
        <v>1.9200078162799401</v>
      </c>
      <c r="O159" s="13">
        <f>IF($B159="On campus",1,INDEX(ModelOutput!$F$16:$F$26,MATCH($B159,ModelOutput!$C$16:$C$26,0)))</f>
        <v>2.4799996979530001</v>
      </c>
      <c r="P159" s="13">
        <f>IF($B159="On campus",1,INDEX(ModelOutput!$G$16:$G$26,MATCH($B159,ModelOutput!$C$16:$C$26,0)))</f>
        <v>3.1261975703362501</v>
      </c>
      <c r="Q159" s="72">
        <f>INDEX(ModelOutput!$D$9:$D$11,MATCH("Tier "&amp;$F159,ModelOutput!$B$9:$B$11,0))</f>
        <v>40.009437343712797</v>
      </c>
      <c r="R159" s="72">
        <f>INDEX(ModelOutput!$E$9:$E$11,MATCH("Tier "&amp;$F159,ModelOutput!$B$9:$B$11,0))</f>
        <v>117.949723218616</v>
      </c>
      <c r="S159" s="72">
        <f>INDEX(ModelOutput!$F$9:$F$11,MATCH("Tier "&amp;$F159,ModelOutput!$B$9:$B$11,0))</f>
        <v>136.83922529015501</v>
      </c>
      <c r="T159" s="72">
        <f>INDEX(ModelOutput!$G$9:$G$11,MATCH("Tier "&amp;$F159,ModelOutput!$B$9:$B$11,0))</f>
        <v>22.729631592092201</v>
      </c>
      <c r="U159" s="76">
        <f t="shared" si="22"/>
        <v>143.12202142764883</v>
      </c>
      <c r="V159" s="76">
        <f t="shared" si="23"/>
        <v>415.27610195909546</v>
      </c>
      <c r="W159" s="76">
        <f t="shared" si="24"/>
        <v>622.29921226193551</v>
      </c>
      <c r="X159" s="76">
        <f t="shared" si="25"/>
        <v>130.30042563352166</v>
      </c>
      <c r="Y159" s="27">
        <f t="shared" si="26"/>
        <v>1310.9977612822013</v>
      </c>
      <c r="Z159" s="27">
        <f t="shared" si="27"/>
        <v>2173.4512314400372</v>
      </c>
      <c r="AA159" s="33">
        <f t="shared" si="28"/>
        <v>0.52391379626178058</v>
      </c>
      <c r="AB159" s="14">
        <f t="shared" si="29"/>
        <v>1782.7872193062994</v>
      </c>
      <c r="AC159" s="29">
        <f t="shared" si="30"/>
        <v>2</v>
      </c>
      <c r="AD159" s="20">
        <v>1310.9977612821999</v>
      </c>
      <c r="AE159" s="78">
        <f t="shared" si="31"/>
        <v>0</v>
      </c>
      <c r="AF159" s="29">
        <f t="shared" si="32"/>
        <v>2</v>
      </c>
    </row>
    <row r="160" spans="1:32" ht="15" customHeight="1" x14ac:dyDescent="0.35">
      <c r="A160" s="37" t="s">
        <v>110</v>
      </c>
      <c r="B160" s="37" t="s">
        <v>115</v>
      </c>
      <c r="C160" s="37" t="s">
        <v>118</v>
      </c>
      <c r="D160" s="37" t="s">
        <v>124</v>
      </c>
      <c r="E160" s="37" t="s">
        <v>95</v>
      </c>
      <c r="F160" s="37">
        <v>1</v>
      </c>
      <c r="G160" s="37" t="s">
        <v>211</v>
      </c>
      <c r="H160" s="38">
        <v>12</v>
      </c>
      <c r="I160" s="39">
        <f>IF($G160="Base",1,INDEX(ModelOutput!$D$16:$D$26,MATCH($G160,ModelOutput!$C$16:$C$26,0)))</f>
        <v>1</v>
      </c>
      <c r="J160" s="39">
        <f>IF($A160="Non-greek",1,INDEX(ModelOutput!$D$16:$D$26,MATCH($A160,ModelOutput!$C$16:$C$26,0)))</f>
        <v>1</v>
      </c>
      <c r="K160" s="39">
        <f>IF($C160="Yes",1,INDEX(ModelOutput!$D$16:$D$26,MATCH($C160,ModelOutput!$C$16:$C$26,0)))</f>
        <v>1.5400747552012299</v>
      </c>
      <c r="L160" s="39">
        <f>IF($D160="2.0-3.0",1,INDEX(ModelOutput!$D$16:$D$26,MATCH($D160,ModelOutput!$C$16:$C$26,0)))</f>
        <v>0.87654761766211098</v>
      </c>
      <c r="M160" s="39">
        <f>IF($B160="On campus",1,INDEX(ModelOutput!$D$16:$D$26,MATCH($B160,ModelOutput!$C$16:$C$26,0)))</f>
        <v>1.95077419049637</v>
      </c>
      <c r="N160" s="39">
        <f>IF($B160="On campus",1,INDEX(ModelOutput!$E$16:$E$26,MATCH($B160,ModelOutput!$C$16:$C$26,0)))</f>
        <v>1.9200078162799401</v>
      </c>
      <c r="O160" s="39">
        <f>IF($B160="On campus",1,INDEX(ModelOutput!$F$16:$F$26,MATCH($B160,ModelOutput!$C$16:$C$26,0)))</f>
        <v>2.4799996979530001</v>
      </c>
      <c r="P160" s="39">
        <f>IF($B160="On campus",1,INDEX(ModelOutput!$G$16:$G$26,MATCH($B160,ModelOutput!$C$16:$C$26,0)))</f>
        <v>3.1261975703362501</v>
      </c>
      <c r="Q160" s="73">
        <f>INDEX(ModelOutput!$D$9:$D$11,MATCH("Tier "&amp;$F160,ModelOutput!$B$9:$B$11,0))</f>
        <v>36.175496869914397</v>
      </c>
      <c r="R160" s="73">
        <f>INDEX(ModelOutput!$E$9:$E$11,MATCH("Tier "&amp;$F160,ModelOutput!$B$9:$B$11,0))</f>
        <v>106.647084447761</v>
      </c>
      <c r="S160" s="73">
        <f>INDEX(ModelOutput!$F$9:$F$11,MATCH("Tier "&amp;$F160,ModelOutput!$B$9:$B$11,0))</f>
        <v>123.726482920496</v>
      </c>
      <c r="T160" s="73">
        <f>INDEX(ModelOutput!$G$9:$G$11,MATCH("Tier "&amp;$F160,ModelOutput!$B$9:$B$11,0))</f>
        <v>20.551544113210401</v>
      </c>
      <c r="U160" s="77">
        <f t="shared" si="22"/>
        <v>95.266195465855205</v>
      </c>
      <c r="V160" s="77">
        <f t="shared" si="23"/>
        <v>276.41989616205342</v>
      </c>
      <c r="W160" s="77">
        <f t="shared" si="24"/>
        <v>414.22052177737635</v>
      </c>
      <c r="X160" s="77">
        <f t="shared" si="25"/>
        <v>86.731767018553356</v>
      </c>
      <c r="Y160" s="30">
        <f t="shared" si="26"/>
        <v>872.63838042383838</v>
      </c>
      <c r="Z160" s="30">
        <f t="shared" si="27"/>
        <v>1460.6447038198012</v>
      </c>
      <c r="AA160" s="41">
        <f t="shared" si="28"/>
        <v>2.413000272976551E-2</v>
      </c>
      <c r="AB160" s="40">
        <f t="shared" si="29"/>
        <v>1460.6447038198012</v>
      </c>
      <c r="AC160" s="42">
        <f t="shared" si="30"/>
        <v>1</v>
      </c>
      <c r="AD160" s="43">
        <v>872.63838042383702</v>
      </c>
      <c r="AE160" s="79">
        <f t="shared" si="31"/>
        <v>1.3642420526593924E-12</v>
      </c>
      <c r="AF160" s="29">
        <f t="shared" si="32"/>
        <v>4</v>
      </c>
    </row>
    <row r="161" spans="1:32" ht="15" customHeight="1" x14ac:dyDescent="0.35">
      <c r="A161" s="37" t="s">
        <v>110</v>
      </c>
      <c r="B161" s="37" t="s">
        <v>115</v>
      </c>
      <c r="C161" s="37" t="s">
        <v>118</v>
      </c>
      <c r="D161" s="37" t="s">
        <v>124</v>
      </c>
      <c r="E161" s="37" t="s">
        <v>105</v>
      </c>
      <c r="F161" s="37">
        <v>1</v>
      </c>
      <c r="G161" s="37" t="s">
        <v>105</v>
      </c>
      <c r="H161" s="38">
        <v>13</v>
      </c>
      <c r="I161" s="39">
        <f>IF($G161="Base",1,INDEX(ModelOutput!$D$16:$D$26,MATCH($G161,ModelOutput!$C$16:$C$26,0)))</f>
        <v>0.98982624281990295</v>
      </c>
      <c r="J161" s="39">
        <f>IF($A161="Non-greek",1,INDEX(ModelOutput!$D$16:$D$26,MATCH($A161,ModelOutput!$C$16:$C$26,0)))</f>
        <v>1</v>
      </c>
      <c r="K161" s="39">
        <f>IF($C161="Yes",1,INDEX(ModelOutput!$D$16:$D$26,MATCH($C161,ModelOutput!$C$16:$C$26,0)))</f>
        <v>1.5400747552012299</v>
      </c>
      <c r="L161" s="39">
        <f>IF($D161="2.0-3.0",1,INDEX(ModelOutput!$D$16:$D$26,MATCH($D161,ModelOutput!$C$16:$C$26,0)))</f>
        <v>0.87654761766211098</v>
      </c>
      <c r="M161" s="39">
        <f>IF($B161="On campus",1,INDEX(ModelOutput!$D$16:$D$26,MATCH($B161,ModelOutput!$C$16:$C$26,0)))</f>
        <v>1.95077419049637</v>
      </c>
      <c r="N161" s="39">
        <f>IF($B161="On campus",1,INDEX(ModelOutput!$E$16:$E$26,MATCH($B161,ModelOutput!$C$16:$C$26,0)))</f>
        <v>1.9200078162799401</v>
      </c>
      <c r="O161" s="39">
        <f>IF($B161="On campus",1,INDEX(ModelOutput!$F$16:$F$26,MATCH($B161,ModelOutput!$C$16:$C$26,0)))</f>
        <v>2.4799996979530001</v>
      </c>
      <c r="P161" s="39">
        <f>IF($B161="On campus",1,INDEX(ModelOutput!$G$16:$G$26,MATCH($B161,ModelOutput!$C$16:$C$26,0)))</f>
        <v>3.1261975703362501</v>
      </c>
      <c r="Q161" s="73">
        <f>INDEX(ModelOutput!$D$9:$D$11,MATCH("Tier "&amp;$F161,ModelOutput!$B$9:$B$11,0))</f>
        <v>36.175496869914397</v>
      </c>
      <c r="R161" s="73">
        <f>INDEX(ModelOutput!$E$9:$E$11,MATCH("Tier "&amp;$F161,ModelOutput!$B$9:$B$11,0))</f>
        <v>106.647084447761</v>
      </c>
      <c r="S161" s="73">
        <f>INDEX(ModelOutput!$F$9:$F$11,MATCH("Tier "&amp;$F161,ModelOutput!$B$9:$B$11,0))</f>
        <v>123.726482920496</v>
      </c>
      <c r="T161" s="73">
        <f>INDEX(ModelOutput!$G$9:$G$11,MATCH("Tier "&amp;$F161,ModelOutput!$B$9:$B$11,0))</f>
        <v>20.551544113210401</v>
      </c>
      <c r="U161" s="77">
        <f t="shared" si="22"/>
        <v>94.296980325713946</v>
      </c>
      <c r="V161" s="77">
        <f t="shared" si="23"/>
        <v>273.60766725875305</v>
      </c>
      <c r="W161" s="77">
        <f t="shared" si="24"/>
        <v>410.0063427698002</v>
      </c>
      <c r="X161" s="77">
        <f t="shared" si="25"/>
        <v>85.849379081105837</v>
      </c>
      <c r="Y161" s="30">
        <f t="shared" si="26"/>
        <v>863.76036943537292</v>
      </c>
      <c r="Z161" s="30">
        <f t="shared" si="27"/>
        <v>1446.2083658259141</v>
      </c>
      <c r="AA161" s="41">
        <f t="shared" si="28"/>
        <v>1.4007974538773338E-2</v>
      </c>
      <c r="AB161" s="40">
        <f t="shared" si="29"/>
        <v>1446.2083658259141</v>
      </c>
      <c r="AC161" s="42">
        <f t="shared" si="30"/>
        <v>1</v>
      </c>
      <c r="AD161" s="43">
        <v>863.76036943537201</v>
      </c>
      <c r="AE161" s="79">
        <f t="shared" si="31"/>
        <v>9.0949470177292824E-13</v>
      </c>
      <c r="AF161" s="29">
        <f t="shared" si="32"/>
        <v>3</v>
      </c>
    </row>
    <row r="162" spans="1:32" ht="15" customHeight="1" x14ac:dyDescent="0.35">
      <c r="A162" s="37" t="s">
        <v>110</v>
      </c>
      <c r="B162" s="37" t="s">
        <v>115</v>
      </c>
      <c r="C162" s="37" t="s">
        <v>118</v>
      </c>
      <c r="D162" s="37" t="s">
        <v>124</v>
      </c>
      <c r="E162" s="37" t="s">
        <v>97</v>
      </c>
      <c r="F162" s="37">
        <v>2</v>
      </c>
      <c r="G162" s="37" t="s">
        <v>211</v>
      </c>
      <c r="H162" s="38">
        <v>13</v>
      </c>
      <c r="I162" s="39">
        <f>IF($G162="Base",1,INDEX(ModelOutput!$D$16:$D$26,MATCH($G162,ModelOutput!$C$16:$C$26,0)))</f>
        <v>1</v>
      </c>
      <c r="J162" s="39">
        <f>IF($A162="Non-greek",1,INDEX(ModelOutput!$D$16:$D$26,MATCH($A162,ModelOutput!$C$16:$C$26,0)))</f>
        <v>1</v>
      </c>
      <c r="K162" s="39">
        <f>IF($C162="Yes",1,INDEX(ModelOutput!$D$16:$D$26,MATCH($C162,ModelOutput!$C$16:$C$26,0)))</f>
        <v>1.5400747552012299</v>
      </c>
      <c r="L162" s="39">
        <f>IF($D162="2.0-3.0",1,INDEX(ModelOutput!$D$16:$D$26,MATCH($D162,ModelOutput!$C$16:$C$26,0)))</f>
        <v>0.87654761766211098</v>
      </c>
      <c r="M162" s="39">
        <f>IF($B162="On campus",1,INDEX(ModelOutput!$D$16:$D$26,MATCH($B162,ModelOutput!$C$16:$C$26,0)))</f>
        <v>1.95077419049637</v>
      </c>
      <c r="N162" s="39">
        <f>IF($B162="On campus",1,INDEX(ModelOutput!$E$16:$E$26,MATCH($B162,ModelOutput!$C$16:$C$26,0)))</f>
        <v>1.9200078162799401</v>
      </c>
      <c r="O162" s="39">
        <f>IF($B162="On campus",1,INDEX(ModelOutput!$F$16:$F$26,MATCH($B162,ModelOutput!$C$16:$C$26,0)))</f>
        <v>2.4799996979530001</v>
      </c>
      <c r="P162" s="39">
        <f>IF($B162="On campus",1,INDEX(ModelOutput!$G$16:$G$26,MATCH($B162,ModelOutput!$C$16:$C$26,0)))</f>
        <v>3.1261975703362501</v>
      </c>
      <c r="Q162" s="73">
        <f>INDEX(ModelOutput!$D$9:$D$11,MATCH("Tier "&amp;$F162,ModelOutput!$B$9:$B$11,0))</f>
        <v>42.8051506068728</v>
      </c>
      <c r="R162" s="73">
        <f>INDEX(ModelOutput!$E$9:$E$11,MATCH("Tier "&amp;$F162,ModelOutput!$B$9:$B$11,0))</f>
        <v>126.191618818284</v>
      </c>
      <c r="S162" s="73">
        <f>INDEX(ModelOutput!$F$9:$F$11,MATCH("Tier "&amp;$F162,ModelOutput!$B$9:$B$11,0))</f>
        <v>146.401050261042</v>
      </c>
      <c r="T162" s="73">
        <f>INDEX(ModelOutput!$G$9:$G$11,MATCH("Tier "&amp;$F162,ModelOutput!$B$9:$B$11,0))</f>
        <v>24.317895180076398</v>
      </c>
      <c r="U162" s="77">
        <f t="shared" si="22"/>
        <v>112.72502653726136</v>
      </c>
      <c r="V162" s="77">
        <f t="shared" si="23"/>
        <v>327.07761633519101</v>
      </c>
      <c r="W162" s="77">
        <f t="shared" si="24"/>
        <v>490.13208810640953</v>
      </c>
      <c r="X162" s="77">
        <f t="shared" si="25"/>
        <v>102.62654754901116</v>
      </c>
      <c r="Y162" s="30">
        <f t="shared" si="26"/>
        <v>1032.5612785278729</v>
      </c>
      <c r="Z162" s="30">
        <f t="shared" si="27"/>
        <v>1720.6918036703551</v>
      </c>
      <c r="AA162" s="41">
        <f t="shared" si="28"/>
        <v>0.20646184317210148</v>
      </c>
      <c r="AB162" s="40">
        <f t="shared" si="29"/>
        <v>1720.6918036703551</v>
      </c>
      <c r="AC162" s="42">
        <f t="shared" si="30"/>
        <v>1</v>
      </c>
      <c r="AD162" s="43">
        <v>1032.5612785278699</v>
      </c>
      <c r="AE162" s="79">
        <f t="shared" si="31"/>
        <v>2.9558577807620168E-12</v>
      </c>
      <c r="AF162" s="29">
        <f t="shared" si="32"/>
        <v>2</v>
      </c>
    </row>
    <row r="163" spans="1:32" ht="15" customHeight="1" x14ac:dyDescent="0.35">
      <c r="A163" s="37" t="s">
        <v>110</v>
      </c>
      <c r="B163" s="37" t="s">
        <v>115</v>
      </c>
      <c r="C163" s="37" t="s">
        <v>118</v>
      </c>
      <c r="D163" s="37" t="s">
        <v>124</v>
      </c>
      <c r="E163" s="37" t="s">
        <v>99</v>
      </c>
      <c r="F163" s="37">
        <v>3</v>
      </c>
      <c r="G163" s="37" t="s">
        <v>211</v>
      </c>
      <c r="H163" s="38">
        <v>13</v>
      </c>
      <c r="I163" s="39">
        <f>IF($G163="Base",1,INDEX(ModelOutput!$D$16:$D$26,MATCH($G163,ModelOutput!$C$16:$C$26,0)))</f>
        <v>1</v>
      </c>
      <c r="J163" s="39">
        <f>IF($A163="Non-greek",1,INDEX(ModelOutput!$D$16:$D$26,MATCH($A163,ModelOutput!$C$16:$C$26,0)))</f>
        <v>1</v>
      </c>
      <c r="K163" s="39">
        <f>IF($C163="Yes",1,INDEX(ModelOutput!$D$16:$D$26,MATCH($C163,ModelOutput!$C$16:$C$26,0)))</f>
        <v>1.5400747552012299</v>
      </c>
      <c r="L163" s="39">
        <f>IF($D163="2.0-3.0",1,INDEX(ModelOutput!$D$16:$D$26,MATCH($D163,ModelOutput!$C$16:$C$26,0)))</f>
        <v>0.87654761766211098</v>
      </c>
      <c r="M163" s="39">
        <f>IF($B163="On campus",1,INDEX(ModelOutput!$D$16:$D$26,MATCH($B163,ModelOutput!$C$16:$C$26,0)))</f>
        <v>1.95077419049637</v>
      </c>
      <c r="N163" s="39">
        <f>IF($B163="On campus",1,INDEX(ModelOutput!$E$16:$E$26,MATCH($B163,ModelOutput!$C$16:$C$26,0)))</f>
        <v>1.9200078162799401</v>
      </c>
      <c r="O163" s="39">
        <f>IF($B163="On campus",1,INDEX(ModelOutput!$F$16:$F$26,MATCH($B163,ModelOutput!$C$16:$C$26,0)))</f>
        <v>2.4799996979530001</v>
      </c>
      <c r="P163" s="39">
        <f>IF($B163="On campus",1,INDEX(ModelOutput!$G$16:$G$26,MATCH($B163,ModelOutput!$C$16:$C$26,0)))</f>
        <v>3.1261975703362501</v>
      </c>
      <c r="Q163" s="73">
        <f>INDEX(ModelOutput!$D$9:$D$11,MATCH("Tier "&amp;$F163,ModelOutput!$B$9:$B$11,0))</f>
        <v>40.009437343712797</v>
      </c>
      <c r="R163" s="73">
        <f>INDEX(ModelOutput!$E$9:$E$11,MATCH("Tier "&amp;$F163,ModelOutput!$B$9:$B$11,0))</f>
        <v>117.949723218616</v>
      </c>
      <c r="S163" s="73">
        <f>INDEX(ModelOutput!$F$9:$F$11,MATCH("Tier "&amp;$F163,ModelOutput!$B$9:$B$11,0))</f>
        <v>136.83922529015501</v>
      </c>
      <c r="T163" s="73">
        <f>INDEX(ModelOutput!$G$9:$G$11,MATCH("Tier "&amp;$F163,ModelOutput!$B$9:$B$11,0))</f>
        <v>22.729631592092201</v>
      </c>
      <c r="U163" s="77">
        <f t="shared" si="22"/>
        <v>105.36266833241287</v>
      </c>
      <c r="V163" s="77">
        <f t="shared" si="23"/>
        <v>305.71534527418828</v>
      </c>
      <c r="W163" s="77">
        <f t="shared" si="24"/>
        <v>458.1203147568848</v>
      </c>
      <c r="X163" s="77">
        <f t="shared" si="25"/>
        <v>95.923746692867695</v>
      </c>
      <c r="Y163" s="30">
        <f t="shared" si="26"/>
        <v>965.12207505635354</v>
      </c>
      <c r="Z163" s="30">
        <f t="shared" si="27"/>
        <v>1611.0304012888685</v>
      </c>
      <c r="AA163" s="41">
        <f t="shared" si="28"/>
        <v>0.12957282832365746</v>
      </c>
      <c r="AB163" s="40">
        <f t="shared" si="29"/>
        <v>1611.0304012888685</v>
      </c>
      <c r="AC163" s="42">
        <f t="shared" si="30"/>
        <v>1</v>
      </c>
      <c r="AD163" s="43">
        <v>965.12207505635502</v>
      </c>
      <c r="AE163" s="79">
        <f t="shared" si="31"/>
        <v>-1.4779288903810084E-12</v>
      </c>
      <c r="AF163" s="29">
        <f t="shared" si="32"/>
        <v>1</v>
      </c>
    </row>
    <row r="164" spans="1:32" ht="15" customHeight="1" x14ac:dyDescent="0.35">
      <c r="A164" s="37" t="s">
        <v>110</v>
      </c>
      <c r="B164" s="37" t="s">
        <v>115</v>
      </c>
      <c r="C164" s="37" t="s">
        <v>118</v>
      </c>
      <c r="D164" s="37" t="s">
        <v>124</v>
      </c>
      <c r="E164" s="37" t="s">
        <v>213</v>
      </c>
      <c r="F164" s="37">
        <v>3</v>
      </c>
      <c r="G164" s="37" t="s">
        <v>107</v>
      </c>
      <c r="H164" s="38">
        <v>3</v>
      </c>
      <c r="I164" s="39">
        <f>IF($G164="Base",1,INDEX(ModelOutput!$D$16:$D$26,MATCH($G164,ModelOutput!$C$16:$C$26,0)))</f>
        <v>1.1906804269762199</v>
      </c>
      <c r="J164" s="39">
        <f>IF($A164="Non-greek",1,INDEX(ModelOutput!$D$16:$D$26,MATCH($A164,ModelOutput!$C$16:$C$26,0)))</f>
        <v>1</v>
      </c>
      <c r="K164" s="39">
        <f>IF($C164="Yes",1,INDEX(ModelOutput!$D$16:$D$26,MATCH($C164,ModelOutput!$C$16:$C$26,0)))</f>
        <v>1.5400747552012299</v>
      </c>
      <c r="L164" s="39">
        <f>IF($D164="2.0-3.0",1,INDEX(ModelOutput!$D$16:$D$26,MATCH($D164,ModelOutput!$C$16:$C$26,0)))</f>
        <v>0.87654761766211098</v>
      </c>
      <c r="M164" s="39">
        <f>IF($B164="On campus",1,INDEX(ModelOutput!$D$16:$D$26,MATCH($B164,ModelOutput!$C$16:$C$26,0)))</f>
        <v>1.95077419049637</v>
      </c>
      <c r="N164" s="39">
        <f>IF($B164="On campus",1,INDEX(ModelOutput!$E$16:$E$26,MATCH($B164,ModelOutput!$C$16:$C$26,0)))</f>
        <v>1.9200078162799401</v>
      </c>
      <c r="O164" s="39">
        <f>IF($B164="On campus",1,INDEX(ModelOutput!$F$16:$F$26,MATCH($B164,ModelOutput!$C$16:$C$26,0)))</f>
        <v>2.4799996979530001</v>
      </c>
      <c r="P164" s="39">
        <f>IF($B164="On campus",1,INDEX(ModelOutput!$G$16:$G$26,MATCH($B164,ModelOutput!$C$16:$C$26,0)))</f>
        <v>3.1261975703362501</v>
      </c>
      <c r="Q164" s="73">
        <f>INDEX(ModelOutput!$D$9:$D$11,MATCH("Tier "&amp;$F164,ModelOutput!$B$9:$B$11,0))</f>
        <v>40.009437343712797</v>
      </c>
      <c r="R164" s="73">
        <f>INDEX(ModelOutput!$E$9:$E$11,MATCH("Tier "&amp;$F164,ModelOutput!$B$9:$B$11,0))</f>
        <v>117.949723218616</v>
      </c>
      <c r="S164" s="73">
        <f>INDEX(ModelOutput!$F$9:$F$11,MATCH("Tier "&amp;$F164,ModelOutput!$B$9:$B$11,0))</f>
        <v>136.83922529015501</v>
      </c>
      <c r="T164" s="73">
        <f>INDEX(ModelOutput!$G$9:$G$11,MATCH("Tier "&amp;$F164,ModelOutput!$B$9:$B$11,0))</f>
        <v>22.729631592092201</v>
      </c>
      <c r="U164" s="77">
        <f t="shared" si="22"/>
        <v>125.45326691739118</v>
      </c>
      <c r="V164" s="77">
        <f t="shared" si="23"/>
        <v>364.00927784425301</v>
      </c>
      <c r="W164" s="77">
        <f t="shared" si="24"/>
        <v>545.47489198120786</v>
      </c>
      <c r="X164" s="77">
        <f t="shared" si="25"/>
        <v>114.21452766942247</v>
      </c>
      <c r="Y164" s="30">
        <f t="shared" si="26"/>
        <v>1149.1519644122745</v>
      </c>
      <c r="Z164" s="30">
        <f t="shared" si="27"/>
        <v>1910.2773482876253</v>
      </c>
      <c r="AA164" s="41">
        <f t="shared" si="28"/>
        <v>0.33938961391515177</v>
      </c>
      <c r="AB164" s="40">
        <f t="shared" si="29"/>
        <v>1782.7872193062994</v>
      </c>
      <c r="AC164" s="42">
        <f t="shared" si="30"/>
        <v>2</v>
      </c>
      <c r="AD164" s="43">
        <v>1149.15196441228</v>
      </c>
      <c r="AE164" s="79">
        <f t="shared" si="31"/>
        <v>-5.4569682106375694E-12</v>
      </c>
      <c r="AF164" s="29">
        <f t="shared" si="32"/>
        <v>2</v>
      </c>
    </row>
    <row r="165" spans="1:32" ht="15" customHeight="1" x14ac:dyDescent="0.35">
      <c r="A165" s="19" t="s">
        <v>110</v>
      </c>
      <c r="B165" s="19" t="s">
        <v>116</v>
      </c>
      <c r="C165" s="19" t="s">
        <v>210</v>
      </c>
      <c r="D165" s="19" t="s">
        <v>121</v>
      </c>
      <c r="E165" s="19" t="s">
        <v>95</v>
      </c>
      <c r="F165" s="19">
        <v>1</v>
      </c>
      <c r="G165" s="19" t="s">
        <v>211</v>
      </c>
      <c r="H165" s="16">
        <v>4</v>
      </c>
      <c r="I165" s="13">
        <f>IF($G165="Base",1,INDEX(ModelOutput!$D$16:$D$26,MATCH($G165,ModelOutput!$C$16:$C$26,0)))</f>
        <v>1</v>
      </c>
      <c r="J165" s="13">
        <f>IF($A165="Non-greek",1,INDEX(ModelOutput!$D$16:$D$26,MATCH($A165,ModelOutput!$C$16:$C$26,0)))</f>
        <v>1</v>
      </c>
      <c r="K165" s="13">
        <f>IF($C165="Yes",1,INDEX(ModelOutput!$D$16:$D$26,MATCH($C165,ModelOutput!$C$16:$C$26,0)))</f>
        <v>1</v>
      </c>
      <c r="L165" s="13">
        <f>IF($D165="2.0-3.0",1,INDEX(ModelOutput!$D$16:$D$26,MATCH($D165,ModelOutput!$C$16:$C$26,0)))</f>
        <v>1.12144800201769</v>
      </c>
      <c r="M165" s="13">
        <f>IF($B165="On campus",1,INDEX(ModelOutput!$D$16:$D$26,MATCH($B165,ModelOutput!$C$16:$C$26,0)))</f>
        <v>2.2239289154388602</v>
      </c>
      <c r="N165" s="13">
        <f>IF($B165="On campus",1,INDEX(ModelOutput!$E$16:$E$26,MATCH($B165,ModelOutput!$C$16:$C$26,0)))</f>
        <v>2.18885451801426</v>
      </c>
      <c r="O165" s="13">
        <f>IF($B165="On campus",1,INDEX(ModelOutput!$F$16:$F$26,MATCH($B165,ModelOutput!$C$16:$C$26,0)))</f>
        <v>2.8272585650489699</v>
      </c>
      <c r="P165" s="13">
        <f>IF($B165="On campus",1,INDEX(ModelOutput!$G$16:$G$26,MATCH($B165,ModelOutput!$C$16:$C$26,0)))</f>
        <v>3.5639394892119598</v>
      </c>
      <c r="Q165" s="72">
        <f>INDEX(ModelOutput!$D$9:$D$11,MATCH("Tier "&amp;$F165,ModelOutput!$B$9:$B$11,0))</f>
        <v>36.175496869914397</v>
      </c>
      <c r="R165" s="72">
        <f>INDEX(ModelOutput!$E$9:$E$11,MATCH("Tier "&amp;$F165,ModelOutput!$B$9:$B$11,0))</f>
        <v>106.647084447761</v>
      </c>
      <c r="S165" s="72">
        <f>INDEX(ModelOutput!$F$9:$F$11,MATCH("Tier "&amp;$F165,ModelOutput!$B$9:$B$11,0))</f>
        <v>123.726482920496</v>
      </c>
      <c r="T165" s="72">
        <f>INDEX(ModelOutput!$G$9:$G$11,MATCH("Tier "&amp;$F165,ModelOutput!$B$9:$B$11,0))</f>
        <v>20.551544113210401</v>
      </c>
      <c r="U165" s="76">
        <f t="shared" si="22"/>
        <v>90.222435814157791</v>
      </c>
      <c r="V165" s="76">
        <f t="shared" si="23"/>
        <v>261.78516122411617</v>
      </c>
      <c r="W165" s="76">
        <f t="shared" si="24"/>
        <v>392.2900904797973</v>
      </c>
      <c r="X165" s="76">
        <f t="shared" si="25"/>
        <v>82.139852910202308</v>
      </c>
      <c r="Y165" s="27">
        <f t="shared" si="26"/>
        <v>826.43754042827356</v>
      </c>
      <c r="Z165" s="27">
        <f t="shared" si="27"/>
        <v>1385.5185361856304</v>
      </c>
      <c r="AA165" s="33">
        <f t="shared" si="28"/>
        <v>-2.854465666074435E-2</v>
      </c>
      <c r="AB165" s="14">
        <f t="shared" si="29"/>
        <v>1385.5185361856304</v>
      </c>
      <c r="AC165" s="29">
        <f t="shared" si="30"/>
        <v>1</v>
      </c>
      <c r="AD165" s="20">
        <v>826.43754042827504</v>
      </c>
      <c r="AE165" s="78">
        <f t="shared" si="31"/>
        <v>-1.4779288903810084E-12</v>
      </c>
      <c r="AF165" s="29">
        <f t="shared" si="32"/>
        <v>4</v>
      </c>
    </row>
    <row r="166" spans="1:32" ht="15" customHeight="1" x14ac:dyDescent="0.35">
      <c r="A166" s="19" t="s">
        <v>110</v>
      </c>
      <c r="B166" s="19" t="s">
        <v>116</v>
      </c>
      <c r="C166" s="19" t="s">
        <v>210</v>
      </c>
      <c r="D166" s="19" t="s">
        <v>121</v>
      </c>
      <c r="E166" s="19" t="s">
        <v>105</v>
      </c>
      <c r="F166" s="19">
        <v>1</v>
      </c>
      <c r="G166" s="19" t="s">
        <v>105</v>
      </c>
      <c r="H166" s="16">
        <v>11</v>
      </c>
      <c r="I166" s="13">
        <f>IF($G166="Base",1,INDEX(ModelOutput!$D$16:$D$26,MATCH($G166,ModelOutput!$C$16:$C$26,0)))</f>
        <v>0.98982624281990295</v>
      </c>
      <c r="J166" s="13">
        <f>IF($A166="Non-greek",1,INDEX(ModelOutput!$D$16:$D$26,MATCH($A166,ModelOutput!$C$16:$C$26,0)))</f>
        <v>1</v>
      </c>
      <c r="K166" s="13">
        <f>IF($C166="Yes",1,INDEX(ModelOutput!$D$16:$D$26,MATCH($C166,ModelOutput!$C$16:$C$26,0)))</f>
        <v>1</v>
      </c>
      <c r="L166" s="13">
        <f>IF($D166="2.0-3.0",1,INDEX(ModelOutput!$D$16:$D$26,MATCH($D166,ModelOutput!$C$16:$C$26,0)))</f>
        <v>1.12144800201769</v>
      </c>
      <c r="M166" s="13">
        <f>IF($B166="On campus",1,INDEX(ModelOutput!$D$16:$D$26,MATCH($B166,ModelOutput!$C$16:$C$26,0)))</f>
        <v>2.2239289154388602</v>
      </c>
      <c r="N166" s="13">
        <f>IF($B166="On campus",1,INDEX(ModelOutput!$E$16:$E$26,MATCH($B166,ModelOutput!$C$16:$C$26,0)))</f>
        <v>2.18885451801426</v>
      </c>
      <c r="O166" s="13">
        <f>IF($B166="On campus",1,INDEX(ModelOutput!$F$16:$F$26,MATCH($B166,ModelOutput!$C$16:$C$26,0)))</f>
        <v>2.8272585650489699</v>
      </c>
      <c r="P166" s="13">
        <f>IF($B166="On campus",1,INDEX(ModelOutput!$G$16:$G$26,MATCH($B166,ModelOutput!$C$16:$C$26,0)))</f>
        <v>3.5639394892119598</v>
      </c>
      <c r="Q166" s="72">
        <f>INDEX(ModelOutput!$D$9:$D$11,MATCH("Tier "&amp;$F166,ModelOutput!$B$9:$B$11,0))</f>
        <v>36.175496869914397</v>
      </c>
      <c r="R166" s="72">
        <f>INDEX(ModelOutput!$E$9:$E$11,MATCH("Tier "&amp;$F166,ModelOutput!$B$9:$B$11,0))</f>
        <v>106.647084447761</v>
      </c>
      <c r="S166" s="72">
        <f>INDEX(ModelOutput!$F$9:$F$11,MATCH("Tier "&amp;$F166,ModelOutput!$B$9:$B$11,0))</f>
        <v>123.726482920496</v>
      </c>
      <c r="T166" s="72">
        <f>INDEX(ModelOutput!$G$9:$G$11,MATCH("Tier "&amp;$F166,ModelOutput!$B$9:$B$11,0))</f>
        <v>20.551544113210401</v>
      </c>
      <c r="U166" s="76">
        <f t="shared" si="22"/>
        <v>89.304534659987652</v>
      </c>
      <c r="V166" s="76">
        <f t="shared" si="23"/>
        <v>259.12182256046947</v>
      </c>
      <c r="W166" s="76">
        <f t="shared" si="24"/>
        <v>388.29902635509751</v>
      </c>
      <c r="X166" s="76">
        <f t="shared" si="25"/>
        <v>81.304181991885017</v>
      </c>
      <c r="Y166" s="27">
        <f t="shared" si="26"/>
        <v>818.02956556743959</v>
      </c>
      <c r="Z166" s="27">
        <f t="shared" si="27"/>
        <v>1371.8465135791248</v>
      </c>
      <c r="AA166" s="33">
        <f t="shared" si="28"/>
        <v>-3.8130785657553012E-2</v>
      </c>
      <c r="AB166" s="14">
        <f t="shared" si="29"/>
        <v>1371.8465135791248</v>
      </c>
      <c r="AC166" s="29">
        <f t="shared" si="30"/>
        <v>1</v>
      </c>
      <c r="AD166" s="20">
        <v>818.02956556744095</v>
      </c>
      <c r="AE166" s="78">
        <f t="shared" si="31"/>
        <v>-1.3642420526593924E-12</v>
      </c>
      <c r="AF166" s="29">
        <f t="shared" si="32"/>
        <v>3</v>
      </c>
    </row>
    <row r="167" spans="1:32" ht="15" customHeight="1" x14ac:dyDescent="0.35">
      <c r="A167" s="19" t="s">
        <v>110</v>
      </c>
      <c r="B167" s="19" t="s">
        <v>116</v>
      </c>
      <c r="C167" s="19" t="s">
        <v>210</v>
      </c>
      <c r="D167" s="19" t="s">
        <v>121</v>
      </c>
      <c r="E167" s="19" t="s">
        <v>97</v>
      </c>
      <c r="F167" s="19">
        <v>2</v>
      </c>
      <c r="G167" s="19" t="s">
        <v>211</v>
      </c>
      <c r="H167" s="16">
        <v>6</v>
      </c>
      <c r="I167" s="13">
        <f>IF($G167="Base",1,INDEX(ModelOutput!$D$16:$D$26,MATCH($G167,ModelOutput!$C$16:$C$26,0)))</f>
        <v>1</v>
      </c>
      <c r="J167" s="13">
        <f>IF($A167="Non-greek",1,INDEX(ModelOutput!$D$16:$D$26,MATCH($A167,ModelOutput!$C$16:$C$26,0)))</f>
        <v>1</v>
      </c>
      <c r="K167" s="13">
        <f>IF($C167="Yes",1,INDEX(ModelOutput!$D$16:$D$26,MATCH($C167,ModelOutput!$C$16:$C$26,0)))</f>
        <v>1</v>
      </c>
      <c r="L167" s="13">
        <f>IF($D167="2.0-3.0",1,INDEX(ModelOutput!$D$16:$D$26,MATCH($D167,ModelOutput!$C$16:$C$26,0)))</f>
        <v>1.12144800201769</v>
      </c>
      <c r="M167" s="13">
        <f>IF($B167="On campus",1,INDEX(ModelOutput!$D$16:$D$26,MATCH($B167,ModelOutput!$C$16:$C$26,0)))</f>
        <v>2.2239289154388602</v>
      </c>
      <c r="N167" s="13">
        <f>IF($B167="On campus",1,INDEX(ModelOutput!$E$16:$E$26,MATCH($B167,ModelOutput!$C$16:$C$26,0)))</f>
        <v>2.18885451801426</v>
      </c>
      <c r="O167" s="13">
        <f>IF($B167="On campus",1,INDEX(ModelOutput!$F$16:$F$26,MATCH($B167,ModelOutput!$C$16:$C$26,0)))</f>
        <v>2.8272585650489699</v>
      </c>
      <c r="P167" s="13">
        <f>IF($B167="On campus",1,INDEX(ModelOutput!$G$16:$G$26,MATCH($B167,ModelOutput!$C$16:$C$26,0)))</f>
        <v>3.5639394892119598</v>
      </c>
      <c r="Q167" s="72">
        <f>INDEX(ModelOutput!$D$9:$D$11,MATCH("Tier "&amp;$F167,ModelOutput!$B$9:$B$11,0))</f>
        <v>42.8051506068728</v>
      </c>
      <c r="R167" s="72">
        <f>INDEX(ModelOutput!$E$9:$E$11,MATCH("Tier "&amp;$F167,ModelOutput!$B$9:$B$11,0))</f>
        <v>126.191618818284</v>
      </c>
      <c r="S167" s="72">
        <f>INDEX(ModelOutput!$F$9:$F$11,MATCH("Tier "&amp;$F167,ModelOutput!$B$9:$B$11,0))</f>
        <v>146.401050261042</v>
      </c>
      <c r="T167" s="72">
        <f>INDEX(ModelOutput!$G$9:$G$11,MATCH("Tier "&amp;$F167,ModelOutput!$B$9:$B$11,0))</f>
        <v>24.317895180076398</v>
      </c>
      <c r="U167" s="76">
        <f t="shared" si="22"/>
        <v>106.75692906254966</v>
      </c>
      <c r="V167" s="76">
        <f t="shared" si="23"/>
        <v>309.76086639910244</v>
      </c>
      <c r="W167" s="76">
        <f t="shared" si="24"/>
        <v>464.18260583828197</v>
      </c>
      <c r="X167" s="76">
        <f t="shared" si="25"/>
        <v>97.193102482904578</v>
      </c>
      <c r="Y167" s="27">
        <f t="shared" si="26"/>
        <v>977.89350378283871</v>
      </c>
      <c r="Z167" s="27">
        <f t="shared" si="27"/>
        <v>1631.7977400542652</v>
      </c>
      <c r="AA167" s="33">
        <f t="shared" si="28"/>
        <v>0.14413383323530771</v>
      </c>
      <c r="AB167" s="14">
        <f t="shared" si="29"/>
        <v>1631.7977400542652</v>
      </c>
      <c r="AC167" s="29">
        <f t="shared" si="30"/>
        <v>1</v>
      </c>
      <c r="AD167" s="20">
        <v>977.89350378284098</v>
      </c>
      <c r="AE167" s="78">
        <f t="shared" si="31"/>
        <v>-2.2737367544323206E-12</v>
      </c>
      <c r="AF167" s="29">
        <f t="shared" si="32"/>
        <v>2</v>
      </c>
    </row>
    <row r="168" spans="1:32" ht="15" customHeight="1" x14ac:dyDescent="0.35">
      <c r="A168" s="19" t="s">
        <v>110</v>
      </c>
      <c r="B168" s="19" t="s">
        <v>116</v>
      </c>
      <c r="C168" s="19" t="s">
        <v>210</v>
      </c>
      <c r="D168" s="19" t="s">
        <v>121</v>
      </c>
      <c r="E168" s="19" t="s">
        <v>99</v>
      </c>
      <c r="F168" s="19">
        <v>3</v>
      </c>
      <c r="G168" s="19" t="s">
        <v>211</v>
      </c>
      <c r="H168" s="16">
        <v>10</v>
      </c>
      <c r="I168" s="13">
        <f>IF($G168="Base",1,INDEX(ModelOutput!$D$16:$D$26,MATCH($G168,ModelOutput!$C$16:$C$26,0)))</f>
        <v>1</v>
      </c>
      <c r="J168" s="13">
        <f>IF($A168="Non-greek",1,INDEX(ModelOutput!$D$16:$D$26,MATCH($A168,ModelOutput!$C$16:$C$26,0)))</f>
        <v>1</v>
      </c>
      <c r="K168" s="13">
        <f>IF($C168="Yes",1,INDEX(ModelOutput!$D$16:$D$26,MATCH($C168,ModelOutput!$C$16:$C$26,0)))</f>
        <v>1</v>
      </c>
      <c r="L168" s="13">
        <f>IF($D168="2.0-3.0",1,INDEX(ModelOutput!$D$16:$D$26,MATCH($D168,ModelOutput!$C$16:$C$26,0)))</f>
        <v>1.12144800201769</v>
      </c>
      <c r="M168" s="13">
        <f>IF($B168="On campus",1,INDEX(ModelOutput!$D$16:$D$26,MATCH($B168,ModelOutput!$C$16:$C$26,0)))</f>
        <v>2.2239289154388602</v>
      </c>
      <c r="N168" s="13">
        <f>IF($B168="On campus",1,INDEX(ModelOutput!$E$16:$E$26,MATCH($B168,ModelOutput!$C$16:$C$26,0)))</f>
        <v>2.18885451801426</v>
      </c>
      <c r="O168" s="13">
        <f>IF($B168="On campus",1,INDEX(ModelOutput!$F$16:$F$26,MATCH($B168,ModelOutput!$C$16:$C$26,0)))</f>
        <v>2.8272585650489699</v>
      </c>
      <c r="P168" s="13">
        <f>IF($B168="On campus",1,INDEX(ModelOutput!$G$16:$G$26,MATCH($B168,ModelOutput!$C$16:$C$26,0)))</f>
        <v>3.5639394892119598</v>
      </c>
      <c r="Q168" s="72">
        <f>INDEX(ModelOutput!$D$9:$D$11,MATCH("Tier "&amp;$F168,ModelOutput!$B$9:$B$11,0))</f>
        <v>40.009437343712797</v>
      </c>
      <c r="R168" s="72">
        <f>INDEX(ModelOutput!$E$9:$E$11,MATCH("Tier "&amp;$F168,ModelOutput!$B$9:$B$11,0))</f>
        <v>117.949723218616</v>
      </c>
      <c r="S168" s="72">
        <f>INDEX(ModelOutput!$F$9:$F$11,MATCH("Tier "&amp;$F168,ModelOutput!$B$9:$B$11,0))</f>
        <v>136.83922529015501</v>
      </c>
      <c r="T168" s="72">
        <f>INDEX(ModelOutput!$G$9:$G$11,MATCH("Tier "&amp;$F168,ModelOutput!$B$9:$B$11,0))</f>
        <v>22.729631592092201</v>
      </c>
      <c r="U168" s="76">
        <f t="shared" si="22"/>
        <v>99.784362483926742</v>
      </c>
      <c r="V168" s="76">
        <f t="shared" si="23"/>
        <v>289.52959632243869</v>
      </c>
      <c r="W168" s="76">
        <f t="shared" si="24"/>
        <v>433.86565917948485</v>
      </c>
      <c r="X168" s="76">
        <f t="shared" si="25"/>
        <v>90.84517374426575</v>
      </c>
      <c r="Y168" s="27">
        <f t="shared" si="26"/>
        <v>914.02479173011602</v>
      </c>
      <c r="Z168" s="27">
        <f t="shared" si="27"/>
        <v>1527.9422350740085</v>
      </c>
      <c r="AA168" s="33">
        <f t="shared" si="28"/>
        <v>7.1315619250222673E-2</v>
      </c>
      <c r="AB168" s="14">
        <f t="shared" si="29"/>
        <v>1527.9422350740085</v>
      </c>
      <c r="AC168" s="29">
        <f t="shared" si="30"/>
        <v>1</v>
      </c>
      <c r="AD168" s="20">
        <v>914.02479173012</v>
      </c>
      <c r="AE168" s="78">
        <f t="shared" si="31"/>
        <v>-3.979039320256561E-12</v>
      </c>
      <c r="AF168" s="29">
        <f t="shared" si="32"/>
        <v>1</v>
      </c>
    </row>
    <row r="169" spans="1:32" ht="15" customHeight="1" x14ac:dyDescent="0.35">
      <c r="A169" s="19" t="s">
        <v>110</v>
      </c>
      <c r="B169" s="19" t="s">
        <v>116</v>
      </c>
      <c r="C169" s="19" t="s">
        <v>210</v>
      </c>
      <c r="D169" s="19" t="s">
        <v>121</v>
      </c>
      <c r="E169" s="19" t="s">
        <v>213</v>
      </c>
      <c r="F169" s="19">
        <v>3</v>
      </c>
      <c r="G169" s="19" t="s">
        <v>107</v>
      </c>
      <c r="H169" s="16">
        <v>3</v>
      </c>
      <c r="I169" s="13">
        <f>IF($G169="Base",1,INDEX(ModelOutput!$D$16:$D$26,MATCH($G169,ModelOutput!$C$16:$C$26,0)))</f>
        <v>1.1906804269762199</v>
      </c>
      <c r="J169" s="13">
        <f>IF($A169="Non-greek",1,INDEX(ModelOutput!$D$16:$D$26,MATCH($A169,ModelOutput!$C$16:$C$26,0)))</f>
        <v>1</v>
      </c>
      <c r="K169" s="13">
        <f>IF($C169="Yes",1,INDEX(ModelOutput!$D$16:$D$26,MATCH($C169,ModelOutput!$C$16:$C$26,0)))</f>
        <v>1</v>
      </c>
      <c r="L169" s="13">
        <f>IF($D169="2.0-3.0",1,INDEX(ModelOutput!$D$16:$D$26,MATCH($D169,ModelOutput!$C$16:$C$26,0)))</f>
        <v>1.12144800201769</v>
      </c>
      <c r="M169" s="13">
        <f>IF($B169="On campus",1,INDEX(ModelOutput!$D$16:$D$26,MATCH($B169,ModelOutput!$C$16:$C$26,0)))</f>
        <v>2.2239289154388602</v>
      </c>
      <c r="N169" s="13">
        <f>IF($B169="On campus",1,INDEX(ModelOutput!$E$16:$E$26,MATCH($B169,ModelOutput!$C$16:$C$26,0)))</f>
        <v>2.18885451801426</v>
      </c>
      <c r="O169" s="13">
        <f>IF($B169="On campus",1,INDEX(ModelOutput!$F$16:$F$26,MATCH($B169,ModelOutput!$C$16:$C$26,0)))</f>
        <v>2.8272585650489699</v>
      </c>
      <c r="P169" s="13">
        <f>IF($B169="On campus",1,INDEX(ModelOutput!$G$16:$G$26,MATCH($B169,ModelOutput!$C$16:$C$26,0)))</f>
        <v>3.5639394892119598</v>
      </c>
      <c r="Q169" s="72">
        <f>INDEX(ModelOutput!$D$9:$D$11,MATCH("Tier "&amp;$F169,ModelOutput!$B$9:$B$11,0))</f>
        <v>40.009437343712797</v>
      </c>
      <c r="R169" s="72">
        <f>INDEX(ModelOutput!$E$9:$E$11,MATCH("Tier "&amp;$F169,ModelOutput!$B$9:$B$11,0))</f>
        <v>117.949723218616</v>
      </c>
      <c r="S169" s="72">
        <f>INDEX(ModelOutput!$F$9:$F$11,MATCH("Tier "&amp;$F169,ModelOutput!$B$9:$B$11,0))</f>
        <v>136.83922529015501</v>
      </c>
      <c r="T169" s="72">
        <f>INDEX(ModelOutput!$G$9:$G$11,MATCH("Tier "&amp;$F169,ModelOutput!$B$9:$B$11,0))</f>
        <v>22.729631592092201</v>
      </c>
      <c r="U169" s="76">
        <f t="shared" si="22"/>
        <v>118.81128732791178</v>
      </c>
      <c r="V169" s="76">
        <f t="shared" si="23"/>
        <v>344.73722337145387</v>
      </c>
      <c r="W169" s="76">
        <f t="shared" si="24"/>
        <v>516.5953483221482</v>
      </c>
      <c r="X169" s="76">
        <f t="shared" si="25"/>
        <v>108.16757026255122</v>
      </c>
      <c r="Y169" s="27">
        <f t="shared" si="26"/>
        <v>1088.3114292840651</v>
      </c>
      <c r="Z169" s="27">
        <f t="shared" si="27"/>
        <v>1811.3458950622444</v>
      </c>
      <c r="AA169" s="33">
        <f t="shared" si="28"/>
        <v>0.27002389534115112</v>
      </c>
      <c r="AB169" s="14">
        <f t="shared" si="29"/>
        <v>1782.7872193062994</v>
      </c>
      <c r="AC169" s="29">
        <f t="shared" si="30"/>
        <v>2</v>
      </c>
      <c r="AD169" s="20">
        <v>1088.3114292840701</v>
      </c>
      <c r="AE169" s="78">
        <f t="shared" si="31"/>
        <v>-5.0022208597511053E-12</v>
      </c>
      <c r="AF169" s="29">
        <f t="shared" si="32"/>
        <v>2</v>
      </c>
    </row>
    <row r="170" spans="1:32" ht="15" customHeight="1" x14ac:dyDescent="0.35">
      <c r="A170" s="37" t="s">
        <v>110</v>
      </c>
      <c r="B170" s="37" t="s">
        <v>116</v>
      </c>
      <c r="C170" s="37" t="s">
        <v>210</v>
      </c>
      <c r="D170" s="37" t="s">
        <v>123</v>
      </c>
      <c r="E170" s="37" t="s">
        <v>95</v>
      </c>
      <c r="F170" s="37">
        <v>1</v>
      </c>
      <c r="G170" s="37" t="s">
        <v>211</v>
      </c>
      <c r="H170" s="38">
        <v>28</v>
      </c>
      <c r="I170" s="39">
        <f>IF($G170="Base",1,INDEX(ModelOutput!$D$16:$D$26,MATCH($G170,ModelOutput!$C$16:$C$26,0)))</f>
        <v>1</v>
      </c>
      <c r="J170" s="39">
        <f>IF($A170="Non-greek",1,INDEX(ModelOutput!$D$16:$D$26,MATCH($A170,ModelOutput!$C$16:$C$26,0)))</f>
        <v>1</v>
      </c>
      <c r="K170" s="39">
        <f>IF($C170="Yes",1,INDEX(ModelOutput!$D$16:$D$26,MATCH($C170,ModelOutput!$C$16:$C$26,0)))</f>
        <v>1</v>
      </c>
      <c r="L170" s="39">
        <f>IF($D170="2.0-3.0",1,INDEX(ModelOutput!$D$16:$D$26,MATCH($D170,ModelOutput!$C$16:$C$26,0)))</f>
        <v>1.01762556011242</v>
      </c>
      <c r="M170" s="39">
        <f>IF($B170="On campus",1,INDEX(ModelOutput!$D$16:$D$26,MATCH($B170,ModelOutput!$C$16:$C$26,0)))</f>
        <v>2.2239289154388602</v>
      </c>
      <c r="N170" s="39">
        <f>IF($B170="On campus",1,INDEX(ModelOutput!$E$16:$E$26,MATCH($B170,ModelOutput!$C$16:$C$26,0)))</f>
        <v>2.18885451801426</v>
      </c>
      <c r="O170" s="39">
        <f>IF($B170="On campus",1,INDEX(ModelOutput!$F$16:$F$26,MATCH($B170,ModelOutput!$C$16:$C$26,0)))</f>
        <v>2.8272585650489699</v>
      </c>
      <c r="P170" s="39">
        <f>IF($B170="On campus",1,INDEX(ModelOutput!$G$16:$G$26,MATCH($B170,ModelOutput!$C$16:$C$26,0)))</f>
        <v>3.5639394892119598</v>
      </c>
      <c r="Q170" s="73">
        <f>INDEX(ModelOutput!$D$9:$D$11,MATCH("Tier "&amp;$F170,ModelOutput!$B$9:$B$11,0))</f>
        <v>36.175496869914397</v>
      </c>
      <c r="R170" s="73">
        <f>INDEX(ModelOutput!$E$9:$E$11,MATCH("Tier "&amp;$F170,ModelOutput!$B$9:$B$11,0))</f>
        <v>106.647084447761</v>
      </c>
      <c r="S170" s="73">
        <f>INDEX(ModelOutput!$F$9:$F$11,MATCH("Tier "&amp;$F170,ModelOutput!$B$9:$B$11,0))</f>
        <v>123.726482920496</v>
      </c>
      <c r="T170" s="73">
        <f>INDEX(ModelOutput!$G$9:$G$11,MATCH("Tier "&amp;$F170,ModelOutput!$B$9:$B$11,0))</f>
        <v>20.551544113210401</v>
      </c>
      <c r="U170" s="77">
        <f t="shared" si="22"/>
        <v>81.869740384664667</v>
      </c>
      <c r="V170" s="77">
        <f t="shared" si="23"/>
        <v>237.54937441638882</v>
      </c>
      <c r="W170" s="77">
        <f t="shared" si="24"/>
        <v>355.97229861109378</v>
      </c>
      <c r="X170" s="77">
        <f t="shared" si="25"/>
        <v>74.535434255450994</v>
      </c>
      <c r="Y170" s="30">
        <f t="shared" si="26"/>
        <v>749.92684766759828</v>
      </c>
      <c r="Z170" s="30">
        <f t="shared" si="27"/>
        <v>1261.1061850098331</v>
      </c>
      <c r="AA170" s="41">
        <f t="shared" si="28"/>
        <v>-0.11577628884075253</v>
      </c>
      <c r="AB170" s="40">
        <f t="shared" si="29"/>
        <v>1261.1061850098331</v>
      </c>
      <c r="AC170" s="42">
        <f t="shared" si="30"/>
        <v>1</v>
      </c>
      <c r="AD170" s="43">
        <v>749.92684766759805</v>
      </c>
      <c r="AE170" s="79">
        <f t="shared" si="31"/>
        <v>0</v>
      </c>
      <c r="AF170" s="29">
        <f t="shared" si="32"/>
        <v>4</v>
      </c>
    </row>
    <row r="171" spans="1:32" ht="15" customHeight="1" x14ac:dyDescent="0.35">
      <c r="A171" s="37" t="s">
        <v>110</v>
      </c>
      <c r="B171" s="37" t="s">
        <v>116</v>
      </c>
      <c r="C171" s="37" t="s">
        <v>210</v>
      </c>
      <c r="D171" s="37" t="s">
        <v>123</v>
      </c>
      <c r="E171" s="37" t="s">
        <v>105</v>
      </c>
      <c r="F171" s="37">
        <v>1</v>
      </c>
      <c r="G171" s="37" t="s">
        <v>105</v>
      </c>
      <c r="H171" s="38">
        <v>25</v>
      </c>
      <c r="I171" s="39">
        <f>IF($G171="Base",1,INDEX(ModelOutput!$D$16:$D$26,MATCH($G171,ModelOutput!$C$16:$C$26,0)))</f>
        <v>0.98982624281990295</v>
      </c>
      <c r="J171" s="39">
        <f>IF($A171="Non-greek",1,INDEX(ModelOutput!$D$16:$D$26,MATCH($A171,ModelOutput!$C$16:$C$26,0)))</f>
        <v>1</v>
      </c>
      <c r="K171" s="39">
        <f>IF($C171="Yes",1,INDEX(ModelOutput!$D$16:$D$26,MATCH($C171,ModelOutput!$C$16:$C$26,0)))</f>
        <v>1</v>
      </c>
      <c r="L171" s="39">
        <f>IF($D171="2.0-3.0",1,INDEX(ModelOutput!$D$16:$D$26,MATCH($D171,ModelOutput!$C$16:$C$26,0)))</f>
        <v>1.01762556011242</v>
      </c>
      <c r="M171" s="39">
        <f>IF($B171="On campus",1,INDEX(ModelOutput!$D$16:$D$26,MATCH($B171,ModelOutput!$C$16:$C$26,0)))</f>
        <v>2.2239289154388602</v>
      </c>
      <c r="N171" s="39">
        <f>IF($B171="On campus",1,INDEX(ModelOutput!$E$16:$E$26,MATCH($B171,ModelOutput!$C$16:$C$26,0)))</f>
        <v>2.18885451801426</v>
      </c>
      <c r="O171" s="39">
        <f>IF($B171="On campus",1,INDEX(ModelOutput!$F$16:$F$26,MATCH($B171,ModelOutput!$C$16:$C$26,0)))</f>
        <v>2.8272585650489699</v>
      </c>
      <c r="P171" s="39">
        <f>IF($B171="On campus",1,INDEX(ModelOutput!$G$16:$G$26,MATCH($B171,ModelOutput!$C$16:$C$26,0)))</f>
        <v>3.5639394892119598</v>
      </c>
      <c r="Q171" s="73">
        <f>INDEX(ModelOutput!$D$9:$D$11,MATCH("Tier "&amp;$F171,ModelOutput!$B$9:$B$11,0))</f>
        <v>36.175496869914397</v>
      </c>
      <c r="R171" s="73">
        <f>INDEX(ModelOutput!$E$9:$E$11,MATCH("Tier "&amp;$F171,ModelOutput!$B$9:$B$11,0))</f>
        <v>106.647084447761</v>
      </c>
      <c r="S171" s="73">
        <f>INDEX(ModelOutput!$F$9:$F$11,MATCH("Tier "&amp;$F171,ModelOutput!$B$9:$B$11,0))</f>
        <v>123.726482920496</v>
      </c>
      <c r="T171" s="73">
        <f>INDEX(ModelOutput!$G$9:$G$11,MATCH("Tier "&amp;$F171,ModelOutput!$B$9:$B$11,0))</f>
        <v>20.551544113210401</v>
      </c>
      <c r="U171" s="77">
        <f t="shared" si="22"/>
        <v>81.03681752559352</v>
      </c>
      <c r="V171" s="77">
        <f t="shared" si="23"/>
        <v>235.13260476279254</v>
      </c>
      <c r="W171" s="77">
        <f t="shared" si="24"/>
        <v>352.35072288218345</v>
      </c>
      <c r="X171" s="77">
        <f t="shared" si="25"/>
        <v>73.777128846022947</v>
      </c>
      <c r="Y171" s="30">
        <f t="shared" si="26"/>
        <v>742.2972740165925</v>
      </c>
      <c r="Z171" s="30">
        <f t="shared" si="27"/>
        <v>1248.6999034543953</v>
      </c>
      <c r="AA171" s="41">
        <f t="shared" si="28"/>
        <v>-0.12447494439333806</v>
      </c>
      <c r="AB171" s="40">
        <f t="shared" si="29"/>
        <v>1248.6999034543953</v>
      </c>
      <c r="AC171" s="42">
        <f t="shared" si="30"/>
        <v>1</v>
      </c>
      <c r="AD171" s="43">
        <v>742.29727401659204</v>
      </c>
      <c r="AE171" s="79">
        <f t="shared" si="31"/>
        <v>0</v>
      </c>
      <c r="AF171" s="29">
        <f t="shared" si="32"/>
        <v>3</v>
      </c>
    </row>
    <row r="172" spans="1:32" ht="15" customHeight="1" x14ac:dyDescent="0.35">
      <c r="A172" s="37" t="s">
        <v>110</v>
      </c>
      <c r="B172" s="37" t="s">
        <v>116</v>
      </c>
      <c r="C172" s="37" t="s">
        <v>210</v>
      </c>
      <c r="D172" s="37" t="s">
        <v>123</v>
      </c>
      <c r="E172" s="37" t="s">
        <v>97</v>
      </c>
      <c r="F172" s="37">
        <v>2</v>
      </c>
      <c r="G172" s="37" t="s">
        <v>211</v>
      </c>
      <c r="H172" s="38">
        <v>25</v>
      </c>
      <c r="I172" s="39">
        <f>IF($G172="Base",1,INDEX(ModelOutput!$D$16:$D$26,MATCH($G172,ModelOutput!$C$16:$C$26,0)))</f>
        <v>1</v>
      </c>
      <c r="J172" s="39">
        <f>IF($A172="Non-greek",1,INDEX(ModelOutput!$D$16:$D$26,MATCH($A172,ModelOutput!$C$16:$C$26,0)))</f>
        <v>1</v>
      </c>
      <c r="K172" s="39">
        <f>IF($C172="Yes",1,INDEX(ModelOutput!$D$16:$D$26,MATCH($C172,ModelOutput!$C$16:$C$26,0)))</f>
        <v>1</v>
      </c>
      <c r="L172" s="39">
        <f>IF($D172="2.0-3.0",1,INDEX(ModelOutput!$D$16:$D$26,MATCH($D172,ModelOutput!$C$16:$C$26,0)))</f>
        <v>1.01762556011242</v>
      </c>
      <c r="M172" s="39">
        <f>IF($B172="On campus",1,INDEX(ModelOutput!$D$16:$D$26,MATCH($B172,ModelOutput!$C$16:$C$26,0)))</f>
        <v>2.2239289154388602</v>
      </c>
      <c r="N172" s="39">
        <f>IF($B172="On campus",1,INDEX(ModelOutput!$E$16:$E$26,MATCH($B172,ModelOutput!$C$16:$C$26,0)))</f>
        <v>2.18885451801426</v>
      </c>
      <c r="O172" s="39">
        <f>IF($B172="On campus",1,INDEX(ModelOutput!$F$16:$F$26,MATCH($B172,ModelOutput!$C$16:$C$26,0)))</f>
        <v>2.8272585650489699</v>
      </c>
      <c r="P172" s="39">
        <f>IF($B172="On campus",1,INDEX(ModelOutput!$G$16:$G$26,MATCH($B172,ModelOutput!$C$16:$C$26,0)))</f>
        <v>3.5639394892119598</v>
      </c>
      <c r="Q172" s="73">
        <f>INDEX(ModelOutput!$D$9:$D$11,MATCH("Tier "&amp;$F172,ModelOutput!$B$9:$B$11,0))</f>
        <v>42.8051506068728</v>
      </c>
      <c r="R172" s="73">
        <f>INDEX(ModelOutput!$E$9:$E$11,MATCH("Tier "&amp;$F172,ModelOutput!$B$9:$B$11,0))</f>
        <v>126.191618818284</v>
      </c>
      <c r="S172" s="73">
        <f>INDEX(ModelOutput!$F$9:$F$11,MATCH("Tier "&amp;$F172,ModelOutput!$B$9:$B$11,0))</f>
        <v>146.401050261042</v>
      </c>
      <c r="T172" s="73">
        <f>INDEX(ModelOutput!$G$9:$G$11,MATCH("Tier "&amp;$F172,ModelOutput!$B$9:$B$11,0))</f>
        <v>24.317895180076398</v>
      </c>
      <c r="U172" s="77">
        <f t="shared" si="22"/>
        <v>96.873488148980883</v>
      </c>
      <c r="V172" s="77">
        <f t="shared" si="23"/>
        <v>281.0835407465666</v>
      </c>
      <c r="W172" s="77">
        <f t="shared" si="24"/>
        <v>421.20908273121444</v>
      </c>
      <c r="X172" s="77">
        <f t="shared" si="25"/>
        <v>88.1950702799232</v>
      </c>
      <c r="Y172" s="30">
        <f t="shared" si="26"/>
        <v>887.36118190668515</v>
      </c>
      <c r="Z172" s="30">
        <f t="shared" si="27"/>
        <v>1484.585126815382</v>
      </c>
      <c r="AA172" s="41">
        <f t="shared" si="28"/>
        <v>4.0915813408910928E-2</v>
      </c>
      <c r="AB172" s="40">
        <f t="shared" si="29"/>
        <v>1484.585126815382</v>
      </c>
      <c r="AC172" s="42">
        <f t="shared" si="30"/>
        <v>1</v>
      </c>
      <c r="AD172" s="43">
        <v>887.36118190668606</v>
      </c>
      <c r="AE172" s="79">
        <f t="shared" si="31"/>
        <v>-9.0949470177292824E-13</v>
      </c>
      <c r="AF172" s="29">
        <f t="shared" si="32"/>
        <v>2</v>
      </c>
    </row>
    <row r="173" spans="1:32" ht="15" customHeight="1" x14ac:dyDescent="0.35">
      <c r="A173" s="37" t="s">
        <v>110</v>
      </c>
      <c r="B173" s="37" t="s">
        <v>116</v>
      </c>
      <c r="C173" s="37" t="s">
        <v>210</v>
      </c>
      <c r="D173" s="37" t="s">
        <v>123</v>
      </c>
      <c r="E173" s="37" t="s">
        <v>99</v>
      </c>
      <c r="F173" s="37">
        <v>3</v>
      </c>
      <c r="G173" s="37" t="s">
        <v>211</v>
      </c>
      <c r="H173" s="38">
        <v>25</v>
      </c>
      <c r="I173" s="39">
        <f>IF($G173="Base",1,INDEX(ModelOutput!$D$16:$D$26,MATCH($G173,ModelOutput!$C$16:$C$26,0)))</f>
        <v>1</v>
      </c>
      <c r="J173" s="39">
        <f>IF($A173="Non-greek",1,INDEX(ModelOutput!$D$16:$D$26,MATCH($A173,ModelOutput!$C$16:$C$26,0)))</f>
        <v>1</v>
      </c>
      <c r="K173" s="39">
        <f>IF($C173="Yes",1,INDEX(ModelOutput!$D$16:$D$26,MATCH($C173,ModelOutput!$C$16:$C$26,0)))</f>
        <v>1</v>
      </c>
      <c r="L173" s="39">
        <f>IF($D173="2.0-3.0",1,INDEX(ModelOutput!$D$16:$D$26,MATCH($D173,ModelOutput!$C$16:$C$26,0)))</f>
        <v>1.01762556011242</v>
      </c>
      <c r="M173" s="39">
        <f>IF($B173="On campus",1,INDEX(ModelOutput!$D$16:$D$26,MATCH($B173,ModelOutput!$C$16:$C$26,0)))</f>
        <v>2.2239289154388602</v>
      </c>
      <c r="N173" s="39">
        <f>IF($B173="On campus",1,INDEX(ModelOutput!$E$16:$E$26,MATCH($B173,ModelOutput!$C$16:$C$26,0)))</f>
        <v>2.18885451801426</v>
      </c>
      <c r="O173" s="39">
        <f>IF($B173="On campus",1,INDEX(ModelOutput!$F$16:$F$26,MATCH($B173,ModelOutput!$C$16:$C$26,0)))</f>
        <v>2.8272585650489699</v>
      </c>
      <c r="P173" s="39">
        <f>IF($B173="On campus",1,INDEX(ModelOutput!$G$16:$G$26,MATCH($B173,ModelOutput!$C$16:$C$26,0)))</f>
        <v>3.5639394892119598</v>
      </c>
      <c r="Q173" s="73">
        <f>INDEX(ModelOutput!$D$9:$D$11,MATCH("Tier "&amp;$F173,ModelOutput!$B$9:$B$11,0))</f>
        <v>40.009437343712797</v>
      </c>
      <c r="R173" s="73">
        <f>INDEX(ModelOutput!$E$9:$E$11,MATCH("Tier "&amp;$F173,ModelOutput!$B$9:$B$11,0))</f>
        <v>117.949723218616</v>
      </c>
      <c r="S173" s="73">
        <f>INDEX(ModelOutput!$F$9:$F$11,MATCH("Tier "&amp;$F173,ModelOutput!$B$9:$B$11,0))</f>
        <v>136.83922529015501</v>
      </c>
      <c r="T173" s="73">
        <f>INDEX(ModelOutput!$G$9:$G$11,MATCH("Tier "&amp;$F173,ModelOutput!$B$9:$B$11,0))</f>
        <v>22.729631592092201</v>
      </c>
      <c r="U173" s="77">
        <f t="shared" si="22"/>
        <v>90.546434235445659</v>
      </c>
      <c r="V173" s="77">
        <f t="shared" si="23"/>
        <v>262.72525975047114</v>
      </c>
      <c r="W173" s="77">
        <f t="shared" si="24"/>
        <v>393.69884617182908</v>
      </c>
      <c r="X173" s="77">
        <f t="shared" si="25"/>
        <v>82.434825911402598</v>
      </c>
      <c r="Y173" s="30">
        <f t="shared" si="26"/>
        <v>829.4053660691485</v>
      </c>
      <c r="Z173" s="30">
        <f t="shared" si="27"/>
        <v>1390.3444520483456</v>
      </c>
      <c r="AA173" s="41">
        <f t="shared" si="28"/>
        <v>-2.5160969161155289E-2</v>
      </c>
      <c r="AB173" s="40">
        <f t="shared" si="29"/>
        <v>1390.3444520483456</v>
      </c>
      <c r="AC173" s="42">
        <f t="shared" si="30"/>
        <v>1</v>
      </c>
      <c r="AD173" s="43">
        <v>829.405366069151</v>
      </c>
      <c r="AE173" s="79">
        <f t="shared" si="31"/>
        <v>-2.5011104298755527E-12</v>
      </c>
      <c r="AF173" s="29">
        <f t="shared" si="32"/>
        <v>1</v>
      </c>
    </row>
    <row r="174" spans="1:32" ht="15" customHeight="1" x14ac:dyDescent="0.35">
      <c r="A174" s="37" t="s">
        <v>110</v>
      </c>
      <c r="B174" s="37" t="s">
        <v>116</v>
      </c>
      <c r="C174" s="37" t="s">
        <v>210</v>
      </c>
      <c r="D174" s="37" t="s">
        <v>123</v>
      </c>
      <c r="E174" s="37" t="s">
        <v>213</v>
      </c>
      <c r="F174" s="37">
        <v>3</v>
      </c>
      <c r="G174" s="37" t="s">
        <v>107</v>
      </c>
      <c r="H174" s="38">
        <v>9</v>
      </c>
      <c r="I174" s="39">
        <f>IF($G174="Base",1,INDEX(ModelOutput!$D$16:$D$26,MATCH($G174,ModelOutput!$C$16:$C$26,0)))</f>
        <v>1.1906804269762199</v>
      </c>
      <c r="J174" s="39">
        <f>IF($A174="Non-greek",1,INDEX(ModelOutput!$D$16:$D$26,MATCH($A174,ModelOutput!$C$16:$C$26,0)))</f>
        <v>1</v>
      </c>
      <c r="K174" s="39">
        <f>IF($C174="Yes",1,INDEX(ModelOutput!$D$16:$D$26,MATCH($C174,ModelOutput!$C$16:$C$26,0)))</f>
        <v>1</v>
      </c>
      <c r="L174" s="39">
        <f>IF($D174="2.0-3.0",1,INDEX(ModelOutput!$D$16:$D$26,MATCH($D174,ModelOutput!$C$16:$C$26,0)))</f>
        <v>1.01762556011242</v>
      </c>
      <c r="M174" s="39">
        <f>IF($B174="On campus",1,INDEX(ModelOutput!$D$16:$D$26,MATCH($B174,ModelOutput!$C$16:$C$26,0)))</f>
        <v>2.2239289154388602</v>
      </c>
      <c r="N174" s="39">
        <f>IF($B174="On campus",1,INDEX(ModelOutput!$E$16:$E$26,MATCH($B174,ModelOutput!$C$16:$C$26,0)))</f>
        <v>2.18885451801426</v>
      </c>
      <c r="O174" s="39">
        <f>IF($B174="On campus",1,INDEX(ModelOutput!$F$16:$F$26,MATCH($B174,ModelOutput!$C$16:$C$26,0)))</f>
        <v>2.8272585650489699</v>
      </c>
      <c r="P174" s="39">
        <f>IF($B174="On campus",1,INDEX(ModelOutput!$G$16:$G$26,MATCH($B174,ModelOutput!$C$16:$C$26,0)))</f>
        <v>3.5639394892119598</v>
      </c>
      <c r="Q174" s="73">
        <f>INDEX(ModelOutput!$D$9:$D$11,MATCH("Tier "&amp;$F174,ModelOutput!$B$9:$B$11,0))</f>
        <v>40.009437343712797</v>
      </c>
      <c r="R174" s="73">
        <f>INDEX(ModelOutput!$E$9:$E$11,MATCH("Tier "&amp;$F174,ModelOutput!$B$9:$B$11,0))</f>
        <v>117.949723218616</v>
      </c>
      <c r="S174" s="73">
        <f>INDEX(ModelOutput!$F$9:$F$11,MATCH("Tier "&amp;$F174,ModelOutput!$B$9:$B$11,0))</f>
        <v>136.83922529015501</v>
      </c>
      <c r="T174" s="73">
        <f>INDEX(ModelOutput!$G$9:$G$11,MATCH("Tier "&amp;$F174,ModelOutput!$B$9:$B$11,0))</f>
        <v>22.729631592092201</v>
      </c>
      <c r="U174" s="77">
        <f t="shared" si="22"/>
        <v>107.81186697663465</v>
      </c>
      <c r="V174" s="77">
        <f t="shared" si="23"/>
        <v>312.82182445712931</v>
      </c>
      <c r="W174" s="77">
        <f t="shared" si="24"/>
        <v>468.7695102599186</v>
      </c>
      <c r="X174" s="77">
        <f t="shared" si="25"/>
        <v>98.153533713899208</v>
      </c>
      <c r="Y174" s="30">
        <f t="shared" si="26"/>
        <v>987.55673540758175</v>
      </c>
      <c r="Z174" s="30">
        <f t="shared" si="27"/>
        <v>1647.5109080182667</v>
      </c>
      <c r="AA174" s="41">
        <f t="shared" si="28"/>
        <v>0.15515110985828251</v>
      </c>
      <c r="AB174" s="40">
        <f t="shared" si="29"/>
        <v>1647.5109080182667</v>
      </c>
      <c r="AC174" s="42">
        <f t="shared" si="30"/>
        <v>1</v>
      </c>
      <c r="AD174" s="43">
        <v>987.55673540758403</v>
      </c>
      <c r="AE174" s="79">
        <f t="shared" si="31"/>
        <v>-2.2737367544323206E-12</v>
      </c>
      <c r="AF174" s="29">
        <f t="shared" si="32"/>
        <v>2</v>
      </c>
    </row>
    <row r="175" spans="1:32" ht="15" customHeight="1" x14ac:dyDescent="0.35">
      <c r="A175" s="19" t="s">
        <v>110</v>
      </c>
      <c r="B175" s="19" t="s">
        <v>116</v>
      </c>
      <c r="C175" s="19" t="s">
        <v>210</v>
      </c>
      <c r="D175" s="19" t="s">
        <v>122</v>
      </c>
      <c r="E175" s="19" t="s">
        <v>95</v>
      </c>
      <c r="F175" s="19">
        <v>1</v>
      </c>
      <c r="G175" s="19" t="s">
        <v>211</v>
      </c>
      <c r="H175" s="16">
        <v>51</v>
      </c>
      <c r="I175" s="13">
        <f>IF($G175="Base",1,INDEX(ModelOutput!$D$16:$D$26,MATCH($G175,ModelOutput!$C$16:$C$26,0)))</f>
        <v>1</v>
      </c>
      <c r="J175" s="13">
        <f>IF($A175="Non-greek",1,INDEX(ModelOutput!$D$16:$D$26,MATCH($A175,ModelOutput!$C$16:$C$26,0)))</f>
        <v>1</v>
      </c>
      <c r="K175" s="13">
        <f>IF($C175="Yes",1,INDEX(ModelOutput!$D$16:$D$26,MATCH($C175,ModelOutput!$C$16:$C$26,0)))</f>
        <v>1</v>
      </c>
      <c r="L175" s="13">
        <f>IF($D175="2.0-3.0",1,INDEX(ModelOutput!$D$16:$D$26,MATCH($D175,ModelOutput!$C$16:$C$26,0)))</f>
        <v>1</v>
      </c>
      <c r="M175" s="13">
        <f>IF($B175="On campus",1,INDEX(ModelOutput!$D$16:$D$26,MATCH($B175,ModelOutput!$C$16:$C$26,0)))</f>
        <v>2.2239289154388602</v>
      </c>
      <c r="N175" s="13">
        <f>IF($B175="On campus",1,INDEX(ModelOutput!$E$16:$E$26,MATCH($B175,ModelOutput!$C$16:$C$26,0)))</f>
        <v>2.18885451801426</v>
      </c>
      <c r="O175" s="13">
        <f>IF($B175="On campus",1,INDEX(ModelOutput!$F$16:$F$26,MATCH($B175,ModelOutput!$C$16:$C$26,0)))</f>
        <v>2.8272585650489699</v>
      </c>
      <c r="P175" s="13">
        <f>IF($B175="On campus",1,INDEX(ModelOutput!$G$16:$G$26,MATCH($B175,ModelOutput!$C$16:$C$26,0)))</f>
        <v>3.5639394892119598</v>
      </c>
      <c r="Q175" s="72">
        <f>INDEX(ModelOutput!$D$9:$D$11,MATCH("Tier "&amp;$F175,ModelOutput!$B$9:$B$11,0))</f>
        <v>36.175496869914397</v>
      </c>
      <c r="R175" s="72">
        <f>INDEX(ModelOutput!$E$9:$E$11,MATCH("Tier "&amp;$F175,ModelOutput!$B$9:$B$11,0))</f>
        <v>106.647084447761</v>
      </c>
      <c r="S175" s="72">
        <f>INDEX(ModelOutput!$F$9:$F$11,MATCH("Tier "&amp;$F175,ModelOutput!$B$9:$B$11,0))</f>
        <v>123.726482920496</v>
      </c>
      <c r="T175" s="72">
        <f>INDEX(ModelOutput!$G$9:$G$11,MATCH("Tier "&amp;$F175,ModelOutput!$B$9:$B$11,0))</f>
        <v>20.551544113210401</v>
      </c>
      <c r="U175" s="76">
        <f t="shared" si="22"/>
        <v>80.451733519370606</v>
      </c>
      <c r="V175" s="76">
        <f t="shared" si="23"/>
        <v>233.43495262652999</v>
      </c>
      <c r="W175" s="76">
        <f t="shared" si="24"/>
        <v>349.80675856035737</v>
      </c>
      <c r="X175" s="76">
        <f t="shared" si="25"/>
        <v>73.244459629352136</v>
      </c>
      <c r="Y175" s="27">
        <f t="shared" si="26"/>
        <v>736.93790433561014</v>
      </c>
      <c r="Z175" s="27">
        <f t="shared" si="27"/>
        <v>1239.9851505385257</v>
      </c>
      <c r="AA175" s="33">
        <f t="shared" si="28"/>
        <v>-0.13058528724685925</v>
      </c>
      <c r="AB175" s="14">
        <f t="shared" si="29"/>
        <v>1239.9851505385257</v>
      </c>
      <c r="AC175" s="29">
        <f t="shared" si="30"/>
        <v>1</v>
      </c>
      <c r="AD175" s="20">
        <v>736.93790433560901</v>
      </c>
      <c r="AE175" s="78">
        <f t="shared" si="31"/>
        <v>1.1368683772161603E-12</v>
      </c>
      <c r="AF175" s="29">
        <f t="shared" si="32"/>
        <v>4</v>
      </c>
    </row>
    <row r="176" spans="1:32" ht="15" customHeight="1" x14ac:dyDescent="0.35">
      <c r="A176" s="19" t="s">
        <v>110</v>
      </c>
      <c r="B176" s="19" t="s">
        <v>116</v>
      </c>
      <c r="C176" s="19" t="s">
        <v>210</v>
      </c>
      <c r="D176" s="19" t="s">
        <v>122</v>
      </c>
      <c r="E176" s="19" t="s">
        <v>105</v>
      </c>
      <c r="F176" s="19">
        <v>1</v>
      </c>
      <c r="G176" s="19" t="s">
        <v>105</v>
      </c>
      <c r="H176" s="16">
        <v>44</v>
      </c>
      <c r="I176" s="13">
        <f>IF($G176="Base",1,INDEX(ModelOutput!$D$16:$D$26,MATCH($G176,ModelOutput!$C$16:$C$26,0)))</f>
        <v>0.98982624281990295</v>
      </c>
      <c r="J176" s="13">
        <f>IF($A176="Non-greek",1,INDEX(ModelOutput!$D$16:$D$26,MATCH($A176,ModelOutput!$C$16:$C$26,0)))</f>
        <v>1</v>
      </c>
      <c r="K176" s="13">
        <f>IF($C176="Yes",1,INDEX(ModelOutput!$D$16:$D$26,MATCH($C176,ModelOutput!$C$16:$C$26,0)))</f>
        <v>1</v>
      </c>
      <c r="L176" s="13">
        <f>IF($D176="2.0-3.0",1,INDEX(ModelOutput!$D$16:$D$26,MATCH($D176,ModelOutput!$C$16:$C$26,0)))</f>
        <v>1</v>
      </c>
      <c r="M176" s="13">
        <f>IF($B176="On campus",1,INDEX(ModelOutput!$D$16:$D$26,MATCH($B176,ModelOutput!$C$16:$C$26,0)))</f>
        <v>2.2239289154388602</v>
      </c>
      <c r="N176" s="13">
        <f>IF($B176="On campus",1,INDEX(ModelOutput!$E$16:$E$26,MATCH($B176,ModelOutput!$C$16:$C$26,0)))</f>
        <v>2.18885451801426</v>
      </c>
      <c r="O176" s="13">
        <f>IF($B176="On campus",1,INDEX(ModelOutput!$F$16:$F$26,MATCH($B176,ModelOutput!$C$16:$C$26,0)))</f>
        <v>2.8272585650489699</v>
      </c>
      <c r="P176" s="13">
        <f>IF($B176="On campus",1,INDEX(ModelOutput!$G$16:$G$26,MATCH($B176,ModelOutput!$C$16:$C$26,0)))</f>
        <v>3.5639394892119598</v>
      </c>
      <c r="Q176" s="72">
        <f>INDEX(ModelOutput!$D$9:$D$11,MATCH("Tier "&amp;$F176,ModelOutput!$B$9:$B$11,0))</f>
        <v>36.175496869914397</v>
      </c>
      <c r="R176" s="72">
        <f>INDEX(ModelOutput!$E$9:$E$11,MATCH("Tier "&amp;$F176,ModelOutput!$B$9:$B$11,0))</f>
        <v>106.647084447761</v>
      </c>
      <c r="S176" s="72">
        <f>INDEX(ModelOutput!$F$9:$F$11,MATCH("Tier "&amp;$F176,ModelOutput!$B$9:$B$11,0))</f>
        <v>123.726482920496</v>
      </c>
      <c r="T176" s="72">
        <f>INDEX(ModelOutput!$G$9:$G$11,MATCH("Tier "&amp;$F176,ModelOutput!$B$9:$B$11,0))</f>
        <v>20.551544113210401</v>
      </c>
      <c r="U176" s="76">
        <f t="shared" si="22"/>
        <v>79.633237117826667</v>
      </c>
      <c r="V176" s="76">
        <f t="shared" si="23"/>
        <v>231.06004210116024</v>
      </c>
      <c r="W176" s="76">
        <f t="shared" si="24"/>
        <v>346.24790953880745</v>
      </c>
      <c r="X176" s="76">
        <f t="shared" si="25"/>
        <v>72.49928828229568</v>
      </c>
      <c r="Y176" s="27">
        <f t="shared" si="26"/>
        <v>729.44047704009006</v>
      </c>
      <c r="Z176" s="27">
        <f t="shared" si="27"/>
        <v>1227.7937492591914</v>
      </c>
      <c r="AA176" s="33">
        <f t="shared" si="28"/>
        <v>-0.13913327964558053</v>
      </c>
      <c r="AB176" s="14">
        <f t="shared" si="29"/>
        <v>1227.7937492591914</v>
      </c>
      <c r="AC176" s="29">
        <f t="shared" si="30"/>
        <v>1</v>
      </c>
      <c r="AD176" s="20">
        <v>729.44047704008995</v>
      </c>
      <c r="AE176" s="78">
        <f t="shared" si="31"/>
        <v>0</v>
      </c>
      <c r="AF176" s="29">
        <f t="shared" si="32"/>
        <v>3</v>
      </c>
    </row>
    <row r="177" spans="1:32" ht="15" customHeight="1" x14ac:dyDescent="0.35">
      <c r="A177" s="19" t="s">
        <v>110</v>
      </c>
      <c r="B177" s="19" t="s">
        <v>116</v>
      </c>
      <c r="C177" s="19" t="s">
        <v>210</v>
      </c>
      <c r="D177" s="19" t="s">
        <v>122</v>
      </c>
      <c r="E177" s="19" t="s">
        <v>97</v>
      </c>
      <c r="F177" s="19">
        <v>2</v>
      </c>
      <c r="G177" s="19" t="s">
        <v>211</v>
      </c>
      <c r="H177" s="16">
        <v>44</v>
      </c>
      <c r="I177" s="13">
        <f>IF($G177="Base",1,INDEX(ModelOutput!$D$16:$D$26,MATCH($G177,ModelOutput!$C$16:$C$26,0)))</f>
        <v>1</v>
      </c>
      <c r="J177" s="13">
        <f>IF($A177="Non-greek",1,INDEX(ModelOutput!$D$16:$D$26,MATCH($A177,ModelOutput!$C$16:$C$26,0)))</f>
        <v>1</v>
      </c>
      <c r="K177" s="13">
        <f>IF($C177="Yes",1,INDEX(ModelOutput!$D$16:$D$26,MATCH($C177,ModelOutput!$C$16:$C$26,0)))</f>
        <v>1</v>
      </c>
      <c r="L177" s="13">
        <f>IF($D177="2.0-3.0",1,INDEX(ModelOutput!$D$16:$D$26,MATCH($D177,ModelOutput!$C$16:$C$26,0)))</f>
        <v>1</v>
      </c>
      <c r="M177" s="13">
        <f>IF($B177="On campus",1,INDEX(ModelOutput!$D$16:$D$26,MATCH($B177,ModelOutput!$C$16:$C$26,0)))</f>
        <v>2.2239289154388602</v>
      </c>
      <c r="N177" s="13">
        <f>IF($B177="On campus",1,INDEX(ModelOutput!$E$16:$E$26,MATCH($B177,ModelOutput!$C$16:$C$26,0)))</f>
        <v>2.18885451801426</v>
      </c>
      <c r="O177" s="13">
        <f>IF($B177="On campus",1,INDEX(ModelOutput!$F$16:$F$26,MATCH($B177,ModelOutput!$C$16:$C$26,0)))</f>
        <v>2.8272585650489699</v>
      </c>
      <c r="P177" s="13">
        <f>IF($B177="On campus",1,INDEX(ModelOutput!$G$16:$G$26,MATCH($B177,ModelOutput!$C$16:$C$26,0)))</f>
        <v>3.5639394892119598</v>
      </c>
      <c r="Q177" s="72">
        <f>INDEX(ModelOutput!$D$9:$D$11,MATCH("Tier "&amp;$F177,ModelOutput!$B$9:$B$11,0))</f>
        <v>42.8051506068728</v>
      </c>
      <c r="R177" s="72">
        <f>INDEX(ModelOutput!$E$9:$E$11,MATCH("Tier "&amp;$F177,ModelOutput!$B$9:$B$11,0))</f>
        <v>126.191618818284</v>
      </c>
      <c r="S177" s="72">
        <f>INDEX(ModelOutput!$F$9:$F$11,MATCH("Tier "&amp;$F177,ModelOutput!$B$9:$B$11,0))</f>
        <v>146.401050261042</v>
      </c>
      <c r="T177" s="72">
        <f>INDEX(ModelOutput!$G$9:$G$11,MATCH("Tier "&amp;$F177,ModelOutput!$B$9:$B$11,0))</f>
        <v>24.317895180076398</v>
      </c>
      <c r="U177" s="76">
        <f t="shared" si="22"/>
        <v>95.195612164339693</v>
      </c>
      <c r="V177" s="76">
        <f t="shared" si="23"/>
        <v>276.21509498593423</v>
      </c>
      <c r="W177" s="76">
        <f t="shared" si="24"/>
        <v>413.91362328269571</v>
      </c>
      <c r="X177" s="76">
        <f t="shared" si="25"/>
        <v>86.667506926791461</v>
      </c>
      <c r="Y177" s="27">
        <f t="shared" si="26"/>
        <v>871.99183735976112</v>
      </c>
      <c r="Z177" s="27">
        <f t="shared" si="27"/>
        <v>1459.5933743933397</v>
      </c>
      <c r="AA177" s="33">
        <f t="shared" si="28"/>
        <v>2.3392863844740042E-2</v>
      </c>
      <c r="AB177" s="14">
        <f t="shared" si="29"/>
        <v>1459.5933743933397</v>
      </c>
      <c r="AC177" s="29">
        <f t="shared" si="30"/>
        <v>1</v>
      </c>
      <c r="AD177" s="20">
        <v>871.99183735976101</v>
      </c>
      <c r="AE177" s="78">
        <f t="shared" si="31"/>
        <v>0</v>
      </c>
      <c r="AF177" s="29">
        <f t="shared" si="32"/>
        <v>2</v>
      </c>
    </row>
    <row r="178" spans="1:32" ht="15" customHeight="1" x14ac:dyDescent="0.35">
      <c r="A178" s="19" t="s">
        <v>110</v>
      </c>
      <c r="B178" s="19" t="s">
        <v>116</v>
      </c>
      <c r="C178" s="19" t="s">
        <v>210</v>
      </c>
      <c r="D178" s="19" t="s">
        <v>122</v>
      </c>
      <c r="E178" s="19" t="s">
        <v>99</v>
      </c>
      <c r="F178" s="19">
        <v>3</v>
      </c>
      <c r="G178" s="19" t="s">
        <v>211</v>
      </c>
      <c r="H178" s="16">
        <v>63</v>
      </c>
      <c r="I178" s="13">
        <f>IF($G178="Base",1,INDEX(ModelOutput!$D$16:$D$26,MATCH($G178,ModelOutput!$C$16:$C$26,0)))</f>
        <v>1</v>
      </c>
      <c r="J178" s="13">
        <f>IF($A178="Non-greek",1,INDEX(ModelOutput!$D$16:$D$26,MATCH($A178,ModelOutput!$C$16:$C$26,0)))</f>
        <v>1</v>
      </c>
      <c r="K178" s="13">
        <f>IF($C178="Yes",1,INDEX(ModelOutput!$D$16:$D$26,MATCH($C178,ModelOutput!$C$16:$C$26,0)))</f>
        <v>1</v>
      </c>
      <c r="L178" s="13">
        <f>IF($D178="2.0-3.0",1,INDEX(ModelOutput!$D$16:$D$26,MATCH($D178,ModelOutput!$C$16:$C$26,0)))</f>
        <v>1</v>
      </c>
      <c r="M178" s="13">
        <f>IF($B178="On campus",1,INDEX(ModelOutput!$D$16:$D$26,MATCH($B178,ModelOutput!$C$16:$C$26,0)))</f>
        <v>2.2239289154388602</v>
      </c>
      <c r="N178" s="13">
        <f>IF($B178="On campus",1,INDEX(ModelOutput!$E$16:$E$26,MATCH($B178,ModelOutput!$C$16:$C$26,0)))</f>
        <v>2.18885451801426</v>
      </c>
      <c r="O178" s="13">
        <f>IF($B178="On campus",1,INDEX(ModelOutput!$F$16:$F$26,MATCH($B178,ModelOutput!$C$16:$C$26,0)))</f>
        <v>2.8272585650489699</v>
      </c>
      <c r="P178" s="13">
        <f>IF($B178="On campus",1,INDEX(ModelOutput!$G$16:$G$26,MATCH($B178,ModelOutput!$C$16:$C$26,0)))</f>
        <v>3.5639394892119598</v>
      </c>
      <c r="Q178" s="72">
        <f>INDEX(ModelOutput!$D$9:$D$11,MATCH("Tier "&amp;$F178,ModelOutput!$B$9:$B$11,0))</f>
        <v>40.009437343712797</v>
      </c>
      <c r="R178" s="72">
        <f>INDEX(ModelOutput!$E$9:$E$11,MATCH("Tier "&amp;$F178,ModelOutput!$B$9:$B$11,0))</f>
        <v>117.949723218616</v>
      </c>
      <c r="S178" s="72">
        <f>INDEX(ModelOutput!$F$9:$F$11,MATCH("Tier "&amp;$F178,ModelOutput!$B$9:$B$11,0))</f>
        <v>136.83922529015501</v>
      </c>
      <c r="T178" s="72">
        <f>INDEX(ModelOutput!$G$9:$G$11,MATCH("Tier "&amp;$F178,ModelOutput!$B$9:$B$11,0))</f>
        <v>22.729631592092201</v>
      </c>
      <c r="U178" s="76">
        <f t="shared" si="22"/>
        <v>88.978144599122231</v>
      </c>
      <c r="V178" s="76">
        <f t="shared" si="23"/>
        <v>258.17478456559911</v>
      </c>
      <c r="W178" s="76">
        <f t="shared" si="24"/>
        <v>386.87987173625635</v>
      </c>
      <c r="X178" s="76">
        <f t="shared" si="25"/>
        <v>81.007031606297105</v>
      </c>
      <c r="Y178" s="27">
        <f t="shared" si="26"/>
        <v>815.03983250727481</v>
      </c>
      <c r="Z178" s="27">
        <f t="shared" si="27"/>
        <v>1366.9849745447495</v>
      </c>
      <c r="AA178" s="33">
        <f t="shared" si="28"/>
        <v>-4.1539450318798354E-2</v>
      </c>
      <c r="AB178" s="14">
        <f t="shared" si="29"/>
        <v>1366.9849745447495</v>
      </c>
      <c r="AC178" s="29">
        <f t="shared" si="30"/>
        <v>1</v>
      </c>
      <c r="AD178" s="20">
        <v>815.03983250727595</v>
      </c>
      <c r="AE178" s="78">
        <f t="shared" si="31"/>
        <v>-1.1368683772161603E-12</v>
      </c>
      <c r="AF178" s="29">
        <f t="shared" si="32"/>
        <v>1</v>
      </c>
    </row>
    <row r="179" spans="1:32" ht="15" customHeight="1" x14ac:dyDescent="0.35">
      <c r="A179" s="19" t="s">
        <v>110</v>
      </c>
      <c r="B179" s="19" t="s">
        <v>116</v>
      </c>
      <c r="C179" s="19" t="s">
        <v>210</v>
      </c>
      <c r="D179" s="19" t="s">
        <v>122</v>
      </c>
      <c r="E179" s="19" t="s">
        <v>213</v>
      </c>
      <c r="F179" s="19">
        <v>3</v>
      </c>
      <c r="G179" s="19" t="s">
        <v>107</v>
      </c>
      <c r="H179" s="16">
        <v>22</v>
      </c>
      <c r="I179" s="13">
        <f>IF($G179="Base",1,INDEX(ModelOutput!$D$16:$D$26,MATCH($G179,ModelOutput!$C$16:$C$26,0)))</f>
        <v>1.1906804269762199</v>
      </c>
      <c r="J179" s="13">
        <f>IF($A179="Non-greek",1,INDEX(ModelOutput!$D$16:$D$26,MATCH($A179,ModelOutput!$C$16:$C$26,0)))</f>
        <v>1</v>
      </c>
      <c r="K179" s="13">
        <f>IF($C179="Yes",1,INDEX(ModelOutput!$D$16:$D$26,MATCH($C179,ModelOutput!$C$16:$C$26,0)))</f>
        <v>1</v>
      </c>
      <c r="L179" s="13">
        <f>IF($D179="2.0-3.0",1,INDEX(ModelOutput!$D$16:$D$26,MATCH($D179,ModelOutput!$C$16:$C$26,0)))</f>
        <v>1</v>
      </c>
      <c r="M179" s="13">
        <f>IF($B179="On campus",1,INDEX(ModelOutput!$D$16:$D$26,MATCH($B179,ModelOutput!$C$16:$C$26,0)))</f>
        <v>2.2239289154388602</v>
      </c>
      <c r="N179" s="13">
        <f>IF($B179="On campus",1,INDEX(ModelOutput!$E$16:$E$26,MATCH($B179,ModelOutput!$C$16:$C$26,0)))</f>
        <v>2.18885451801426</v>
      </c>
      <c r="O179" s="13">
        <f>IF($B179="On campus",1,INDEX(ModelOutput!$F$16:$F$26,MATCH($B179,ModelOutput!$C$16:$C$26,0)))</f>
        <v>2.8272585650489699</v>
      </c>
      <c r="P179" s="13">
        <f>IF($B179="On campus",1,INDEX(ModelOutput!$G$16:$G$26,MATCH($B179,ModelOutput!$C$16:$C$26,0)))</f>
        <v>3.5639394892119598</v>
      </c>
      <c r="Q179" s="72">
        <f>INDEX(ModelOutput!$D$9:$D$11,MATCH("Tier "&amp;$F179,ModelOutput!$B$9:$B$11,0))</f>
        <v>40.009437343712797</v>
      </c>
      <c r="R179" s="72">
        <f>INDEX(ModelOutput!$E$9:$E$11,MATCH("Tier "&amp;$F179,ModelOutput!$B$9:$B$11,0))</f>
        <v>117.949723218616</v>
      </c>
      <c r="S179" s="72">
        <f>INDEX(ModelOutput!$F$9:$F$11,MATCH("Tier "&amp;$F179,ModelOutput!$B$9:$B$11,0))</f>
        <v>136.83922529015501</v>
      </c>
      <c r="T179" s="72">
        <f>INDEX(ModelOutput!$G$9:$G$11,MATCH("Tier "&amp;$F179,ModelOutput!$B$9:$B$11,0))</f>
        <v>22.729631592092201</v>
      </c>
      <c r="U179" s="76">
        <f t="shared" si="22"/>
        <v>105.94453520283469</v>
      </c>
      <c r="V179" s="76">
        <f t="shared" si="23"/>
        <v>307.4036627210611</v>
      </c>
      <c r="W179" s="76">
        <f t="shared" si="24"/>
        <v>460.65029086743095</v>
      </c>
      <c r="X179" s="76">
        <f t="shared" si="25"/>
        <v>96.453486981061971</v>
      </c>
      <c r="Y179" s="27">
        <f t="shared" si="26"/>
        <v>970.45197577238866</v>
      </c>
      <c r="Z179" s="27">
        <f t="shared" si="27"/>
        <v>1619.6972353703436</v>
      </c>
      <c r="AA179" s="33">
        <f t="shared" si="28"/>
        <v>0.13564957292027824</v>
      </c>
      <c r="AB179" s="14">
        <f t="shared" si="29"/>
        <v>1619.6972353703436</v>
      </c>
      <c r="AC179" s="29">
        <f t="shared" si="30"/>
        <v>1</v>
      </c>
      <c r="AD179" s="20">
        <v>970.45197577239105</v>
      </c>
      <c r="AE179" s="78">
        <f t="shared" si="31"/>
        <v>-2.3874235921539366E-12</v>
      </c>
      <c r="AF179" s="29">
        <f t="shared" si="32"/>
        <v>2</v>
      </c>
    </row>
    <row r="180" spans="1:32" ht="15" customHeight="1" x14ac:dyDescent="0.35">
      <c r="A180" s="37" t="s">
        <v>110</v>
      </c>
      <c r="B180" s="37" t="s">
        <v>116</v>
      </c>
      <c r="C180" s="37" t="s">
        <v>210</v>
      </c>
      <c r="D180" s="37" t="s">
        <v>124</v>
      </c>
      <c r="E180" s="37" t="s">
        <v>95</v>
      </c>
      <c r="F180" s="37">
        <v>1</v>
      </c>
      <c r="G180" s="37" t="s">
        <v>211</v>
      </c>
      <c r="H180" s="38">
        <v>23</v>
      </c>
      <c r="I180" s="39">
        <f>IF($G180="Base",1,INDEX(ModelOutput!$D$16:$D$26,MATCH($G180,ModelOutput!$C$16:$C$26,0)))</f>
        <v>1</v>
      </c>
      <c r="J180" s="39">
        <f>IF($A180="Non-greek",1,INDEX(ModelOutput!$D$16:$D$26,MATCH($A180,ModelOutput!$C$16:$C$26,0)))</f>
        <v>1</v>
      </c>
      <c r="K180" s="39">
        <f>IF($C180="Yes",1,INDEX(ModelOutput!$D$16:$D$26,MATCH($C180,ModelOutput!$C$16:$C$26,0)))</f>
        <v>1</v>
      </c>
      <c r="L180" s="39">
        <f>IF($D180="2.0-3.0",1,INDEX(ModelOutput!$D$16:$D$26,MATCH($D180,ModelOutput!$C$16:$C$26,0)))</f>
        <v>0.87654761766211098</v>
      </c>
      <c r="M180" s="39">
        <f>IF($B180="On campus",1,INDEX(ModelOutput!$D$16:$D$26,MATCH($B180,ModelOutput!$C$16:$C$26,0)))</f>
        <v>2.2239289154388602</v>
      </c>
      <c r="N180" s="39">
        <f>IF($B180="On campus",1,INDEX(ModelOutput!$E$16:$E$26,MATCH($B180,ModelOutput!$C$16:$C$26,0)))</f>
        <v>2.18885451801426</v>
      </c>
      <c r="O180" s="39">
        <f>IF($B180="On campus",1,INDEX(ModelOutput!$F$16:$F$26,MATCH($B180,ModelOutput!$C$16:$C$26,0)))</f>
        <v>2.8272585650489699</v>
      </c>
      <c r="P180" s="39">
        <f>IF($B180="On campus",1,INDEX(ModelOutput!$G$16:$G$26,MATCH($B180,ModelOutput!$C$16:$C$26,0)))</f>
        <v>3.5639394892119598</v>
      </c>
      <c r="Q180" s="73">
        <f>INDEX(ModelOutput!$D$9:$D$11,MATCH("Tier "&amp;$F180,ModelOutput!$B$9:$B$11,0))</f>
        <v>36.175496869914397</v>
      </c>
      <c r="R180" s="73">
        <f>INDEX(ModelOutput!$E$9:$E$11,MATCH("Tier "&amp;$F180,ModelOutput!$B$9:$B$11,0))</f>
        <v>106.647084447761</v>
      </c>
      <c r="S180" s="73">
        <f>INDEX(ModelOutput!$F$9:$F$11,MATCH("Tier "&amp;$F180,ModelOutput!$B$9:$B$11,0))</f>
        <v>123.726482920496</v>
      </c>
      <c r="T180" s="73">
        <f>INDEX(ModelOutput!$G$9:$G$11,MATCH("Tier "&amp;$F180,ModelOutput!$B$9:$B$11,0))</f>
        <v>20.551544113210401</v>
      </c>
      <c r="U180" s="77">
        <f t="shared" si="22"/>
        <v>70.519775353191307</v>
      </c>
      <c r="V180" s="77">
        <f t="shared" si="23"/>
        <v>204.61685160385261</v>
      </c>
      <c r="W180" s="77">
        <f t="shared" si="24"/>
        <v>306.62228085818651</v>
      </c>
      <c r="X180" s="77">
        <f t="shared" si="25"/>
        <v>64.202256595057278</v>
      </c>
      <c r="Y180" s="30">
        <f t="shared" si="26"/>
        <v>645.96116441028778</v>
      </c>
      <c r="Z180" s="30">
        <f t="shared" si="27"/>
        <v>1092.0498789050175</v>
      </c>
      <c r="AA180" s="41">
        <f t="shared" si="28"/>
        <v>-0.23430999849638179</v>
      </c>
      <c r="AB180" s="40">
        <f t="shared" si="29"/>
        <v>1092.0498789050175</v>
      </c>
      <c r="AC180" s="42">
        <f t="shared" si="30"/>
        <v>1</v>
      </c>
      <c r="AD180" s="43">
        <v>645.96116441028698</v>
      </c>
      <c r="AE180" s="79">
        <f t="shared" si="31"/>
        <v>0</v>
      </c>
      <c r="AF180" s="29">
        <f t="shared" si="32"/>
        <v>4</v>
      </c>
    </row>
    <row r="181" spans="1:32" ht="15" customHeight="1" x14ac:dyDescent="0.35">
      <c r="A181" s="37" t="s">
        <v>110</v>
      </c>
      <c r="B181" s="37" t="s">
        <v>116</v>
      </c>
      <c r="C181" s="37" t="s">
        <v>210</v>
      </c>
      <c r="D181" s="37" t="s">
        <v>124</v>
      </c>
      <c r="E181" s="37" t="s">
        <v>105</v>
      </c>
      <c r="F181" s="37">
        <v>1</v>
      </c>
      <c r="G181" s="37" t="s">
        <v>105</v>
      </c>
      <c r="H181" s="38">
        <v>32</v>
      </c>
      <c r="I181" s="39">
        <f>IF($G181="Base",1,INDEX(ModelOutput!$D$16:$D$26,MATCH($G181,ModelOutput!$C$16:$C$26,0)))</f>
        <v>0.98982624281990295</v>
      </c>
      <c r="J181" s="39">
        <f>IF($A181="Non-greek",1,INDEX(ModelOutput!$D$16:$D$26,MATCH($A181,ModelOutput!$C$16:$C$26,0)))</f>
        <v>1</v>
      </c>
      <c r="K181" s="39">
        <f>IF($C181="Yes",1,INDEX(ModelOutput!$D$16:$D$26,MATCH($C181,ModelOutput!$C$16:$C$26,0)))</f>
        <v>1</v>
      </c>
      <c r="L181" s="39">
        <f>IF($D181="2.0-3.0",1,INDEX(ModelOutput!$D$16:$D$26,MATCH($D181,ModelOutput!$C$16:$C$26,0)))</f>
        <v>0.87654761766211098</v>
      </c>
      <c r="M181" s="39">
        <f>IF($B181="On campus",1,INDEX(ModelOutput!$D$16:$D$26,MATCH($B181,ModelOutput!$C$16:$C$26,0)))</f>
        <v>2.2239289154388602</v>
      </c>
      <c r="N181" s="39">
        <f>IF($B181="On campus",1,INDEX(ModelOutput!$E$16:$E$26,MATCH($B181,ModelOutput!$C$16:$C$26,0)))</f>
        <v>2.18885451801426</v>
      </c>
      <c r="O181" s="39">
        <f>IF($B181="On campus",1,INDEX(ModelOutput!$F$16:$F$26,MATCH($B181,ModelOutput!$C$16:$C$26,0)))</f>
        <v>2.8272585650489699</v>
      </c>
      <c r="P181" s="39">
        <f>IF($B181="On campus",1,INDEX(ModelOutput!$G$16:$G$26,MATCH($B181,ModelOutput!$C$16:$C$26,0)))</f>
        <v>3.5639394892119598</v>
      </c>
      <c r="Q181" s="73">
        <f>INDEX(ModelOutput!$D$9:$D$11,MATCH("Tier "&amp;$F181,ModelOutput!$B$9:$B$11,0))</f>
        <v>36.175496869914397</v>
      </c>
      <c r="R181" s="73">
        <f>INDEX(ModelOutput!$E$9:$E$11,MATCH("Tier "&amp;$F181,ModelOutput!$B$9:$B$11,0))</f>
        <v>106.647084447761</v>
      </c>
      <c r="S181" s="73">
        <f>INDEX(ModelOutput!$F$9:$F$11,MATCH("Tier "&amp;$F181,ModelOutput!$B$9:$B$11,0))</f>
        <v>123.726482920496</v>
      </c>
      <c r="T181" s="73">
        <f>INDEX(ModelOutput!$G$9:$G$11,MATCH("Tier "&amp;$F181,ModelOutput!$B$9:$B$11,0))</f>
        <v>20.551544113210401</v>
      </c>
      <c r="U181" s="77">
        <f t="shared" si="22"/>
        <v>69.802324282352942</v>
      </c>
      <c r="V181" s="77">
        <f t="shared" si="23"/>
        <v>202.53512944067907</v>
      </c>
      <c r="W181" s="77">
        <f t="shared" si="24"/>
        <v>303.50278022672779</v>
      </c>
      <c r="X181" s="77">
        <f t="shared" si="25"/>
        <v>63.549078426044886</v>
      </c>
      <c r="Y181" s="30">
        <f t="shared" si="26"/>
        <v>639.38931237580459</v>
      </c>
      <c r="Z181" s="30">
        <f t="shared" si="27"/>
        <v>1081.3635351576538</v>
      </c>
      <c r="AA181" s="41">
        <f t="shared" si="28"/>
        <v>-0.24180272086927512</v>
      </c>
      <c r="AB181" s="40">
        <f t="shared" si="29"/>
        <v>1081.3635351576538</v>
      </c>
      <c r="AC181" s="42">
        <f t="shared" si="30"/>
        <v>1</v>
      </c>
      <c r="AD181" s="43">
        <v>639.38931237580402</v>
      </c>
      <c r="AE181" s="79">
        <f t="shared" si="31"/>
        <v>0</v>
      </c>
      <c r="AF181" s="29">
        <f t="shared" si="32"/>
        <v>3</v>
      </c>
    </row>
    <row r="182" spans="1:32" ht="15" customHeight="1" x14ac:dyDescent="0.35">
      <c r="A182" s="37" t="s">
        <v>110</v>
      </c>
      <c r="B182" s="37" t="s">
        <v>116</v>
      </c>
      <c r="C182" s="37" t="s">
        <v>210</v>
      </c>
      <c r="D182" s="37" t="s">
        <v>124</v>
      </c>
      <c r="E182" s="37" t="s">
        <v>97</v>
      </c>
      <c r="F182" s="37">
        <v>2</v>
      </c>
      <c r="G182" s="37" t="s">
        <v>211</v>
      </c>
      <c r="H182" s="38">
        <v>19</v>
      </c>
      <c r="I182" s="39">
        <f>IF($G182="Base",1,INDEX(ModelOutput!$D$16:$D$26,MATCH($G182,ModelOutput!$C$16:$C$26,0)))</f>
        <v>1</v>
      </c>
      <c r="J182" s="39">
        <f>IF($A182="Non-greek",1,INDEX(ModelOutput!$D$16:$D$26,MATCH($A182,ModelOutput!$C$16:$C$26,0)))</f>
        <v>1</v>
      </c>
      <c r="K182" s="39">
        <f>IF($C182="Yes",1,INDEX(ModelOutput!$D$16:$D$26,MATCH($C182,ModelOutput!$C$16:$C$26,0)))</f>
        <v>1</v>
      </c>
      <c r="L182" s="39">
        <f>IF($D182="2.0-3.0",1,INDEX(ModelOutput!$D$16:$D$26,MATCH($D182,ModelOutput!$C$16:$C$26,0)))</f>
        <v>0.87654761766211098</v>
      </c>
      <c r="M182" s="39">
        <f>IF($B182="On campus",1,INDEX(ModelOutput!$D$16:$D$26,MATCH($B182,ModelOutput!$C$16:$C$26,0)))</f>
        <v>2.2239289154388602</v>
      </c>
      <c r="N182" s="39">
        <f>IF($B182="On campus",1,INDEX(ModelOutput!$E$16:$E$26,MATCH($B182,ModelOutput!$C$16:$C$26,0)))</f>
        <v>2.18885451801426</v>
      </c>
      <c r="O182" s="39">
        <f>IF($B182="On campus",1,INDEX(ModelOutput!$F$16:$F$26,MATCH($B182,ModelOutput!$C$16:$C$26,0)))</f>
        <v>2.8272585650489699</v>
      </c>
      <c r="P182" s="39">
        <f>IF($B182="On campus",1,INDEX(ModelOutput!$G$16:$G$26,MATCH($B182,ModelOutput!$C$16:$C$26,0)))</f>
        <v>3.5639394892119598</v>
      </c>
      <c r="Q182" s="73">
        <f>INDEX(ModelOutput!$D$9:$D$11,MATCH("Tier "&amp;$F182,ModelOutput!$B$9:$B$11,0))</f>
        <v>42.8051506068728</v>
      </c>
      <c r="R182" s="73">
        <f>INDEX(ModelOutput!$E$9:$E$11,MATCH("Tier "&amp;$F182,ModelOutput!$B$9:$B$11,0))</f>
        <v>126.191618818284</v>
      </c>
      <c r="S182" s="73">
        <f>INDEX(ModelOutput!$F$9:$F$11,MATCH("Tier "&amp;$F182,ModelOutput!$B$9:$B$11,0))</f>
        <v>146.401050261042</v>
      </c>
      <c r="T182" s="73">
        <f>INDEX(ModelOutput!$G$9:$G$11,MATCH("Tier "&amp;$F182,ModelOutput!$B$9:$B$11,0))</f>
        <v>24.317895180076398</v>
      </c>
      <c r="U182" s="77">
        <f t="shared" si="22"/>
        <v>83.443487054538224</v>
      </c>
      <c r="V182" s="77">
        <f t="shared" si="23"/>
        <v>242.11568347223437</v>
      </c>
      <c r="W182" s="77">
        <f t="shared" si="24"/>
        <v>362.81500040633944</v>
      </c>
      <c r="X182" s="77">
        <f t="shared" si="25"/>
        <v>75.968196725393554</v>
      </c>
      <c r="Y182" s="30">
        <f t="shared" si="26"/>
        <v>764.34236765850562</v>
      </c>
      <c r="Z182" s="30">
        <f t="shared" si="27"/>
        <v>1284.5469443439622</v>
      </c>
      <c r="AA182" s="41">
        <f t="shared" si="28"/>
        <v>-9.934081698502395E-2</v>
      </c>
      <c r="AB182" s="40">
        <f t="shared" si="29"/>
        <v>1284.5469443439622</v>
      </c>
      <c r="AC182" s="42">
        <f t="shared" si="30"/>
        <v>1</v>
      </c>
      <c r="AD182" s="43">
        <v>764.34236765850505</v>
      </c>
      <c r="AE182" s="79">
        <f t="shared" si="31"/>
        <v>0</v>
      </c>
      <c r="AF182" s="29">
        <f t="shared" si="32"/>
        <v>2</v>
      </c>
    </row>
    <row r="183" spans="1:32" ht="15" customHeight="1" x14ac:dyDescent="0.35">
      <c r="A183" s="37" t="s">
        <v>110</v>
      </c>
      <c r="B183" s="37" t="s">
        <v>116</v>
      </c>
      <c r="C183" s="37" t="s">
        <v>210</v>
      </c>
      <c r="D183" s="37" t="s">
        <v>124</v>
      </c>
      <c r="E183" s="37" t="s">
        <v>99</v>
      </c>
      <c r="F183" s="37">
        <v>3</v>
      </c>
      <c r="G183" s="37" t="s">
        <v>211</v>
      </c>
      <c r="H183" s="38">
        <v>23</v>
      </c>
      <c r="I183" s="39">
        <f>IF($G183="Base",1,INDEX(ModelOutput!$D$16:$D$26,MATCH($G183,ModelOutput!$C$16:$C$26,0)))</f>
        <v>1</v>
      </c>
      <c r="J183" s="39">
        <f>IF($A183="Non-greek",1,INDEX(ModelOutput!$D$16:$D$26,MATCH($A183,ModelOutput!$C$16:$C$26,0)))</f>
        <v>1</v>
      </c>
      <c r="K183" s="39">
        <f>IF($C183="Yes",1,INDEX(ModelOutput!$D$16:$D$26,MATCH($C183,ModelOutput!$C$16:$C$26,0)))</f>
        <v>1</v>
      </c>
      <c r="L183" s="39">
        <f>IF($D183="2.0-3.0",1,INDEX(ModelOutput!$D$16:$D$26,MATCH($D183,ModelOutput!$C$16:$C$26,0)))</f>
        <v>0.87654761766211098</v>
      </c>
      <c r="M183" s="39">
        <f>IF($B183="On campus",1,INDEX(ModelOutput!$D$16:$D$26,MATCH($B183,ModelOutput!$C$16:$C$26,0)))</f>
        <v>2.2239289154388602</v>
      </c>
      <c r="N183" s="39">
        <f>IF($B183="On campus",1,INDEX(ModelOutput!$E$16:$E$26,MATCH($B183,ModelOutput!$C$16:$C$26,0)))</f>
        <v>2.18885451801426</v>
      </c>
      <c r="O183" s="39">
        <f>IF($B183="On campus",1,INDEX(ModelOutput!$F$16:$F$26,MATCH($B183,ModelOutput!$C$16:$C$26,0)))</f>
        <v>2.8272585650489699</v>
      </c>
      <c r="P183" s="39">
        <f>IF($B183="On campus",1,INDEX(ModelOutput!$G$16:$G$26,MATCH($B183,ModelOutput!$C$16:$C$26,0)))</f>
        <v>3.5639394892119598</v>
      </c>
      <c r="Q183" s="73">
        <f>INDEX(ModelOutput!$D$9:$D$11,MATCH("Tier "&amp;$F183,ModelOutput!$B$9:$B$11,0))</f>
        <v>40.009437343712797</v>
      </c>
      <c r="R183" s="73">
        <f>INDEX(ModelOutput!$E$9:$E$11,MATCH("Tier "&amp;$F183,ModelOutput!$B$9:$B$11,0))</f>
        <v>117.949723218616</v>
      </c>
      <c r="S183" s="73">
        <f>INDEX(ModelOutput!$F$9:$F$11,MATCH("Tier "&amp;$F183,ModelOutput!$B$9:$B$11,0))</f>
        <v>136.83922529015501</v>
      </c>
      <c r="T183" s="73">
        <f>INDEX(ModelOutput!$G$9:$G$11,MATCH("Tier "&amp;$F183,ModelOutput!$B$9:$B$11,0))</f>
        <v>22.729631592092201</v>
      </c>
      <c r="U183" s="77">
        <f t="shared" si="22"/>
        <v>77.993580672355421</v>
      </c>
      <c r="V183" s="77">
        <f t="shared" si="23"/>
        <v>226.30249235140462</v>
      </c>
      <c r="W183" s="77">
        <f t="shared" si="24"/>
        <v>339.11862989183857</v>
      </c>
      <c r="X183" s="77">
        <f t="shared" si="25"/>
        <v>71.006520568379045</v>
      </c>
      <c r="Y183" s="30">
        <f t="shared" si="26"/>
        <v>714.42122348397766</v>
      </c>
      <c r="Z183" s="30">
        <f t="shared" si="27"/>
        <v>1203.3712720811805</v>
      </c>
      <c r="AA183" s="41">
        <f t="shared" si="28"/>
        <v>-0.15625708227436119</v>
      </c>
      <c r="AB183" s="40">
        <f t="shared" si="29"/>
        <v>1203.3712720811805</v>
      </c>
      <c r="AC183" s="42">
        <f t="shared" si="30"/>
        <v>1</v>
      </c>
      <c r="AD183" s="43">
        <v>714.42122348397902</v>
      </c>
      <c r="AE183" s="79">
        <f t="shared" si="31"/>
        <v>-1.3642420526593924E-12</v>
      </c>
      <c r="AF183" s="29">
        <f t="shared" si="32"/>
        <v>1</v>
      </c>
    </row>
    <row r="184" spans="1:32" ht="15" customHeight="1" x14ac:dyDescent="0.35">
      <c r="A184" s="37" t="s">
        <v>110</v>
      </c>
      <c r="B184" s="37" t="s">
        <v>116</v>
      </c>
      <c r="C184" s="37" t="s">
        <v>210</v>
      </c>
      <c r="D184" s="37" t="s">
        <v>124</v>
      </c>
      <c r="E184" s="37" t="s">
        <v>213</v>
      </c>
      <c r="F184" s="37">
        <v>3</v>
      </c>
      <c r="G184" s="37" t="s">
        <v>107</v>
      </c>
      <c r="H184" s="38">
        <v>11</v>
      </c>
      <c r="I184" s="39">
        <f>IF($G184="Base",1,INDEX(ModelOutput!$D$16:$D$26,MATCH($G184,ModelOutput!$C$16:$C$26,0)))</f>
        <v>1.1906804269762199</v>
      </c>
      <c r="J184" s="39">
        <f>IF($A184="Non-greek",1,INDEX(ModelOutput!$D$16:$D$26,MATCH($A184,ModelOutput!$C$16:$C$26,0)))</f>
        <v>1</v>
      </c>
      <c r="K184" s="39">
        <f>IF($C184="Yes",1,INDEX(ModelOutput!$D$16:$D$26,MATCH($C184,ModelOutput!$C$16:$C$26,0)))</f>
        <v>1</v>
      </c>
      <c r="L184" s="39">
        <f>IF($D184="2.0-3.0",1,INDEX(ModelOutput!$D$16:$D$26,MATCH($D184,ModelOutput!$C$16:$C$26,0)))</f>
        <v>0.87654761766211098</v>
      </c>
      <c r="M184" s="39">
        <f>IF($B184="On campus",1,INDEX(ModelOutput!$D$16:$D$26,MATCH($B184,ModelOutput!$C$16:$C$26,0)))</f>
        <v>2.2239289154388602</v>
      </c>
      <c r="N184" s="39">
        <f>IF($B184="On campus",1,INDEX(ModelOutput!$E$16:$E$26,MATCH($B184,ModelOutput!$C$16:$C$26,0)))</f>
        <v>2.18885451801426</v>
      </c>
      <c r="O184" s="39">
        <f>IF($B184="On campus",1,INDEX(ModelOutput!$F$16:$F$26,MATCH($B184,ModelOutput!$C$16:$C$26,0)))</f>
        <v>2.8272585650489699</v>
      </c>
      <c r="P184" s="39">
        <f>IF($B184="On campus",1,INDEX(ModelOutput!$G$16:$G$26,MATCH($B184,ModelOutput!$C$16:$C$26,0)))</f>
        <v>3.5639394892119598</v>
      </c>
      <c r="Q184" s="73">
        <f>INDEX(ModelOutput!$D$9:$D$11,MATCH("Tier "&amp;$F184,ModelOutput!$B$9:$B$11,0))</f>
        <v>40.009437343712797</v>
      </c>
      <c r="R184" s="73">
        <f>INDEX(ModelOutput!$E$9:$E$11,MATCH("Tier "&amp;$F184,ModelOutput!$B$9:$B$11,0))</f>
        <v>117.949723218616</v>
      </c>
      <c r="S184" s="73">
        <f>INDEX(ModelOutput!$F$9:$F$11,MATCH("Tier "&amp;$F184,ModelOutput!$B$9:$B$11,0))</f>
        <v>136.83922529015501</v>
      </c>
      <c r="T184" s="73">
        <f>INDEX(ModelOutput!$G$9:$G$11,MATCH("Tier "&amp;$F184,ModelOutput!$B$9:$B$11,0))</f>
        <v>22.729631592092201</v>
      </c>
      <c r="U184" s="77">
        <f t="shared" si="22"/>
        <v>92.865429936364393</v>
      </c>
      <c r="V184" s="77">
        <f t="shared" si="23"/>
        <v>269.45394821875323</v>
      </c>
      <c r="W184" s="77">
        <f t="shared" si="24"/>
        <v>403.78191503520509</v>
      </c>
      <c r="X184" s="77">
        <f t="shared" si="25"/>
        <v>84.546074228453307</v>
      </c>
      <c r="Y184" s="30">
        <f t="shared" si="26"/>
        <v>850.64736741877607</v>
      </c>
      <c r="Z184" s="30">
        <f t="shared" si="27"/>
        <v>1424.8856022618611</v>
      </c>
      <c r="AA184" s="41">
        <f t="shared" si="28"/>
        <v>-9.4246607827208617E-4</v>
      </c>
      <c r="AB184" s="40">
        <f t="shared" si="29"/>
        <v>1424.8856022618611</v>
      </c>
      <c r="AC184" s="42">
        <f t="shared" si="30"/>
        <v>1</v>
      </c>
      <c r="AD184" s="43">
        <v>850.64736741877698</v>
      </c>
      <c r="AE184" s="79">
        <f t="shared" si="31"/>
        <v>-9.0949470177292824E-13</v>
      </c>
      <c r="AF184" s="29">
        <f t="shared" si="32"/>
        <v>2</v>
      </c>
    </row>
    <row r="185" spans="1:32" ht="15" customHeight="1" x14ac:dyDescent="0.35">
      <c r="A185" s="19" t="s">
        <v>110</v>
      </c>
      <c r="B185" s="19" t="s">
        <v>116</v>
      </c>
      <c r="C185" s="19" t="s">
        <v>118</v>
      </c>
      <c r="D185" s="19" t="s">
        <v>121</v>
      </c>
      <c r="E185" s="19" t="s">
        <v>95</v>
      </c>
      <c r="F185" s="19">
        <v>1</v>
      </c>
      <c r="G185" s="19" t="s">
        <v>211</v>
      </c>
      <c r="H185" s="16">
        <v>3</v>
      </c>
      <c r="I185" s="13">
        <f>IF($G185="Base",1,INDEX(ModelOutput!$D$16:$D$26,MATCH($G185,ModelOutput!$C$16:$C$26,0)))</f>
        <v>1</v>
      </c>
      <c r="J185" s="13">
        <f>IF($A185="Non-greek",1,INDEX(ModelOutput!$D$16:$D$26,MATCH($A185,ModelOutput!$C$16:$C$26,0)))</f>
        <v>1</v>
      </c>
      <c r="K185" s="13">
        <f>IF($C185="Yes",1,INDEX(ModelOutput!$D$16:$D$26,MATCH($C185,ModelOutput!$C$16:$C$26,0)))</f>
        <v>1.5400747552012299</v>
      </c>
      <c r="L185" s="13">
        <f>IF($D185="2.0-3.0",1,INDEX(ModelOutput!$D$16:$D$26,MATCH($D185,ModelOutput!$C$16:$C$26,0)))</f>
        <v>1.12144800201769</v>
      </c>
      <c r="M185" s="13">
        <f>IF($B185="On campus",1,INDEX(ModelOutput!$D$16:$D$26,MATCH($B185,ModelOutput!$C$16:$C$26,0)))</f>
        <v>2.2239289154388602</v>
      </c>
      <c r="N185" s="13">
        <f>IF($B185="On campus",1,INDEX(ModelOutput!$E$16:$E$26,MATCH($B185,ModelOutput!$C$16:$C$26,0)))</f>
        <v>2.18885451801426</v>
      </c>
      <c r="O185" s="13">
        <f>IF($B185="On campus",1,INDEX(ModelOutput!$F$16:$F$26,MATCH($B185,ModelOutput!$C$16:$C$26,0)))</f>
        <v>2.8272585650489699</v>
      </c>
      <c r="P185" s="13">
        <f>IF($B185="On campus",1,INDEX(ModelOutput!$G$16:$G$26,MATCH($B185,ModelOutput!$C$16:$C$26,0)))</f>
        <v>3.5639394892119598</v>
      </c>
      <c r="Q185" s="72">
        <f>INDEX(ModelOutput!$D$9:$D$11,MATCH("Tier "&amp;$F185,ModelOutput!$B$9:$B$11,0))</f>
        <v>36.175496869914397</v>
      </c>
      <c r="R185" s="72">
        <f>INDEX(ModelOutput!$E$9:$E$11,MATCH("Tier "&amp;$F185,ModelOutput!$B$9:$B$11,0))</f>
        <v>106.647084447761</v>
      </c>
      <c r="S185" s="72">
        <f>INDEX(ModelOutput!$F$9:$F$11,MATCH("Tier "&amp;$F185,ModelOutput!$B$9:$B$11,0))</f>
        <v>123.726482920496</v>
      </c>
      <c r="T185" s="72">
        <f>INDEX(ModelOutput!$G$9:$G$11,MATCH("Tier "&amp;$F185,ModelOutput!$B$9:$B$11,0))</f>
        <v>20.551544113210401</v>
      </c>
      <c r="U185" s="76">
        <f t="shared" si="22"/>
        <v>138.94929575014774</v>
      </c>
      <c r="V185" s="76">
        <f t="shared" si="23"/>
        <v>403.16871808754519</v>
      </c>
      <c r="W185" s="76">
        <f t="shared" si="24"/>
        <v>604.15606506354209</v>
      </c>
      <c r="X185" s="76">
        <f t="shared" si="25"/>
        <v>126.50151386294485</v>
      </c>
      <c r="Y185" s="27">
        <f t="shared" si="26"/>
        <v>1272.7755927641799</v>
      </c>
      <c r="Z185" s="27">
        <f t="shared" si="27"/>
        <v>2111.2990056427993</v>
      </c>
      <c r="AA185" s="33">
        <f t="shared" si="28"/>
        <v>0.48033580702940459</v>
      </c>
      <c r="AB185" s="14">
        <f t="shared" si="29"/>
        <v>1782.7872193062994</v>
      </c>
      <c r="AC185" s="29">
        <f t="shared" si="30"/>
        <v>2</v>
      </c>
      <c r="AD185" s="20">
        <v>1272.7755927641799</v>
      </c>
      <c r="AE185" s="78">
        <f t="shared" si="31"/>
        <v>0</v>
      </c>
      <c r="AF185" s="29">
        <f t="shared" si="32"/>
        <v>4</v>
      </c>
    </row>
    <row r="186" spans="1:32" ht="15" customHeight="1" x14ac:dyDescent="0.35">
      <c r="A186" s="19" t="s">
        <v>110</v>
      </c>
      <c r="B186" s="19" t="s">
        <v>116</v>
      </c>
      <c r="C186" s="19" t="s">
        <v>118</v>
      </c>
      <c r="D186" s="19" t="s">
        <v>121</v>
      </c>
      <c r="E186" s="19" t="s">
        <v>105</v>
      </c>
      <c r="F186" s="19">
        <v>1</v>
      </c>
      <c r="G186" s="19" t="s">
        <v>105</v>
      </c>
      <c r="H186" s="16">
        <v>6</v>
      </c>
      <c r="I186" s="13">
        <f>IF($G186="Base",1,INDEX(ModelOutput!$D$16:$D$26,MATCH($G186,ModelOutput!$C$16:$C$26,0)))</f>
        <v>0.98982624281990295</v>
      </c>
      <c r="J186" s="13">
        <f>IF($A186="Non-greek",1,INDEX(ModelOutput!$D$16:$D$26,MATCH($A186,ModelOutput!$C$16:$C$26,0)))</f>
        <v>1</v>
      </c>
      <c r="K186" s="13">
        <f>IF($C186="Yes",1,INDEX(ModelOutput!$D$16:$D$26,MATCH($C186,ModelOutput!$C$16:$C$26,0)))</f>
        <v>1.5400747552012299</v>
      </c>
      <c r="L186" s="13">
        <f>IF($D186="2.0-3.0",1,INDEX(ModelOutput!$D$16:$D$26,MATCH($D186,ModelOutput!$C$16:$C$26,0)))</f>
        <v>1.12144800201769</v>
      </c>
      <c r="M186" s="13">
        <f>IF($B186="On campus",1,INDEX(ModelOutput!$D$16:$D$26,MATCH($B186,ModelOutput!$C$16:$C$26,0)))</f>
        <v>2.2239289154388602</v>
      </c>
      <c r="N186" s="13">
        <f>IF($B186="On campus",1,INDEX(ModelOutput!$E$16:$E$26,MATCH($B186,ModelOutput!$C$16:$C$26,0)))</f>
        <v>2.18885451801426</v>
      </c>
      <c r="O186" s="13">
        <f>IF($B186="On campus",1,INDEX(ModelOutput!$F$16:$F$26,MATCH($B186,ModelOutput!$C$16:$C$26,0)))</f>
        <v>2.8272585650489699</v>
      </c>
      <c r="P186" s="13">
        <f>IF($B186="On campus",1,INDEX(ModelOutput!$G$16:$G$26,MATCH($B186,ModelOutput!$C$16:$C$26,0)))</f>
        <v>3.5639394892119598</v>
      </c>
      <c r="Q186" s="72">
        <f>INDEX(ModelOutput!$D$9:$D$11,MATCH("Tier "&amp;$F186,ModelOutput!$B$9:$B$11,0))</f>
        <v>36.175496869914397</v>
      </c>
      <c r="R186" s="72">
        <f>INDEX(ModelOutput!$E$9:$E$11,MATCH("Tier "&amp;$F186,ModelOutput!$B$9:$B$11,0))</f>
        <v>106.647084447761</v>
      </c>
      <c r="S186" s="72">
        <f>INDEX(ModelOutput!$F$9:$F$11,MATCH("Tier "&amp;$F186,ModelOutput!$B$9:$B$11,0))</f>
        <v>123.726482920496</v>
      </c>
      <c r="T186" s="72">
        <f>INDEX(ModelOutput!$G$9:$G$11,MATCH("Tier "&amp;$F186,ModelOutput!$B$9:$B$11,0))</f>
        <v>20.551544113210401</v>
      </c>
      <c r="U186" s="76">
        <f t="shared" si="22"/>
        <v>137.53565935484025</v>
      </c>
      <c r="V186" s="76">
        <f t="shared" si="23"/>
        <v>399.06697744711158</v>
      </c>
      <c r="W186" s="76">
        <f t="shared" si="24"/>
        <v>598.00952795870273</v>
      </c>
      <c r="X186" s="76">
        <f t="shared" si="25"/>
        <v>125.21451817798855</v>
      </c>
      <c r="Y186" s="27">
        <f t="shared" si="26"/>
        <v>1259.8266829386432</v>
      </c>
      <c r="Z186" s="27">
        <f t="shared" si="27"/>
        <v>2090.2430687739802</v>
      </c>
      <c r="AA186" s="33">
        <f t="shared" si="28"/>
        <v>0.46557245176131756</v>
      </c>
      <c r="AB186" s="14">
        <f t="shared" si="29"/>
        <v>1782.7872193062994</v>
      </c>
      <c r="AC186" s="29">
        <f t="shared" si="30"/>
        <v>2</v>
      </c>
      <c r="AD186" s="20">
        <v>1259.82668293864</v>
      </c>
      <c r="AE186" s="78">
        <f t="shared" si="31"/>
        <v>3.1832314562052488E-12</v>
      </c>
      <c r="AF186" s="29">
        <f t="shared" si="32"/>
        <v>3</v>
      </c>
    </row>
    <row r="187" spans="1:32" ht="15" customHeight="1" x14ac:dyDescent="0.35">
      <c r="A187" s="19" t="s">
        <v>110</v>
      </c>
      <c r="B187" s="19" t="s">
        <v>116</v>
      </c>
      <c r="C187" s="19" t="s">
        <v>118</v>
      </c>
      <c r="D187" s="19" t="s">
        <v>121</v>
      </c>
      <c r="E187" s="19" t="s">
        <v>97</v>
      </c>
      <c r="F187" s="19">
        <v>2</v>
      </c>
      <c r="G187" s="19" t="s">
        <v>211</v>
      </c>
      <c r="H187" s="16">
        <v>4</v>
      </c>
      <c r="I187" s="13">
        <f>IF($G187="Base",1,INDEX(ModelOutput!$D$16:$D$26,MATCH($G187,ModelOutput!$C$16:$C$26,0)))</f>
        <v>1</v>
      </c>
      <c r="J187" s="13">
        <f>IF($A187="Non-greek",1,INDEX(ModelOutput!$D$16:$D$26,MATCH($A187,ModelOutput!$C$16:$C$26,0)))</f>
        <v>1</v>
      </c>
      <c r="K187" s="13">
        <f>IF($C187="Yes",1,INDEX(ModelOutput!$D$16:$D$26,MATCH($C187,ModelOutput!$C$16:$C$26,0)))</f>
        <v>1.5400747552012299</v>
      </c>
      <c r="L187" s="13">
        <f>IF($D187="2.0-3.0",1,INDEX(ModelOutput!$D$16:$D$26,MATCH($D187,ModelOutput!$C$16:$C$26,0)))</f>
        <v>1.12144800201769</v>
      </c>
      <c r="M187" s="13">
        <f>IF($B187="On campus",1,INDEX(ModelOutput!$D$16:$D$26,MATCH($B187,ModelOutput!$C$16:$C$26,0)))</f>
        <v>2.2239289154388602</v>
      </c>
      <c r="N187" s="13">
        <f>IF($B187="On campus",1,INDEX(ModelOutput!$E$16:$E$26,MATCH($B187,ModelOutput!$C$16:$C$26,0)))</f>
        <v>2.18885451801426</v>
      </c>
      <c r="O187" s="13">
        <f>IF($B187="On campus",1,INDEX(ModelOutput!$F$16:$F$26,MATCH($B187,ModelOutput!$C$16:$C$26,0)))</f>
        <v>2.8272585650489699</v>
      </c>
      <c r="P187" s="13">
        <f>IF($B187="On campus",1,INDEX(ModelOutput!$G$16:$G$26,MATCH($B187,ModelOutput!$C$16:$C$26,0)))</f>
        <v>3.5639394892119598</v>
      </c>
      <c r="Q187" s="72">
        <f>INDEX(ModelOutput!$D$9:$D$11,MATCH("Tier "&amp;$F187,ModelOutput!$B$9:$B$11,0))</f>
        <v>42.8051506068728</v>
      </c>
      <c r="R187" s="72">
        <f>INDEX(ModelOutput!$E$9:$E$11,MATCH("Tier "&amp;$F187,ModelOutput!$B$9:$B$11,0))</f>
        <v>126.191618818284</v>
      </c>
      <c r="S187" s="72">
        <f>INDEX(ModelOutput!$F$9:$F$11,MATCH("Tier "&amp;$F187,ModelOutput!$B$9:$B$11,0))</f>
        <v>146.401050261042</v>
      </c>
      <c r="T187" s="72">
        <f>INDEX(ModelOutput!$G$9:$G$11,MATCH("Tier "&amp;$F187,ModelOutput!$B$9:$B$11,0))</f>
        <v>24.317895180076398</v>
      </c>
      <c r="U187" s="76">
        <f t="shared" si="22"/>
        <v>164.41365139204123</v>
      </c>
      <c r="V187" s="76">
        <f t="shared" si="23"/>
        <v>477.05489049051857</v>
      </c>
      <c r="W187" s="76">
        <f t="shared" si="24"/>
        <v>714.87591305506112</v>
      </c>
      <c r="X187" s="76">
        <f t="shared" si="25"/>
        <v>149.68464351360734</v>
      </c>
      <c r="Y187" s="27">
        <f t="shared" si="26"/>
        <v>1506.0290984512283</v>
      </c>
      <c r="Z187" s="27">
        <f t="shared" si="27"/>
        <v>2490.5873902519411</v>
      </c>
      <c r="AA187" s="33">
        <f t="shared" si="28"/>
        <v>0.74627359008458516</v>
      </c>
      <c r="AB187" s="14">
        <f t="shared" si="29"/>
        <v>1782.7872193062994</v>
      </c>
      <c r="AC187" s="29">
        <f t="shared" si="30"/>
        <v>3</v>
      </c>
      <c r="AD187" s="20">
        <v>1506.0290984512301</v>
      </c>
      <c r="AE187" s="78">
        <f t="shared" si="31"/>
        <v>-1.8189894035458565E-12</v>
      </c>
      <c r="AF187" s="29">
        <f t="shared" si="32"/>
        <v>2</v>
      </c>
    </row>
    <row r="188" spans="1:32" ht="15" customHeight="1" x14ac:dyDescent="0.35">
      <c r="A188" s="19" t="s">
        <v>110</v>
      </c>
      <c r="B188" s="19" t="s">
        <v>116</v>
      </c>
      <c r="C188" s="19" t="s">
        <v>118</v>
      </c>
      <c r="D188" s="19" t="s">
        <v>121</v>
      </c>
      <c r="E188" s="19" t="s">
        <v>99</v>
      </c>
      <c r="F188" s="19">
        <v>3</v>
      </c>
      <c r="G188" s="19" t="s">
        <v>211</v>
      </c>
      <c r="H188" s="16">
        <v>4</v>
      </c>
      <c r="I188" s="13">
        <f>IF($G188="Base",1,INDEX(ModelOutput!$D$16:$D$26,MATCH($G188,ModelOutput!$C$16:$C$26,0)))</f>
        <v>1</v>
      </c>
      <c r="J188" s="13">
        <f>IF($A188="Non-greek",1,INDEX(ModelOutput!$D$16:$D$26,MATCH($A188,ModelOutput!$C$16:$C$26,0)))</f>
        <v>1</v>
      </c>
      <c r="K188" s="13">
        <f>IF($C188="Yes",1,INDEX(ModelOutput!$D$16:$D$26,MATCH($C188,ModelOutput!$C$16:$C$26,0)))</f>
        <v>1.5400747552012299</v>
      </c>
      <c r="L188" s="13">
        <f>IF($D188="2.0-3.0",1,INDEX(ModelOutput!$D$16:$D$26,MATCH($D188,ModelOutput!$C$16:$C$26,0)))</f>
        <v>1.12144800201769</v>
      </c>
      <c r="M188" s="13">
        <f>IF($B188="On campus",1,INDEX(ModelOutput!$D$16:$D$26,MATCH($B188,ModelOutput!$C$16:$C$26,0)))</f>
        <v>2.2239289154388602</v>
      </c>
      <c r="N188" s="13">
        <f>IF($B188="On campus",1,INDEX(ModelOutput!$E$16:$E$26,MATCH($B188,ModelOutput!$C$16:$C$26,0)))</f>
        <v>2.18885451801426</v>
      </c>
      <c r="O188" s="13">
        <f>IF($B188="On campus",1,INDEX(ModelOutput!$F$16:$F$26,MATCH($B188,ModelOutput!$C$16:$C$26,0)))</f>
        <v>2.8272585650489699</v>
      </c>
      <c r="P188" s="13">
        <f>IF($B188="On campus",1,INDEX(ModelOutput!$G$16:$G$26,MATCH($B188,ModelOutput!$C$16:$C$26,0)))</f>
        <v>3.5639394892119598</v>
      </c>
      <c r="Q188" s="72">
        <f>INDEX(ModelOutput!$D$9:$D$11,MATCH("Tier "&amp;$F188,ModelOutput!$B$9:$B$11,0))</f>
        <v>40.009437343712797</v>
      </c>
      <c r="R188" s="72">
        <f>INDEX(ModelOutput!$E$9:$E$11,MATCH("Tier "&amp;$F188,ModelOutput!$B$9:$B$11,0))</f>
        <v>117.949723218616</v>
      </c>
      <c r="S188" s="72">
        <f>INDEX(ModelOutput!$F$9:$F$11,MATCH("Tier "&amp;$F188,ModelOutput!$B$9:$B$11,0))</f>
        <v>136.83922529015501</v>
      </c>
      <c r="T188" s="72">
        <f>INDEX(ModelOutput!$G$9:$G$11,MATCH("Tier "&amp;$F188,ModelOutput!$B$9:$B$11,0))</f>
        <v>22.729631592092201</v>
      </c>
      <c r="U188" s="76">
        <f t="shared" si="22"/>
        <v>153.67537762534425</v>
      </c>
      <c r="V188" s="76">
        <f t="shared" si="23"/>
        <v>445.89722217979062</v>
      </c>
      <c r="W188" s="76">
        <f t="shared" si="24"/>
        <v>668.18554885106539</v>
      </c>
      <c r="X188" s="76">
        <f t="shared" si="25"/>
        <v>139.90835871541327</v>
      </c>
      <c r="Y188" s="27">
        <f t="shared" si="26"/>
        <v>1407.6665073716135</v>
      </c>
      <c r="Z188" s="27">
        <f t="shared" si="27"/>
        <v>2330.642148843172</v>
      </c>
      <c r="AA188" s="33">
        <f t="shared" si="28"/>
        <v>0.63412809700731443</v>
      </c>
      <c r="AB188" s="14">
        <f t="shared" si="29"/>
        <v>1782.7872193062994</v>
      </c>
      <c r="AC188" s="29">
        <f t="shared" si="30"/>
        <v>3</v>
      </c>
      <c r="AD188" s="20">
        <v>1407.6665073716199</v>
      </c>
      <c r="AE188" s="78">
        <f t="shared" si="31"/>
        <v>-6.3664629124104977E-12</v>
      </c>
      <c r="AF188" s="29">
        <f t="shared" si="32"/>
        <v>1</v>
      </c>
    </row>
    <row r="189" spans="1:32" ht="15" customHeight="1" x14ac:dyDescent="0.35">
      <c r="A189" s="19" t="s">
        <v>110</v>
      </c>
      <c r="B189" s="19" t="s">
        <v>116</v>
      </c>
      <c r="C189" s="19" t="s">
        <v>118</v>
      </c>
      <c r="D189" s="19" t="s">
        <v>121</v>
      </c>
      <c r="E189" s="19" t="s">
        <v>213</v>
      </c>
      <c r="F189" s="19">
        <v>3</v>
      </c>
      <c r="G189" s="19" t="s">
        <v>107</v>
      </c>
      <c r="H189" s="16">
        <v>2</v>
      </c>
      <c r="I189" s="13">
        <f>IF($G189="Base",1,INDEX(ModelOutput!$D$16:$D$26,MATCH($G189,ModelOutput!$C$16:$C$26,0)))</f>
        <v>1.1906804269762199</v>
      </c>
      <c r="J189" s="13">
        <f>IF($A189="Non-greek",1,INDEX(ModelOutput!$D$16:$D$26,MATCH($A189,ModelOutput!$C$16:$C$26,0)))</f>
        <v>1</v>
      </c>
      <c r="K189" s="13">
        <f>IF($C189="Yes",1,INDEX(ModelOutput!$D$16:$D$26,MATCH($C189,ModelOutput!$C$16:$C$26,0)))</f>
        <v>1.5400747552012299</v>
      </c>
      <c r="L189" s="13">
        <f>IF($D189="2.0-3.0",1,INDEX(ModelOutput!$D$16:$D$26,MATCH($D189,ModelOutput!$C$16:$C$26,0)))</f>
        <v>1.12144800201769</v>
      </c>
      <c r="M189" s="13">
        <f>IF($B189="On campus",1,INDEX(ModelOutput!$D$16:$D$26,MATCH($B189,ModelOutput!$C$16:$C$26,0)))</f>
        <v>2.2239289154388602</v>
      </c>
      <c r="N189" s="13">
        <f>IF($B189="On campus",1,INDEX(ModelOutput!$E$16:$E$26,MATCH($B189,ModelOutput!$C$16:$C$26,0)))</f>
        <v>2.18885451801426</v>
      </c>
      <c r="O189" s="13">
        <f>IF($B189="On campus",1,INDEX(ModelOutput!$F$16:$F$26,MATCH($B189,ModelOutput!$C$16:$C$26,0)))</f>
        <v>2.8272585650489699</v>
      </c>
      <c r="P189" s="13">
        <f>IF($B189="On campus",1,INDEX(ModelOutput!$G$16:$G$26,MATCH($B189,ModelOutput!$C$16:$C$26,0)))</f>
        <v>3.5639394892119598</v>
      </c>
      <c r="Q189" s="72">
        <f>INDEX(ModelOutput!$D$9:$D$11,MATCH("Tier "&amp;$F189,ModelOutput!$B$9:$B$11,0))</f>
        <v>40.009437343712797</v>
      </c>
      <c r="R189" s="72">
        <f>INDEX(ModelOutput!$E$9:$E$11,MATCH("Tier "&amp;$F189,ModelOutput!$B$9:$B$11,0))</f>
        <v>117.949723218616</v>
      </c>
      <c r="S189" s="72">
        <f>INDEX(ModelOutput!$F$9:$F$11,MATCH("Tier "&amp;$F189,ModelOutput!$B$9:$B$11,0))</f>
        <v>136.83922529015501</v>
      </c>
      <c r="T189" s="72">
        <f>INDEX(ModelOutput!$G$9:$G$11,MATCH("Tier "&amp;$F189,ModelOutput!$B$9:$B$11,0))</f>
        <v>22.729631592092201</v>
      </c>
      <c r="U189" s="76">
        <f t="shared" si="22"/>
        <v>182.97826424667673</v>
      </c>
      <c r="V189" s="76">
        <f t="shared" si="23"/>
        <v>530.92109489254346</v>
      </c>
      <c r="W189" s="76">
        <f t="shared" si="24"/>
        <v>795.59545460532649</v>
      </c>
      <c r="X189" s="76">
        <f t="shared" si="25"/>
        <v>166.58614429281042</v>
      </c>
      <c r="Y189" s="27">
        <f t="shared" si="26"/>
        <v>1676.080958037357</v>
      </c>
      <c r="Z189" s="27">
        <f t="shared" si="27"/>
        <v>2767.1049711226869</v>
      </c>
      <c r="AA189" s="33">
        <f t="shared" si="28"/>
        <v>0.94015369666450943</v>
      </c>
      <c r="AB189" s="14">
        <f t="shared" si="29"/>
        <v>1782.7872193062994</v>
      </c>
      <c r="AC189" s="29">
        <f t="shared" si="30"/>
        <v>3</v>
      </c>
      <c r="AD189" s="20">
        <v>1676.08095803736</v>
      </c>
      <c r="AE189" s="78">
        <f t="shared" si="31"/>
        <v>-2.9558577807620168E-12</v>
      </c>
      <c r="AF189" s="29">
        <f t="shared" si="32"/>
        <v>2</v>
      </c>
    </row>
    <row r="190" spans="1:32" ht="15" customHeight="1" x14ac:dyDescent="0.35">
      <c r="A190" s="37" t="s">
        <v>110</v>
      </c>
      <c r="B190" s="37" t="s">
        <v>116</v>
      </c>
      <c r="C190" s="37" t="s">
        <v>118</v>
      </c>
      <c r="D190" s="37" t="s">
        <v>123</v>
      </c>
      <c r="E190" s="37" t="s">
        <v>95</v>
      </c>
      <c r="F190" s="37">
        <v>1</v>
      </c>
      <c r="G190" s="37" t="s">
        <v>211</v>
      </c>
      <c r="H190" s="38">
        <v>12</v>
      </c>
      <c r="I190" s="39">
        <f>IF($G190="Base",1,INDEX(ModelOutput!$D$16:$D$26,MATCH($G190,ModelOutput!$C$16:$C$26,0)))</f>
        <v>1</v>
      </c>
      <c r="J190" s="39">
        <f>IF($A190="Non-greek",1,INDEX(ModelOutput!$D$16:$D$26,MATCH($A190,ModelOutput!$C$16:$C$26,0)))</f>
        <v>1</v>
      </c>
      <c r="K190" s="39">
        <f>IF($C190="Yes",1,INDEX(ModelOutput!$D$16:$D$26,MATCH($C190,ModelOutput!$C$16:$C$26,0)))</f>
        <v>1.5400747552012299</v>
      </c>
      <c r="L190" s="39">
        <f>IF($D190="2.0-3.0",1,INDEX(ModelOutput!$D$16:$D$26,MATCH($D190,ModelOutput!$C$16:$C$26,0)))</f>
        <v>1.01762556011242</v>
      </c>
      <c r="M190" s="39">
        <f>IF($B190="On campus",1,INDEX(ModelOutput!$D$16:$D$26,MATCH($B190,ModelOutput!$C$16:$C$26,0)))</f>
        <v>2.2239289154388602</v>
      </c>
      <c r="N190" s="39">
        <f>IF($B190="On campus",1,INDEX(ModelOutput!$E$16:$E$26,MATCH($B190,ModelOutput!$C$16:$C$26,0)))</f>
        <v>2.18885451801426</v>
      </c>
      <c r="O190" s="39">
        <f>IF($B190="On campus",1,INDEX(ModelOutput!$F$16:$F$26,MATCH($B190,ModelOutput!$C$16:$C$26,0)))</f>
        <v>2.8272585650489699</v>
      </c>
      <c r="P190" s="39">
        <f>IF($B190="On campus",1,INDEX(ModelOutput!$G$16:$G$26,MATCH($B190,ModelOutput!$C$16:$C$26,0)))</f>
        <v>3.5639394892119598</v>
      </c>
      <c r="Q190" s="73">
        <f>INDEX(ModelOutput!$D$9:$D$11,MATCH("Tier "&amp;$F190,ModelOutput!$B$9:$B$11,0))</f>
        <v>36.175496869914397</v>
      </c>
      <c r="R190" s="73">
        <f>INDEX(ModelOutput!$E$9:$E$11,MATCH("Tier "&amp;$F190,ModelOutput!$B$9:$B$11,0))</f>
        <v>106.647084447761</v>
      </c>
      <c r="S190" s="73">
        <f>INDEX(ModelOutput!$F$9:$F$11,MATCH("Tier "&amp;$F190,ModelOutput!$B$9:$B$11,0))</f>
        <v>123.726482920496</v>
      </c>
      <c r="T190" s="73">
        <f>INDEX(ModelOutput!$G$9:$G$11,MATCH("Tier "&amp;$F190,ModelOutput!$B$9:$B$11,0))</f>
        <v>20.551544113210401</v>
      </c>
      <c r="U190" s="77">
        <f t="shared" si="22"/>
        <v>126.08552038130068</v>
      </c>
      <c r="V190" s="77">
        <f t="shared" si="23"/>
        <v>365.84379465252533</v>
      </c>
      <c r="W190" s="77">
        <f t="shared" si="24"/>
        <v>548.22395064189936</v>
      </c>
      <c r="X190" s="77">
        <f t="shared" si="25"/>
        <v>114.79014066478108</v>
      </c>
      <c r="Y190" s="30">
        <f t="shared" si="26"/>
        <v>1154.9434063405065</v>
      </c>
      <c r="Z190" s="30">
        <f t="shared" si="27"/>
        <v>1919.6946843617245</v>
      </c>
      <c r="AA190" s="41">
        <f t="shared" si="28"/>
        <v>0.34599257245397541</v>
      </c>
      <c r="AB190" s="40">
        <f t="shared" si="29"/>
        <v>1782.7872193062994</v>
      </c>
      <c r="AC190" s="42">
        <f t="shared" si="30"/>
        <v>2</v>
      </c>
      <c r="AD190" s="43">
        <v>1154.9434063404999</v>
      </c>
      <c r="AE190" s="79">
        <f t="shared" si="31"/>
        <v>6.5938365878537297E-12</v>
      </c>
      <c r="AF190" s="29">
        <f t="shared" si="32"/>
        <v>4</v>
      </c>
    </row>
    <row r="191" spans="1:32" ht="15" customHeight="1" x14ac:dyDescent="0.35">
      <c r="A191" s="37" t="s">
        <v>110</v>
      </c>
      <c r="B191" s="37" t="s">
        <v>116</v>
      </c>
      <c r="C191" s="37" t="s">
        <v>118</v>
      </c>
      <c r="D191" s="37" t="s">
        <v>123</v>
      </c>
      <c r="E191" s="37" t="s">
        <v>105</v>
      </c>
      <c r="F191" s="37">
        <v>1</v>
      </c>
      <c r="G191" s="37" t="s">
        <v>105</v>
      </c>
      <c r="H191" s="38">
        <v>10</v>
      </c>
      <c r="I191" s="39">
        <f>IF($G191="Base",1,INDEX(ModelOutput!$D$16:$D$26,MATCH($G191,ModelOutput!$C$16:$C$26,0)))</f>
        <v>0.98982624281990295</v>
      </c>
      <c r="J191" s="39">
        <f>IF($A191="Non-greek",1,INDEX(ModelOutput!$D$16:$D$26,MATCH($A191,ModelOutput!$C$16:$C$26,0)))</f>
        <v>1</v>
      </c>
      <c r="K191" s="39">
        <f>IF($C191="Yes",1,INDEX(ModelOutput!$D$16:$D$26,MATCH($C191,ModelOutput!$C$16:$C$26,0)))</f>
        <v>1.5400747552012299</v>
      </c>
      <c r="L191" s="39">
        <f>IF($D191="2.0-3.0",1,INDEX(ModelOutput!$D$16:$D$26,MATCH($D191,ModelOutput!$C$16:$C$26,0)))</f>
        <v>1.01762556011242</v>
      </c>
      <c r="M191" s="39">
        <f>IF($B191="On campus",1,INDEX(ModelOutput!$D$16:$D$26,MATCH($B191,ModelOutput!$C$16:$C$26,0)))</f>
        <v>2.2239289154388602</v>
      </c>
      <c r="N191" s="39">
        <f>IF($B191="On campus",1,INDEX(ModelOutput!$E$16:$E$26,MATCH($B191,ModelOutput!$C$16:$C$26,0)))</f>
        <v>2.18885451801426</v>
      </c>
      <c r="O191" s="39">
        <f>IF($B191="On campus",1,INDEX(ModelOutput!$F$16:$F$26,MATCH($B191,ModelOutput!$C$16:$C$26,0)))</f>
        <v>2.8272585650489699</v>
      </c>
      <c r="P191" s="39">
        <f>IF($B191="On campus",1,INDEX(ModelOutput!$G$16:$G$26,MATCH($B191,ModelOutput!$C$16:$C$26,0)))</f>
        <v>3.5639394892119598</v>
      </c>
      <c r="Q191" s="73">
        <f>INDEX(ModelOutput!$D$9:$D$11,MATCH("Tier "&amp;$F191,ModelOutput!$B$9:$B$11,0))</f>
        <v>36.175496869914397</v>
      </c>
      <c r="R191" s="73">
        <f>INDEX(ModelOutput!$E$9:$E$11,MATCH("Tier "&amp;$F191,ModelOutput!$B$9:$B$11,0))</f>
        <v>106.647084447761</v>
      </c>
      <c r="S191" s="73">
        <f>INDEX(ModelOutput!$F$9:$F$11,MATCH("Tier "&amp;$F191,ModelOutput!$B$9:$B$11,0))</f>
        <v>123.726482920496</v>
      </c>
      <c r="T191" s="73">
        <f>INDEX(ModelOutput!$G$9:$G$11,MATCH("Tier "&amp;$F191,ModelOutput!$B$9:$B$11,0))</f>
        <v>20.551544113210401</v>
      </c>
      <c r="U191" s="77">
        <f t="shared" si="22"/>
        <v>124.80275691301517</v>
      </c>
      <c r="V191" s="77">
        <f t="shared" si="23"/>
        <v>362.12178871988527</v>
      </c>
      <c r="W191" s="77">
        <f t="shared" si="24"/>
        <v>542.64645328775509</v>
      </c>
      <c r="X191" s="77">
        <f t="shared" si="25"/>
        <v>113.62229364698838</v>
      </c>
      <c r="Y191" s="30">
        <f t="shared" si="26"/>
        <v>1143.1932925676438</v>
      </c>
      <c r="Z191" s="30">
        <f t="shared" si="27"/>
        <v>1900.5880833322756</v>
      </c>
      <c r="AA191" s="41">
        <f t="shared" si="28"/>
        <v>0.33259599263324691</v>
      </c>
      <c r="AB191" s="40">
        <f t="shared" si="29"/>
        <v>1782.7872193062994</v>
      </c>
      <c r="AC191" s="42">
        <f t="shared" si="30"/>
        <v>2</v>
      </c>
      <c r="AD191" s="43">
        <v>1143.1932925676399</v>
      </c>
      <c r="AE191" s="79">
        <f t="shared" si="31"/>
        <v>3.865352482534945E-12</v>
      </c>
      <c r="AF191" s="29">
        <f t="shared" si="32"/>
        <v>3</v>
      </c>
    </row>
    <row r="192" spans="1:32" ht="15" customHeight="1" x14ac:dyDescent="0.35">
      <c r="A192" s="37" t="s">
        <v>110</v>
      </c>
      <c r="B192" s="37" t="s">
        <v>116</v>
      </c>
      <c r="C192" s="37" t="s">
        <v>118</v>
      </c>
      <c r="D192" s="37" t="s">
        <v>123</v>
      </c>
      <c r="E192" s="37" t="s">
        <v>97</v>
      </c>
      <c r="F192" s="37">
        <v>2</v>
      </c>
      <c r="G192" s="37" t="s">
        <v>211</v>
      </c>
      <c r="H192" s="38">
        <v>8</v>
      </c>
      <c r="I192" s="39">
        <f>IF($G192="Base",1,INDEX(ModelOutput!$D$16:$D$26,MATCH($G192,ModelOutput!$C$16:$C$26,0)))</f>
        <v>1</v>
      </c>
      <c r="J192" s="39">
        <f>IF($A192="Non-greek",1,INDEX(ModelOutput!$D$16:$D$26,MATCH($A192,ModelOutput!$C$16:$C$26,0)))</f>
        <v>1</v>
      </c>
      <c r="K192" s="39">
        <f>IF($C192="Yes",1,INDEX(ModelOutput!$D$16:$D$26,MATCH($C192,ModelOutput!$C$16:$C$26,0)))</f>
        <v>1.5400747552012299</v>
      </c>
      <c r="L192" s="39">
        <f>IF($D192="2.0-3.0",1,INDEX(ModelOutput!$D$16:$D$26,MATCH($D192,ModelOutput!$C$16:$C$26,0)))</f>
        <v>1.01762556011242</v>
      </c>
      <c r="M192" s="39">
        <f>IF($B192="On campus",1,INDEX(ModelOutput!$D$16:$D$26,MATCH($B192,ModelOutput!$C$16:$C$26,0)))</f>
        <v>2.2239289154388602</v>
      </c>
      <c r="N192" s="39">
        <f>IF($B192="On campus",1,INDEX(ModelOutput!$E$16:$E$26,MATCH($B192,ModelOutput!$C$16:$C$26,0)))</f>
        <v>2.18885451801426</v>
      </c>
      <c r="O192" s="39">
        <f>IF($B192="On campus",1,INDEX(ModelOutput!$F$16:$F$26,MATCH($B192,ModelOutput!$C$16:$C$26,0)))</f>
        <v>2.8272585650489699</v>
      </c>
      <c r="P192" s="39">
        <f>IF($B192="On campus",1,INDEX(ModelOutput!$G$16:$G$26,MATCH($B192,ModelOutput!$C$16:$C$26,0)))</f>
        <v>3.5639394892119598</v>
      </c>
      <c r="Q192" s="73">
        <f>INDEX(ModelOutput!$D$9:$D$11,MATCH("Tier "&amp;$F192,ModelOutput!$B$9:$B$11,0))</f>
        <v>42.8051506068728</v>
      </c>
      <c r="R192" s="73">
        <f>INDEX(ModelOutput!$E$9:$E$11,MATCH("Tier "&amp;$F192,ModelOutput!$B$9:$B$11,0))</f>
        <v>126.191618818284</v>
      </c>
      <c r="S192" s="73">
        <f>INDEX(ModelOutput!$F$9:$F$11,MATCH("Tier "&amp;$F192,ModelOutput!$B$9:$B$11,0))</f>
        <v>146.401050261042</v>
      </c>
      <c r="T192" s="73">
        <f>INDEX(ModelOutput!$G$9:$G$11,MATCH("Tier "&amp;$F192,ModelOutput!$B$9:$B$11,0))</f>
        <v>24.317895180076398</v>
      </c>
      <c r="U192" s="77">
        <f t="shared" si="22"/>
        <v>149.19241354653101</v>
      </c>
      <c r="V192" s="77">
        <f t="shared" si="23"/>
        <v>432.88966520636359</v>
      </c>
      <c r="W192" s="77">
        <f t="shared" si="24"/>
        <v>648.69347497580975</v>
      </c>
      <c r="X192" s="77">
        <f t="shared" si="25"/>
        <v>135.82700127130798</v>
      </c>
      <c r="Y192" s="30">
        <f t="shared" si="26"/>
        <v>1366.6025550000124</v>
      </c>
      <c r="Z192" s="30">
        <f t="shared" si="27"/>
        <v>2263.8689609555349</v>
      </c>
      <c r="AA192" s="41">
        <f t="shared" si="28"/>
        <v>0.58731012346809197</v>
      </c>
      <c r="AB192" s="40">
        <f t="shared" si="29"/>
        <v>1782.7872193062994</v>
      </c>
      <c r="AC192" s="42">
        <f t="shared" si="30"/>
        <v>3</v>
      </c>
      <c r="AD192" s="43">
        <v>1366.6025550000099</v>
      </c>
      <c r="AE192" s="79">
        <f t="shared" si="31"/>
        <v>2.5011104298755527E-12</v>
      </c>
      <c r="AF192" s="29">
        <f t="shared" si="32"/>
        <v>2</v>
      </c>
    </row>
    <row r="193" spans="1:32" ht="15" customHeight="1" x14ac:dyDescent="0.35">
      <c r="A193" s="37" t="s">
        <v>110</v>
      </c>
      <c r="B193" s="37" t="s">
        <v>116</v>
      </c>
      <c r="C193" s="37" t="s">
        <v>118</v>
      </c>
      <c r="D193" s="37" t="s">
        <v>123</v>
      </c>
      <c r="E193" s="37" t="s">
        <v>99</v>
      </c>
      <c r="F193" s="37">
        <v>3</v>
      </c>
      <c r="G193" s="37" t="s">
        <v>211</v>
      </c>
      <c r="H193" s="38">
        <v>7</v>
      </c>
      <c r="I193" s="39">
        <f>IF($G193="Base",1,INDEX(ModelOutput!$D$16:$D$26,MATCH($G193,ModelOutput!$C$16:$C$26,0)))</f>
        <v>1</v>
      </c>
      <c r="J193" s="39">
        <f>IF($A193="Non-greek",1,INDEX(ModelOutput!$D$16:$D$26,MATCH($A193,ModelOutput!$C$16:$C$26,0)))</f>
        <v>1</v>
      </c>
      <c r="K193" s="39">
        <f>IF($C193="Yes",1,INDEX(ModelOutput!$D$16:$D$26,MATCH($C193,ModelOutput!$C$16:$C$26,0)))</f>
        <v>1.5400747552012299</v>
      </c>
      <c r="L193" s="39">
        <f>IF($D193="2.0-3.0",1,INDEX(ModelOutput!$D$16:$D$26,MATCH($D193,ModelOutput!$C$16:$C$26,0)))</f>
        <v>1.01762556011242</v>
      </c>
      <c r="M193" s="39">
        <f>IF($B193="On campus",1,INDEX(ModelOutput!$D$16:$D$26,MATCH($B193,ModelOutput!$C$16:$C$26,0)))</f>
        <v>2.2239289154388602</v>
      </c>
      <c r="N193" s="39">
        <f>IF($B193="On campus",1,INDEX(ModelOutput!$E$16:$E$26,MATCH($B193,ModelOutput!$C$16:$C$26,0)))</f>
        <v>2.18885451801426</v>
      </c>
      <c r="O193" s="39">
        <f>IF($B193="On campus",1,INDEX(ModelOutput!$F$16:$F$26,MATCH($B193,ModelOutput!$C$16:$C$26,0)))</f>
        <v>2.8272585650489699</v>
      </c>
      <c r="P193" s="39">
        <f>IF($B193="On campus",1,INDEX(ModelOutput!$G$16:$G$26,MATCH($B193,ModelOutput!$C$16:$C$26,0)))</f>
        <v>3.5639394892119598</v>
      </c>
      <c r="Q193" s="73">
        <f>INDEX(ModelOutput!$D$9:$D$11,MATCH("Tier "&amp;$F193,ModelOutput!$B$9:$B$11,0))</f>
        <v>40.009437343712797</v>
      </c>
      <c r="R193" s="73">
        <f>INDEX(ModelOutput!$E$9:$E$11,MATCH("Tier "&amp;$F193,ModelOutput!$B$9:$B$11,0))</f>
        <v>117.949723218616</v>
      </c>
      <c r="S193" s="73">
        <f>INDEX(ModelOutput!$F$9:$F$11,MATCH("Tier "&amp;$F193,ModelOutput!$B$9:$B$11,0))</f>
        <v>136.83922529015501</v>
      </c>
      <c r="T193" s="73">
        <f>INDEX(ModelOutput!$G$9:$G$11,MATCH("Tier "&amp;$F193,ModelOutput!$B$9:$B$11,0))</f>
        <v>22.729631592092201</v>
      </c>
      <c r="U193" s="77">
        <f t="shared" si="22"/>
        <v>139.44827753949824</v>
      </c>
      <c r="V193" s="77">
        <f t="shared" si="23"/>
        <v>404.61654009538637</v>
      </c>
      <c r="W193" s="77">
        <f t="shared" si="24"/>
        <v>606.32565414108637</v>
      </c>
      <c r="X193" s="77">
        <f t="shared" si="25"/>
        <v>126.95579433555935</v>
      </c>
      <c r="Y193" s="30">
        <f t="shared" si="26"/>
        <v>1277.3462661115304</v>
      </c>
      <c r="Z193" s="30">
        <f t="shared" si="27"/>
        <v>2118.7312768336924</v>
      </c>
      <c r="AA193" s="41">
        <f t="shared" si="28"/>
        <v>0.48554693872701193</v>
      </c>
      <c r="AB193" s="40">
        <f t="shared" si="29"/>
        <v>1782.7872193062994</v>
      </c>
      <c r="AC193" s="42">
        <f t="shared" si="30"/>
        <v>2</v>
      </c>
      <c r="AD193" s="43">
        <v>1277.34626611153</v>
      </c>
      <c r="AE193" s="79">
        <f t="shared" si="31"/>
        <v>0</v>
      </c>
      <c r="AF193" s="29">
        <f t="shared" si="32"/>
        <v>1</v>
      </c>
    </row>
    <row r="194" spans="1:32" ht="15" customHeight="1" x14ac:dyDescent="0.35">
      <c r="A194" s="37" t="s">
        <v>110</v>
      </c>
      <c r="B194" s="37" t="s">
        <v>116</v>
      </c>
      <c r="C194" s="37" t="s">
        <v>118</v>
      </c>
      <c r="D194" s="37" t="s">
        <v>123</v>
      </c>
      <c r="E194" s="37" t="s">
        <v>213</v>
      </c>
      <c r="F194" s="37">
        <v>3</v>
      </c>
      <c r="G194" s="37" t="s">
        <v>107</v>
      </c>
      <c r="H194" s="38">
        <v>4</v>
      </c>
      <c r="I194" s="39">
        <f>IF($G194="Base",1,INDEX(ModelOutput!$D$16:$D$26,MATCH($G194,ModelOutput!$C$16:$C$26,0)))</f>
        <v>1.1906804269762199</v>
      </c>
      <c r="J194" s="39">
        <f>IF($A194="Non-greek",1,INDEX(ModelOutput!$D$16:$D$26,MATCH($A194,ModelOutput!$C$16:$C$26,0)))</f>
        <v>1</v>
      </c>
      <c r="K194" s="39">
        <f>IF($C194="Yes",1,INDEX(ModelOutput!$D$16:$D$26,MATCH($C194,ModelOutput!$C$16:$C$26,0)))</f>
        <v>1.5400747552012299</v>
      </c>
      <c r="L194" s="39">
        <f>IF($D194="2.0-3.0",1,INDEX(ModelOutput!$D$16:$D$26,MATCH($D194,ModelOutput!$C$16:$C$26,0)))</f>
        <v>1.01762556011242</v>
      </c>
      <c r="M194" s="39">
        <f>IF($B194="On campus",1,INDEX(ModelOutput!$D$16:$D$26,MATCH($B194,ModelOutput!$C$16:$C$26,0)))</f>
        <v>2.2239289154388602</v>
      </c>
      <c r="N194" s="39">
        <f>IF($B194="On campus",1,INDEX(ModelOutput!$E$16:$E$26,MATCH($B194,ModelOutput!$C$16:$C$26,0)))</f>
        <v>2.18885451801426</v>
      </c>
      <c r="O194" s="39">
        <f>IF($B194="On campus",1,INDEX(ModelOutput!$F$16:$F$26,MATCH($B194,ModelOutput!$C$16:$C$26,0)))</f>
        <v>2.8272585650489699</v>
      </c>
      <c r="P194" s="39">
        <f>IF($B194="On campus",1,INDEX(ModelOutput!$G$16:$G$26,MATCH($B194,ModelOutput!$C$16:$C$26,0)))</f>
        <v>3.5639394892119598</v>
      </c>
      <c r="Q194" s="73">
        <f>INDEX(ModelOutput!$D$9:$D$11,MATCH("Tier "&amp;$F194,ModelOutput!$B$9:$B$11,0))</f>
        <v>40.009437343712797</v>
      </c>
      <c r="R194" s="73">
        <f>INDEX(ModelOutput!$E$9:$E$11,MATCH("Tier "&amp;$F194,ModelOutput!$B$9:$B$11,0))</f>
        <v>117.949723218616</v>
      </c>
      <c r="S194" s="73">
        <f>INDEX(ModelOutput!$F$9:$F$11,MATCH("Tier "&amp;$F194,ModelOutput!$B$9:$B$11,0))</f>
        <v>136.83922529015501</v>
      </c>
      <c r="T194" s="73">
        <f>INDEX(ModelOutput!$G$9:$G$11,MATCH("Tier "&amp;$F194,ModelOutput!$B$9:$B$11,0))</f>
        <v>22.729631592092201</v>
      </c>
      <c r="U194" s="77">
        <f t="shared" si="22"/>
        <v>166.03833464182816</v>
      </c>
      <c r="V194" s="77">
        <f t="shared" si="23"/>
        <v>481.76899472241553</v>
      </c>
      <c r="W194" s="77">
        <f t="shared" si="24"/>
        <v>721.94008875934458</v>
      </c>
      <c r="X194" s="77">
        <f t="shared" si="25"/>
        <v>151.16377940656898</v>
      </c>
      <c r="Y194" s="30">
        <f t="shared" si="26"/>
        <v>1520.9111975301573</v>
      </c>
      <c r="Z194" s="30">
        <f t="shared" si="27"/>
        <v>2514.7868435575369</v>
      </c>
      <c r="AA194" s="41">
        <f t="shared" si="28"/>
        <v>0.76324101968269797</v>
      </c>
      <c r="AB194" s="40">
        <f t="shared" si="29"/>
        <v>1782.7872193062994</v>
      </c>
      <c r="AC194" s="42">
        <f t="shared" si="30"/>
        <v>3</v>
      </c>
      <c r="AD194" s="43">
        <v>1520.9111975301601</v>
      </c>
      <c r="AE194" s="79">
        <f t="shared" si="31"/>
        <v>-2.7284841053187847E-12</v>
      </c>
      <c r="AF194" s="29">
        <f t="shared" si="32"/>
        <v>2</v>
      </c>
    </row>
    <row r="195" spans="1:32" ht="15" customHeight="1" x14ac:dyDescent="0.35">
      <c r="A195" s="19" t="s">
        <v>110</v>
      </c>
      <c r="B195" s="19" t="s">
        <v>116</v>
      </c>
      <c r="C195" s="19" t="s">
        <v>118</v>
      </c>
      <c r="D195" s="19" t="s">
        <v>122</v>
      </c>
      <c r="E195" s="19" t="s">
        <v>95</v>
      </c>
      <c r="F195" s="19">
        <v>1</v>
      </c>
      <c r="G195" s="19" t="s">
        <v>211</v>
      </c>
      <c r="H195" s="16">
        <v>13</v>
      </c>
      <c r="I195" s="13">
        <f>IF($G195="Base",1,INDEX(ModelOutput!$D$16:$D$26,MATCH($G195,ModelOutput!$C$16:$C$26,0)))</f>
        <v>1</v>
      </c>
      <c r="J195" s="13">
        <f>IF($A195="Non-greek",1,INDEX(ModelOutput!$D$16:$D$26,MATCH($A195,ModelOutput!$C$16:$C$26,0)))</f>
        <v>1</v>
      </c>
      <c r="K195" s="13">
        <f>IF($C195="Yes",1,INDEX(ModelOutput!$D$16:$D$26,MATCH($C195,ModelOutput!$C$16:$C$26,0)))</f>
        <v>1.5400747552012299</v>
      </c>
      <c r="L195" s="13">
        <f>IF($D195="2.0-3.0",1,INDEX(ModelOutput!$D$16:$D$26,MATCH($D195,ModelOutput!$C$16:$C$26,0)))</f>
        <v>1</v>
      </c>
      <c r="M195" s="13">
        <f>IF($B195="On campus",1,INDEX(ModelOutput!$D$16:$D$26,MATCH($B195,ModelOutput!$C$16:$C$26,0)))</f>
        <v>2.2239289154388602</v>
      </c>
      <c r="N195" s="13">
        <f>IF($B195="On campus",1,INDEX(ModelOutput!$E$16:$E$26,MATCH($B195,ModelOutput!$C$16:$C$26,0)))</f>
        <v>2.18885451801426</v>
      </c>
      <c r="O195" s="13">
        <f>IF($B195="On campus",1,INDEX(ModelOutput!$F$16:$F$26,MATCH($B195,ModelOutput!$C$16:$C$26,0)))</f>
        <v>2.8272585650489699</v>
      </c>
      <c r="P195" s="13">
        <f>IF($B195="On campus",1,INDEX(ModelOutput!$G$16:$G$26,MATCH($B195,ModelOutput!$C$16:$C$26,0)))</f>
        <v>3.5639394892119598</v>
      </c>
      <c r="Q195" s="72">
        <f>INDEX(ModelOutput!$D$9:$D$11,MATCH("Tier "&amp;$F195,ModelOutput!$B$9:$B$11,0))</f>
        <v>36.175496869914397</v>
      </c>
      <c r="R195" s="72">
        <f>INDEX(ModelOutput!$E$9:$E$11,MATCH("Tier "&amp;$F195,ModelOutput!$B$9:$B$11,0))</f>
        <v>106.647084447761</v>
      </c>
      <c r="S195" s="72">
        <f>INDEX(ModelOutput!$F$9:$F$11,MATCH("Tier "&amp;$F195,ModelOutput!$B$9:$B$11,0))</f>
        <v>123.726482920496</v>
      </c>
      <c r="T195" s="72">
        <f>INDEX(ModelOutput!$G$9:$G$11,MATCH("Tier "&amp;$F195,ModelOutput!$B$9:$B$11,0))</f>
        <v>20.551544113210401</v>
      </c>
      <c r="U195" s="76">
        <f t="shared" si="22"/>
        <v>123.90168380535927</v>
      </c>
      <c r="V195" s="76">
        <f t="shared" si="23"/>
        <v>359.50727752171389</v>
      </c>
      <c r="W195" s="76">
        <f t="shared" si="24"/>
        <v>538.72855805757808</v>
      </c>
      <c r="X195" s="76">
        <f t="shared" si="25"/>
        <v>112.80194323352086</v>
      </c>
      <c r="Y195" s="27">
        <f t="shared" si="26"/>
        <v>1134.939462618172</v>
      </c>
      <c r="Z195" s="27">
        <f t="shared" si="27"/>
        <v>1887.1667123687284</v>
      </c>
      <c r="AA195" s="33">
        <f t="shared" si="28"/>
        <v>0.32318560785891481</v>
      </c>
      <c r="AB195" s="14">
        <f t="shared" si="29"/>
        <v>1782.7872193062994</v>
      </c>
      <c r="AC195" s="29">
        <f t="shared" si="30"/>
        <v>2</v>
      </c>
      <c r="AD195" s="20">
        <v>1134.93946261817</v>
      </c>
      <c r="AE195" s="78">
        <f t="shared" si="31"/>
        <v>2.0463630789890885E-12</v>
      </c>
      <c r="AF195" s="29">
        <f t="shared" si="32"/>
        <v>4</v>
      </c>
    </row>
    <row r="196" spans="1:32" ht="15" customHeight="1" x14ac:dyDescent="0.35">
      <c r="A196" s="19" t="s">
        <v>110</v>
      </c>
      <c r="B196" s="19" t="s">
        <v>116</v>
      </c>
      <c r="C196" s="19" t="s">
        <v>118</v>
      </c>
      <c r="D196" s="19" t="s">
        <v>122</v>
      </c>
      <c r="E196" s="19" t="s">
        <v>105</v>
      </c>
      <c r="F196" s="19">
        <v>1</v>
      </c>
      <c r="G196" s="19" t="s">
        <v>105</v>
      </c>
      <c r="H196" s="16">
        <v>18</v>
      </c>
      <c r="I196" s="13">
        <f>IF($G196="Base",1,INDEX(ModelOutput!$D$16:$D$26,MATCH($G196,ModelOutput!$C$16:$C$26,0)))</f>
        <v>0.98982624281990295</v>
      </c>
      <c r="J196" s="13">
        <f>IF($A196="Non-greek",1,INDEX(ModelOutput!$D$16:$D$26,MATCH($A196,ModelOutput!$C$16:$C$26,0)))</f>
        <v>1</v>
      </c>
      <c r="K196" s="13">
        <f>IF($C196="Yes",1,INDEX(ModelOutput!$D$16:$D$26,MATCH($C196,ModelOutput!$C$16:$C$26,0)))</f>
        <v>1.5400747552012299</v>
      </c>
      <c r="L196" s="13">
        <f>IF($D196="2.0-3.0",1,INDEX(ModelOutput!$D$16:$D$26,MATCH($D196,ModelOutput!$C$16:$C$26,0)))</f>
        <v>1</v>
      </c>
      <c r="M196" s="13">
        <f>IF($B196="On campus",1,INDEX(ModelOutput!$D$16:$D$26,MATCH($B196,ModelOutput!$C$16:$C$26,0)))</f>
        <v>2.2239289154388602</v>
      </c>
      <c r="N196" s="13">
        <f>IF($B196="On campus",1,INDEX(ModelOutput!$E$16:$E$26,MATCH($B196,ModelOutput!$C$16:$C$26,0)))</f>
        <v>2.18885451801426</v>
      </c>
      <c r="O196" s="13">
        <f>IF($B196="On campus",1,INDEX(ModelOutput!$F$16:$F$26,MATCH($B196,ModelOutput!$C$16:$C$26,0)))</f>
        <v>2.8272585650489699</v>
      </c>
      <c r="P196" s="13">
        <f>IF($B196="On campus",1,INDEX(ModelOutput!$G$16:$G$26,MATCH($B196,ModelOutput!$C$16:$C$26,0)))</f>
        <v>3.5639394892119598</v>
      </c>
      <c r="Q196" s="72">
        <f>INDEX(ModelOutput!$D$9:$D$11,MATCH("Tier "&amp;$F196,ModelOutput!$B$9:$B$11,0))</f>
        <v>36.175496869914397</v>
      </c>
      <c r="R196" s="72">
        <f>INDEX(ModelOutput!$E$9:$E$11,MATCH("Tier "&amp;$F196,ModelOutput!$B$9:$B$11,0))</f>
        <v>106.647084447761</v>
      </c>
      <c r="S196" s="72">
        <f>INDEX(ModelOutput!$F$9:$F$11,MATCH("Tier "&amp;$F196,ModelOutput!$B$9:$B$11,0))</f>
        <v>123.726482920496</v>
      </c>
      <c r="T196" s="72">
        <f>INDEX(ModelOutput!$G$9:$G$11,MATCH("Tier "&amp;$F196,ModelOutput!$B$9:$B$11,0))</f>
        <v>20.551544113210401</v>
      </c>
      <c r="U196" s="76">
        <f t="shared" si="22"/>
        <v>122.6411381601184</v>
      </c>
      <c r="V196" s="76">
        <f t="shared" si="23"/>
        <v>355.8497377757302</v>
      </c>
      <c r="W196" s="76">
        <f t="shared" si="24"/>
        <v>533.24766452191648</v>
      </c>
      <c r="X196" s="76">
        <f t="shared" si="25"/>
        <v>111.65432365361991</v>
      </c>
      <c r="Y196" s="27">
        <f t="shared" si="26"/>
        <v>1123.3928641113851</v>
      </c>
      <c r="Z196" s="27">
        <f t="shared" si="27"/>
        <v>1868.3910430278979</v>
      </c>
      <c r="AA196" s="33">
        <f t="shared" si="28"/>
        <v>0.31002106055799228</v>
      </c>
      <c r="AB196" s="14">
        <f t="shared" si="29"/>
        <v>1782.7872193062994</v>
      </c>
      <c r="AC196" s="29">
        <f t="shared" si="30"/>
        <v>2</v>
      </c>
      <c r="AD196" s="20">
        <v>1123.39286411138</v>
      </c>
      <c r="AE196" s="78">
        <f t="shared" si="31"/>
        <v>5.0022208597511053E-12</v>
      </c>
      <c r="AF196" s="29">
        <f t="shared" si="32"/>
        <v>3</v>
      </c>
    </row>
    <row r="197" spans="1:32" ht="15" customHeight="1" x14ac:dyDescent="0.35">
      <c r="A197" s="19" t="s">
        <v>110</v>
      </c>
      <c r="B197" s="19" t="s">
        <v>116</v>
      </c>
      <c r="C197" s="19" t="s">
        <v>118</v>
      </c>
      <c r="D197" s="19" t="s">
        <v>122</v>
      </c>
      <c r="E197" s="19" t="s">
        <v>97</v>
      </c>
      <c r="F197" s="19">
        <v>2</v>
      </c>
      <c r="G197" s="19" t="s">
        <v>211</v>
      </c>
      <c r="H197" s="16">
        <v>20</v>
      </c>
      <c r="I197" s="13">
        <f>IF($G197="Base",1,INDEX(ModelOutput!$D$16:$D$26,MATCH($G197,ModelOutput!$C$16:$C$26,0)))</f>
        <v>1</v>
      </c>
      <c r="J197" s="13">
        <f>IF($A197="Non-greek",1,INDEX(ModelOutput!$D$16:$D$26,MATCH($A197,ModelOutput!$C$16:$C$26,0)))</f>
        <v>1</v>
      </c>
      <c r="K197" s="13">
        <f>IF($C197="Yes",1,INDEX(ModelOutput!$D$16:$D$26,MATCH($C197,ModelOutput!$C$16:$C$26,0)))</f>
        <v>1.5400747552012299</v>
      </c>
      <c r="L197" s="13">
        <f>IF($D197="2.0-3.0",1,INDEX(ModelOutput!$D$16:$D$26,MATCH($D197,ModelOutput!$C$16:$C$26,0)))</f>
        <v>1</v>
      </c>
      <c r="M197" s="13">
        <f>IF($B197="On campus",1,INDEX(ModelOutput!$D$16:$D$26,MATCH($B197,ModelOutput!$C$16:$C$26,0)))</f>
        <v>2.2239289154388602</v>
      </c>
      <c r="N197" s="13">
        <f>IF($B197="On campus",1,INDEX(ModelOutput!$E$16:$E$26,MATCH($B197,ModelOutput!$C$16:$C$26,0)))</f>
        <v>2.18885451801426</v>
      </c>
      <c r="O197" s="13">
        <f>IF($B197="On campus",1,INDEX(ModelOutput!$F$16:$F$26,MATCH($B197,ModelOutput!$C$16:$C$26,0)))</f>
        <v>2.8272585650489699</v>
      </c>
      <c r="P197" s="13">
        <f>IF($B197="On campus",1,INDEX(ModelOutput!$G$16:$G$26,MATCH($B197,ModelOutput!$C$16:$C$26,0)))</f>
        <v>3.5639394892119598</v>
      </c>
      <c r="Q197" s="72">
        <f>INDEX(ModelOutput!$D$9:$D$11,MATCH("Tier "&amp;$F197,ModelOutput!$B$9:$B$11,0))</f>
        <v>42.8051506068728</v>
      </c>
      <c r="R197" s="72">
        <f>INDEX(ModelOutput!$E$9:$E$11,MATCH("Tier "&amp;$F197,ModelOutput!$B$9:$B$11,0))</f>
        <v>126.191618818284</v>
      </c>
      <c r="S197" s="72">
        <f>INDEX(ModelOutput!$F$9:$F$11,MATCH("Tier "&amp;$F197,ModelOutput!$B$9:$B$11,0))</f>
        <v>146.401050261042</v>
      </c>
      <c r="T197" s="72">
        <f>INDEX(ModelOutput!$G$9:$G$11,MATCH("Tier "&amp;$F197,ModelOutput!$B$9:$B$11,0))</f>
        <v>24.317895180076398</v>
      </c>
      <c r="U197" s="76">
        <f t="shared" ref="U197:U260" si="33">$Q197*$I197*$J197*$K197*$L197*$M197</f>
        <v>146.60835910022669</v>
      </c>
      <c r="V197" s="76">
        <f t="shared" ref="V197:V260" si="34">$R197*$I197*$J197*$K197*$L197*$N197</f>
        <v>425.39189479334715</v>
      </c>
      <c r="W197" s="76">
        <f t="shared" ref="W197:W260" si="35">$S197*$I197*$J197*$K197*$L197*$O197</f>
        <v>637.4579220515518</v>
      </c>
      <c r="X197" s="76">
        <f t="shared" ref="X197:X260" si="36">$T197*$I197*$J197*$K197*$L197*$P197</f>
        <v>133.47443951417924</v>
      </c>
      <c r="Y197" s="27">
        <f t="shared" ref="Y197:Y260" si="37">SUM(U197:X197)</f>
        <v>1342.932615459305</v>
      </c>
      <c r="Z197" s="27">
        <f t="shared" ref="Z197:Z260" si="38">$Y197*GROSS_MULT+POLICY_FEE</f>
        <v>2225.3797939621086</v>
      </c>
      <c r="AA197" s="33">
        <f t="shared" ref="AA197:AA260" si="39">$Z197/CURRENT_FLAT-1</f>
        <v>0.56032347120764792</v>
      </c>
      <c r="AB197" s="14">
        <f t="shared" ref="AB197:AB260" si="40">MEDIAN(CURRENT_FLAT*(1-CAP_DOWN),$Z197,CURRENT_FLAT*(1+CAP_UP))</f>
        <v>1782.7872193062994</v>
      </c>
      <c r="AC197" s="29">
        <f t="shared" ref="AC197:AC260" si="41">IF($Z197&gt;CURRENT_FLAT,ROUNDUP(LN($Z197/CURRENT_FLAT)/LN(1+CAP_UP),0),IF($Z197&lt;CURRENT_FLAT,ROUNDUP(LN($Z197/CURRENT_FLAT)/LN(1-CAP_DOWN),0),0))</f>
        <v>2</v>
      </c>
      <c r="AD197" s="20">
        <v>1342.9326154593</v>
      </c>
      <c r="AE197" s="78">
        <f t="shared" ref="AE197:AE260" si="42">$Y197-$AD197</f>
        <v>5.0022208597511053E-12</v>
      </c>
      <c r="AF197" s="29">
        <f t="shared" ref="AF197:AF260" si="43">IF($E197="Freshman",4,IF($E197="Sophomore",3,IF($E197="Junior",2,IF($E197="Senior",1,2))))</f>
        <v>2</v>
      </c>
    </row>
    <row r="198" spans="1:32" ht="15" customHeight="1" x14ac:dyDescent="0.35">
      <c r="A198" s="19" t="s">
        <v>110</v>
      </c>
      <c r="B198" s="19" t="s">
        <v>116</v>
      </c>
      <c r="C198" s="19" t="s">
        <v>118</v>
      </c>
      <c r="D198" s="19" t="s">
        <v>122</v>
      </c>
      <c r="E198" s="19" t="s">
        <v>99</v>
      </c>
      <c r="F198" s="19">
        <v>3</v>
      </c>
      <c r="G198" s="19" t="s">
        <v>211</v>
      </c>
      <c r="H198" s="16">
        <v>16</v>
      </c>
      <c r="I198" s="13">
        <f>IF($G198="Base",1,INDEX(ModelOutput!$D$16:$D$26,MATCH($G198,ModelOutput!$C$16:$C$26,0)))</f>
        <v>1</v>
      </c>
      <c r="J198" s="13">
        <f>IF($A198="Non-greek",1,INDEX(ModelOutput!$D$16:$D$26,MATCH($A198,ModelOutput!$C$16:$C$26,0)))</f>
        <v>1</v>
      </c>
      <c r="K198" s="13">
        <f>IF($C198="Yes",1,INDEX(ModelOutput!$D$16:$D$26,MATCH($C198,ModelOutput!$C$16:$C$26,0)))</f>
        <v>1.5400747552012299</v>
      </c>
      <c r="L198" s="13">
        <f>IF($D198="2.0-3.0",1,INDEX(ModelOutput!$D$16:$D$26,MATCH($D198,ModelOutput!$C$16:$C$26,0)))</f>
        <v>1</v>
      </c>
      <c r="M198" s="13">
        <f>IF($B198="On campus",1,INDEX(ModelOutput!$D$16:$D$26,MATCH($B198,ModelOutput!$C$16:$C$26,0)))</f>
        <v>2.2239289154388602</v>
      </c>
      <c r="N198" s="13">
        <f>IF($B198="On campus",1,INDEX(ModelOutput!$E$16:$E$26,MATCH($B198,ModelOutput!$C$16:$C$26,0)))</f>
        <v>2.18885451801426</v>
      </c>
      <c r="O198" s="13">
        <f>IF($B198="On campus",1,INDEX(ModelOutput!$F$16:$F$26,MATCH($B198,ModelOutput!$C$16:$C$26,0)))</f>
        <v>2.8272585650489699</v>
      </c>
      <c r="P198" s="13">
        <f>IF($B198="On campus",1,INDEX(ModelOutput!$G$16:$G$26,MATCH($B198,ModelOutput!$C$16:$C$26,0)))</f>
        <v>3.5639394892119598</v>
      </c>
      <c r="Q198" s="72">
        <f>INDEX(ModelOutput!$D$9:$D$11,MATCH("Tier "&amp;$F198,ModelOutput!$B$9:$B$11,0))</f>
        <v>40.009437343712797</v>
      </c>
      <c r="R198" s="72">
        <f>INDEX(ModelOutput!$E$9:$E$11,MATCH("Tier "&amp;$F198,ModelOutput!$B$9:$B$11,0))</f>
        <v>117.949723218616</v>
      </c>
      <c r="S198" s="72">
        <f>INDEX(ModelOutput!$F$9:$F$11,MATCH("Tier "&amp;$F198,ModelOutput!$B$9:$B$11,0))</f>
        <v>136.83922529015501</v>
      </c>
      <c r="T198" s="72">
        <f>INDEX(ModelOutput!$G$9:$G$11,MATCH("Tier "&amp;$F198,ModelOutput!$B$9:$B$11,0))</f>
        <v>22.729631592092201</v>
      </c>
      <c r="U198" s="76">
        <f t="shared" si="33"/>
        <v>137.0329942617528</v>
      </c>
      <c r="V198" s="76">
        <f t="shared" si="34"/>
        <v>397.60846813899531</v>
      </c>
      <c r="W198" s="76">
        <f t="shared" si="35"/>
        <v>595.82392375649829</v>
      </c>
      <c r="X198" s="76">
        <f t="shared" si="36"/>
        <v>124.7568843706463</v>
      </c>
      <c r="Y198" s="27">
        <f t="shared" si="37"/>
        <v>1255.2222705278928</v>
      </c>
      <c r="Z198" s="27">
        <f t="shared" si="38"/>
        <v>2082.7559352357134</v>
      </c>
      <c r="AA198" s="33">
        <f t="shared" si="39"/>
        <v>0.46032285336758716</v>
      </c>
      <c r="AB198" s="14">
        <f t="shared" si="40"/>
        <v>1782.7872193062994</v>
      </c>
      <c r="AC198" s="29">
        <f t="shared" si="41"/>
        <v>2</v>
      </c>
      <c r="AD198" s="20">
        <v>1255.22227052789</v>
      </c>
      <c r="AE198" s="78">
        <f t="shared" si="42"/>
        <v>2.7284841053187847E-12</v>
      </c>
      <c r="AF198" s="29">
        <f t="shared" si="43"/>
        <v>1</v>
      </c>
    </row>
    <row r="199" spans="1:32" ht="15" customHeight="1" x14ac:dyDescent="0.35">
      <c r="A199" s="19" t="s">
        <v>110</v>
      </c>
      <c r="B199" s="19" t="s">
        <v>116</v>
      </c>
      <c r="C199" s="19" t="s">
        <v>118</v>
      </c>
      <c r="D199" s="19" t="s">
        <v>122</v>
      </c>
      <c r="E199" s="19" t="s">
        <v>213</v>
      </c>
      <c r="F199" s="19">
        <v>3</v>
      </c>
      <c r="G199" s="19" t="s">
        <v>107</v>
      </c>
      <c r="H199" s="16">
        <v>11</v>
      </c>
      <c r="I199" s="13">
        <f>IF($G199="Base",1,INDEX(ModelOutput!$D$16:$D$26,MATCH($G199,ModelOutput!$C$16:$C$26,0)))</f>
        <v>1.1906804269762199</v>
      </c>
      <c r="J199" s="13">
        <f>IF($A199="Non-greek",1,INDEX(ModelOutput!$D$16:$D$26,MATCH($A199,ModelOutput!$C$16:$C$26,0)))</f>
        <v>1</v>
      </c>
      <c r="K199" s="13">
        <f>IF($C199="Yes",1,INDEX(ModelOutput!$D$16:$D$26,MATCH($C199,ModelOutput!$C$16:$C$26,0)))</f>
        <v>1.5400747552012299</v>
      </c>
      <c r="L199" s="13">
        <f>IF($D199="2.0-3.0",1,INDEX(ModelOutput!$D$16:$D$26,MATCH($D199,ModelOutput!$C$16:$C$26,0)))</f>
        <v>1</v>
      </c>
      <c r="M199" s="13">
        <f>IF($B199="On campus",1,INDEX(ModelOutput!$D$16:$D$26,MATCH($B199,ModelOutput!$C$16:$C$26,0)))</f>
        <v>2.2239289154388602</v>
      </c>
      <c r="N199" s="13">
        <f>IF($B199="On campus",1,INDEX(ModelOutput!$E$16:$E$26,MATCH($B199,ModelOutput!$C$16:$C$26,0)))</f>
        <v>2.18885451801426</v>
      </c>
      <c r="O199" s="13">
        <f>IF($B199="On campus",1,INDEX(ModelOutput!$F$16:$F$26,MATCH($B199,ModelOutput!$C$16:$C$26,0)))</f>
        <v>2.8272585650489699</v>
      </c>
      <c r="P199" s="13">
        <f>IF($B199="On campus",1,INDEX(ModelOutput!$G$16:$G$26,MATCH($B199,ModelOutput!$C$16:$C$26,0)))</f>
        <v>3.5639394892119598</v>
      </c>
      <c r="Q199" s="72">
        <f>INDEX(ModelOutput!$D$9:$D$11,MATCH("Tier "&amp;$F199,ModelOutput!$B$9:$B$11,0))</f>
        <v>40.009437343712797</v>
      </c>
      <c r="R199" s="72">
        <f>INDEX(ModelOutput!$E$9:$E$11,MATCH("Tier "&amp;$F199,ModelOutput!$B$9:$B$11,0))</f>
        <v>117.949723218616</v>
      </c>
      <c r="S199" s="72">
        <f>INDEX(ModelOutput!$F$9:$F$11,MATCH("Tier "&amp;$F199,ModelOutput!$B$9:$B$11,0))</f>
        <v>136.83922529015501</v>
      </c>
      <c r="T199" s="72">
        <f>INDEX(ModelOutput!$G$9:$G$11,MATCH("Tier "&amp;$F199,ModelOutput!$B$9:$B$11,0))</f>
        <v>22.729631592092201</v>
      </c>
      <c r="U199" s="76">
        <f t="shared" si="33"/>
        <v>163.1625041174137</v>
      </c>
      <c r="V199" s="76">
        <f t="shared" si="34"/>
        <v>473.42462061309965</v>
      </c>
      <c r="W199" s="76">
        <f t="shared" si="35"/>
        <v>709.43588394103415</v>
      </c>
      <c r="X199" s="76">
        <f t="shared" si="36"/>
        <v>148.54558035066404</v>
      </c>
      <c r="Y199" s="27">
        <f t="shared" si="37"/>
        <v>1494.5685890222114</v>
      </c>
      <c r="Z199" s="27">
        <f t="shared" si="38"/>
        <v>2471.9517084630393</v>
      </c>
      <c r="AA199" s="33">
        <f t="shared" si="39"/>
        <v>0.73320719495685283</v>
      </c>
      <c r="AB199" s="14">
        <f t="shared" si="40"/>
        <v>1782.7872193062994</v>
      </c>
      <c r="AC199" s="29">
        <f t="shared" si="41"/>
        <v>3</v>
      </c>
      <c r="AD199" s="20">
        <v>1494.5685890222101</v>
      </c>
      <c r="AE199" s="78">
        <f t="shared" si="42"/>
        <v>0</v>
      </c>
      <c r="AF199" s="29">
        <f t="shared" si="43"/>
        <v>2</v>
      </c>
    </row>
    <row r="200" spans="1:32" ht="15" customHeight="1" x14ac:dyDescent="0.35">
      <c r="A200" s="37" t="s">
        <v>110</v>
      </c>
      <c r="B200" s="37" t="s">
        <v>116</v>
      </c>
      <c r="C200" s="37" t="s">
        <v>118</v>
      </c>
      <c r="D200" s="37" t="s">
        <v>124</v>
      </c>
      <c r="E200" s="37" t="s">
        <v>95</v>
      </c>
      <c r="F200" s="37">
        <v>1</v>
      </c>
      <c r="G200" s="37" t="s">
        <v>211</v>
      </c>
      <c r="H200" s="38">
        <v>4</v>
      </c>
      <c r="I200" s="39">
        <f>IF($G200="Base",1,INDEX(ModelOutput!$D$16:$D$26,MATCH($G200,ModelOutput!$C$16:$C$26,0)))</f>
        <v>1</v>
      </c>
      <c r="J200" s="39">
        <f>IF($A200="Non-greek",1,INDEX(ModelOutput!$D$16:$D$26,MATCH($A200,ModelOutput!$C$16:$C$26,0)))</f>
        <v>1</v>
      </c>
      <c r="K200" s="39">
        <f>IF($C200="Yes",1,INDEX(ModelOutput!$D$16:$D$26,MATCH($C200,ModelOutput!$C$16:$C$26,0)))</f>
        <v>1.5400747552012299</v>
      </c>
      <c r="L200" s="39">
        <f>IF($D200="2.0-3.0",1,INDEX(ModelOutput!$D$16:$D$26,MATCH($D200,ModelOutput!$C$16:$C$26,0)))</f>
        <v>0.87654761766211098</v>
      </c>
      <c r="M200" s="39">
        <f>IF($B200="On campus",1,INDEX(ModelOutput!$D$16:$D$26,MATCH($B200,ModelOutput!$C$16:$C$26,0)))</f>
        <v>2.2239289154388602</v>
      </c>
      <c r="N200" s="39">
        <f>IF($B200="On campus",1,INDEX(ModelOutput!$E$16:$E$26,MATCH($B200,ModelOutput!$C$16:$C$26,0)))</f>
        <v>2.18885451801426</v>
      </c>
      <c r="O200" s="39">
        <f>IF($B200="On campus",1,INDEX(ModelOutput!$F$16:$F$26,MATCH($B200,ModelOutput!$C$16:$C$26,0)))</f>
        <v>2.8272585650489699</v>
      </c>
      <c r="P200" s="39">
        <f>IF($B200="On campus",1,INDEX(ModelOutput!$G$16:$G$26,MATCH($B200,ModelOutput!$C$16:$C$26,0)))</f>
        <v>3.5639394892119598</v>
      </c>
      <c r="Q200" s="73">
        <f>INDEX(ModelOutput!$D$9:$D$11,MATCH("Tier "&amp;$F200,ModelOutput!$B$9:$B$11,0))</f>
        <v>36.175496869914397</v>
      </c>
      <c r="R200" s="73">
        <f>INDEX(ModelOutput!$E$9:$E$11,MATCH("Tier "&amp;$F200,ModelOutput!$B$9:$B$11,0))</f>
        <v>106.647084447761</v>
      </c>
      <c r="S200" s="73">
        <f>INDEX(ModelOutput!$F$9:$F$11,MATCH("Tier "&amp;$F200,ModelOutput!$B$9:$B$11,0))</f>
        <v>123.726482920496</v>
      </c>
      <c r="T200" s="73">
        <f>INDEX(ModelOutput!$G$9:$G$11,MATCH("Tier "&amp;$F200,ModelOutput!$B$9:$B$11,0))</f>
        <v>20.551544113210401</v>
      </c>
      <c r="U200" s="77">
        <f t="shared" si="33"/>
        <v>108.60572576391182</v>
      </c>
      <c r="V200" s="77">
        <f t="shared" si="34"/>
        <v>315.12524764384972</v>
      </c>
      <c r="W200" s="77">
        <f t="shared" si="35"/>
        <v>472.22123413191434</v>
      </c>
      <c r="X200" s="77">
        <f t="shared" si="36"/>
        <v>98.876274608999395</v>
      </c>
      <c r="Y200" s="30">
        <f t="shared" si="37"/>
        <v>994.82848214867533</v>
      </c>
      <c r="Z200" s="30">
        <f t="shared" si="38"/>
        <v>1659.3353351221263</v>
      </c>
      <c r="AA200" s="41">
        <f t="shared" si="39"/>
        <v>0.16344179857298835</v>
      </c>
      <c r="AB200" s="40">
        <f t="shared" si="40"/>
        <v>1659.3353351221263</v>
      </c>
      <c r="AC200" s="42">
        <f t="shared" si="41"/>
        <v>1</v>
      </c>
      <c r="AD200" s="43">
        <v>994.82848214867295</v>
      </c>
      <c r="AE200" s="79">
        <f t="shared" si="42"/>
        <v>2.3874235921539366E-12</v>
      </c>
      <c r="AF200" s="29">
        <f t="shared" si="43"/>
        <v>4</v>
      </c>
    </row>
    <row r="201" spans="1:32" ht="15" customHeight="1" x14ac:dyDescent="0.35">
      <c r="A201" s="37" t="s">
        <v>110</v>
      </c>
      <c r="B201" s="37" t="s">
        <v>116</v>
      </c>
      <c r="C201" s="37" t="s">
        <v>118</v>
      </c>
      <c r="D201" s="37" t="s">
        <v>124</v>
      </c>
      <c r="E201" s="37" t="s">
        <v>105</v>
      </c>
      <c r="F201" s="37">
        <v>1</v>
      </c>
      <c r="G201" s="37" t="s">
        <v>105</v>
      </c>
      <c r="H201" s="38">
        <v>12</v>
      </c>
      <c r="I201" s="39">
        <f>IF($G201="Base",1,INDEX(ModelOutput!$D$16:$D$26,MATCH($G201,ModelOutput!$C$16:$C$26,0)))</f>
        <v>0.98982624281990295</v>
      </c>
      <c r="J201" s="39">
        <f>IF($A201="Non-greek",1,INDEX(ModelOutput!$D$16:$D$26,MATCH($A201,ModelOutput!$C$16:$C$26,0)))</f>
        <v>1</v>
      </c>
      <c r="K201" s="39">
        <f>IF($C201="Yes",1,INDEX(ModelOutput!$D$16:$D$26,MATCH($C201,ModelOutput!$C$16:$C$26,0)))</f>
        <v>1.5400747552012299</v>
      </c>
      <c r="L201" s="39">
        <f>IF($D201="2.0-3.0",1,INDEX(ModelOutput!$D$16:$D$26,MATCH($D201,ModelOutput!$C$16:$C$26,0)))</f>
        <v>0.87654761766211098</v>
      </c>
      <c r="M201" s="39">
        <f>IF($B201="On campus",1,INDEX(ModelOutput!$D$16:$D$26,MATCH($B201,ModelOutput!$C$16:$C$26,0)))</f>
        <v>2.2239289154388602</v>
      </c>
      <c r="N201" s="39">
        <f>IF($B201="On campus",1,INDEX(ModelOutput!$E$16:$E$26,MATCH($B201,ModelOutput!$C$16:$C$26,0)))</f>
        <v>2.18885451801426</v>
      </c>
      <c r="O201" s="39">
        <f>IF($B201="On campus",1,INDEX(ModelOutput!$F$16:$F$26,MATCH($B201,ModelOutput!$C$16:$C$26,0)))</f>
        <v>2.8272585650489699</v>
      </c>
      <c r="P201" s="39">
        <f>IF($B201="On campus",1,INDEX(ModelOutput!$G$16:$G$26,MATCH($B201,ModelOutput!$C$16:$C$26,0)))</f>
        <v>3.5639394892119598</v>
      </c>
      <c r="Q201" s="73">
        <f>INDEX(ModelOutput!$D$9:$D$11,MATCH("Tier "&amp;$F201,ModelOutput!$B$9:$B$11,0))</f>
        <v>36.175496869914397</v>
      </c>
      <c r="R201" s="73">
        <f>INDEX(ModelOutput!$E$9:$E$11,MATCH("Tier "&amp;$F201,ModelOutput!$B$9:$B$11,0))</f>
        <v>106.647084447761</v>
      </c>
      <c r="S201" s="73">
        <f>INDEX(ModelOutput!$F$9:$F$11,MATCH("Tier "&amp;$F201,ModelOutput!$B$9:$B$11,0))</f>
        <v>123.726482920496</v>
      </c>
      <c r="T201" s="73">
        <f>INDEX(ModelOutput!$G$9:$G$11,MATCH("Tier "&amp;$F201,ModelOutput!$B$9:$B$11,0))</f>
        <v>20.551544113210401</v>
      </c>
      <c r="U201" s="77">
        <f t="shared" si="33"/>
        <v>107.50079748162159</v>
      </c>
      <c r="V201" s="77">
        <f t="shared" si="34"/>
        <v>311.91923989300324</v>
      </c>
      <c r="W201" s="77">
        <f t="shared" si="35"/>
        <v>467.41696996057055</v>
      </c>
      <c r="X201" s="77">
        <f t="shared" si="36"/>
        <v>97.870331400254827</v>
      </c>
      <c r="Y201" s="30">
        <f t="shared" si="37"/>
        <v>984.70733873545021</v>
      </c>
      <c r="Z201" s="30">
        <f t="shared" si="38"/>
        <v>1642.8775668914095</v>
      </c>
      <c r="AA201" s="41">
        <f t="shared" si="39"/>
        <v>0.15190244599876435</v>
      </c>
      <c r="AB201" s="40">
        <f t="shared" si="40"/>
        <v>1642.8775668914095</v>
      </c>
      <c r="AC201" s="42">
        <f t="shared" si="41"/>
        <v>1</v>
      </c>
      <c r="AD201" s="43">
        <v>984.70733873544805</v>
      </c>
      <c r="AE201" s="79">
        <f t="shared" si="42"/>
        <v>2.1600499167107046E-12</v>
      </c>
      <c r="AF201" s="29">
        <f t="shared" si="43"/>
        <v>3</v>
      </c>
    </row>
    <row r="202" spans="1:32" ht="15" customHeight="1" x14ac:dyDescent="0.35">
      <c r="A202" s="37" t="s">
        <v>110</v>
      </c>
      <c r="B202" s="37" t="s">
        <v>116</v>
      </c>
      <c r="C202" s="37" t="s">
        <v>118</v>
      </c>
      <c r="D202" s="37" t="s">
        <v>124</v>
      </c>
      <c r="E202" s="37" t="s">
        <v>97</v>
      </c>
      <c r="F202" s="37">
        <v>2</v>
      </c>
      <c r="G202" s="37" t="s">
        <v>211</v>
      </c>
      <c r="H202" s="38">
        <v>9</v>
      </c>
      <c r="I202" s="39">
        <f>IF($G202="Base",1,INDEX(ModelOutput!$D$16:$D$26,MATCH($G202,ModelOutput!$C$16:$C$26,0)))</f>
        <v>1</v>
      </c>
      <c r="J202" s="39">
        <f>IF($A202="Non-greek",1,INDEX(ModelOutput!$D$16:$D$26,MATCH($A202,ModelOutput!$C$16:$C$26,0)))</f>
        <v>1</v>
      </c>
      <c r="K202" s="39">
        <f>IF($C202="Yes",1,INDEX(ModelOutput!$D$16:$D$26,MATCH($C202,ModelOutput!$C$16:$C$26,0)))</f>
        <v>1.5400747552012299</v>
      </c>
      <c r="L202" s="39">
        <f>IF($D202="2.0-3.0",1,INDEX(ModelOutput!$D$16:$D$26,MATCH($D202,ModelOutput!$C$16:$C$26,0)))</f>
        <v>0.87654761766211098</v>
      </c>
      <c r="M202" s="39">
        <f>IF($B202="On campus",1,INDEX(ModelOutput!$D$16:$D$26,MATCH($B202,ModelOutput!$C$16:$C$26,0)))</f>
        <v>2.2239289154388602</v>
      </c>
      <c r="N202" s="39">
        <f>IF($B202="On campus",1,INDEX(ModelOutput!$E$16:$E$26,MATCH($B202,ModelOutput!$C$16:$C$26,0)))</f>
        <v>2.18885451801426</v>
      </c>
      <c r="O202" s="39">
        <f>IF($B202="On campus",1,INDEX(ModelOutput!$F$16:$F$26,MATCH($B202,ModelOutput!$C$16:$C$26,0)))</f>
        <v>2.8272585650489699</v>
      </c>
      <c r="P202" s="39">
        <f>IF($B202="On campus",1,INDEX(ModelOutput!$G$16:$G$26,MATCH($B202,ModelOutput!$C$16:$C$26,0)))</f>
        <v>3.5639394892119598</v>
      </c>
      <c r="Q202" s="73">
        <f>INDEX(ModelOutput!$D$9:$D$11,MATCH("Tier "&amp;$F202,ModelOutput!$B$9:$B$11,0))</f>
        <v>42.8051506068728</v>
      </c>
      <c r="R202" s="73">
        <f>INDEX(ModelOutput!$E$9:$E$11,MATCH("Tier "&amp;$F202,ModelOutput!$B$9:$B$11,0))</f>
        <v>126.191618818284</v>
      </c>
      <c r="S202" s="73">
        <f>INDEX(ModelOutput!$F$9:$F$11,MATCH("Tier "&amp;$F202,ModelOutput!$B$9:$B$11,0))</f>
        <v>146.401050261042</v>
      </c>
      <c r="T202" s="73">
        <f>INDEX(ModelOutput!$G$9:$G$11,MATCH("Tier "&amp;$F202,ModelOutput!$B$9:$B$11,0))</f>
        <v>24.317895180076398</v>
      </c>
      <c r="U202" s="77">
        <f t="shared" si="33"/>
        <v>128.50920789865498</v>
      </c>
      <c r="V202" s="77">
        <f t="shared" si="34"/>
        <v>372.87625195387983</v>
      </c>
      <c r="W202" s="77">
        <f t="shared" si="35"/>
        <v>558.76222293412729</v>
      </c>
      <c r="X202" s="77">
        <f t="shared" si="36"/>
        <v>116.99670197493936</v>
      </c>
      <c r="Y202" s="30">
        <f t="shared" si="37"/>
        <v>1177.1443847616015</v>
      </c>
      <c r="Z202" s="30">
        <f t="shared" si="38"/>
        <v>1955.7952060549644</v>
      </c>
      <c r="AA202" s="41">
        <f t="shared" si="39"/>
        <v>0.37130442774880335</v>
      </c>
      <c r="AB202" s="40">
        <f t="shared" si="40"/>
        <v>1782.7872193062994</v>
      </c>
      <c r="AC202" s="42">
        <f t="shared" si="41"/>
        <v>2</v>
      </c>
      <c r="AD202" s="43">
        <v>1177.1443847615999</v>
      </c>
      <c r="AE202" s="79">
        <f t="shared" si="42"/>
        <v>0</v>
      </c>
      <c r="AF202" s="29">
        <f t="shared" si="43"/>
        <v>2</v>
      </c>
    </row>
    <row r="203" spans="1:32" ht="15" customHeight="1" x14ac:dyDescent="0.35">
      <c r="A203" s="37" t="s">
        <v>110</v>
      </c>
      <c r="B203" s="37" t="s">
        <v>116</v>
      </c>
      <c r="C203" s="37" t="s">
        <v>118</v>
      </c>
      <c r="D203" s="37" t="s">
        <v>124</v>
      </c>
      <c r="E203" s="37" t="s">
        <v>99</v>
      </c>
      <c r="F203" s="37">
        <v>3</v>
      </c>
      <c r="G203" s="37" t="s">
        <v>211</v>
      </c>
      <c r="H203" s="38">
        <v>11</v>
      </c>
      <c r="I203" s="39">
        <f>IF($G203="Base",1,INDEX(ModelOutput!$D$16:$D$26,MATCH($G203,ModelOutput!$C$16:$C$26,0)))</f>
        <v>1</v>
      </c>
      <c r="J203" s="39">
        <f>IF($A203="Non-greek",1,INDEX(ModelOutput!$D$16:$D$26,MATCH($A203,ModelOutput!$C$16:$C$26,0)))</f>
        <v>1</v>
      </c>
      <c r="K203" s="39">
        <f>IF($C203="Yes",1,INDEX(ModelOutput!$D$16:$D$26,MATCH($C203,ModelOutput!$C$16:$C$26,0)))</f>
        <v>1.5400747552012299</v>
      </c>
      <c r="L203" s="39">
        <f>IF($D203="2.0-3.0",1,INDEX(ModelOutput!$D$16:$D$26,MATCH($D203,ModelOutput!$C$16:$C$26,0)))</f>
        <v>0.87654761766211098</v>
      </c>
      <c r="M203" s="39">
        <f>IF($B203="On campus",1,INDEX(ModelOutput!$D$16:$D$26,MATCH($B203,ModelOutput!$C$16:$C$26,0)))</f>
        <v>2.2239289154388602</v>
      </c>
      <c r="N203" s="39">
        <f>IF($B203="On campus",1,INDEX(ModelOutput!$E$16:$E$26,MATCH($B203,ModelOutput!$C$16:$C$26,0)))</f>
        <v>2.18885451801426</v>
      </c>
      <c r="O203" s="39">
        <f>IF($B203="On campus",1,INDEX(ModelOutput!$F$16:$F$26,MATCH($B203,ModelOutput!$C$16:$C$26,0)))</f>
        <v>2.8272585650489699</v>
      </c>
      <c r="P203" s="39">
        <f>IF($B203="On campus",1,INDEX(ModelOutput!$G$16:$G$26,MATCH($B203,ModelOutput!$C$16:$C$26,0)))</f>
        <v>3.5639394892119598</v>
      </c>
      <c r="Q203" s="73">
        <f>INDEX(ModelOutput!$D$9:$D$11,MATCH("Tier "&amp;$F203,ModelOutput!$B$9:$B$11,0))</f>
        <v>40.009437343712797</v>
      </c>
      <c r="R203" s="73">
        <f>INDEX(ModelOutput!$E$9:$E$11,MATCH("Tier "&amp;$F203,ModelOutput!$B$9:$B$11,0))</f>
        <v>117.949723218616</v>
      </c>
      <c r="S203" s="73">
        <f>INDEX(ModelOutput!$F$9:$F$11,MATCH("Tier "&amp;$F203,ModelOutput!$B$9:$B$11,0))</f>
        <v>136.83922529015501</v>
      </c>
      <c r="T203" s="73">
        <f>INDEX(ModelOutput!$G$9:$G$11,MATCH("Tier "&amp;$F203,ModelOutput!$B$9:$B$11,0))</f>
        <v>22.729631592092201</v>
      </c>
      <c r="U203" s="77">
        <f t="shared" si="33"/>
        <v>120.11594466124515</v>
      </c>
      <c r="V203" s="77">
        <f t="shared" si="34"/>
        <v>348.52275550951765</v>
      </c>
      <c r="W203" s="77">
        <f t="shared" si="35"/>
        <v>522.26804091484973</v>
      </c>
      <c r="X203" s="77">
        <f t="shared" si="36"/>
        <v>109.35534978203746</v>
      </c>
      <c r="Y203" s="30">
        <f t="shared" si="37"/>
        <v>1100.2620908676499</v>
      </c>
      <c r="Z203" s="30">
        <f t="shared" si="38"/>
        <v>1830.778602466565</v>
      </c>
      <c r="AA203" s="41">
        <f t="shared" si="39"/>
        <v>0.28364912441635859</v>
      </c>
      <c r="AB203" s="40">
        <f t="shared" si="40"/>
        <v>1782.7872193062994</v>
      </c>
      <c r="AC203" s="42">
        <f t="shared" si="41"/>
        <v>2</v>
      </c>
      <c r="AD203" s="43">
        <v>1100.2620908676499</v>
      </c>
      <c r="AE203" s="79">
        <f t="shared" si="42"/>
        <v>0</v>
      </c>
      <c r="AF203" s="29">
        <f t="shared" si="43"/>
        <v>1</v>
      </c>
    </row>
    <row r="204" spans="1:32" ht="15" customHeight="1" x14ac:dyDescent="0.35">
      <c r="A204" s="37" t="s">
        <v>110</v>
      </c>
      <c r="B204" s="37" t="s">
        <v>116</v>
      </c>
      <c r="C204" s="37" t="s">
        <v>118</v>
      </c>
      <c r="D204" s="37" t="s">
        <v>124</v>
      </c>
      <c r="E204" s="37" t="s">
        <v>213</v>
      </c>
      <c r="F204" s="37">
        <v>3</v>
      </c>
      <c r="G204" s="37" t="s">
        <v>107</v>
      </c>
      <c r="H204" s="38">
        <v>4</v>
      </c>
      <c r="I204" s="39">
        <f>IF($G204="Base",1,INDEX(ModelOutput!$D$16:$D$26,MATCH($G204,ModelOutput!$C$16:$C$26,0)))</f>
        <v>1.1906804269762199</v>
      </c>
      <c r="J204" s="39">
        <f>IF($A204="Non-greek",1,INDEX(ModelOutput!$D$16:$D$26,MATCH($A204,ModelOutput!$C$16:$C$26,0)))</f>
        <v>1</v>
      </c>
      <c r="K204" s="39">
        <f>IF($C204="Yes",1,INDEX(ModelOutput!$D$16:$D$26,MATCH($C204,ModelOutput!$C$16:$C$26,0)))</f>
        <v>1.5400747552012299</v>
      </c>
      <c r="L204" s="39">
        <f>IF($D204="2.0-3.0",1,INDEX(ModelOutput!$D$16:$D$26,MATCH($D204,ModelOutput!$C$16:$C$26,0)))</f>
        <v>0.87654761766211098</v>
      </c>
      <c r="M204" s="39">
        <f>IF($B204="On campus",1,INDEX(ModelOutput!$D$16:$D$26,MATCH($B204,ModelOutput!$C$16:$C$26,0)))</f>
        <v>2.2239289154388602</v>
      </c>
      <c r="N204" s="39">
        <f>IF($B204="On campus",1,INDEX(ModelOutput!$E$16:$E$26,MATCH($B204,ModelOutput!$C$16:$C$26,0)))</f>
        <v>2.18885451801426</v>
      </c>
      <c r="O204" s="39">
        <f>IF($B204="On campus",1,INDEX(ModelOutput!$F$16:$F$26,MATCH($B204,ModelOutput!$C$16:$C$26,0)))</f>
        <v>2.8272585650489699</v>
      </c>
      <c r="P204" s="39">
        <f>IF($B204="On campus",1,INDEX(ModelOutput!$G$16:$G$26,MATCH($B204,ModelOutput!$C$16:$C$26,0)))</f>
        <v>3.5639394892119598</v>
      </c>
      <c r="Q204" s="73">
        <f>INDEX(ModelOutput!$D$9:$D$11,MATCH("Tier "&amp;$F204,ModelOutput!$B$9:$B$11,0))</f>
        <v>40.009437343712797</v>
      </c>
      <c r="R204" s="73">
        <f>INDEX(ModelOutput!$E$9:$E$11,MATCH("Tier "&amp;$F204,ModelOutput!$B$9:$B$11,0))</f>
        <v>117.949723218616</v>
      </c>
      <c r="S204" s="73">
        <f>INDEX(ModelOutput!$F$9:$F$11,MATCH("Tier "&amp;$F204,ModelOutput!$B$9:$B$11,0))</f>
        <v>136.83922529015501</v>
      </c>
      <c r="T204" s="73">
        <f>INDEX(ModelOutput!$G$9:$G$11,MATCH("Tier "&amp;$F204,ModelOutput!$B$9:$B$11,0))</f>
        <v>22.729631592092201</v>
      </c>
      <c r="U204" s="77">
        <f t="shared" si="33"/>
        <v>143.01970427590336</v>
      </c>
      <c r="V204" s="77">
        <f t="shared" si="34"/>
        <v>414.97922334100122</v>
      </c>
      <c r="W204" s="77">
        <f t="shared" si="35"/>
        <v>621.85433395252721</v>
      </c>
      <c r="X204" s="77">
        <f t="shared" si="36"/>
        <v>130.20727457061025</v>
      </c>
      <c r="Y204" s="30">
        <f t="shared" si="37"/>
        <v>1310.0605361400419</v>
      </c>
      <c r="Z204" s="30">
        <f t="shared" si="38"/>
        <v>2171.9272302931408</v>
      </c>
      <c r="AA204" s="41">
        <f t="shared" si="39"/>
        <v>0.52284524393372322</v>
      </c>
      <c r="AB204" s="40">
        <f t="shared" si="40"/>
        <v>1782.7872193062994</v>
      </c>
      <c r="AC204" s="42">
        <f t="shared" si="41"/>
        <v>2</v>
      </c>
      <c r="AD204" s="43">
        <v>1310.0605361400401</v>
      </c>
      <c r="AE204" s="79">
        <f t="shared" si="42"/>
        <v>1.8189894035458565E-12</v>
      </c>
      <c r="AF204" s="29">
        <f t="shared" si="43"/>
        <v>2</v>
      </c>
    </row>
    <row r="205" spans="1:32" ht="15" customHeight="1" x14ac:dyDescent="0.35">
      <c r="A205" s="19" t="s">
        <v>109</v>
      </c>
      <c r="B205" s="19" t="s">
        <v>113</v>
      </c>
      <c r="C205" s="19" t="s">
        <v>210</v>
      </c>
      <c r="D205" s="19" t="s">
        <v>121</v>
      </c>
      <c r="E205" s="19" t="s">
        <v>95</v>
      </c>
      <c r="F205" s="19">
        <v>1</v>
      </c>
      <c r="G205" s="19" t="s">
        <v>211</v>
      </c>
      <c r="H205" s="16">
        <v>22</v>
      </c>
      <c r="I205" s="13">
        <f>IF($G205="Base",1,INDEX(ModelOutput!$D$16:$D$26,MATCH($G205,ModelOutput!$C$16:$C$26,0)))</f>
        <v>1</v>
      </c>
      <c r="J205" s="13">
        <f>IF($A205="Non-greek",1,INDEX(ModelOutput!$D$16:$D$26,MATCH($A205,ModelOutput!$C$16:$C$26,0)))</f>
        <v>4.3562312213391099</v>
      </c>
      <c r="K205" s="13">
        <f>IF($C205="Yes",1,INDEX(ModelOutput!$D$16:$D$26,MATCH($C205,ModelOutput!$C$16:$C$26,0)))</f>
        <v>1</v>
      </c>
      <c r="L205" s="13">
        <f>IF($D205="2.0-3.0",1,INDEX(ModelOutput!$D$16:$D$26,MATCH($D205,ModelOutput!$C$16:$C$26,0)))</f>
        <v>1.12144800201769</v>
      </c>
      <c r="M205" s="13">
        <f>IF($B205="On campus",1,INDEX(ModelOutput!$D$16:$D$26,MATCH($B205,ModelOutput!$C$16:$C$26,0)))</f>
        <v>1</v>
      </c>
      <c r="N205" s="13">
        <f>IF($B205="On campus",1,INDEX(ModelOutput!$E$16:$E$26,MATCH($B205,ModelOutput!$C$16:$C$26,0)))</f>
        <v>1</v>
      </c>
      <c r="O205" s="13">
        <f>IF($B205="On campus",1,INDEX(ModelOutput!$F$16:$F$26,MATCH($B205,ModelOutput!$C$16:$C$26,0)))</f>
        <v>1</v>
      </c>
      <c r="P205" s="13">
        <f>IF($B205="On campus",1,INDEX(ModelOutput!$G$16:$G$26,MATCH($B205,ModelOutput!$C$16:$C$26,0)))</f>
        <v>1</v>
      </c>
      <c r="Q205" s="72">
        <f>INDEX(ModelOutput!$D$9:$D$11,MATCH("Tier "&amp;$F205,ModelOutput!$B$9:$B$11,0))</f>
        <v>36.175496869914397</v>
      </c>
      <c r="R205" s="72">
        <f>INDEX(ModelOutput!$E$9:$E$11,MATCH("Tier "&amp;$F205,ModelOutput!$B$9:$B$11,0))</f>
        <v>106.647084447761</v>
      </c>
      <c r="S205" s="72">
        <f>INDEX(ModelOutput!$F$9:$F$11,MATCH("Tier "&amp;$F205,ModelOutput!$B$9:$B$11,0))</f>
        <v>123.726482920496</v>
      </c>
      <c r="T205" s="72">
        <f>INDEX(ModelOutput!$G$9:$G$11,MATCH("Tier "&amp;$F205,ModelOutput!$B$9:$B$11,0))</f>
        <v>20.551544113210401</v>
      </c>
      <c r="U205" s="76">
        <f t="shared" si="33"/>
        <v>176.72767732386777</v>
      </c>
      <c r="V205" s="76">
        <f t="shared" si="34"/>
        <v>521.00159385757672</v>
      </c>
      <c r="W205" s="76">
        <f t="shared" si="35"/>
        <v>604.43935375979243</v>
      </c>
      <c r="X205" s="76">
        <f t="shared" si="36"/>
        <v>100.40018716556403</v>
      </c>
      <c r="Y205" s="27">
        <f t="shared" si="37"/>
        <v>1402.568812106801</v>
      </c>
      <c r="Z205" s="27">
        <f t="shared" si="38"/>
        <v>2322.3528989280412</v>
      </c>
      <c r="AA205" s="33">
        <f t="shared" si="39"/>
        <v>0.62831609528231591</v>
      </c>
      <c r="AB205" s="14">
        <f t="shared" si="40"/>
        <v>1782.7872193062994</v>
      </c>
      <c r="AC205" s="29">
        <f t="shared" si="41"/>
        <v>3</v>
      </c>
      <c r="AD205" s="20">
        <v>1402.5688121067999</v>
      </c>
      <c r="AE205" s="78">
        <f t="shared" si="42"/>
        <v>0</v>
      </c>
      <c r="AF205" s="29">
        <f t="shared" si="43"/>
        <v>4</v>
      </c>
    </row>
    <row r="206" spans="1:32" ht="15" customHeight="1" x14ac:dyDescent="0.35">
      <c r="A206" s="19" t="s">
        <v>109</v>
      </c>
      <c r="B206" s="19" t="s">
        <v>113</v>
      </c>
      <c r="C206" s="19" t="s">
        <v>210</v>
      </c>
      <c r="D206" s="19" t="s">
        <v>121</v>
      </c>
      <c r="E206" s="19" t="s">
        <v>105</v>
      </c>
      <c r="F206" s="19">
        <v>1</v>
      </c>
      <c r="G206" s="19" t="s">
        <v>105</v>
      </c>
      <c r="H206" s="16">
        <v>17</v>
      </c>
      <c r="I206" s="13">
        <f>IF($G206="Base",1,INDEX(ModelOutput!$D$16:$D$26,MATCH($G206,ModelOutput!$C$16:$C$26,0)))</f>
        <v>0.98982624281990295</v>
      </c>
      <c r="J206" s="13">
        <f>IF($A206="Non-greek",1,INDEX(ModelOutput!$D$16:$D$26,MATCH($A206,ModelOutput!$C$16:$C$26,0)))</f>
        <v>4.3562312213391099</v>
      </c>
      <c r="K206" s="13">
        <f>IF($C206="Yes",1,INDEX(ModelOutput!$D$16:$D$26,MATCH($C206,ModelOutput!$C$16:$C$26,0)))</f>
        <v>1</v>
      </c>
      <c r="L206" s="13">
        <f>IF($D206="2.0-3.0",1,INDEX(ModelOutput!$D$16:$D$26,MATCH($D206,ModelOutput!$C$16:$C$26,0)))</f>
        <v>1.12144800201769</v>
      </c>
      <c r="M206" s="13">
        <f>IF($B206="On campus",1,INDEX(ModelOutput!$D$16:$D$26,MATCH($B206,ModelOutput!$C$16:$C$26,0)))</f>
        <v>1</v>
      </c>
      <c r="N206" s="13">
        <f>IF($B206="On campus",1,INDEX(ModelOutput!$E$16:$E$26,MATCH($B206,ModelOutput!$C$16:$C$26,0)))</f>
        <v>1</v>
      </c>
      <c r="O206" s="13">
        <f>IF($B206="On campus",1,INDEX(ModelOutput!$F$16:$F$26,MATCH($B206,ModelOutput!$C$16:$C$26,0)))</f>
        <v>1</v>
      </c>
      <c r="P206" s="13">
        <f>IF($B206="On campus",1,INDEX(ModelOutput!$G$16:$G$26,MATCH($B206,ModelOutput!$C$16:$C$26,0)))</f>
        <v>1</v>
      </c>
      <c r="Q206" s="72">
        <f>INDEX(ModelOutput!$D$9:$D$11,MATCH("Tier "&amp;$F206,ModelOutput!$B$9:$B$11,0))</f>
        <v>36.175496869914397</v>
      </c>
      <c r="R206" s="72">
        <f>INDEX(ModelOutput!$E$9:$E$11,MATCH("Tier "&amp;$F206,ModelOutput!$B$9:$B$11,0))</f>
        <v>106.647084447761</v>
      </c>
      <c r="S206" s="72">
        <f>INDEX(ModelOutput!$F$9:$F$11,MATCH("Tier "&amp;$F206,ModelOutput!$B$9:$B$11,0))</f>
        <v>123.726482920496</v>
      </c>
      <c r="T206" s="72">
        <f>INDEX(ModelOutput!$G$9:$G$11,MATCH("Tier "&amp;$F206,ModelOutput!$B$9:$B$11,0))</f>
        <v>20.551544113210401</v>
      </c>
      <c r="U206" s="76">
        <f t="shared" si="33"/>
        <v>174.9296928477722</v>
      </c>
      <c r="V206" s="76">
        <f t="shared" si="34"/>
        <v>515.70105015122624</v>
      </c>
      <c r="W206" s="76">
        <f t="shared" si="35"/>
        <v>598.28993454454542</v>
      </c>
      <c r="X206" s="76">
        <f t="shared" si="36"/>
        <v>99.378740040505292</v>
      </c>
      <c r="Y206" s="27">
        <f t="shared" si="37"/>
        <v>1388.2994175840493</v>
      </c>
      <c r="Z206" s="27">
        <f t="shared" si="38"/>
        <v>2299.1497509970231</v>
      </c>
      <c r="AA206" s="33">
        <f t="shared" si="39"/>
        <v>0.61204722449410243</v>
      </c>
      <c r="AB206" s="14">
        <f t="shared" si="40"/>
        <v>1782.7872193062994</v>
      </c>
      <c r="AC206" s="29">
        <f t="shared" si="41"/>
        <v>3</v>
      </c>
      <c r="AD206" s="20">
        <v>1388.2994175840499</v>
      </c>
      <c r="AE206" s="78">
        <f t="shared" si="42"/>
        <v>0</v>
      </c>
      <c r="AF206" s="29">
        <f t="shared" si="43"/>
        <v>3</v>
      </c>
    </row>
    <row r="207" spans="1:32" ht="15" customHeight="1" x14ac:dyDescent="0.35">
      <c r="A207" s="19" t="s">
        <v>109</v>
      </c>
      <c r="B207" s="19" t="s">
        <v>113</v>
      </c>
      <c r="C207" s="19" t="s">
        <v>210</v>
      </c>
      <c r="D207" s="19" t="s">
        <v>121</v>
      </c>
      <c r="E207" s="19" t="s">
        <v>97</v>
      </c>
      <c r="F207" s="19">
        <v>2</v>
      </c>
      <c r="G207" s="19" t="s">
        <v>211</v>
      </c>
      <c r="H207" s="16">
        <v>13</v>
      </c>
      <c r="I207" s="13">
        <f>IF($G207="Base",1,INDEX(ModelOutput!$D$16:$D$26,MATCH($G207,ModelOutput!$C$16:$C$26,0)))</f>
        <v>1</v>
      </c>
      <c r="J207" s="13">
        <f>IF($A207="Non-greek",1,INDEX(ModelOutput!$D$16:$D$26,MATCH($A207,ModelOutput!$C$16:$C$26,0)))</f>
        <v>4.3562312213391099</v>
      </c>
      <c r="K207" s="13">
        <f>IF($C207="Yes",1,INDEX(ModelOutput!$D$16:$D$26,MATCH($C207,ModelOutput!$C$16:$C$26,0)))</f>
        <v>1</v>
      </c>
      <c r="L207" s="13">
        <f>IF($D207="2.0-3.0",1,INDEX(ModelOutput!$D$16:$D$26,MATCH($D207,ModelOutput!$C$16:$C$26,0)))</f>
        <v>1.12144800201769</v>
      </c>
      <c r="M207" s="13">
        <f>IF($B207="On campus",1,INDEX(ModelOutput!$D$16:$D$26,MATCH($B207,ModelOutput!$C$16:$C$26,0)))</f>
        <v>1</v>
      </c>
      <c r="N207" s="13">
        <f>IF($B207="On campus",1,INDEX(ModelOutput!$E$16:$E$26,MATCH($B207,ModelOutput!$C$16:$C$26,0)))</f>
        <v>1</v>
      </c>
      <c r="O207" s="13">
        <f>IF($B207="On campus",1,INDEX(ModelOutput!$F$16:$F$26,MATCH($B207,ModelOutput!$C$16:$C$26,0)))</f>
        <v>1</v>
      </c>
      <c r="P207" s="13">
        <f>IF($B207="On campus",1,INDEX(ModelOutput!$G$16:$G$26,MATCH($B207,ModelOutput!$C$16:$C$26,0)))</f>
        <v>1</v>
      </c>
      <c r="Q207" s="72">
        <f>INDEX(ModelOutput!$D$9:$D$11,MATCH("Tier "&amp;$F207,ModelOutput!$B$9:$B$11,0))</f>
        <v>42.8051506068728</v>
      </c>
      <c r="R207" s="72">
        <f>INDEX(ModelOutput!$E$9:$E$11,MATCH("Tier "&amp;$F207,ModelOutput!$B$9:$B$11,0))</f>
        <v>126.191618818284</v>
      </c>
      <c r="S207" s="72">
        <f>INDEX(ModelOutput!$F$9:$F$11,MATCH("Tier "&amp;$F207,ModelOutput!$B$9:$B$11,0))</f>
        <v>146.401050261042</v>
      </c>
      <c r="T207" s="72">
        <f>INDEX(ModelOutput!$G$9:$G$11,MATCH("Tier "&amp;$F207,ModelOutput!$B$9:$B$11,0))</f>
        <v>24.317895180076398</v>
      </c>
      <c r="U207" s="76">
        <f t="shared" si="33"/>
        <v>209.11543721027206</v>
      </c>
      <c r="V207" s="76">
        <f t="shared" si="34"/>
        <v>616.48224962022437</v>
      </c>
      <c r="W207" s="76">
        <f t="shared" si="35"/>
        <v>715.21111827288621</v>
      </c>
      <c r="X207" s="76">
        <f t="shared" si="36"/>
        <v>118.79989231479904</v>
      </c>
      <c r="Y207" s="27">
        <f t="shared" si="37"/>
        <v>1659.6086974181817</v>
      </c>
      <c r="Z207" s="27">
        <f t="shared" si="38"/>
        <v>2740.3197911842117</v>
      </c>
      <c r="AA207" s="33">
        <f t="shared" si="39"/>
        <v>0.92137328666352114</v>
      </c>
      <c r="AB207" s="14">
        <f t="shared" si="40"/>
        <v>1782.7872193062994</v>
      </c>
      <c r="AC207" s="29">
        <f t="shared" si="41"/>
        <v>3</v>
      </c>
      <c r="AD207" s="20">
        <v>1659.6086974181901</v>
      </c>
      <c r="AE207" s="78">
        <f t="shared" si="42"/>
        <v>-8.4128259913995862E-12</v>
      </c>
      <c r="AF207" s="29">
        <f t="shared" si="43"/>
        <v>2</v>
      </c>
    </row>
    <row r="208" spans="1:32" ht="15" customHeight="1" x14ac:dyDescent="0.35">
      <c r="A208" s="19" t="s">
        <v>109</v>
      </c>
      <c r="B208" s="19" t="s">
        <v>113</v>
      </c>
      <c r="C208" s="19" t="s">
        <v>210</v>
      </c>
      <c r="D208" s="19" t="s">
        <v>121</v>
      </c>
      <c r="E208" s="19" t="s">
        <v>99</v>
      </c>
      <c r="F208" s="19">
        <v>3</v>
      </c>
      <c r="G208" s="19" t="s">
        <v>211</v>
      </c>
      <c r="H208" s="16">
        <v>17</v>
      </c>
      <c r="I208" s="13">
        <f>IF($G208="Base",1,INDEX(ModelOutput!$D$16:$D$26,MATCH($G208,ModelOutput!$C$16:$C$26,0)))</f>
        <v>1</v>
      </c>
      <c r="J208" s="13">
        <f>IF($A208="Non-greek",1,INDEX(ModelOutput!$D$16:$D$26,MATCH($A208,ModelOutput!$C$16:$C$26,0)))</f>
        <v>4.3562312213391099</v>
      </c>
      <c r="K208" s="13">
        <f>IF($C208="Yes",1,INDEX(ModelOutput!$D$16:$D$26,MATCH($C208,ModelOutput!$C$16:$C$26,0)))</f>
        <v>1</v>
      </c>
      <c r="L208" s="13">
        <f>IF($D208="2.0-3.0",1,INDEX(ModelOutput!$D$16:$D$26,MATCH($D208,ModelOutput!$C$16:$C$26,0)))</f>
        <v>1.12144800201769</v>
      </c>
      <c r="M208" s="13">
        <f>IF($B208="On campus",1,INDEX(ModelOutput!$D$16:$D$26,MATCH($B208,ModelOutput!$C$16:$C$26,0)))</f>
        <v>1</v>
      </c>
      <c r="N208" s="13">
        <f>IF($B208="On campus",1,INDEX(ModelOutput!$E$16:$E$26,MATCH($B208,ModelOutput!$C$16:$C$26,0)))</f>
        <v>1</v>
      </c>
      <c r="O208" s="13">
        <f>IF($B208="On campus",1,INDEX(ModelOutput!$F$16:$F$26,MATCH($B208,ModelOutput!$C$16:$C$26,0)))</f>
        <v>1</v>
      </c>
      <c r="P208" s="13">
        <f>IF($B208="On campus",1,INDEX(ModelOutput!$G$16:$G$26,MATCH($B208,ModelOutput!$C$16:$C$26,0)))</f>
        <v>1</v>
      </c>
      <c r="Q208" s="72">
        <f>INDEX(ModelOutput!$D$9:$D$11,MATCH("Tier "&amp;$F208,ModelOutput!$B$9:$B$11,0))</f>
        <v>40.009437343712797</v>
      </c>
      <c r="R208" s="72">
        <f>INDEX(ModelOutput!$E$9:$E$11,MATCH("Tier "&amp;$F208,ModelOutput!$B$9:$B$11,0))</f>
        <v>117.949723218616</v>
      </c>
      <c r="S208" s="72">
        <f>INDEX(ModelOutput!$F$9:$F$11,MATCH("Tier "&amp;$F208,ModelOutput!$B$9:$B$11,0))</f>
        <v>136.83922529015501</v>
      </c>
      <c r="T208" s="72">
        <f>INDEX(ModelOutput!$G$9:$G$11,MATCH("Tier "&amp;$F208,ModelOutput!$B$9:$B$11,0))</f>
        <v>22.729631592092201</v>
      </c>
      <c r="U208" s="76">
        <f t="shared" si="33"/>
        <v>195.4575761105755</v>
      </c>
      <c r="V208" s="76">
        <f t="shared" si="34"/>
        <v>576.21822584432709</v>
      </c>
      <c r="W208" s="76">
        <f t="shared" si="35"/>
        <v>668.49886096350338</v>
      </c>
      <c r="X208" s="76">
        <f t="shared" si="36"/>
        <v>111.04076917429678</v>
      </c>
      <c r="Y208" s="27">
        <f t="shared" si="37"/>
        <v>1551.2154320927027</v>
      </c>
      <c r="Z208" s="27">
        <f t="shared" si="38"/>
        <v>2564.0638914637993</v>
      </c>
      <c r="AA208" s="33">
        <f t="shared" si="39"/>
        <v>0.79779158702791131</v>
      </c>
      <c r="AB208" s="14">
        <f t="shared" si="40"/>
        <v>1782.7872193062994</v>
      </c>
      <c r="AC208" s="29">
        <f t="shared" si="41"/>
        <v>3</v>
      </c>
      <c r="AD208" s="20">
        <v>1551.21543209271</v>
      </c>
      <c r="AE208" s="78">
        <f t="shared" si="42"/>
        <v>-7.2759576141834259E-12</v>
      </c>
      <c r="AF208" s="29">
        <f t="shared" si="43"/>
        <v>1</v>
      </c>
    </row>
    <row r="209" spans="1:32" ht="15" customHeight="1" x14ac:dyDescent="0.35">
      <c r="A209" s="19" t="s">
        <v>109</v>
      </c>
      <c r="B209" s="19" t="s">
        <v>113</v>
      </c>
      <c r="C209" s="19" t="s">
        <v>210</v>
      </c>
      <c r="D209" s="19" t="s">
        <v>121</v>
      </c>
      <c r="E209" s="19" t="s">
        <v>213</v>
      </c>
      <c r="F209" s="19">
        <v>3</v>
      </c>
      <c r="G209" s="19" t="s">
        <v>107</v>
      </c>
      <c r="H209" s="16">
        <v>7</v>
      </c>
      <c r="I209" s="13">
        <f>IF($G209="Base",1,INDEX(ModelOutput!$D$16:$D$26,MATCH($G209,ModelOutput!$C$16:$C$26,0)))</f>
        <v>1.1906804269762199</v>
      </c>
      <c r="J209" s="13">
        <f>IF($A209="Non-greek",1,INDEX(ModelOutput!$D$16:$D$26,MATCH($A209,ModelOutput!$C$16:$C$26,0)))</f>
        <v>4.3562312213391099</v>
      </c>
      <c r="K209" s="13">
        <f>IF($C209="Yes",1,INDEX(ModelOutput!$D$16:$D$26,MATCH($C209,ModelOutput!$C$16:$C$26,0)))</f>
        <v>1</v>
      </c>
      <c r="L209" s="13">
        <f>IF($D209="2.0-3.0",1,INDEX(ModelOutput!$D$16:$D$26,MATCH($D209,ModelOutput!$C$16:$C$26,0)))</f>
        <v>1.12144800201769</v>
      </c>
      <c r="M209" s="13">
        <f>IF($B209="On campus",1,INDEX(ModelOutput!$D$16:$D$26,MATCH($B209,ModelOutput!$C$16:$C$26,0)))</f>
        <v>1</v>
      </c>
      <c r="N209" s="13">
        <f>IF($B209="On campus",1,INDEX(ModelOutput!$E$16:$E$26,MATCH($B209,ModelOutput!$C$16:$C$26,0)))</f>
        <v>1</v>
      </c>
      <c r="O209" s="13">
        <f>IF($B209="On campus",1,INDEX(ModelOutput!$F$16:$F$26,MATCH($B209,ModelOutput!$C$16:$C$26,0)))</f>
        <v>1</v>
      </c>
      <c r="P209" s="13">
        <f>IF($B209="On campus",1,INDEX(ModelOutput!$G$16:$G$26,MATCH($B209,ModelOutput!$C$16:$C$26,0)))</f>
        <v>1</v>
      </c>
      <c r="Q209" s="72">
        <f>INDEX(ModelOutput!$D$9:$D$11,MATCH("Tier "&amp;$F209,ModelOutput!$B$9:$B$11,0))</f>
        <v>40.009437343712797</v>
      </c>
      <c r="R209" s="72">
        <f>INDEX(ModelOutput!$E$9:$E$11,MATCH("Tier "&amp;$F209,ModelOutput!$B$9:$B$11,0))</f>
        <v>117.949723218616</v>
      </c>
      <c r="S209" s="72">
        <f>INDEX(ModelOutput!$F$9:$F$11,MATCH("Tier "&amp;$F209,ModelOutput!$B$9:$B$11,0))</f>
        <v>136.83922529015501</v>
      </c>
      <c r="T209" s="72">
        <f>INDEX(ModelOutput!$G$9:$G$11,MATCH("Tier "&amp;$F209,ModelOutput!$B$9:$B$11,0))</f>
        <v>22.729631592092201</v>
      </c>
      <c r="U209" s="76">
        <f t="shared" si="33"/>
        <v>232.72751017907703</v>
      </c>
      <c r="V209" s="76">
        <f t="shared" si="34"/>
        <v>686.09176317980325</v>
      </c>
      <c r="W209" s="76">
        <f t="shared" si="35"/>
        <v>795.968509205141</v>
      </c>
      <c r="X209" s="76">
        <f t="shared" si="36"/>
        <v>132.21407045221957</v>
      </c>
      <c r="Y209" s="27">
        <f t="shared" si="37"/>
        <v>1847.0018530162408</v>
      </c>
      <c r="Z209" s="27">
        <f t="shared" si="38"/>
        <v>3045.0356712917492</v>
      </c>
      <c r="AA209" s="33">
        <f t="shared" si="39"/>
        <v>1.1350246108426525</v>
      </c>
      <c r="AB209" s="14">
        <f t="shared" si="40"/>
        <v>1782.7872193062994</v>
      </c>
      <c r="AC209" s="29">
        <f t="shared" si="41"/>
        <v>4</v>
      </c>
      <c r="AD209" s="20">
        <v>1847.0018530162499</v>
      </c>
      <c r="AE209" s="78">
        <f t="shared" si="42"/>
        <v>-9.0949470177292824E-12</v>
      </c>
      <c r="AF209" s="29">
        <f t="shared" si="43"/>
        <v>2</v>
      </c>
    </row>
    <row r="210" spans="1:32" ht="15" customHeight="1" x14ac:dyDescent="0.35">
      <c r="A210" s="37" t="s">
        <v>109</v>
      </c>
      <c r="B210" s="37" t="s">
        <v>113</v>
      </c>
      <c r="C210" s="37" t="s">
        <v>210</v>
      </c>
      <c r="D210" s="37" t="s">
        <v>123</v>
      </c>
      <c r="E210" s="37" t="s">
        <v>95</v>
      </c>
      <c r="F210" s="37">
        <v>1</v>
      </c>
      <c r="G210" s="37" t="s">
        <v>211</v>
      </c>
      <c r="H210" s="38">
        <v>56</v>
      </c>
      <c r="I210" s="39">
        <f>IF($G210="Base",1,INDEX(ModelOutput!$D$16:$D$26,MATCH($G210,ModelOutput!$C$16:$C$26,0)))</f>
        <v>1</v>
      </c>
      <c r="J210" s="39">
        <f>IF($A210="Non-greek",1,INDEX(ModelOutput!$D$16:$D$26,MATCH($A210,ModelOutput!$C$16:$C$26,0)))</f>
        <v>4.3562312213391099</v>
      </c>
      <c r="K210" s="39">
        <f>IF($C210="Yes",1,INDEX(ModelOutput!$D$16:$D$26,MATCH($C210,ModelOutput!$C$16:$C$26,0)))</f>
        <v>1</v>
      </c>
      <c r="L210" s="39">
        <f>IF($D210="2.0-3.0",1,INDEX(ModelOutput!$D$16:$D$26,MATCH($D210,ModelOutput!$C$16:$C$26,0)))</f>
        <v>1.01762556011242</v>
      </c>
      <c r="M210" s="39">
        <f>IF($B210="On campus",1,INDEX(ModelOutput!$D$16:$D$26,MATCH($B210,ModelOutput!$C$16:$C$26,0)))</f>
        <v>1</v>
      </c>
      <c r="N210" s="39">
        <f>IF($B210="On campus",1,INDEX(ModelOutput!$E$16:$E$26,MATCH($B210,ModelOutput!$C$16:$C$26,0)))</f>
        <v>1</v>
      </c>
      <c r="O210" s="39">
        <f>IF($B210="On campus",1,INDEX(ModelOutput!$F$16:$F$26,MATCH($B210,ModelOutput!$C$16:$C$26,0)))</f>
        <v>1</v>
      </c>
      <c r="P210" s="39">
        <f>IF($B210="On campus",1,INDEX(ModelOutput!$G$16:$G$26,MATCH($B210,ModelOutput!$C$16:$C$26,0)))</f>
        <v>1</v>
      </c>
      <c r="Q210" s="73">
        <f>INDEX(ModelOutput!$D$9:$D$11,MATCH("Tier "&amp;$F210,ModelOutput!$B$9:$B$11,0))</f>
        <v>36.175496869914397</v>
      </c>
      <c r="R210" s="73">
        <f>INDEX(ModelOutput!$E$9:$E$11,MATCH("Tier "&amp;$F210,ModelOutput!$B$9:$B$11,0))</f>
        <v>106.647084447761</v>
      </c>
      <c r="S210" s="73">
        <f>INDEX(ModelOutput!$F$9:$F$11,MATCH("Tier "&amp;$F210,ModelOutput!$B$9:$B$11,0))</f>
        <v>123.726482920496</v>
      </c>
      <c r="T210" s="73">
        <f>INDEX(ModelOutput!$G$9:$G$11,MATCH("Tier "&amp;$F210,ModelOutput!$B$9:$B$11,0))</f>
        <v>20.551544113210401</v>
      </c>
      <c r="U210" s="77">
        <f t="shared" si="33"/>
        <v>160.36642028921378</v>
      </c>
      <c r="V210" s="77">
        <f t="shared" si="34"/>
        <v>472.76783035404333</v>
      </c>
      <c r="W210" s="77">
        <f t="shared" si="35"/>
        <v>548.48101277734963</v>
      </c>
      <c r="X210" s="77">
        <f t="shared" si="36"/>
        <v>91.105246534771794</v>
      </c>
      <c r="Y210" s="30">
        <f t="shared" si="37"/>
        <v>1272.7205099553787</v>
      </c>
      <c r="Z210" s="30">
        <f t="shared" si="38"/>
        <v>2111.209436701452</v>
      </c>
      <c r="AA210" s="41">
        <f t="shared" si="39"/>
        <v>0.48027300582942312</v>
      </c>
      <c r="AB210" s="40">
        <f t="shared" si="40"/>
        <v>1782.7872193062994</v>
      </c>
      <c r="AC210" s="42">
        <f t="shared" si="41"/>
        <v>2</v>
      </c>
      <c r="AD210" s="43">
        <v>1272.7205099553801</v>
      </c>
      <c r="AE210" s="79">
        <f t="shared" si="42"/>
        <v>0</v>
      </c>
      <c r="AF210" s="29">
        <f t="shared" si="43"/>
        <v>4</v>
      </c>
    </row>
    <row r="211" spans="1:32" ht="15" customHeight="1" x14ac:dyDescent="0.35">
      <c r="A211" s="37" t="s">
        <v>109</v>
      </c>
      <c r="B211" s="37" t="s">
        <v>113</v>
      </c>
      <c r="C211" s="37" t="s">
        <v>210</v>
      </c>
      <c r="D211" s="37" t="s">
        <v>123</v>
      </c>
      <c r="E211" s="37" t="s">
        <v>105</v>
      </c>
      <c r="F211" s="37">
        <v>1</v>
      </c>
      <c r="G211" s="37" t="s">
        <v>105</v>
      </c>
      <c r="H211" s="38">
        <v>50</v>
      </c>
      <c r="I211" s="39">
        <f>IF($G211="Base",1,INDEX(ModelOutput!$D$16:$D$26,MATCH($G211,ModelOutput!$C$16:$C$26,0)))</f>
        <v>0.98982624281990295</v>
      </c>
      <c r="J211" s="39">
        <f>IF($A211="Non-greek",1,INDEX(ModelOutput!$D$16:$D$26,MATCH($A211,ModelOutput!$C$16:$C$26,0)))</f>
        <v>4.3562312213391099</v>
      </c>
      <c r="K211" s="39">
        <f>IF($C211="Yes",1,INDEX(ModelOutput!$D$16:$D$26,MATCH($C211,ModelOutput!$C$16:$C$26,0)))</f>
        <v>1</v>
      </c>
      <c r="L211" s="39">
        <f>IF($D211="2.0-3.0",1,INDEX(ModelOutput!$D$16:$D$26,MATCH($D211,ModelOutput!$C$16:$C$26,0)))</f>
        <v>1.01762556011242</v>
      </c>
      <c r="M211" s="39">
        <f>IF($B211="On campus",1,INDEX(ModelOutput!$D$16:$D$26,MATCH($B211,ModelOutput!$C$16:$C$26,0)))</f>
        <v>1</v>
      </c>
      <c r="N211" s="39">
        <f>IF($B211="On campus",1,INDEX(ModelOutput!$E$16:$E$26,MATCH($B211,ModelOutput!$C$16:$C$26,0)))</f>
        <v>1</v>
      </c>
      <c r="O211" s="39">
        <f>IF($B211="On campus",1,INDEX(ModelOutput!$F$16:$F$26,MATCH($B211,ModelOutput!$C$16:$C$26,0)))</f>
        <v>1</v>
      </c>
      <c r="P211" s="39">
        <f>IF($B211="On campus",1,INDEX(ModelOutput!$G$16:$G$26,MATCH($B211,ModelOutput!$C$16:$C$26,0)))</f>
        <v>1</v>
      </c>
      <c r="Q211" s="73">
        <f>INDEX(ModelOutput!$D$9:$D$11,MATCH("Tier "&amp;$F211,ModelOutput!$B$9:$B$11,0))</f>
        <v>36.175496869914397</v>
      </c>
      <c r="R211" s="73">
        <f>INDEX(ModelOutput!$E$9:$E$11,MATCH("Tier "&amp;$F211,ModelOutput!$B$9:$B$11,0))</f>
        <v>106.647084447761</v>
      </c>
      <c r="S211" s="73">
        <f>INDEX(ModelOutput!$F$9:$F$11,MATCH("Tier "&amp;$F211,ModelOutput!$B$9:$B$11,0))</f>
        <v>123.726482920496</v>
      </c>
      <c r="T211" s="73">
        <f>INDEX(ModelOutput!$G$9:$G$11,MATCH("Tier "&amp;$F211,ModelOutput!$B$9:$B$11,0))</f>
        <v>20.551544113210401</v>
      </c>
      <c r="U211" s="77">
        <f t="shared" si="33"/>
        <v>158.73489126934996</v>
      </c>
      <c r="V211" s="77">
        <f t="shared" si="34"/>
        <v>467.95800524546001</v>
      </c>
      <c r="W211" s="77">
        <f t="shared" si="35"/>
        <v>542.90090013545921</v>
      </c>
      <c r="X211" s="77">
        <f t="shared" si="36"/>
        <v>90.178363878694142</v>
      </c>
      <c r="Y211" s="30">
        <f t="shared" si="37"/>
        <v>1259.7721605289635</v>
      </c>
      <c r="Z211" s="30">
        <f t="shared" si="38"/>
        <v>2090.1544110852928</v>
      </c>
      <c r="AA211" s="41">
        <f t="shared" si="39"/>
        <v>0.46551028948549522</v>
      </c>
      <c r="AB211" s="40">
        <f t="shared" si="40"/>
        <v>1782.7872193062994</v>
      </c>
      <c r="AC211" s="42">
        <f t="shared" si="41"/>
        <v>2</v>
      </c>
      <c r="AD211" s="43">
        <v>1259.7721605289601</v>
      </c>
      <c r="AE211" s="79">
        <f t="shared" si="42"/>
        <v>3.4106051316484809E-12</v>
      </c>
      <c r="AF211" s="29">
        <f t="shared" si="43"/>
        <v>3</v>
      </c>
    </row>
    <row r="212" spans="1:32" ht="15" customHeight="1" x14ac:dyDescent="0.35">
      <c r="A212" s="37" t="s">
        <v>109</v>
      </c>
      <c r="B212" s="37" t="s">
        <v>113</v>
      </c>
      <c r="C212" s="37" t="s">
        <v>210</v>
      </c>
      <c r="D212" s="37" t="s">
        <v>123</v>
      </c>
      <c r="E212" s="37" t="s">
        <v>97</v>
      </c>
      <c r="F212" s="37">
        <v>2</v>
      </c>
      <c r="G212" s="37" t="s">
        <v>211</v>
      </c>
      <c r="H212" s="38">
        <v>49</v>
      </c>
      <c r="I212" s="39">
        <f>IF($G212="Base",1,INDEX(ModelOutput!$D$16:$D$26,MATCH($G212,ModelOutput!$C$16:$C$26,0)))</f>
        <v>1</v>
      </c>
      <c r="J212" s="39">
        <f>IF($A212="Non-greek",1,INDEX(ModelOutput!$D$16:$D$26,MATCH($A212,ModelOutput!$C$16:$C$26,0)))</f>
        <v>4.3562312213391099</v>
      </c>
      <c r="K212" s="39">
        <f>IF($C212="Yes",1,INDEX(ModelOutput!$D$16:$D$26,MATCH($C212,ModelOutput!$C$16:$C$26,0)))</f>
        <v>1</v>
      </c>
      <c r="L212" s="39">
        <f>IF($D212="2.0-3.0",1,INDEX(ModelOutput!$D$16:$D$26,MATCH($D212,ModelOutput!$C$16:$C$26,0)))</f>
        <v>1.01762556011242</v>
      </c>
      <c r="M212" s="39">
        <f>IF($B212="On campus",1,INDEX(ModelOutput!$D$16:$D$26,MATCH($B212,ModelOutput!$C$16:$C$26,0)))</f>
        <v>1</v>
      </c>
      <c r="N212" s="39">
        <f>IF($B212="On campus",1,INDEX(ModelOutput!$E$16:$E$26,MATCH($B212,ModelOutput!$C$16:$C$26,0)))</f>
        <v>1</v>
      </c>
      <c r="O212" s="39">
        <f>IF($B212="On campus",1,INDEX(ModelOutput!$F$16:$F$26,MATCH($B212,ModelOutput!$C$16:$C$26,0)))</f>
        <v>1</v>
      </c>
      <c r="P212" s="39">
        <f>IF($B212="On campus",1,INDEX(ModelOutput!$G$16:$G$26,MATCH($B212,ModelOutput!$C$16:$C$26,0)))</f>
        <v>1</v>
      </c>
      <c r="Q212" s="73">
        <f>INDEX(ModelOutput!$D$9:$D$11,MATCH("Tier "&amp;$F212,ModelOutput!$B$9:$B$11,0))</f>
        <v>42.8051506068728</v>
      </c>
      <c r="R212" s="73">
        <f>INDEX(ModelOutput!$E$9:$E$11,MATCH("Tier "&amp;$F212,ModelOutput!$B$9:$B$11,0))</f>
        <v>126.191618818284</v>
      </c>
      <c r="S212" s="73">
        <f>INDEX(ModelOutput!$F$9:$F$11,MATCH("Tier "&amp;$F212,ModelOutput!$B$9:$B$11,0))</f>
        <v>146.401050261042</v>
      </c>
      <c r="T212" s="73">
        <f>INDEX(ModelOutput!$G$9:$G$11,MATCH("Tier "&amp;$F212,ModelOutput!$B$9:$B$11,0))</f>
        <v>24.317895180076398</v>
      </c>
      <c r="U212" s="77">
        <f t="shared" si="33"/>
        <v>189.75575642953433</v>
      </c>
      <c r="V212" s="77">
        <f t="shared" si="34"/>
        <v>559.4089903771121</v>
      </c>
      <c r="W212" s="77">
        <f t="shared" si="35"/>
        <v>648.99764725747434</v>
      </c>
      <c r="X212" s="77">
        <f t="shared" si="36"/>
        <v>107.80152690149922</v>
      </c>
      <c r="Y212" s="30">
        <f t="shared" si="37"/>
        <v>1505.96392096562</v>
      </c>
      <c r="Z212" s="30">
        <f t="shared" si="38"/>
        <v>2490.4814065791279</v>
      </c>
      <c r="AA212" s="41">
        <f t="shared" si="39"/>
        <v>0.74619927970722677</v>
      </c>
      <c r="AB212" s="40">
        <f t="shared" si="40"/>
        <v>1782.7872193062994</v>
      </c>
      <c r="AC212" s="42">
        <f t="shared" si="41"/>
        <v>3</v>
      </c>
      <c r="AD212" s="43">
        <v>1505.96392096562</v>
      </c>
      <c r="AE212" s="79">
        <f t="shared" si="42"/>
        <v>0</v>
      </c>
      <c r="AF212" s="29">
        <f t="shared" si="43"/>
        <v>2</v>
      </c>
    </row>
    <row r="213" spans="1:32" ht="15" customHeight="1" x14ac:dyDescent="0.35">
      <c r="A213" s="37" t="s">
        <v>109</v>
      </c>
      <c r="B213" s="37" t="s">
        <v>113</v>
      </c>
      <c r="C213" s="37" t="s">
        <v>210</v>
      </c>
      <c r="D213" s="37" t="s">
        <v>123</v>
      </c>
      <c r="E213" s="37" t="s">
        <v>99</v>
      </c>
      <c r="F213" s="37">
        <v>3</v>
      </c>
      <c r="G213" s="37" t="s">
        <v>211</v>
      </c>
      <c r="H213" s="38">
        <v>47</v>
      </c>
      <c r="I213" s="39">
        <f>IF($G213="Base",1,INDEX(ModelOutput!$D$16:$D$26,MATCH($G213,ModelOutput!$C$16:$C$26,0)))</f>
        <v>1</v>
      </c>
      <c r="J213" s="39">
        <f>IF($A213="Non-greek",1,INDEX(ModelOutput!$D$16:$D$26,MATCH($A213,ModelOutput!$C$16:$C$26,0)))</f>
        <v>4.3562312213391099</v>
      </c>
      <c r="K213" s="39">
        <f>IF($C213="Yes",1,INDEX(ModelOutput!$D$16:$D$26,MATCH($C213,ModelOutput!$C$16:$C$26,0)))</f>
        <v>1</v>
      </c>
      <c r="L213" s="39">
        <f>IF($D213="2.0-3.0",1,INDEX(ModelOutput!$D$16:$D$26,MATCH($D213,ModelOutput!$C$16:$C$26,0)))</f>
        <v>1.01762556011242</v>
      </c>
      <c r="M213" s="39">
        <f>IF($B213="On campus",1,INDEX(ModelOutput!$D$16:$D$26,MATCH($B213,ModelOutput!$C$16:$C$26,0)))</f>
        <v>1</v>
      </c>
      <c r="N213" s="39">
        <f>IF($B213="On campus",1,INDEX(ModelOutput!$E$16:$E$26,MATCH($B213,ModelOutput!$C$16:$C$26,0)))</f>
        <v>1</v>
      </c>
      <c r="O213" s="39">
        <f>IF($B213="On campus",1,INDEX(ModelOutput!$F$16:$F$26,MATCH($B213,ModelOutput!$C$16:$C$26,0)))</f>
        <v>1</v>
      </c>
      <c r="P213" s="39">
        <f>IF($B213="On campus",1,INDEX(ModelOutput!$G$16:$G$26,MATCH($B213,ModelOutput!$C$16:$C$26,0)))</f>
        <v>1</v>
      </c>
      <c r="Q213" s="73">
        <f>INDEX(ModelOutput!$D$9:$D$11,MATCH("Tier "&amp;$F213,ModelOutput!$B$9:$B$11,0))</f>
        <v>40.009437343712797</v>
      </c>
      <c r="R213" s="73">
        <f>INDEX(ModelOutput!$E$9:$E$11,MATCH("Tier "&amp;$F213,ModelOutput!$B$9:$B$11,0))</f>
        <v>117.949723218616</v>
      </c>
      <c r="S213" s="73">
        <f>INDEX(ModelOutput!$F$9:$F$11,MATCH("Tier "&amp;$F213,ModelOutput!$B$9:$B$11,0))</f>
        <v>136.83922529015501</v>
      </c>
      <c r="T213" s="73">
        <f>INDEX(ModelOutput!$G$9:$G$11,MATCH("Tier "&amp;$F213,ModelOutput!$B$9:$B$11,0))</f>
        <v>22.729631592092201</v>
      </c>
      <c r="U213" s="77">
        <f t="shared" si="33"/>
        <v>177.36232532393669</v>
      </c>
      <c r="V213" s="77">
        <f t="shared" si="34"/>
        <v>522.87256633105005</v>
      </c>
      <c r="W213" s="77">
        <f t="shared" si="35"/>
        <v>606.60996015735827</v>
      </c>
      <c r="X213" s="77">
        <f t="shared" si="36"/>
        <v>100.76073498102789</v>
      </c>
      <c r="Y213" s="30">
        <f t="shared" si="37"/>
        <v>1407.6055867933728</v>
      </c>
      <c r="Z213" s="30">
        <f t="shared" si="38"/>
        <v>2330.5430872336055</v>
      </c>
      <c r="AA213" s="41">
        <f t="shared" si="39"/>
        <v>0.63405864002971368</v>
      </c>
      <c r="AB213" s="40">
        <f t="shared" si="40"/>
        <v>1782.7872193062994</v>
      </c>
      <c r="AC213" s="42">
        <f t="shared" si="41"/>
        <v>3</v>
      </c>
      <c r="AD213" s="43">
        <v>1407.6055867933801</v>
      </c>
      <c r="AE213" s="79">
        <f t="shared" si="42"/>
        <v>-7.2759576141834259E-12</v>
      </c>
      <c r="AF213" s="29">
        <f t="shared" si="43"/>
        <v>1</v>
      </c>
    </row>
    <row r="214" spans="1:32" ht="15" customHeight="1" x14ac:dyDescent="0.35">
      <c r="A214" s="37" t="s">
        <v>109</v>
      </c>
      <c r="B214" s="37" t="s">
        <v>113</v>
      </c>
      <c r="C214" s="37" t="s">
        <v>210</v>
      </c>
      <c r="D214" s="37" t="s">
        <v>123</v>
      </c>
      <c r="E214" s="37" t="s">
        <v>213</v>
      </c>
      <c r="F214" s="37">
        <v>3</v>
      </c>
      <c r="G214" s="37" t="s">
        <v>107</v>
      </c>
      <c r="H214" s="38">
        <v>18</v>
      </c>
      <c r="I214" s="39">
        <f>IF($G214="Base",1,INDEX(ModelOutput!$D$16:$D$26,MATCH($G214,ModelOutput!$C$16:$C$26,0)))</f>
        <v>1.1906804269762199</v>
      </c>
      <c r="J214" s="39">
        <f>IF($A214="Non-greek",1,INDEX(ModelOutput!$D$16:$D$26,MATCH($A214,ModelOutput!$C$16:$C$26,0)))</f>
        <v>4.3562312213391099</v>
      </c>
      <c r="K214" s="39">
        <f>IF($C214="Yes",1,INDEX(ModelOutput!$D$16:$D$26,MATCH($C214,ModelOutput!$C$16:$C$26,0)))</f>
        <v>1</v>
      </c>
      <c r="L214" s="39">
        <f>IF($D214="2.0-3.0",1,INDEX(ModelOutput!$D$16:$D$26,MATCH($D214,ModelOutput!$C$16:$C$26,0)))</f>
        <v>1.01762556011242</v>
      </c>
      <c r="M214" s="39">
        <f>IF($B214="On campus",1,INDEX(ModelOutput!$D$16:$D$26,MATCH($B214,ModelOutput!$C$16:$C$26,0)))</f>
        <v>1</v>
      </c>
      <c r="N214" s="39">
        <f>IF($B214="On campus",1,INDEX(ModelOutput!$E$16:$E$26,MATCH($B214,ModelOutput!$C$16:$C$26,0)))</f>
        <v>1</v>
      </c>
      <c r="O214" s="39">
        <f>IF($B214="On campus",1,INDEX(ModelOutput!$F$16:$F$26,MATCH($B214,ModelOutput!$C$16:$C$26,0)))</f>
        <v>1</v>
      </c>
      <c r="P214" s="39">
        <f>IF($B214="On campus",1,INDEX(ModelOutput!$G$16:$G$26,MATCH($B214,ModelOutput!$C$16:$C$26,0)))</f>
        <v>1</v>
      </c>
      <c r="Q214" s="73">
        <f>INDEX(ModelOutput!$D$9:$D$11,MATCH("Tier "&amp;$F214,ModelOutput!$B$9:$B$11,0))</f>
        <v>40.009437343712797</v>
      </c>
      <c r="R214" s="73">
        <f>INDEX(ModelOutput!$E$9:$E$11,MATCH("Tier "&amp;$F214,ModelOutput!$B$9:$B$11,0))</f>
        <v>117.949723218616</v>
      </c>
      <c r="S214" s="73">
        <f>INDEX(ModelOutput!$F$9:$F$11,MATCH("Tier "&amp;$F214,ModelOutput!$B$9:$B$11,0))</f>
        <v>136.83922529015501</v>
      </c>
      <c r="T214" s="73">
        <f>INDEX(ModelOutput!$G$9:$G$11,MATCH("Tier "&amp;$F214,ModelOutput!$B$9:$B$11,0))</f>
        <v>22.729631592092201</v>
      </c>
      <c r="U214" s="77">
        <f t="shared" si="33"/>
        <v>211.18184924620019</v>
      </c>
      <c r="V214" s="77">
        <f t="shared" si="34"/>
        <v>622.57413053320658</v>
      </c>
      <c r="W214" s="77">
        <f t="shared" si="35"/>
        <v>722.27860636819116</v>
      </c>
      <c r="X214" s="77">
        <f t="shared" si="36"/>
        <v>119.97383494964804</v>
      </c>
      <c r="Y214" s="30">
        <f t="shared" si="37"/>
        <v>1676.0084210972461</v>
      </c>
      <c r="Z214" s="30">
        <f t="shared" si="38"/>
        <v>2766.9870204031122</v>
      </c>
      <c r="AA214" s="41">
        <f t="shared" si="39"/>
        <v>0.94007099560076401</v>
      </c>
      <c r="AB214" s="40">
        <f t="shared" si="40"/>
        <v>1782.7872193062994</v>
      </c>
      <c r="AC214" s="42">
        <f t="shared" si="41"/>
        <v>3</v>
      </c>
      <c r="AD214" s="43">
        <v>1676.00842109725</v>
      </c>
      <c r="AE214" s="79">
        <f t="shared" si="42"/>
        <v>-3.865352482534945E-12</v>
      </c>
      <c r="AF214" s="29">
        <f t="shared" si="43"/>
        <v>2</v>
      </c>
    </row>
    <row r="215" spans="1:32" ht="15" customHeight="1" x14ac:dyDescent="0.35">
      <c r="A215" s="19" t="s">
        <v>109</v>
      </c>
      <c r="B215" s="19" t="s">
        <v>113</v>
      </c>
      <c r="C215" s="19" t="s">
        <v>210</v>
      </c>
      <c r="D215" s="19" t="s">
        <v>122</v>
      </c>
      <c r="E215" s="19" t="s">
        <v>95</v>
      </c>
      <c r="F215" s="19">
        <v>1</v>
      </c>
      <c r="G215" s="19" t="s">
        <v>211</v>
      </c>
      <c r="H215" s="16">
        <v>88</v>
      </c>
      <c r="I215" s="13">
        <f>IF($G215="Base",1,INDEX(ModelOutput!$D$16:$D$26,MATCH($G215,ModelOutput!$C$16:$C$26,0)))</f>
        <v>1</v>
      </c>
      <c r="J215" s="13">
        <f>IF($A215="Non-greek",1,INDEX(ModelOutput!$D$16:$D$26,MATCH($A215,ModelOutput!$C$16:$C$26,0)))</f>
        <v>4.3562312213391099</v>
      </c>
      <c r="K215" s="13">
        <f>IF($C215="Yes",1,INDEX(ModelOutput!$D$16:$D$26,MATCH($C215,ModelOutput!$C$16:$C$26,0)))</f>
        <v>1</v>
      </c>
      <c r="L215" s="13">
        <f>IF($D215="2.0-3.0",1,INDEX(ModelOutput!$D$16:$D$26,MATCH($D215,ModelOutput!$C$16:$C$26,0)))</f>
        <v>1</v>
      </c>
      <c r="M215" s="13">
        <f>IF($B215="On campus",1,INDEX(ModelOutput!$D$16:$D$26,MATCH($B215,ModelOutput!$C$16:$C$26,0)))</f>
        <v>1</v>
      </c>
      <c r="N215" s="13">
        <f>IF($B215="On campus",1,INDEX(ModelOutput!$E$16:$E$26,MATCH($B215,ModelOutput!$C$16:$C$26,0)))</f>
        <v>1</v>
      </c>
      <c r="O215" s="13">
        <f>IF($B215="On campus",1,INDEX(ModelOutput!$F$16:$F$26,MATCH($B215,ModelOutput!$C$16:$C$26,0)))</f>
        <v>1</v>
      </c>
      <c r="P215" s="13">
        <f>IF($B215="On campus",1,INDEX(ModelOutput!$G$16:$G$26,MATCH($B215,ModelOutput!$C$16:$C$26,0)))</f>
        <v>1</v>
      </c>
      <c r="Q215" s="72">
        <f>INDEX(ModelOutput!$D$9:$D$11,MATCH("Tier "&amp;$F215,ModelOutput!$B$9:$B$11,0))</f>
        <v>36.175496869914397</v>
      </c>
      <c r="R215" s="72">
        <f>INDEX(ModelOutput!$E$9:$E$11,MATCH("Tier "&amp;$F215,ModelOutput!$B$9:$B$11,0))</f>
        <v>106.647084447761</v>
      </c>
      <c r="S215" s="72">
        <f>INDEX(ModelOutput!$F$9:$F$11,MATCH("Tier "&amp;$F215,ModelOutput!$B$9:$B$11,0))</f>
        <v>123.726482920496</v>
      </c>
      <c r="T215" s="72">
        <f>INDEX(ModelOutput!$G$9:$G$11,MATCH("Tier "&amp;$F215,ModelOutput!$B$9:$B$11,0))</f>
        <v>20.551544113210401</v>
      </c>
      <c r="U215" s="76">
        <f t="shared" si="33"/>
        <v>157.58882891217635</v>
      </c>
      <c r="V215" s="76">
        <f t="shared" si="34"/>
        <v>464.57935893612512</v>
      </c>
      <c r="W215" s="76">
        <f t="shared" si="35"/>
        <v>538.98116780474481</v>
      </c>
      <c r="X215" s="76">
        <f t="shared" si="36"/>
        <v>89.527278112695143</v>
      </c>
      <c r="Y215" s="27">
        <f t="shared" si="37"/>
        <v>1250.6766337657414</v>
      </c>
      <c r="Z215" s="27">
        <f t="shared" si="38"/>
        <v>2075.3643754841978</v>
      </c>
      <c r="AA215" s="33">
        <f t="shared" si="39"/>
        <v>0.45514026646695327</v>
      </c>
      <c r="AB215" s="14">
        <f t="shared" si="40"/>
        <v>1782.7872193062994</v>
      </c>
      <c r="AC215" s="29">
        <f t="shared" si="41"/>
        <v>2</v>
      </c>
      <c r="AD215" s="20">
        <v>1250.67663376574</v>
      </c>
      <c r="AE215" s="78">
        <f t="shared" si="42"/>
        <v>0</v>
      </c>
      <c r="AF215" s="29">
        <f t="shared" si="43"/>
        <v>4</v>
      </c>
    </row>
    <row r="216" spans="1:32" ht="15" customHeight="1" x14ac:dyDescent="0.35">
      <c r="A216" s="19" t="s">
        <v>109</v>
      </c>
      <c r="B216" s="19" t="s">
        <v>113</v>
      </c>
      <c r="C216" s="19" t="s">
        <v>210</v>
      </c>
      <c r="D216" s="19" t="s">
        <v>122</v>
      </c>
      <c r="E216" s="19" t="s">
        <v>105</v>
      </c>
      <c r="F216" s="19">
        <v>1</v>
      </c>
      <c r="G216" s="19" t="s">
        <v>105</v>
      </c>
      <c r="H216" s="16">
        <v>86</v>
      </c>
      <c r="I216" s="13">
        <f>IF($G216="Base",1,INDEX(ModelOutput!$D$16:$D$26,MATCH($G216,ModelOutput!$C$16:$C$26,0)))</f>
        <v>0.98982624281990295</v>
      </c>
      <c r="J216" s="13">
        <f>IF($A216="Non-greek",1,INDEX(ModelOutput!$D$16:$D$26,MATCH($A216,ModelOutput!$C$16:$C$26,0)))</f>
        <v>4.3562312213391099</v>
      </c>
      <c r="K216" s="13">
        <f>IF($C216="Yes",1,INDEX(ModelOutput!$D$16:$D$26,MATCH($C216,ModelOutput!$C$16:$C$26,0)))</f>
        <v>1</v>
      </c>
      <c r="L216" s="13">
        <f>IF($D216="2.0-3.0",1,INDEX(ModelOutput!$D$16:$D$26,MATCH($D216,ModelOutput!$C$16:$C$26,0)))</f>
        <v>1</v>
      </c>
      <c r="M216" s="13">
        <f>IF($B216="On campus",1,INDEX(ModelOutput!$D$16:$D$26,MATCH($B216,ModelOutput!$C$16:$C$26,0)))</f>
        <v>1</v>
      </c>
      <c r="N216" s="13">
        <f>IF($B216="On campus",1,INDEX(ModelOutput!$E$16:$E$26,MATCH($B216,ModelOutput!$C$16:$C$26,0)))</f>
        <v>1</v>
      </c>
      <c r="O216" s="13">
        <f>IF($B216="On campus",1,INDEX(ModelOutput!$F$16:$F$26,MATCH($B216,ModelOutput!$C$16:$C$26,0)))</f>
        <v>1</v>
      </c>
      <c r="P216" s="13">
        <f>IF($B216="On campus",1,INDEX(ModelOutput!$G$16:$G$26,MATCH($B216,ModelOutput!$C$16:$C$26,0)))</f>
        <v>1</v>
      </c>
      <c r="Q216" s="72">
        <f>INDEX(ModelOutput!$D$9:$D$11,MATCH("Tier "&amp;$F216,ModelOutput!$B$9:$B$11,0))</f>
        <v>36.175496869914397</v>
      </c>
      <c r="R216" s="72">
        <f>INDEX(ModelOutput!$E$9:$E$11,MATCH("Tier "&amp;$F216,ModelOutput!$B$9:$B$11,0))</f>
        <v>106.647084447761</v>
      </c>
      <c r="S216" s="72">
        <f>INDEX(ModelOutput!$F$9:$F$11,MATCH("Tier "&amp;$F216,ModelOutput!$B$9:$B$11,0))</f>
        <v>123.726482920496</v>
      </c>
      <c r="T216" s="72">
        <f>INDEX(ModelOutput!$G$9:$G$11,MATCH("Tier "&amp;$F216,ModelOutput!$B$9:$B$11,0))</f>
        <v>20.551544113210401</v>
      </c>
      <c r="U216" s="76">
        <f t="shared" si="33"/>
        <v>155.98555843252802</v>
      </c>
      <c r="V216" s="76">
        <f t="shared" si="34"/>
        <v>459.85284134742386</v>
      </c>
      <c r="W216" s="76">
        <f t="shared" si="35"/>
        <v>533.49770427885414</v>
      </c>
      <c r="X216" s="76">
        <f t="shared" si="36"/>
        <v>88.616449324181559</v>
      </c>
      <c r="Y216" s="27">
        <f t="shared" si="37"/>
        <v>1237.9525533829876</v>
      </c>
      <c r="Z216" s="27">
        <f t="shared" si="38"/>
        <v>2054.6740288169685</v>
      </c>
      <c r="AA216" s="33">
        <f t="shared" si="39"/>
        <v>0.44063324451056962</v>
      </c>
      <c r="AB216" s="14">
        <f t="shared" si="40"/>
        <v>1782.7872193062994</v>
      </c>
      <c r="AC216" s="29">
        <f t="shared" si="41"/>
        <v>2</v>
      </c>
      <c r="AD216" s="20">
        <v>1237.9525533829899</v>
      </c>
      <c r="AE216" s="78">
        <f t="shared" si="42"/>
        <v>-2.2737367544323206E-12</v>
      </c>
      <c r="AF216" s="29">
        <f t="shared" si="43"/>
        <v>3</v>
      </c>
    </row>
    <row r="217" spans="1:32" ht="15" customHeight="1" x14ac:dyDescent="0.35">
      <c r="A217" s="19" t="s">
        <v>109</v>
      </c>
      <c r="B217" s="19" t="s">
        <v>113</v>
      </c>
      <c r="C217" s="19" t="s">
        <v>210</v>
      </c>
      <c r="D217" s="19" t="s">
        <v>122</v>
      </c>
      <c r="E217" s="19" t="s">
        <v>97</v>
      </c>
      <c r="F217" s="19">
        <v>2</v>
      </c>
      <c r="G217" s="19" t="s">
        <v>211</v>
      </c>
      <c r="H217" s="16">
        <v>83</v>
      </c>
      <c r="I217" s="13">
        <f>IF($G217="Base",1,INDEX(ModelOutput!$D$16:$D$26,MATCH($G217,ModelOutput!$C$16:$C$26,0)))</f>
        <v>1</v>
      </c>
      <c r="J217" s="13">
        <f>IF($A217="Non-greek",1,INDEX(ModelOutput!$D$16:$D$26,MATCH($A217,ModelOutput!$C$16:$C$26,0)))</f>
        <v>4.3562312213391099</v>
      </c>
      <c r="K217" s="13">
        <f>IF($C217="Yes",1,INDEX(ModelOutput!$D$16:$D$26,MATCH($C217,ModelOutput!$C$16:$C$26,0)))</f>
        <v>1</v>
      </c>
      <c r="L217" s="13">
        <f>IF($D217="2.0-3.0",1,INDEX(ModelOutput!$D$16:$D$26,MATCH($D217,ModelOutput!$C$16:$C$26,0)))</f>
        <v>1</v>
      </c>
      <c r="M217" s="13">
        <f>IF($B217="On campus",1,INDEX(ModelOutput!$D$16:$D$26,MATCH($B217,ModelOutput!$C$16:$C$26,0)))</f>
        <v>1</v>
      </c>
      <c r="N217" s="13">
        <f>IF($B217="On campus",1,INDEX(ModelOutput!$E$16:$E$26,MATCH($B217,ModelOutput!$C$16:$C$26,0)))</f>
        <v>1</v>
      </c>
      <c r="O217" s="13">
        <f>IF($B217="On campus",1,INDEX(ModelOutput!$F$16:$F$26,MATCH($B217,ModelOutput!$C$16:$C$26,0)))</f>
        <v>1</v>
      </c>
      <c r="P217" s="13">
        <f>IF($B217="On campus",1,INDEX(ModelOutput!$G$16:$G$26,MATCH($B217,ModelOutput!$C$16:$C$26,0)))</f>
        <v>1</v>
      </c>
      <c r="Q217" s="72">
        <f>INDEX(ModelOutput!$D$9:$D$11,MATCH("Tier "&amp;$F217,ModelOutput!$B$9:$B$11,0))</f>
        <v>42.8051506068728</v>
      </c>
      <c r="R217" s="72">
        <f>INDEX(ModelOutput!$E$9:$E$11,MATCH("Tier "&amp;$F217,ModelOutput!$B$9:$B$11,0))</f>
        <v>126.191618818284</v>
      </c>
      <c r="S217" s="72">
        <f>INDEX(ModelOutput!$F$9:$F$11,MATCH("Tier "&amp;$F217,ModelOutput!$B$9:$B$11,0))</f>
        <v>146.401050261042</v>
      </c>
      <c r="T217" s="72">
        <f>INDEX(ModelOutput!$G$9:$G$11,MATCH("Tier "&amp;$F217,ModelOutput!$B$9:$B$11,0))</f>
        <v>24.317895180076398</v>
      </c>
      <c r="U217" s="76">
        <f t="shared" si="33"/>
        <v>186.46913350778203</v>
      </c>
      <c r="V217" s="76">
        <f t="shared" si="34"/>
        <v>549.71986976753271</v>
      </c>
      <c r="W217" s="76">
        <f t="shared" si="35"/>
        <v>637.75682598398737</v>
      </c>
      <c r="X217" s="76">
        <f t="shared" si="36"/>
        <v>105.93437422070066</v>
      </c>
      <c r="Y217" s="27">
        <f t="shared" si="37"/>
        <v>1479.8802034800028</v>
      </c>
      <c r="Z217" s="27">
        <f t="shared" si="38"/>
        <v>2448.0672484699912</v>
      </c>
      <c r="AA217" s="33">
        <f t="shared" si="39"/>
        <v>0.71646062269741795</v>
      </c>
      <c r="AB217" s="14">
        <f t="shared" si="40"/>
        <v>1782.7872193062994</v>
      </c>
      <c r="AC217" s="29">
        <f t="shared" si="41"/>
        <v>3</v>
      </c>
      <c r="AD217" s="20">
        <v>1479.8802034800001</v>
      </c>
      <c r="AE217" s="78">
        <f t="shared" si="42"/>
        <v>2.7284841053187847E-12</v>
      </c>
      <c r="AF217" s="29">
        <f t="shared" si="43"/>
        <v>2</v>
      </c>
    </row>
    <row r="218" spans="1:32" ht="15" customHeight="1" x14ac:dyDescent="0.35">
      <c r="A218" s="19" t="s">
        <v>109</v>
      </c>
      <c r="B218" s="19" t="s">
        <v>113</v>
      </c>
      <c r="C218" s="19" t="s">
        <v>210</v>
      </c>
      <c r="D218" s="19" t="s">
        <v>122</v>
      </c>
      <c r="E218" s="19" t="s">
        <v>99</v>
      </c>
      <c r="F218" s="19">
        <v>3</v>
      </c>
      <c r="G218" s="19" t="s">
        <v>211</v>
      </c>
      <c r="H218" s="16">
        <v>102</v>
      </c>
      <c r="I218" s="13">
        <f>IF($G218="Base",1,INDEX(ModelOutput!$D$16:$D$26,MATCH($G218,ModelOutput!$C$16:$C$26,0)))</f>
        <v>1</v>
      </c>
      <c r="J218" s="13">
        <f>IF($A218="Non-greek",1,INDEX(ModelOutput!$D$16:$D$26,MATCH($A218,ModelOutput!$C$16:$C$26,0)))</f>
        <v>4.3562312213391099</v>
      </c>
      <c r="K218" s="13">
        <f>IF($C218="Yes",1,INDEX(ModelOutput!$D$16:$D$26,MATCH($C218,ModelOutput!$C$16:$C$26,0)))</f>
        <v>1</v>
      </c>
      <c r="L218" s="13">
        <f>IF($D218="2.0-3.0",1,INDEX(ModelOutput!$D$16:$D$26,MATCH($D218,ModelOutput!$C$16:$C$26,0)))</f>
        <v>1</v>
      </c>
      <c r="M218" s="13">
        <f>IF($B218="On campus",1,INDEX(ModelOutput!$D$16:$D$26,MATCH($B218,ModelOutput!$C$16:$C$26,0)))</f>
        <v>1</v>
      </c>
      <c r="N218" s="13">
        <f>IF($B218="On campus",1,INDEX(ModelOutput!$E$16:$E$26,MATCH($B218,ModelOutput!$C$16:$C$26,0)))</f>
        <v>1</v>
      </c>
      <c r="O218" s="13">
        <f>IF($B218="On campus",1,INDEX(ModelOutput!$F$16:$F$26,MATCH($B218,ModelOutput!$C$16:$C$26,0)))</f>
        <v>1</v>
      </c>
      <c r="P218" s="13">
        <f>IF($B218="On campus",1,INDEX(ModelOutput!$G$16:$G$26,MATCH($B218,ModelOutput!$C$16:$C$26,0)))</f>
        <v>1</v>
      </c>
      <c r="Q218" s="72">
        <f>INDEX(ModelOutput!$D$9:$D$11,MATCH("Tier "&amp;$F218,ModelOutput!$B$9:$B$11,0))</f>
        <v>40.009437343712797</v>
      </c>
      <c r="R218" s="72">
        <f>INDEX(ModelOutput!$E$9:$E$11,MATCH("Tier "&amp;$F218,ModelOutput!$B$9:$B$11,0))</f>
        <v>117.949723218616</v>
      </c>
      <c r="S218" s="72">
        <f>INDEX(ModelOutput!$F$9:$F$11,MATCH("Tier "&amp;$F218,ModelOutput!$B$9:$B$11,0))</f>
        <v>136.83922529015501</v>
      </c>
      <c r="T218" s="72">
        <f>INDEX(ModelOutput!$G$9:$G$11,MATCH("Tier "&amp;$F218,ModelOutput!$B$9:$B$11,0))</f>
        <v>22.729631592092201</v>
      </c>
      <c r="U218" s="76">
        <f t="shared" si="33"/>
        <v>174.29036010489259</v>
      </c>
      <c r="V218" s="76">
        <f t="shared" si="34"/>
        <v>513.81626683324157</v>
      </c>
      <c r="W218" s="76">
        <f t="shared" si="35"/>
        <v>596.10330551282959</v>
      </c>
      <c r="X218" s="76">
        <f t="shared" si="36"/>
        <v>99.015530791007819</v>
      </c>
      <c r="Y218" s="27">
        <f t="shared" si="37"/>
        <v>1383.2254632419715</v>
      </c>
      <c r="Z218" s="27">
        <f t="shared" si="38"/>
        <v>2290.8991056730929</v>
      </c>
      <c r="AA218" s="33">
        <f t="shared" si="39"/>
        <v>0.60626229035096579</v>
      </c>
      <c r="AB218" s="14">
        <f t="shared" si="40"/>
        <v>1782.7872193062994</v>
      </c>
      <c r="AC218" s="29">
        <f t="shared" si="41"/>
        <v>3</v>
      </c>
      <c r="AD218" s="20">
        <v>1383.2254632419699</v>
      </c>
      <c r="AE218" s="78">
        <f t="shared" si="42"/>
        <v>0</v>
      </c>
      <c r="AF218" s="29">
        <f t="shared" si="43"/>
        <v>1</v>
      </c>
    </row>
    <row r="219" spans="1:32" ht="15" customHeight="1" x14ac:dyDescent="0.35">
      <c r="A219" s="19" t="s">
        <v>109</v>
      </c>
      <c r="B219" s="19" t="s">
        <v>113</v>
      </c>
      <c r="C219" s="19" t="s">
        <v>210</v>
      </c>
      <c r="D219" s="19" t="s">
        <v>122</v>
      </c>
      <c r="E219" s="19" t="s">
        <v>213</v>
      </c>
      <c r="F219" s="19">
        <v>3</v>
      </c>
      <c r="G219" s="19" t="s">
        <v>107</v>
      </c>
      <c r="H219" s="16">
        <v>42</v>
      </c>
      <c r="I219" s="13">
        <f>IF($G219="Base",1,INDEX(ModelOutput!$D$16:$D$26,MATCH($G219,ModelOutput!$C$16:$C$26,0)))</f>
        <v>1.1906804269762199</v>
      </c>
      <c r="J219" s="13">
        <f>IF($A219="Non-greek",1,INDEX(ModelOutput!$D$16:$D$26,MATCH($A219,ModelOutput!$C$16:$C$26,0)))</f>
        <v>4.3562312213391099</v>
      </c>
      <c r="K219" s="13">
        <f>IF($C219="Yes",1,INDEX(ModelOutput!$D$16:$D$26,MATCH($C219,ModelOutput!$C$16:$C$26,0)))</f>
        <v>1</v>
      </c>
      <c r="L219" s="13">
        <f>IF($D219="2.0-3.0",1,INDEX(ModelOutput!$D$16:$D$26,MATCH($D219,ModelOutput!$C$16:$C$26,0)))</f>
        <v>1</v>
      </c>
      <c r="M219" s="13">
        <f>IF($B219="On campus",1,INDEX(ModelOutput!$D$16:$D$26,MATCH($B219,ModelOutput!$C$16:$C$26,0)))</f>
        <v>1</v>
      </c>
      <c r="N219" s="13">
        <f>IF($B219="On campus",1,INDEX(ModelOutput!$E$16:$E$26,MATCH($B219,ModelOutput!$C$16:$C$26,0)))</f>
        <v>1</v>
      </c>
      <c r="O219" s="13">
        <f>IF($B219="On campus",1,INDEX(ModelOutput!$F$16:$F$26,MATCH($B219,ModelOutput!$C$16:$C$26,0)))</f>
        <v>1</v>
      </c>
      <c r="P219" s="13">
        <f>IF($B219="On campus",1,INDEX(ModelOutput!$G$16:$G$26,MATCH($B219,ModelOutput!$C$16:$C$26,0)))</f>
        <v>1</v>
      </c>
      <c r="Q219" s="72">
        <f>INDEX(ModelOutput!$D$9:$D$11,MATCH("Tier "&amp;$F219,ModelOutput!$B$9:$B$11,0))</f>
        <v>40.009437343712797</v>
      </c>
      <c r="R219" s="72">
        <f>INDEX(ModelOutput!$E$9:$E$11,MATCH("Tier "&amp;$F219,ModelOutput!$B$9:$B$11,0))</f>
        <v>117.949723218616</v>
      </c>
      <c r="S219" s="72">
        <f>INDEX(ModelOutput!$F$9:$F$11,MATCH("Tier "&amp;$F219,ModelOutput!$B$9:$B$11,0))</f>
        <v>136.83922529015501</v>
      </c>
      <c r="T219" s="72">
        <f>INDEX(ModelOutput!$G$9:$G$11,MATCH("Tier "&amp;$F219,ModelOutput!$B$9:$B$11,0))</f>
        <v>22.729631592092201</v>
      </c>
      <c r="U219" s="76">
        <f t="shared" si="33"/>
        <v>207.52412038753263</v>
      </c>
      <c r="V219" s="76">
        <f t="shared" si="34"/>
        <v>611.79097198033139</v>
      </c>
      <c r="W219" s="76">
        <f t="shared" si="35"/>
        <v>709.76853832995209</v>
      </c>
      <c r="X219" s="76">
        <f t="shared" si="36"/>
        <v>117.89585447951424</v>
      </c>
      <c r="Y219" s="27">
        <f t="shared" si="37"/>
        <v>1646.9794851773304</v>
      </c>
      <c r="Z219" s="27">
        <f t="shared" si="38"/>
        <v>2719.7837075116031</v>
      </c>
      <c r="AA219" s="33">
        <f t="shared" si="39"/>
        <v>0.90697442609689172</v>
      </c>
      <c r="AB219" s="14">
        <f t="shared" si="40"/>
        <v>1782.7872193062994</v>
      </c>
      <c r="AC219" s="29">
        <f t="shared" si="41"/>
        <v>3</v>
      </c>
      <c r="AD219" s="20">
        <v>1646.9794851773299</v>
      </c>
      <c r="AE219" s="78">
        <f t="shared" si="42"/>
        <v>0</v>
      </c>
      <c r="AF219" s="29">
        <f t="shared" si="43"/>
        <v>2</v>
      </c>
    </row>
    <row r="220" spans="1:32" ht="15" customHeight="1" x14ac:dyDescent="0.35">
      <c r="A220" s="37" t="s">
        <v>109</v>
      </c>
      <c r="B220" s="37" t="s">
        <v>113</v>
      </c>
      <c r="C220" s="37" t="s">
        <v>210</v>
      </c>
      <c r="D220" s="37" t="s">
        <v>124</v>
      </c>
      <c r="E220" s="37" t="s">
        <v>95</v>
      </c>
      <c r="F220" s="37">
        <v>1</v>
      </c>
      <c r="G220" s="37" t="s">
        <v>211</v>
      </c>
      <c r="H220" s="38">
        <v>54</v>
      </c>
      <c r="I220" s="39">
        <f>IF($G220="Base",1,INDEX(ModelOutput!$D$16:$D$26,MATCH($G220,ModelOutput!$C$16:$C$26,0)))</f>
        <v>1</v>
      </c>
      <c r="J220" s="39">
        <f>IF($A220="Non-greek",1,INDEX(ModelOutput!$D$16:$D$26,MATCH($A220,ModelOutput!$C$16:$C$26,0)))</f>
        <v>4.3562312213391099</v>
      </c>
      <c r="K220" s="39">
        <f>IF($C220="Yes",1,INDEX(ModelOutput!$D$16:$D$26,MATCH($C220,ModelOutput!$C$16:$C$26,0)))</f>
        <v>1</v>
      </c>
      <c r="L220" s="39">
        <f>IF($D220="2.0-3.0",1,INDEX(ModelOutput!$D$16:$D$26,MATCH($D220,ModelOutput!$C$16:$C$26,0)))</f>
        <v>0.87654761766211098</v>
      </c>
      <c r="M220" s="39">
        <f>IF($B220="On campus",1,INDEX(ModelOutput!$D$16:$D$26,MATCH($B220,ModelOutput!$C$16:$C$26,0)))</f>
        <v>1</v>
      </c>
      <c r="N220" s="39">
        <f>IF($B220="On campus",1,INDEX(ModelOutput!$E$16:$E$26,MATCH($B220,ModelOutput!$C$16:$C$26,0)))</f>
        <v>1</v>
      </c>
      <c r="O220" s="39">
        <f>IF($B220="On campus",1,INDEX(ModelOutput!$F$16:$F$26,MATCH($B220,ModelOutput!$C$16:$C$26,0)))</f>
        <v>1</v>
      </c>
      <c r="P220" s="39">
        <f>IF($B220="On campus",1,INDEX(ModelOutput!$G$16:$G$26,MATCH($B220,ModelOutput!$C$16:$C$26,0)))</f>
        <v>1</v>
      </c>
      <c r="Q220" s="73">
        <f>INDEX(ModelOutput!$D$9:$D$11,MATCH("Tier "&amp;$F220,ModelOutput!$B$9:$B$11,0))</f>
        <v>36.175496869914397</v>
      </c>
      <c r="R220" s="73">
        <f>INDEX(ModelOutput!$E$9:$E$11,MATCH("Tier "&amp;$F220,ModelOutput!$B$9:$B$11,0))</f>
        <v>106.647084447761</v>
      </c>
      <c r="S220" s="73">
        <f>INDEX(ModelOutput!$F$9:$F$11,MATCH("Tier "&amp;$F220,ModelOutput!$B$9:$B$11,0))</f>
        <v>123.726482920496</v>
      </c>
      <c r="T220" s="73">
        <f>INDEX(ModelOutput!$G$9:$G$11,MATCH("Tier "&amp;$F220,ModelOutput!$B$9:$B$11,0))</f>
        <v>20.551544113210401</v>
      </c>
      <c r="U220" s="77">
        <f t="shared" si="33"/>
        <v>138.13411255313017</v>
      </c>
      <c r="V220" s="77">
        <f t="shared" si="34"/>
        <v>407.22593029045123</v>
      </c>
      <c r="W220" s="77">
        <f t="shared" si="35"/>
        <v>472.44265860399156</v>
      </c>
      <c r="X220" s="77">
        <f t="shared" si="36"/>
        <v>78.474922345456179</v>
      </c>
      <c r="Y220" s="30">
        <f t="shared" si="37"/>
        <v>1096.2776237930291</v>
      </c>
      <c r="Z220" s="30">
        <f t="shared" si="38"/>
        <v>1824.2995483755672</v>
      </c>
      <c r="AA220" s="41">
        <f t="shared" si="39"/>
        <v>0.27910634021528136</v>
      </c>
      <c r="AB220" s="40">
        <f t="shared" si="40"/>
        <v>1782.7872193062994</v>
      </c>
      <c r="AC220" s="42">
        <f t="shared" si="41"/>
        <v>2</v>
      </c>
      <c r="AD220" s="43">
        <v>1096.27762379303</v>
      </c>
      <c r="AE220" s="79">
        <f t="shared" si="42"/>
        <v>0</v>
      </c>
      <c r="AF220" s="29">
        <f t="shared" si="43"/>
        <v>4</v>
      </c>
    </row>
    <row r="221" spans="1:32" ht="15" customHeight="1" x14ac:dyDescent="0.35">
      <c r="A221" s="37" t="s">
        <v>109</v>
      </c>
      <c r="B221" s="37" t="s">
        <v>113</v>
      </c>
      <c r="C221" s="37" t="s">
        <v>210</v>
      </c>
      <c r="D221" s="37" t="s">
        <v>124</v>
      </c>
      <c r="E221" s="37" t="s">
        <v>105</v>
      </c>
      <c r="F221" s="37">
        <v>1</v>
      </c>
      <c r="G221" s="37" t="s">
        <v>105</v>
      </c>
      <c r="H221" s="38">
        <v>48</v>
      </c>
      <c r="I221" s="39">
        <f>IF($G221="Base",1,INDEX(ModelOutput!$D$16:$D$26,MATCH($G221,ModelOutput!$C$16:$C$26,0)))</f>
        <v>0.98982624281990295</v>
      </c>
      <c r="J221" s="39">
        <f>IF($A221="Non-greek",1,INDEX(ModelOutput!$D$16:$D$26,MATCH($A221,ModelOutput!$C$16:$C$26,0)))</f>
        <v>4.3562312213391099</v>
      </c>
      <c r="K221" s="39">
        <f>IF($C221="Yes",1,INDEX(ModelOutput!$D$16:$D$26,MATCH($C221,ModelOutput!$C$16:$C$26,0)))</f>
        <v>1</v>
      </c>
      <c r="L221" s="39">
        <f>IF($D221="2.0-3.0",1,INDEX(ModelOutput!$D$16:$D$26,MATCH($D221,ModelOutput!$C$16:$C$26,0)))</f>
        <v>0.87654761766211098</v>
      </c>
      <c r="M221" s="39">
        <f>IF($B221="On campus",1,INDEX(ModelOutput!$D$16:$D$26,MATCH($B221,ModelOutput!$C$16:$C$26,0)))</f>
        <v>1</v>
      </c>
      <c r="N221" s="39">
        <f>IF($B221="On campus",1,INDEX(ModelOutput!$E$16:$E$26,MATCH($B221,ModelOutput!$C$16:$C$26,0)))</f>
        <v>1</v>
      </c>
      <c r="O221" s="39">
        <f>IF($B221="On campus",1,INDEX(ModelOutput!$F$16:$F$26,MATCH($B221,ModelOutput!$C$16:$C$26,0)))</f>
        <v>1</v>
      </c>
      <c r="P221" s="39">
        <f>IF($B221="On campus",1,INDEX(ModelOutput!$G$16:$G$26,MATCH($B221,ModelOutput!$C$16:$C$26,0)))</f>
        <v>1</v>
      </c>
      <c r="Q221" s="73">
        <f>INDEX(ModelOutput!$D$9:$D$11,MATCH("Tier "&amp;$F221,ModelOutput!$B$9:$B$11,0))</f>
        <v>36.175496869914397</v>
      </c>
      <c r="R221" s="73">
        <f>INDEX(ModelOutput!$E$9:$E$11,MATCH("Tier "&amp;$F221,ModelOutput!$B$9:$B$11,0))</f>
        <v>106.647084447761</v>
      </c>
      <c r="S221" s="73">
        <f>INDEX(ModelOutput!$F$9:$F$11,MATCH("Tier "&amp;$F221,ModelOutput!$B$9:$B$11,0))</f>
        <v>123.726482920496</v>
      </c>
      <c r="T221" s="73">
        <f>INDEX(ModelOutput!$G$9:$G$11,MATCH("Tier "&amp;$F221,ModelOutput!$B$9:$B$11,0))</f>
        <v>20.551544113210401</v>
      </c>
      <c r="U221" s="77">
        <f t="shared" si="33"/>
        <v>136.72876963372644</v>
      </c>
      <c r="V221" s="77">
        <f t="shared" si="34"/>
        <v>403.08291255823707</v>
      </c>
      <c r="W221" s="77">
        <f t="shared" si="35"/>
        <v>467.636141713835</v>
      </c>
      <c r="X221" s="77">
        <f t="shared" si="36"/>
        <v>77.676537540786526</v>
      </c>
      <c r="Y221" s="30">
        <f t="shared" si="37"/>
        <v>1085.124361446585</v>
      </c>
      <c r="Z221" s="30">
        <f t="shared" si="38"/>
        <v>1806.1634742958042</v>
      </c>
      <c r="AA221" s="41">
        <f t="shared" si="39"/>
        <v>0.26639024468004147</v>
      </c>
      <c r="AB221" s="40">
        <f t="shared" si="40"/>
        <v>1782.7872193062994</v>
      </c>
      <c r="AC221" s="42">
        <f t="shared" si="41"/>
        <v>2</v>
      </c>
      <c r="AD221" s="43">
        <v>1085.12436144658</v>
      </c>
      <c r="AE221" s="79">
        <f t="shared" si="42"/>
        <v>5.0022208597511053E-12</v>
      </c>
      <c r="AF221" s="29">
        <f t="shared" si="43"/>
        <v>3</v>
      </c>
    </row>
    <row r="222" spans="1:32" ht="15" customHeight="1" x14ac:dyDescent="0.35">
      <c r="A222" s="37" t="s">
        <v>109</v>
      </c>
      <c r="B222" s="37" t="s">
        <v>113</v>
      </c>
      <c r="C222" s="37" t="s">
        <v>210</v>
      </c>
      <c r="D222" s="37" t="s">
        <v>124</v>
      </c>
      <c r="E222" s="37" t="s">
        <v>97</v>
      </c>
      <c r="F222" s="37">
        <v>2</v>
      </c>
      <c r="G222" s="37" t="s">
        <v>211</v>
      </c>
      <c r="H222" s="38">
        <v>55</v>
      </c>
      <c r="I222" s="39">
        <f>IF($G222="Base",1,INDEX(ModelOutput!$D$16:$D$26,MATCH($G222,ModelOutput!$C$16:$C$26,0)))</f>
        <v>1</v>
      </c>
      <c r="J222" s="39">
        <f>IF($A222="Non-greek",1,INDEX(ModelOutput!$D$16:$D$26,MATCH($A222,ModelOutput!$C$16:$C$26,0)))</f>
        <v>4.3562312213391099</v>
      </c>
      <c r="K222" s="39">
        <f>IF($C222="Yes",1,INDEX(ModelOutput!$D$16:$D$26,MATCH($C222,ModelOutput!$C$16:$C$26,0)))</f>
        <v>1</v>
      </c>
      <c r="L222" s="39">
        <f>IF($D222="2.0-3.0",1,INDEX(ModelOutput!$D$16:$D$26,MATCH($D222,ModelOutput!$C$16:$C$26,0)))</f>
        <v>0.87654761766211098</v>
      </c>
      <c r="M222" s="39">
        <f>IF($B222="On campus",1,INDEX(ModelOutput!$D$16:$D$26,MATCH($B222,ModelOutput!$C$16:$C$26,0)))</f>
        <v>1</v>
      </c>
      <c r="N222" s="39">
        <f>IF($B222="On campus",1,INDEX(ModelOutput!$E$16:$E$26,MATCH($B222,ModelOutput!$C$16:$C$26,0)))</f>
        <v>1</v>
      </c>
      <c r="O222" s="39">
        <f>IF($B222="On campus",1,INDEX(ModelOutput!$F$16:$F$26,MATCH($B222,ModelOutput!$C$16:$C$26,0)))</f>
        <v>1</v>
      </c>
      <c r="P222" s="39">
        <f>IF($B222="On campus",1,INDEX(ModelOutput!$G$16:$G$26,MATCH($B222,ModelOutput!$C$16:$C$26,0)))</f>
        <v>1</v>
      </c>
      <c r="Q222" s="73">
        <f>INDEX(ModelOutput!$D$9:$D$11,MATCH("Tier "&amp;$F222,ModelOutput!$B$9:$B$11,0))</f>
        <v>42.8051506068728</v>
      </c>
      <c r="R222" s="73">
        <f>INDEX(ModelOutput!$E$9:$E$11,MATCH("Tier "&amp;$F222,ModelOutput!$B$9:$B$11,0))</f>
        <v>126.191618818284</v>
      </c>
      <c r="S222" s="73">
        <f>INDEX(ModelOutput!$F$9:$F$11,MATCH("Tier "&amp;$F222,ModelOutput!$B$9:$B$11,0))</f>
        <v>146.401050261042</v>
      </c>
      <c r="T222" s="73">
        <f>INDEX(ModelOutput!$G$9:$G$11,MATCH("Tier "&amp;$F222,ModelOutput!$B$9:$B$11,0))</f>
        <v>24.317895180076398</v>
      </c>
      <c r="U222" s="77">
        <f t="shared" si="33"/>
        <v>163.44907474376444</v>
      </c>
      <c r="V222" s="77">
        <f t="shared" si="34"/>
        <v>481.85564222625669</v>
      </c>
      <c r="W222" s="77">
        <f t="shared" si="35"/>
        <v>559.02422646401362</v>
      </c>
      <c r="X222" s="77">
        <f t="shared" si="36"/>
        <v>92.856523351681716</v>
      </c>
      <c r="Y222" s="30">
        <f t="shared" si="37"/>
        <v>1297.1854667857165</v>
      </c>
      <c r="Z222" s="30">
        <f t="shared" si="38"/>
        <v>2150.9913637870886</v>
      </c>
      <c r="AA222" s="41">
        <f t="shared" si="39"/>
        <v>0.50816607591570917</v>
      </c>
      <c r="AB222" s="40">
        <f t="shared" si="40"/>
        <v>1782.7872193062994</v>
      </c>
      <c r="AC222" s="42">
        <f t="shared" si="41"/>
        <v>2</v>
      </c>
      <c r="AD222" s="43">
        <v>1297.1854667857201</v>
      </c>
      <c r="AE222" s="79">
        <f t="shared" si="42"/>
        <v>-3.637978807091713E-12</v>
      </c>
      <c r="AF222" s="29">
        <f t="shared" si="43"/>
        <v>2</v>
      </c>
    </row>
    <row r="223" spans="1:32" ht="15" customHeight="1" x14ac:dyDescent="0.35">
      <c r="A223" s="37" t="s">
        <v>109</v>
      </c>
      <c r="B223" s="37" t="s">
        <v>113</v>
      </c>
      <c r="C223" s="37" t="s">
        <v>210</v>
      </c>
      <c r="D223" s="37" t="s">
        <v>124</v>
      </c>
      <c r="E223" s="37" t="s">
        <v>99</v>
      </c>
      <c r="F223" s="37">
        <v>3</v>
      </c>
      <c r="G223" s="37" t="s">
        <v>211</v>
      </c>
      <c r="H223" s="38">
        <v>38</v>
      </c>
      <c r="I223" s="39">
        <f>IF($G223="Base",1,INDEX(ModelOutput!$D$16:$D$26,MATCH($G223,ModelOutput!$C$16:$C$26,0)))</f>
        <v>1</v>
      </c>
      <c r="J223" s="39">
        <f>IF($A223="Non-greek",1,INDEX(ModelOutput!$D$16:$D$26,MATCH($A223,ModelOutput!$C$16:$C$26,0)))</f>
        <v>4.3562312213391099</v>
      </c>
      <c r="K223" s="39">
        <f>IF($C223="Yes",1,INDEX(ModelOutput!$D$16:$D$26,MATCH($C223,ModelOutput!$C$16:$C$26,0)))</f>
        <v>1</v>
      </c>
      <c r="L223" s="39">
        <f>IF($D223="2.0-3.0",1,INDEX(ModelOutput!$D$16:$D$26,MATCH($D223,ModelOutput!$C$16:$C$26,0)))</f>
        <v>0.87654761766211098</v>
      </c>
      <c r="M223" s="39">
        <f>IF($B223="On campus",1,INDEX(ModelOutput!$D$16:$D$26,MATCH($B223,ModelOutput!$C$16:$C$26,0)))</f>
        <v>1</v>
      </c>
      <c r="N223" s="39">
        <f>IF($B223="On campus",1,INDEX(ModelOutput!$E$16:$E$26,MATCH($B223,ModelOutput!$C$16:$C$26,0)))</f>
        <v>1</v>
      </c>
      <c r="O223" s="39">
        <f>IF($B223="On campus",1,INDEX(ModelOutput!$F$16:$F$26,MATCH($B223,ModelOutput!$C$16:$C$26,0)))</f>
        <v>1</v>
      </c>
      <c r="P223" s="39">
        <f>IF($B223="On campus",1,INDEX(ModelOutput!$G$16:$G$26,MATCH($B223,ModelOutput!$C$16:$C$26,0)))</f>
        <v>1</v>
      </c>
      <c r="Q223" s="73">
        <f>INDEX(ModelOutput!$D$9:$D$11,MATCH("Tier "&amp;$F223,ModelOutput!$B$9:$B$11,0))</f>
        <v>40.009437343712797</v>
      </c>
      <c r="R223" s="73">
        <f>INDEX(ModelOutput!$E$9:$E$11,MATCH("Tier "&amp;$F223,ModelOutput!$B$9:$B$11,0))</f>
        <v>117.949723218616</v>
      </c>
      <c r="S223" s="73">
        <f>INDEX(ModelOutput!$F$9:$F$11,MATCH("Tier "&amp;$F223,ModelOutput!$B$9:$B$11,0))</f>
        <v>136.83922529015501</v>
      </c>
      <c r="T223" s="73">
        <f>INDEX(ModelOutput!$G$9:$G$11,MATCH("Tier "&amp;$F223,ModelOutput!$B$9:$B$11,0))</f>
        <v>22.729631592092201</v>
      </c>
      <c r="U223" s="77">
        <f t="shared" si="33"/>
        <v>152.77379993141503</v>
      </c>
      <c r="V223" s="77">
        <f t="shared" si="34"/>
        <v>450.38442460871744</v>
      </c>
      <c r="W223" s="77">
        <f t="shared" si="35"/>
        <v>522.51293232778028</v>
      </c>
      <c r="X223" s="77">
        <f t="shared" si="36"/>
        <v>86.791827626407297</v>
      </c>
      <c r="Y223" s="30">
        <f t="shared" si="37"/>
        <v>1212.4629844943199</v>
      </c>
      <c r="Z223" s="30">
        <f t="shared" si="38"/>
        <v>2013.226002646089</v>
      </c>
      <c r="AA223" s="41">
        <f t="shared" si="39"/>
        <v>0.41157199022708912</v>
      </c>
      <c r="AB223" s="40">
        <f t="shared" si="40"/>
        <v>1782.7872193062994</v>
      </c>
      <c r="AC223" s="42">
        <f t="shared" si="41"/>
        <v>2</v>
      </c>
      <c r="AD223" s="43">
        <v>1212.4629844943199</v>
      </c>
      <c r="AE223" s="79">
        <f t="shared" si="42"/>
        <v>0</v>
      </c>
      <c r="AF223" s="29">
        <f t="shared" si="43"/>
        <v>1</v>
      </c>
    </row>
    <row r="224" spans="1:32" ht="15" customHeight="1" x14ac:dyDescent="0.35">
      <c r="A224" s="37" t="s">
        <v>109</v>
      </c>
      <c r="B224" s="37" t="s">
        <v>113</v>
      </c>
      <c r="C224" s="37" t="s">
        <v>210</v>
      </c>
      <c r="D224" s="37" t="s">
        <v>124</v>
      </c>
      <c r="E224" s="37" t="s">
        <v>213</v>
      </c>
      <c r="F224" s="37">
        <v>3</v>
      </c>
      <c r="G224" s="37" t="s">
        <v>107</v>
      </c>
      <c r="H224" s="38">
        <v>15</v>
      </c>
      <c r="I224" s="39">
        <f>IF($G224="Base",1,INDEX(ModelOutput!$D$16:$D$26,MATCH($G224,ModelOutput!$C$16:$C$26,0)))</f>
        <v>1.1906804269762199</v>
      </c>
      <c r="J224" s="39">
        <f>IF($A224="Non-greek",1,INDEX(ModelOutput!$D$16:$D$26,MATCH($A224,ModelOutput!$C$16:$C$26,0)))</f>
        <v>4.3562312213391099</v>
      </c>
      <c r="K224" s="39">
        <f>IF($C224="Yes",1,INDEX(ModelOutput!$D$16:$D$26,MATCH($C224,ModelOutput!$C$16:$C$26,0)))</f>
        <v>1</v>
      </c>
      <c r="L224" s="39">
        <f>IF($D224="2.0-3.0",1,INDEX(ModelOutput!$D$16:$D$26,MATCH($D224,ModelOutput!$C$16:$C$26,0)))</f>
        <v>0.87654761766211098</v>
      </c>
      <c r="M224" s="39">
        <f>IF($B224="On campus",1,INDEX(ModelOutput!$D$16:$D$26,MATCH($B224,ModelOutput!$C$16:$C$26,0)))</f>
        <v>1</v>
      </c>
      <c r="N224" s="39">
        <f>IF($B224="On campus",1,INDEX(ModelOutput!$E$16:$E$26,MATCH($B224,ModelOutput!$C$16:$C$26,0)))</f>
        <v>1</v>
      </c>
      <c r="O224" s="39">
        <f>IF($B224="On campus",1,INDEX(ModelOutput!$F$16:$F$26,MATCH($B224,ModelOutput!$C$16:$C$26,0)))</f>
        <v>1</v>
      </c>
      <c r="P224" s="39">
        <f>IF($B224="On campus",1,INDEX(ModelOutput!$G$16:$G$26,MATCH($B224,ModelOutput!$C$16:$C$26,0)))</f>
        <v>1</v>
      </c>
      <c r="Q224" s="73">
        <f>INDEX(ModelOutput!$D$9:$D$11,MATCH("Tier "&amp;$F224,ModelOutput!$B$9:$B$11,0))</f>
        <v>40.009437343712797</v>
      </c>
      <c r="R224" s="73">
        <f>INDEX(ModelOutput!$E$9:$E$11,MATCH("Tier "&amp;$F224,ModelOutput!$B$9:$B$11,0))</f>
        <v>117.949723218616</v>
      </c>
      <c r="S224" s="73">
        <f>INDEX(ModelOutput!$F$9:$F$11,MATCH("Tier "&amp;$F224,ModelOutput!$B$9:$B$11,0))</f>
        <v>136.83922529015501</v>
      </c>
      <c r="T224" s="73">
        <f>INDEX(ModelOutput!$G$9:$G$11,MATCH("Tier "&amp;$F224,ModelOutput!$B$9:$B$11,0))</f>
        <v>22.729631592092201</v>
      </c>
      <c r="U224" s="77">
        <f t="shared" si="33"/>
        <v>181.90477333311685</v>
      </c>
      <c r="V224" s="77">
        <f t="shared" si="34"/>
        <v>536.26391899654675</v>
      </c>
      <c r="W224" s="77">
        <f t="shared" si="35"/>
        <v>622.14592136463818</v>
      </c>
      <c r="X224" s="77">
        <f t="shared" si="36"/>
        <v>103.34133037625712</v>
      </c>
      <c r="Y224" s="30">
        <f t="shared" si="37"/>
        <v>1443.6559440705589</v>
      </c>
      <c r="Z224" s="30">
        <f t="shared" si="38"/>
        <v>2389.1637786395981</v>
      </c>
      <c r="AA224" s="41">
        <f t="shared" si="39"/>
        <v>0.67516049641726572</v>
      </c>
      <c r="AB224" s="40">
        <f t="shared" si="40"/>
        <v>1782.7872193062994</v>
      </c>
      <c r="AC224" s="42">
        <f t="shared" si="41"/>
        <v>3</v>
      </c>
      <c r="AD224" s="43">
        <v>1443.6559440705601</v>
      </c>
      <c r="AE224" s="79">
        <f t="shared" si="42"/>
        <v>0</v>
      </c>
      <c r="AF224" s="29">
        <f t="shared" si="43"/>
        <v>2</v>
      </c>
    </row>
    <row r="225" spans="1:32" ht="15" customHeight="1" x14ac:dyDescent="0.35">
      <c r="A225" s="19" t="s">
        <v>109</v>
      </c>
      <c r="B225" s="19" t="s">
        <v>113</v>
      </c>
      <c r="C225" s="19" t="s">
        <v>118</v>
      </c>
      <c r="D225" s="19" t="s">
        <v>121</v>
      </c>
      <c r="E225" s="19" t="s">
        <v>95</v>
      </c>
      <c r="F225" s="19">
        <v>1</v>
      </c>
      <c r="G225" s="19" t="s">
        <v>211</v>
      </c>
      <c r="H225" s="16">
        <v>8</v>
      </c>
      <c r="I225" s="13">
        <f>IF($G225="Base",1,INDEX(ModelOutput!$D$16:$D$26,MATCH($G225,ModelOutput!$C$16:$C$26,0)))</f>
        <v>1</v>
      </c>
      <c r="J225" s="13">
        <f>IF($A225="Non-greek",1,INDEX(ModelOutput!$D$16:$D$26,MATCH($A225,ModelOutput!$C$16:$C$26,0)))</f>
        <v>4.3562312213391099</v>
      </c>
      <c r="K225" s="13">
        <f>IF($C225="Yes",1,INDEX(ModelOutput!$D$16:$D$26,MATCH($C225,ModelOutput!$C$16:$C$26,0)))</f>
        <v>1.5400747552012299</v>
      </c>
      <c r="L225" s="13">
        <f>IF($D225="2.0-3.0",1,INDEX(ModelOutput!$D$16:$D$26,MATCH($D225,ModelOutput!$C$16:$C$26,0)))</f>
        <v>1.12144800201769</v>
      </c>
      <c r="M225" s="13">
        <f>IF($B225="On campus",1,INDEX(ModelOutput!$D$16:$D$26,MATCH($B225,ModelOutput!$C$16:$C$26,0)))</f>
        <v>1</v>
      </c>
      <c r="N225" s="13">
        <f>IF($B225="On campus",1,INDEX(ModelOutput!$E$16:$E$26,MATCH($B225,ModelOutput!$C$16:$C$26,0)))</f>
        <v>1</v>
      </c>
      <c r="O225" s="13">
        <f>IF($B225="On campus",1,INDEX(ModelOutput!$F$16:$F$26,MATCH($B225,ModelOutput!$C$16:$C$26,0)))</f>
        <v>1</v>
      </c>
      <c r="P225" s="13">
        <f>IF($B225="On campus",1,INDEX(ModelOutput!$G$16:$G$26,MATCH($B225,ModelOutput!$C$16:$C$26,0)))</f>
        <v>1</v>
      </c>
      <c r="Q225" s="72">
        <f>INDEX(ModelOutput!$D$9:$D$11,MATCH("Tier "&amp;$F225,ModelOutput!$B$9:$B$11,0))</f>
        <v>36.175496869914397</v>
      </c>
      <c r="R225" s="72">
        <f>INDEX(ModelOutput!$E$9:$E$11,MATCH("Tier "&amp;$F225,ModelOutput!$B$9:$B$11,0))</f>
        <v>106.647084447761</v>
      </c>
      <c r="S225" s="72">
        <f>INDEX(ModelOutput!$F$9:$F$11,MATCH("Tier "&amp;$F225,ModelOutput!$B$9:$B$11,0))</f>
        <v>123.726482920496</v>
      </c>
      <c r="T225" s="72">
        <f>INDEX(ModelOutput!$G$9:$G$11,MATCH("Tier "&amp;$F225,ModelOutput!$B$9:$B$11,0))</f>
        <v>20.551544113210401</v>
      </c>
      <c r="U225" s="76">
        <f t="shared" si="33"/>
        <v>272.1738343918376</v>
      </c>
      <c r="V225" s="76">
        <f t="shared" si="34"/>
        <v>802.38140211965811</v>
      </c>
      <c r="W225" s="76">
        <f t="shared" si="35"/>
        <v>930.88178977560187</v>
      </c>
      <c r="X225" s="76">
        <f t="shared" si="36"/>
        <v>154.62379367116372</v>
      </c>
      <c r="Y225" s="27">
        <f t="shared" si="37"/>
        <v>2160.0608199582612</v>
      </c>
      <c r="Z225" s="27">
        <f t="shared" si="38"/>
        <v>3554.0939575074176</v>
      </c>
      <c r="AA225" s="33">
        <f t="shared" si="39"/>
        <v>1.4919504687794087</v>
      </c>
      <c r="AB225" s="14">
        <f t="shared" si="40"/>
        <v>1782.7872193062994</v>
      </c>
      <c r="AC225" s="29">
        <f t="shared" si="41"/>
        <v>5</v>
      </c>
      <c r="AD225" s="20">
        <v>2160.0608199582598</v>
      </c>
      <c r="AE225" s="78">
        <f t="shared" si="42"/>
        <v>0</v>
      </c>
      <c r="AF225" s="29">
        <f t="shared" si="43"/>
        <v>4</v>
      </c>
    </row>
    <row r="226" spans="1:32" ht="15" customHeight="1" x14ac:dyDescent="0.35">
      <c r="A226" s="19" t="s">
        <v>109</v>
      </c>
      <c r="B226" s="19" t="s">
        <v>113</v>
      </c>
      <c r="C226" s="19" t="s">
        <v>118</v>
      </c>
      <c r="D226" s="19" t="s">
        <v>121</v>
      </c>
      <c r="E226" s="19" t="s">
        <v>105</v>
      </c>
      <c r="F226" s="19">
        <v>1</v>
      </c>
      <c r="G226" s="19" t="s">
        <v>105</v>
      </c>
      <c r="H226" s="16">
        <v>8</v>
      </c>
      <c r="I226" s="13">
        <f>IF($G226="Base",1,INDEX(ModelOutput!$D$16:$D$26,MATCH($G226,ModelOutput!$C$16:$C$26,0)))</f>
        <v>0.98982624281990295</v>
      </c>
      <c r="J226" s="13">
        <f>IF($A226="Non-greek",1,INDEX(ModelOutput!$D$16:$D$26,MATCH($A226,ModelOutput!$C$16:$C$26,0)))</f>
        <v>4.3562312213391099</v>
      </c>
      <c r="K226" s="13">
        <f>IF($C226="Yes",1,INDEX(ModelOutput!$D$16:$D$26,MATCH($C226,ModelOutput!$C$16:$C$26,0)))</f>
        <v>1.5400747552012299</v>
      </c>
      <c r="L226" s="13">
        <f>IF($D226="2.0-3.0",1,INDEX(ModelOutput!$D$16:$D$26,MATCH($D226,ModelOutput!$C$16:$C$26,0)))</f>
        <v>1.12144800201769</v>
      </c>
      <c r="M226" s="13">
        <f>IF($B226="On campus",1,INDEX(ModelOutput!$D$16:$D$26,MATCH($B226,ModelOutput!$C$16:$C$26,0)))</f>
        <v>1</v>
      </c>
      <c r="N226" s="13">
        <f>IF($B226="On campus",1,INDEX(ModelOutput!$E$16:$E$26,MATCH($B226,ModelOutput!$C$16:$C$26,0)))</f>
        <v>1</v>
      </c>
      <c r="O226" s="13">
        <f>IF($B226="On campus",1,INDEX(ModelOutput!$F$16:$F$26,MATCH($B226,ModelOutput!$C$16:$C$26,0)))</f>
        <v>1</v>
      </c>
      <c r="P226" s="13">
        <f>IF($B226="On campus",1,INDEX(ModelOutput!$G$16:$G$26,MATCH($B226,ModelOutput!$C$16:$C$26,0)))</f>
        <v>1</v>
      </c>
      <c r="Q226" s="72">
        <f>INDEX(ModelOutput!$D$9:$D$11,MATCH("Tier "&amp;$F226,ModelOutput!$B$9:$B$11,0))</f>
        <v>36.175496869914397</v>
      </c>
      <c r="R226" s="72">
        <f>INDEX(ModelOutput!$E$9:$E$11,MATCH("Tier "&amp;$F226,ModelOutput!$B$9:$B$11,0))</f>
        <v>106.647084447761</v>
      </c>
      <c r="S226" s="72">
        <f>INDEX(ModelOutput!$F$9:$F$11,MATCH("Tier "&amp;$F226,ModelOutput!$B$9:$B$11,0))</f>
        <v>123.726482920496</v>
      </c>
      <c r="T226" s="72">
        <f>INDEX(ModelOutput!$G$9:$G$11,MATCH("Tier "&amp;$F226,ModelOutput!$B$9:$B$11,0))</f>
        <v>20.551544113210401</v>
      </c>
      <c r="U226" s="76">
        <f t="shared" si="33"/>
        <v>269.40480388995911</v>
      </c>
      <c r="V226" s="76">
        <f t="shared" si="34"/>
        <v>794.21816856866701</v>
      </c>
      <c r="W226" s="76">
        <f t="shared" si="35"/>
        <v>921.41122448305066</v>
      </c>
      <c r="X226" s="76">
        <f t="shared" si="36"/>
        <v>153.05068874008782</v>
      </c>
      <c r="Y226" s="27">
        <f t="shared" si="37"/>
        <v>2138.0848856817647</v>
      </c>
      <c r="Z226" s="27">
        <f t="shared" si="38"/>
        <v>3518.3593751376584</v>
      </c>
      <c r="AA226" s="33">
        <f t="shared" si="39"/>
        <v>1.4668951915828514</v>
      </c>
      <c r="AB226" s="14">
        <f t="shared" si="40"/>
        <v>1782.7872193062994</v>
      </c>
      <c r="AC226" s="29">
        <f t="shared" si="41"/>
        <v>5</v>
      </c>
      <c r="AD226" s="20">
        <v>2138.0848856817702</v>
      </c>
      <c r="AE226" s="78">
        <f t="shared" si="42"/>
        <v>-5.4569682106375694E-12</v>
      </c>
      <c r="AF226" s="29">
        <f t="shared" si="43"/>
        <v>3</v>
      </c>
    </row>
    <row r="227" spans="1:32" ht="15" customHeight="1" x14ac:dyDescent="0.35">
      <c r="A227" s="19" t="s">
        <v>109</v>
      </c>
      <c r="B227" s="19" t="s">
        <v>113</v>
      </c>
      <c r="C227" s="19" t="s">
        <v>118</v>
      </c>
      <c r="D227" s="19" t="s">
        <v>121</v>
      </c>
      <c r="E227" s="19" t="s">
        <v>97</v>
      </c>
      <c r="F227" s="19">
        <v>2</v>
      </c>
      <c r="G227" s="19" t="s">
        <v>211</v>
      </c>
      <c r="H227" s="16">
        <v>10</v>
      </c>
      <c r="I227" s="13">
        <f>IF($G227="Base",1,INDEX(ModelOutput!$D$16:$D$26,MATCH($G227,ModelOutput!$C$16:$C$26,0)))</f>
        <v>1</v>
      </c>
      <c r="J227" s="13">
        <f>IF($A227="Non-greek",1,INDEX(ModelOutput!$D$16:$D$26,MATCH($A227,ModelOutput!$C$16:$C$26,0)))</f>
        <v>4.3562312213391099</v>
      </c>
      <c r="K227" s="13">
        <f>IF($C227="Yes",1,INDEX(ModelOutput!$D$16:$D$26,MATCH($C227,ModelOutput!$C$16:$C$26,0)))</f>
        <v>1.5400747552012299</v>
      </c>
      <c r="L227" s="13">
        <f>IF($D227="2.0-3.0",1,INDEX(ModelOutput!$D$16:$D$26,MATCH($D227,ModelOutput!$C$16:$C$26,0)))</f>
        <v>1.12144800201769</v>
      </c>
      <c r="M227" s="13">
        <f>IF($B227="On campus",1,INDEX(ModelOutput!$D$16:$D$26,MATCH($B227,ModelOutput!$C$16:$C$26,0)))</f>
        <v>1</v>
      </c>
      <c r="N227" s="13">
        <f>IF($B227="On campus",1,INDEX(ModelOutput!$E$16:$E$26,MATCH($B227,ModelOutput!$C$16:$C$26,0)))</f>
        <v>1</v>
      </c>
      <c r="O227" s="13">
        <f>IF($B227="On campus",1,INDEX(ModelOutput!$F$16:$F$26,MATCH($B227,ModelOutput!$C$16:$C$26,0)))</f>
        <v>1</v>
      </c>
      <c r="P227" s="13">
        <f>IF($B227="On campus",1,INDEX(ModelOutput!$G$16:$G$26,MATCH($B227,ModelOutput!$C$16:$C$26,0)))</f>
        <v>1</v>
      </c>
      <c r="Q227" s="72">
        <f>INDEX(ModelOutput!$D$9:$D$11,MATCH("Tier "&amp;$F227,ModelOutput!$B$9:$B$11,0))</f>
        <v>42.8051506068728</v>
      </c>
      <c r="R227" s="72">
        <f>INDEX(ModelOutput!$E$9:$E$11,MATCH("Tier "&amp;$F227,ModelOutput!$B$9:$B$11,0))</f>
        <v>126.191618818284</v>
      </c>
      <c r="S227" s="72">
        <f>INDEX(ModelOutput!$F$9:$F$11,MATCH("Tier "&amp;$F227,ModelOutput!$B$9:$B$11,0))</f>
        <v>146.401050261042</v>
      </c>
      <c r="T227" s="72">
        <f>INDEX(ModelOutput!$G$9:$G$11,MATCH("Tier "&amp;$F227,ModelOutput!$B$9:$B$11,0))</f>
        <v>24.317895180076398</v>
      </c>
      <c r="U227" s="76">
        <f t="shared" si="33"/>
        <v>322.05340577040789</v>
      </c>
      <c r="V227" s="76">
        <f t="shared" si="34"/>
        <v>949.42874966977047</v>
      </c>
      <c r="W227" s="76">
        <f t="shared" si="35"/>
        <v>1101.4785878913133</v>
      </c>
      <c r="X227" s="76">
        <f t="shared" si="36"/>
        <v>182.96071507464663</v>
      </c>
      <c r="Y227" s="27">
        <f t="shared" si="37"/>
        <v>2555.9214584061378</v>
      </c>
      <c r="Z227" s="27">
        <f t="shared" si="38"/>
        <v>4197.7942167810588</v>
      </c>
      <c r="AA227" s="33">
        <f t="shared" si="39"/>
        <v>1.9432804510557791</v>
      </c>
      <c r="AB227" s="14">
        <f t="shared" si="40"/>
        <v>1782.7872193062994</v>
      </c>
      <c r="AC227" s="29">
        <f t="shared" si="41"/>
        <v>5</v>
      </c>
      <c r="AD227" s="20">
        <v>2555.9214584061401</v>
      </c>
      <c r="AE227" s="78">
        <f t="shared" si="42"/>
        <v>0</v>
      </c>
      <c r="AF227" s="29">
        <f t="shared" si="43"/>
        <v>2</v>
      </c>
    </row>
    <row r="228" spans="1:32" ht="15" customHeight="1" x14ac:dyDescent="0.35">
      <c r="A228" s="19" t="s">
        <v>109</v>
      </c>
      <c r="B228" s="19" t="s">
        <v>113</v>
      </c>
      <c r="C228" s="19" t="s">
        <v>118</v>
      </c>
      <c r="D228" s="19" t="s">
        <v>121</v>
      </c>
      <c r="E228" s="19" t="s">
        <v>99</v>
      </c>
      <c r="F228" s="19">
        <v>3</v>
      </c>
      <c r="G228" s="19" t="s">
        <v>211</v>
      </c>
      <c r="H228" s="16">
        <v>5</v>
      </c>
      <c r="I228" s="13">
        <f>IF($G228="Base",1,INDEX(ModelOutput!$D$16:$D$26,MATCH($G228,ModelOutput!$C$16:$C$26,0)))</f>
        <v>1</v>
      </c>
      <c r="J228" s="13">
        <f>IF($A228="Non-greek",1,INDEX(ModelOutput!$D$16:$D$26,MATCH($A228,ModelOutput!$C$16:$C$26,0)))</f>
        <v>4.3562312213391099</v>
      </c>
      <c r="K228" s="13">
        <f>IF($C228="Yes",1,INDEX(ModelOutput!$D$16:$D$26,MATCH($C228,ModelOutput!$C$16:$C$26,0)))</f>
        <v>1.5400747552012299</v>
      </c>
      <c r="L228" s="13">
        <f>IF($D228="2.0-3.0",1,INDEX(ModelOutput!$D$16:$D$26,MATCH($D228,ModelOutput!$C$16:$C$26,0)))</f>
        <v>1.12144800201769</v>
      </c>
      <c r="M228" s="13">
        <f>IF($B228="On campus",1,INDEX(ModelOutput!$D$16:$D$26,MATCH($B228,ModelOutput!$C$16:$C$26,0)))</f>
        <v>1</v>
      </c>
      <c r="N228" s="13">
        <f>IF($B228="On campus",1,INDEX(ModelOutput!$E$16:$E$26,MATCH($B228,ModelOutput!$C$16:$C$26,0)))</f>
        <v>1</v>
      </c>
      <c r="O228" s="13">
        <f>IF($B228="On campus",1,INDEX(ModelOutput!$F$16:$F$26,MATCH($B228,ModelOutput!$C$16:$C$26,0)))</f>
        <v>1</v>
      </c>
      <c r="P228" s="13">
        <f>IF($B228="On campus",1,INDEX(ModelOutput!$G$16:$G$26,MATCH($B228,ModelOutput!$C$16:$C$26,0)))</f>
        <v>1</v>
      </c>
      <c r="Q228" s="72">
        <f>INDEX(ModelOutput!$D$9:$D$11,MATCH("Tier "&amp;$F228,ModelOutput!$B$9:$B$11,0))</f>
        <v>40.009437343712797</v>
      </c>
      <c r="R228" s="72">
        <f>INDEX(ModelOutput!$E$9:$E$11,MATCH("Tier "&amp;$F228,ModelOutput!$B$9:$B$11,0))</f>
        <v>117.949723218616</v>
      </c>
      <c r="S228" s="72">
        <f>INDEX(ModelOutput!$F$9:$F$11,MATCH("Tier "&amp;$F228,ModelOutput!$B$9:$B$11,0))</f>
        <v>136.83922529015501</v>
      </c>
      <c r="T228" s="72">
        <f>INDEX(ModelOutput!$G$9:$G$11,MATCH("Tier "&amp;$F228,ModelOutput!$B$9:$B$11,0))</f>
        <v>22.729631592092201</v>
      </c>
      <c r="U228" s="76">
        <f t="shared" si="33"/>
        <v>301.01927868072033</v>
      </c>
      <c r="V228" s="76">
        <f t="shared" si="34"/>
        <v>887.419143109689</v>
      </c>
      <c r="W228" s="76">
        <f t="shared" si="35"/>
        <v>1029.5382196506685</v>
      </c>
      <c r="X228" s="76">
        <f t="shared" si="36"/>
        <v>171.01108540346138</v>
      </c>
      <c r="Y228" s="27">
        <f t="shared" si="37"/>
        <v>2388.9877268445393</v>
      </c>
      <c r="Z228" s="27">
        <f t="shared" si="38"/>
        <v>3926.3469551663729</v>
      </c>
      <c r="AA228" s="33">
        <f t="shared" si="39"/>
        <v>1.7529553952421155</v>
      </c>
      <c r="AB228" s="14">
        <f t="shared" si="40"/>
        <v>1782.7872193062994</v>
      </c>
      <c r="AC228" s="29">
        <f t="shared" si="41"/>
        <v>5</v>
      </c>
      <c r="AD228" s="20">
        <v>2388.9877268445498</v>
      </c>
      <c r="AE228" s="78">
        <f t="shared" si="42"/>
        <v>-1.0459189070388675E-11</v>
      </c>
      <c r="AF228" s="29">
        <f t="shared" si="43"/>
        <v>1</v>
      </c>
    </row>
    <row r="229" spans="1:32" ht="15" customHeight="1" x14ac:dyDescent="0.35">
      <c r="A229" s="19" t="s">
        <v>109</v>
      </c>
      <c r="B229" s="19" t="s">
        <v>113</v>
      </c>
      <c r="C229" s="19" t="s">
        <v>118</v>
      </c>
      <c r="D229" s="19" t="s">
        <v>121</v>
      </c>
      <c r="E229" s="19" t="s">
        <v>213</v>
      </c>
      <c r="F229" s="19">
        <v>3</v>
      </c>
      <c r="G229" s="19" t="s">
        <v>107</v>
      </c>
      <c r="H229" s="16">
        <v>4</v>
      </c>
      <c r="I229" s="13">
        <f>IF($G229="Base",1,INDEX(ModelOutput!$D$16:$D$26,MATCH($G229,ModelOutput!$C$16:$C$26,0)))</f>
        <v>1.1906804269762199</v>
      </c>
      <c r="J229" s="13">
        <f>IF($A229="Non-greek",1,INDEX(ModelOutput!$D$16:$D$26,MATCH($A229,ModelOutput!$C$16:$C$26,0)))</f>
        <v>4.3562312213391099</v>
      </c>
      <c r="K229" s="13">
        <f>IF($C229="Yes",1,INDEX(ModelOutput!$D$16:$D$26,MATCH($C229,ModelOutput!$C$16:$C$26,0)))</f>
        <v>1.5400747552012299</v>
      </c>
      <c r="L229" s="13">
        <f>IF($D229="2.0-3.0",1,INDEX(ModelOutput!$D$16:$D$26,MATCH($D229,ModelOutput!$C$16:$C$26,0)))</f>
        <v>1.12144800201769</v>
      </c>
      <c r="M229" s="13">
        <f>IF($B229="On campus",1,INDEX(ModelOutput!$D$16:$D$26,MATCH($B229,ModelOutput!$C$16:$C$26,0)))</f>
        <v>1</v>
      </c>
      <c r="N229" s="13">
        <f>IF($B229="On campus",1,INDEX(ModelOutput!$E$16:$E$26,MATCH($B229,ModelOutput!$C$16:$C$26,0)))</f>
        <v>1</v>
      </c>
      <c r="O229" s="13">
        <f>IF($B229="On campus",1,INDEX(ModelOutput!$F$16:$F$26,MATCH($B229,ModelOutput!$C$16:$C$26,0)))</f>
        <v>1</v>
      </c>
      <c r="P229" s="13">
        <f>IF($B229="On campus",1,INDEX(ModelOutput!$G$16:$G$26,MATCH($B229,ModelOutput!$C$16:$C$26,0)))</f>
        <v>1</v>
      </c>
      <c r="Q229" s="72">
        <f>INDEX(ModelOutput!$D$9:$D$11,MATCH("Tier "&amp;$F229,ModelOutput!$B$9:$B$11,0))</f>
        <v>40.009437343712797</v>
      </c>
      <c r="R229" s="72">
        <f>INDEX(ModelOutput!$E$9:$E$11,MATCH("Tier "&amp;$F229,ModelOutput!$B$9:$B$11,0))</f>
        <v>117.949723218616</v>
      </c>
      <c r="S229" s="72">
        <f>INDEX(ModelOutput!$F$9:$F$11,MATCH("Tier "&amp;$F229,ModelOutput!$B$9:$B$11,0))</f>
        <v>136.83922529015501</v>
      </c>
      <c r="T229" s="72">
        <f>INDEX(ModelOutput!$G$9:$G$11,MATCH("Tier "&amp;$F229,ModelOutput!$B$9:$B$11,0))</f>
        <v>22.729631592092201</v>
      </c>
      <c r="U229" s="76">
        <f t="shared" si="33"/>
        <v>358.41776326763386</v>
      </c>
      <c r="V229" s="76">
        <f t="shared" si="34"/>
        <v>1056.6326042247156</v>
      </c>
      <c r="W229" s="76">
        <f t="shared" si="35"/>
        <v>1225.8510069619954</v>
      </c>
      <c r="X229" s="76">
        <f t="shared" si="36"/>
        <v>203.61955218586021</v>
      </c>
      <c r="Y229" s="27">
        <f t="shared" si="37"/>
        <v>2844.5209266402048</v>
      </c>
      <c r="Z229" s="27">
        <f t="shared" si="38"/>
        <v>4667.0794512436023</v>
      </c>
      <c r="AA229" s="33">
        <f t="shared" si="39"/>
        <v>2.2723194618393734</v>
      </c>
      <c r="AB229" s="14">
        <f t="shared" si="40"/>
        <v>1782.7872193062994</v>
      </c>
      <c r="AC229" s="29">
        <f t="shared" si="41"/>
        <v>6</v>
      </c>
      <c r="AD229" s="20">
        <v>2844.5209266402198</v>
      </c>
      <c r="AE229" s="78">
        <f t="shared" si="42"/>
        <v>-1.5006662579253316E-11</v>
      </c>
      <c r="AF229" s="29">
        <f t="shared" si="43"/>
        <v>2</v>
      </c>
    </row>
    <row r="230" spans="1:32" ht="15" customHeight="1" x14ac:dyDescent="0.35">
      <c r="A230" s="37" t="s">
        <v>109</v>
      </c>
      <c r="B230" s="37" t="s">
        <v>113</v>
      </c>
      <c r="C230" s="37" t="s">
        <v>118</v>
      </c>
      <c r="D230" s="37" t="s">
        <v>123</v>
      </c>
      <c r="E230" s="37" t="s">
        <v>95</v>
      </c>
      <c r="F230" s="37">
        <v>1</v>
      </c>
      <c r="G230" s="37" t="s">
        <v>211</v>
      </c>
      <c r="H230" s="38">
        <v>24</v>
      </c>
      <c r="I230" s="39">
        <f>IF($G230="Base",1,INDEX(ModelOutput!$D$16:$D$26,MATCH($G230,ModelOutput!$C$16:$C$26,0)))</f>
        <v>1</v>
      </c>
      <c r="J230" s="39">
        <f>IF($A230="Non-greek",1,INDEX(ModelOutput!$D$16:$D$26,MATCH($A230,ModelOutput!$C$16:$C$26,0)))</f>
        <v>4.3562312213391099</v>
      </c>
      <c r="K230" s="39">
        <f>IF($C230="Yes",1,INDEX(ModelOutput!$D$16:$D$26,MATCH($C230,ModelOutput!$C$16:$C$26,0)))</f>
        <v>1.5400747552012299</v>
      </c>
      <c r="L230" s="39">
        <f>IF($D230="2.0-3.0",1,INDEX(ModelOutput!$D$16:$D$26,MATCH($D230,ModelOutput!$C$16:$C$26,0)))</f>
        <v>1.01762556011242</v>
      </c>
      <c r="M230" s="39">
        <f>IF($B230="On campus",1,INDEX(ModelOutput!$D$16:$D$26,MATCH($B230,ModelOutput!$C$16:$C$26,0)))</f>
        <v>1</v>
      </c>
      <c r="N230" s="39">
        <f>IF($B230="On campus",1,INDEX(ModelOutput!$E$16:$E$26,MATCH($B230,ModelOutput!$C$16:$C$26,0)))</f>
        <v>1</v>
      </c>
      <c r="O230" s="39">
        <f>IF($B230="On campus",1,INDEX(ModelOutput!$F$16:$F$26,MATCH($B230,ModelOutput!$C$16:$C$26,0)))</f>
        <v>1</v>
      </c>
      <c r="P230" s="39">
        <f>IF($B230="On campus",1,INDEX(ModelOutput!$G$16:$G$26,MATCH($B230,ModelOutput!$C$16:$C$26,0)))</f>
        <v>1</v>
      </c>
      <c r="Q230" s="73">
        <f>INDEX(ModelOutput!$D$9:$D$11,MATCH("Tier "&amp;$F230,ModelOutput!$B$9:$B$11,0))</f>
        <v>36.175496869914397</v>
      </c>
      <c r="R230" s="73">
        <f>INDEX(ModelOutput!$E$9:$E$11,MATCH("Tier "&amp;$F230,ModelOutput!$B$9:$B$11,0))</f>
        <v>106.647084447761</v>
      </c>
      <c r="S230" s="73">
        <f>INDEX(ModelOutput!$F$9:$F$11,MATCH("Tier "&amp;$F230,ModelOutput!$B$9:$B$11,0))</f>
        <v>123.726482920496</v>
      </c>
      <c r="T230" s="73">
        <f>INDEX(ModelOutput!$G$9:$G$11,MATCH("Tier "&amp;$F230,ModelOutput!$B$9:$B$11,0))</f>
        <v>20.551544113210401</v>
      </c>
      <c r="U230" s="77">
        <f t="shared" si="33"/>
        <v>246.97627546940848</v>
      </c>
      <c r="V230" s="77">
        <f t="shared" si="34"/>
        <v>728.09780059951981</v>
      </c>
      <c r="W230" s="77">
        <f t="shared" si="35"/>
        <v>844.70176148559949</v>
      </c>
      <c r="X230" s="77">
        <f t="shared" si="36"/>
        <v>140.30889025458637</v>
      </c>
      <c r="Y230" s="30">
        <f t="shared" si="37"/>
        <v>1960.0847278091142</v>
      </c>
      <c r="Z230" s="30">
        <f t="shared" si="38"/>
        <v>3228.9172416064639</v>
      </c>
      <c r="AA230" s="41">
        <f t="shared" si="39"/>
        <v>1.2639530440310116</v>
      </c>
      <c r="AB230" s="40">
        <f t="shared" si="40"/>
        <v>1782.7872193062994</v>
      </c>
      <c r="AC230" s="42">
        <f t="shared" si="41"/>
        <v>4</v>
      </c>
      <c r="AD230" s="43">
        <v>1960.0847278091101</v>
      </c>
      <c r="AE230" s="79">
        <f t="shared" si="42"/>
        <v>4.0927261579781771E-12</v>
      </c>
      <c r="AF230" s="29">
        <f t="shared" si="43"/>
        <v>4</v>
      </c>
    </row>
    <row r="231" spans="1:32" ht="15" customHeight="1" x14ac:dyDescent="0.35">
      <c r="A231" s="37" t="s">
        <v>109</v>
      </c>
      <c r="B231" s="37" t="s">
        <v>113</v>
      </c>
      <c r="C231" s="37" t="s">
        <v>118</v>
      </c>
      <c r="D231" s="37" t="s">
        <v>123</v>
      </c>
      <c r="E231" s="37" t="s">
        <v>105</v>
      </c>
      <c r="F231" s="37">
        <v>1</v>
      </c>
      <c r="G231" s="37" t="s">
        <v>105</v>
      </c>
      <c r="H231" s="38">
        <v>23</v>
      </c>
      <c r="I231" s="39">
        <f>IF($G231="Base",1,INDEX(ModelOutput!$D$16:$D$26,MATCH($G231,ModelOutput!$C$16:$C$26,0)))</f>
        <v>0.98982624281990295</v>
      </c>
      <c r="J231" s="39">
        <f>IF($A231="Non-greek",1,INDEX(ModelOutput!$D$16:$D$26,MATCH($A231,ModelOutput!$C$16:$C$26,0)))</f>
        <v>4.3562312213391099</v>
      </c>
      <c r="K231" s="39">
        <f>IF($C231="Yes",1,INDEX(ModelOutput!$D$16:$D$26,MATCH($C231,ModelOutput!$C$16:$C$26,0)))</f>
        <v>1.5400747552012299</v>
      </c>
      <c r="L231" s="39">
        <f>IF($D231="2.0-3.0",1,INDEX(ModelOutput!$D$16:$D$26,MATCH($D231,ModelOutput!$C$16:$C$26,0)))</f>
        <v>1.01762556011242</v>
      </c>
      <c r="M231" s="39">
        <f>IF($B231="On campus",1,INDEX(ModelOutput!$D$16:$D$26,MATCH($B231,ModelOutput!$C$16:$C$26,0)))</f>
        <v>1</v>
      </c>
      <c r="N231" s="39">
        <f>IF($B231="On campus",1,INDEX(ModelOutput!$E$16:$E$26,MATCH($B231,ModelOutput!$C$16:$C$26,0)))</f>
        <v>1</v>
      </c>
      <c r="O231" s="39">
        <f>IF($B231="On campus",1,INDEX(ModelOutput!$F$16:$F$26,MATCH($B231,ModelOutput!$C$16:$C$26,0)))</f>
        <v>1</v>
      </c>
      <c r="P231" s="39">
        <f>IF($B231="On campus",1,INDEX(ModelOutput!$G$16:$G$26,MATCH($B231,ModelOutput!$C$16:$C$26,0)))</f>
        <v>1</v>
      </c>
      <c r="Q231" s="73">
        <f>INDEX(ModelOutput!$D$9:$D$11,MATCH("Tier "&amp;$F231,ModelOutput!$B$9:$B$11,0))</f>
        <v>36.175496869914397</v>
      </c>
      <c r="R231" s="73">
        <f>INDEX(ModelOutput!$E$9:$E$11,MATCH("Tier "&amp;$F231,ModelOutput!$B$9:$B$11,0))</f>
        <v>106.647084447761</v>
      </c>
      <c r="S231" s="73">
        <f>INDEX(ModelOutput!$F$9:$F$11,MATCH("Tier "&amp;$F231,ModelOutput!$B$9:$B$11,0))</f>
        <v>123.726482920496</v>
      </c>
      <c r="T231" s="73">
        <f>INDEX(ModelOutput!$G$9:$G$11,MATCH("Tier "&amp;$F231,ModelOutput!$B$9:$B$11,0))</f>
        <v>20.551544113210401</v>
      </c>
      <c r="U231" s="77">
        <f t="shared" si="33"/>
        <v>244.46359881353797</v>
      </c>
      <c r="V231" s="77">
        <f t="shared" si="34"/>
        <v>720.69031037285777</v>
      </c>
      <c r="W231" s="77">
        <f t="shared" si="35"/>
        <v>836.10797087464459</v>
      </c>
      <c r="X231" s="77">
        <f t="shared" si="36"/>
        <v>138.88142167492731</v>
      </c>
      <c r="Y231" s="30">
        <f t="shared" si="37"/>
        <v>1940.1433017359677</v>
      </c>
      <c r="Z231" s="30">
        <f t="shared" si="38"/>
        <v>3196.4909281849018</v>
      </c>
      <c r="AA231" s="41">
        <f t="shared" si="39"/>
        <v>1.2412173572715317</v>
      </c>
      <c r="AB231" s="40">
        <f t="shared" si="40"/>
        <v>1782.7872193062994</v>
      </c>
      <c r="AC231" s="42">
        <f t="shared" si="41"/>
        <v>4</v>
      </c>
      <c r="AD231" s="43">
        <v>1940.14330173597</v>
      </c>
      <c r="AE231" s="79">
        <f t="shared" si="42"/>
        <v>-2.2737367544323206E-12</v>
      </c>
      <c r="AF231" s="29">
        <f t="shared" si="43"/>
        <v>3</v>
      </c>
    </row>
    <row r="232" spans="1:32" ht="15" customHeight="1" x14ac:dyDescent="0.35">
      <c r="A232" s="37" t="s">
        <v>109</v>
      </c>
      <c r="B232" s="37" t="s">
        <v>113</v>
      </c>
      <c r="C232" s="37" t="s">
        <v>118</v>
      </c>
      <c r="D232" s="37" t="s">
        <v>123</v>
      </c>
      <c r="E232" s="37" t="s">
        <v>97</v>
      </c>
      <c r="F232" s="37">
        <v>2</v>
      </c>
      <c r="G232" s="37" t="s">
        <v>211</v>
      </c>
      <c r="H232" s="38">
        <v>22</v>
      </c>
      <c r="I232" s="39">
        <f>IF($G232="Base",1,INDEX(ModelOutput!$D$16:$D$26,MATCH($G232,ModelOutput!$C$16:$C$26,0)))</f>
        <v>1</v>
      </c>
      <c r="J232" s="39">
        <f>IF($A232="Non-greek",1,INDEX(ModelOutput!$D$16:$D$26,MATCH($A232,ModelOutput!$C$16:$C$26,0)))</f>
        <v>4.3562312213391099</v>
      </c>
      <c r="K232" s="39">
        <f>IF($C232="Yes",1,INDEX(ModelOutput!$D$16:$D$26,MATCH($C232,ModelOutput!$C$16:$C$26,0)))</f>
        <v>1.5400747552012299</v>
      </c>
      <c r="L232" s="39">
        <f>IF($D232="2.0-3.0",1,INDEX(ModelOutput!$D$16:$D$26,MATCH($D232,ModelOutput!$C$16:$C$26,0)))</f>
        <v>1.01762556011242</v>
      </c>
      <c r="M232" s="39">
        <f>IF($B232="On campus",1,INDEX(ModelOutput!$D$16:$D$26,MATCH($B232,ModelOutput!$C$16:$C$26,0)))</f>
        <v>1</v>
      </c>
      <c r="N232" s="39">
        <f>IF($B232="On campus",1,INDEX(ModelOutput!$E$16:$E$26,MATCH($B232,ModelOutput!$C$16:$C$26,0)))</f>
        <v>1</v>
      </c>
      <c r="O232" s="39">
        <f>IF($B232="On campus",1,INDEX(ModelOutput!$F$16:$F$26,MATCH($B232,ModelOutput!$C$16:$C$26,0)))</f>
        <v>1</v>
      </c>
      <c r="P232" s="39">
        <f>IF($B232="On campus",1,INDEX(ModelOutput!$G$16:$G$26,MATCH($B232,ModelOutput!$C$16:$C$26,0)))</f>
        <v>1</v>
      </c>
      <c r="Q232" s="73">
        <f>INDEX(ModelOutput!$D$9:$D$11,MATCH("Tier "&amp;$F232,ModelOutput!$B$9:$B$11,0))</f>
        <v>42.8051506068728</v>
      </c>
      <c r="R232" s="73">
        <f>INDEX(ModelOutput!$E$9:$E$11,MATCH("Tier "&amp;$F232,ModelOutput!$B$9:$B$11,0))</f>
        <v>126.191618818284</v>
      </c>
      <c r="S232" s="73">
        <f>INDEX(ModelOutput!$F$9:$F$11,MATCH("Tier "&amp;$F232,ModelOutput!$B$9:$B$11,0))</f>
        <v>146.401050261042</v>
      </c>
      <c r="T232" s="73">
        <f>INDEX(ModelOutput!$G$9:$G$11,MATCH("Tier "&amp;$F232,ModelOutput!$B$9:$B$11,0))</f>
        <v>24.317895180076398</v>
      </c>
      <c r="U232" s="77">
        <f t="shared" si="33"/>
        <v>292.23805013123928</v>
      </c>
      <c r="V232" s="77">
        <f t="shared" si="34"/>
        <v>861.53166391239802</v>
      </c>
      <c r="W232" s="77">
        <f t="shared" si="35"/>
        <v>999.50489272622895</v>
      </c>
      <c r="X232" s="77">
        <f t="shared" si="36"/>
        <v>166.02241015314522</v>
      </c>
      <c r="Y232" s="30">
        <f t="shared" si="37"/>
        <v>2319.2970169230116</v>
      </c>
      <c r="Z232" s="30">
        <f t="shared" si="38"/>
        <v>3813.0244277705142</v>
      </c>
      <c r="AA232" s="41">
        <f t="shared" si="39"/>
        <v>1.6734993851749458</v>
      </c>
      <c r="AB232" s="40">
        <f t="shared" si="40"/>
        <v>1782.7872193062994</v>
      </c>
      <c r="AC232" s="42">
        <f t="shared" si="41"/>
        <v>5</v>
      </c>
      <c r="AD232" s="43">
        <v>2319.2970169230098</v>
      </c>
      <c r="AE232" s="79">
        <f t="shared" si="42"/>
        <v>0</v>
      </c>
      <c r="AF232" s="29">
        <f t="shared" si="43"/>
        <v>2</v>
      </c>
    </row>
    <row r="233" spans="1:32" ht="15" customHeight="1" x14ac:dyDescent="0.35">
      <c r="A233" s="37" t="s">
        <v>109</v>
      </c>
      <c r="B233" s="37" t="s">
        <v>113</v>
      </c>
      <c r="C233" s="37" t="s">
        <v>118</v>
      </c>
      <c r="D233" s="37" t="s">
        <v>123</v>
      </c>
      <c r="E233" s="37" t="s">
        <v>99</v>
      </c>
      <c r="F233" s="37">
        <v>3</v>
      </c>
      <c r="G233" s="37" t="s">
        <v>211</v>
      </c>
      <c r="H233" s="38">
        <v>23</v>
      </c>
      <c r="I233" s="39">
        <f>IF($G233="Base",1,INDEX(ModelOutput!$D$16:$D$26,MATCH($G233,ModelOutput!$C$16:$C$26,0)))</f>
        <v>1</v>
      </c>
      <c r="J233" s="39">
        <f>IF($A233="Non-greek",1,INDEX(ModelOutput!$D$16:$D$26,MATCH($A233,ModelOutput!$C$16:$C$26,0)))</f>
        <v>4.3562312213391099</v>
      </c>
      <c r="K233" s="39">
        <f>IF($C233="Yes",1,INDEX(ModelOutput!$D$16:$D$26,MATCH($C233,ModelOutput!$C$16:$C$26,0)))</f>
        <v>1.5400747552012299</v>
      </c>
      <c r="L233" s="39">
        <f>IF($D233="2.0-3.0",1,INDEX(ModelOutput!$D$16:$D$26,MATCH($D233,ModelOutput!$C$16:$C$26,0)))</f>
        <v>1.01762556011242</v>
      </c>
      <c r="M233" s="39">
        <f>IF($B233="On campus",1,INDEX(ModelOutput!$D$16:$D$26,MATCH($B233,ModelOutput!$C$16:$C$26,0)))</f>
        <v>1</v>
      </c>
      <c r="N233" s="39">
        <f>IF($B233="On campus",1,INDEX(ModelOutput!$E$16:$E$26,MATCH($B233,ModelOutput!$C$16:$C$26,0)))</f>
        <v>1</v>
      </c>
      <c r="O233" s="39">
        <f>IF($B233="On campus",1,INDEX(ModelOutput!$F$16:$F$26,MATCH($B233,ModelOutput!$C$16:$C$26,0)))</f>
        <v>1</v>
      </c>
      <c r="P233" s="39">
        <f>IF($B233="On campus",1,INDEX(ModelOutput!$G$16:$G$26,MATCH($B233,ModelOutput!$C$16:$C$26,0)))</f>
        <v>1</v>
      </c>
      <c r="Q233" s="73">
        <f>INDEX(ModelOutput!$D$9:$D$11,MATCH("Tier "&amp;$F233,ModelOutput!$B$9:$B$11,0))</f>
        <v>40.009437343712797</v>
      </c>
      <c r="R233" s="73">
        <f>INDEX(ModelOutput!$E$9:$E$11,MATCH("Tier "&amp;$F233,ModelOutput!$B$9:$B$11,0))</f>
        <v>117.949723218616</v>
      </c>
      <c r="S233" s="73">
        <f>INDEX(ModelOutput!$F$9:$F$11,MATCH("Tier "&amp;$F233,ModelOutput!$B$9:$B$11,0))</f>
        <v>136.83922529015501</v>
      </c>
      <c r="T233" s="73">
        <f>INDEX(ModelOutput!$G$9:$G$11,MATCH("Tier "&amp;$F233,ModelOutput!$B$9:$B$11,0))</f>
        <v>22.729631592092201</v>
      </c>
      <c r="U233" s="77">
        <f t="shared" si="33"/>
        <v>273.1512397551827</v>
      </c>
      <c r="V233" s="77">
        <f t="shared" si="34"/>
        <v>805.26283959373086</v>
      </c>
      <c r="W233" s="77">
        <f t="shared" si="35"/>
        <v>934.22468589197126</v>
      </c>
      <c r="X233" s="77">
        <f t="shared" si="36"/>
        <v>155.17906425980254</v>
      </c>
      <c r="Y233" s="30">
        <f t="shared" si="37"/>
        <v>2167.8178295006874</v>
      </c>
      <c r="Z233" s="30">
        <f t="shared" si="38"/>
        <v>3566.7074597571627</v>
      </c>
      <c r="AA233" s="41">
        <f t="shared" si="39"/>
        <v>1.5007944169754905</v>
      </c>
      <c r="AB233" s="40">
        <f t="shared" si="40"/>
        <v>1782.7872193062994</v>
      </c>
      <c r="AC233" s="42">
        <f t="shared" si="41"/>
        <v>5</v>
      </c>
      <c r="AD233" s="43">
        <v>2167.8178295006901</v>
      </c>
      <c r="AE233" s="79">
        <f t="shared" si="42"/>
        <v>0</v>
      </c>
      <c r="AF233" s="29">
        <f t="shared" si="43"/>
        <v>1</v>
      </c>
    </row>
    <row r="234" spans="1:32" ht="15" customHeight="1" x14ac:dyDescent="0.35">
      <c r="A234" s="37" t="s">
        <v>109</v>
      </c>
      <c r="B234" s="37" t="s">
        <v>113</v>
      </c>
      <c r="C234" s="37" t="s">
        <v>118</v>
      </c>
      <c r="D234" s="37" t="s">
        <v>123</v>
      </c>
      <c r="E234" s="37" t="s">
        <v>213</v>
      </c>
      <c r="F234" s="37">
        <v>3</v>
      </c>
      <c r="G234" s="37" t="s">
        <v>107</v>
      </c>
      <c r="H234" s="38">
        <v>8</v>
      </c>
      <c r="I234" s="39">
        <f>IF($G234="Base",1,INDEX(ModelOutput!$D$16:$D$26,MATCH($G234,ModelOutput!$C$16:$C$26,0)))</f>
        <v>1.1906804269762199</v>
      </c>
      <c r="J234" s="39">
        <f>IF($A234="Non-greek",1,INDEX(ModelOutput!$D$16:$D$26,MATCH($A234,ModelOutput!$C$16:$C$26,0)))</f>
        <v>4.3562312213391099</v>
      </c>
      <c r="K234" s="39">
        <f>IF($C234="Yes",1,INDEX(ModelOutput!$D$16:$D$26,MATCH($C234,ModelOutput!$C$16:$C$26,0)))</f>
        <v>1.5400747552012299</v>
      </c>
      <c r="L234" s="39">
        <f>IF($D234="2.0-3.0",1,INDEX(ModelOutput!$D$16:$D$26,MATCH($D234,ModelOutput!$C$16:$C$26,0)))</f>
        <v>1.01762556011242</v>
      </c>
      <c r="M234" s="39">
        <f>IF($B234="On campus",1,INDEX(ModelOutput!$D$16:$D$26,MATCH($B234,ModelOutput!$C$16:$C$26,0)))</f>
        <v>1</v>
      </c>
      <c r="N234" s="39">
        <f>IF($B234="On campus",1,INDEX(ModelOutput!$E$16:$E$26,MATCH($B234,ModelOutput!$C$16:$C$26,0)))</f>
        <v>1</v>
      </c>
      <c r="O234" s="39">
        <f>IF($B234="On campus",1,INDEX(ModelOutput!$F$16:$F$26,MATCH($B234,ModelOutput!$C$16:$C$26,0)))</f>
        <v>1</v>
      </c>
      <c r="P234" s="39">
        <f>IF($B234="On campus",1,INDEX(ModelOutput!$G$16:$G$26,MATCH($B234,ModelOutput!$C$16:$C$26,0)))</f>
        <v>1</v>
      </c>
      <c r="Q234" s="73">
        <f>INDEX(ModelOutput!$D$9:$D$11,MATCH("Tier "&amp;$F234,ModelOutput!$B$9:$B$11,0))</f>
        <v>40.009437343712797</v>
      </c>
      <c r="R234" s="73">
        <f>INDEX(ModelOutput!$E$9:$E$11,MATCH("Tier "&amp;$F234,ModelOutput!$B$9:$B$11,0))</f>
        <v>117.949723218616</v>
      </c>
      <c r="S234" s="73">
        <f>INDEX(ModelOutput!$F$9:$F$11,MATCH("Tier "&amp;$F234,ModelOutput!$B$9:$B$11,0))</f>
        <v>136.83922529015501</v>
      </c>
      <c r="T234" s="73">
        <f>INDEX(ModelOutput!$G$9:$G$11,MATCH("Tier "&amp;$F234,ModelOutput!$B$9:$B$11,0))</f>
        <v>22.729631592092201</v>
      </c>
      <c r="U234" s="77">
        <f t="shared" si="33"/>
        <v>325.23583478078478</v>
      </c>
      <c r="V234" s="77">
        <f t="shared" si="34"/>
        <v>958.81070167554674</v>
      </c>
      <c r="W234" s="77">
        <f t="shared" si="35"/>
        <v>1112.3630478895775</v>
      </c>
      <c r="X234" s="77">
        <f t="shared" si="36"/>
        <v>184.76867449063195</v>
      </c>
      <c r="Y234" s="30">
        <f t="shared" si="37"/>
        <v>2581.1782588365409</v>
      </c>
      <c r="Z234" s="30">
        <f t="shared" si="38"/>
        <v>4238.8637432922524</v>
      </c>
      <c r="AA234" s="41">
        <f t="shared" si="39"/>
        <v>1.9720763205701273</v>
      </c>
      <c r="AB234" s="40">
        <f t="shared" si="40"/>
        <v>1782.7872193062994</v>
      </c>
      <c r="AC234" s="42">
        <f t="shared" si="41"/>
        <v>5</v>
      </c>
      <c r="AD234" s="43">
        <v>2581.17825883655</v>
      </c>
      <c r="AE234" s="79">
        <f t="shared" si="42"/>
        <v>-9.0949470177292824E-12</v>
      </c>
      <c r="AF234" s="29">
        <f t="shared" si="43"/>
        <v>2</v>
      </c>
    </row>
    <row r="235" spans="1:32" ht="15" customHeight="1" x14ac:dyDescent="0.35">
      <c r="A235" s="19" t="s">
        <v>109</v>
      </c>
      <c r="B235" s="19" t="s">
        <v>113</v>
      </c>
      <c r="C235" s="19" t="s">
        <v>118</v>
      </c>
      <c r="D235" s="19" t="s">
        <v>122</v>
      </c>
      <c r="E235" s="19" t="s">
        <v>95</v>
      </c>
      <c r="F235" s="19">
        <v>1</v>
      </c>
      <c r="G235" s="19" t="s">
        <v>211</v>
      </c>
      <c r="H235" s="16">
        <v>34</v>
      </c>
      <c r="I235" s="13">
        <f>IF($G235="Base",1,INDEX(ModelOutput!$D$16:$D$26,MATCH($G235,ModelOutput!$C$16:$C$26,0)))</f>
        <v>1</v>
      </c>
      <c r="J235" s="13">
        <f>IF($A235="Non-greek",1,INDEX(ModelOutput!$D$16:$D$26,MATCH($A235,ModelOutput!$C$16:$C$26,0)))</f>
        <v>4.3562312213391099</v>
      </c>
      <c r="K235" s="13">
        <f>IF($C235="Yes",1,INDEX(ModelOutput!$D$16:$D$26,MATCH($C235,ModelOutput!$C$16:$C$26,0)))</f>
        <v>1.5400747552012299</v>
      </c>
      <c r="L235" s="13">
        <f>IF($D235="2.0-3.0",1,INDEX(ModelOutput!$D$16:$D$26,MATCH($D235,ModelOutput!$C$16:$C$26,0)))</f>
        <v>1</v>
      </c>
      <c r="M235" s="13">
        <f>IF($B235="On campus",1,INDEX(ModelOutput!$D$16:$D$26,MATCH($B235,ModelOutput!$C$16:$C$26,0)))</f>
        <v>1</v>
      </c>
      <c r="N235" s="13">
        <f>IF($B235="On campus",1,INDEX(ModelOutput!$E$16:$E$26,MATCH($B235,ModelOutput!$C$16:$C$26,0)))</f>
        <v>1</v>
      </c>
      <c r="O235" s="13">
        <f>IF($B235="On campus",1,INDEX(ModelOutput!$F$16:$F$26,MATCH($B235,ModelOutput!$C$16:$C$26,0)))</f>
        <v>1</v>
      </c>
      <c r="P235" s="13">
        <f>IF($B235="On campus",1,INDEX(ModelOutput!$G$16:$G$26,MATCH($B235,ModelOutput!$C$16:$C$26,0)))</f>
        <v>1</v>
      </c>
      <c r="Q235" s="72">
        <f>INDEX(ModelOutput!$D$9:$D$11,MATCH("Tier "&amp;$F235,ModelOutput!$B$9:$B$11,0))</f>
        <v>36.175496869914397</v>
      </c>
      <c r="R235" s="72">
        <f>INDEX(ModelOutput!$E$9:$E$11,MATCH("Tier "&amp;$F235,ModelOutput!$B$9:$B$11,0))</f>
        <v>106.647084447761</v>
      </c>
      <c r="S235" s="72">
        <f>INDEX(ModelOutput!$F$9:$F$11,MATCH("Tier "&amp;$F235,ModelOutput!$B$9:$B$11,0))</f>
        <v>123.726482920496</v>
      </c>
      <c r="T235" s="72">
        <f>INDEX(ModelOutput!$G$9:$G$11,MATCH("Tier "&amp;$F235,ModelOutput!$B$9:$B$11,0))</f>
        <v>20.551544113210401</v>
      </c>
      <c r="U235" s="76">
        <f t="shared" si="33"/>
        <v>242.6985771093685</v>
      </c>
      <c r="V235" s="76">
        <f t="shared" si="34"/>
        <v>715.48694248509719</v>
      </c>
      <c r="W235" s="76">
        <f t="shared" si="35"/>
        <v>830.07129006496541</v>
      </c>
      <c r="X235" s="76">
        <f t="shared" si="36"/>
        <v>137.87870092324141</v>
      </c>
      <c r="Y235" s="27">
        <f t="shared" si="37"/>
        <v>1926.1355105826724</v>
      </c>
      <c r="Z235" s="27">
        <f t="shared" si="38"/>
        <v>3173.7131677271277</v>
      </c>
      <c r="AA235" s="33">
        <f t="shared" si="39"/>
        <v>1.2252467466098196</v>
      </c>
      <c r="AB235" s="14">
        <f t="shared" si="40"/>
        <v>1782.7872193062994</v>
      </c>
      <c r="AC235" s="29">
        <f t="shared" si="41"/>
        <v>4</v>
      </c>
      <c r="AD235" s="20">
        <v>1926.1355105826699</v>
      </c>
      <c r="AE235" s="78">
        <f t="shared" si="42"/>
        <v>2.5011104298755527E-12</v>
      </c>
      <c r="AF235" s="29">
        <f t="shared" si="43"/>
        <v>4</v>
      </c>
    </row>
    <row r="236" spans="1:32" ht="15" customHeight="1" x14ac:dyDescent="0.35">
      <c r="A236" s="19" t="s">
        <v>109</v>
      </c>
      <c r="B236" s="19" t="s">
        <v>113</v>
      </c>
      <c r="C236" s="19" t="s">
        <v>118</v>
      </c>
      <c r="D236" s="19" t="s">
        <v>122</v>
      </c>
      <c r="E236" s="19" t="s">
        <v>105</v>
      </c>
      <c r="F236" s="19">
        <v>1</v>
      </c>
      <c r="G236" s="19" t="s">
        <v>105</v>
      </c>
      <c r="H236" s="16">
        <v>39</v>
      </c>
      <c r="I236" s="13">
        <f>IF($G236="Base",1,INDEX(ModelOutput!$D$16:$D$26,MATCH($G236,ModelOutput!$C$16:$C$26,0)))</f>
        <v>0.98982624281990295</v>
      </c>
      <c r="J236" s="13">
        <f>IF($A236="Non-greek",1,INDEX(ModelOutput!$D$16:$D$26,MATCH($A236,ModelOutput!$C$16:$C$26,0)))</f>
        <v>4.3562312213391099</v>
      </c>
      <c r="K236" s="13">
        <f>IF($C236="Yes",1,INDEX(ModelOutput!$D$16:$D$26,MATCH($C236,ModelOutput!$C$16:$C$26,0)))</f>
        <v>1.5400747552012299</v>
      </c>
      <c r="L236" s="13">
        <f>IF($D236="2.0-3.0",1,INDEX(ModelOutput!$D$16:$D$26,MATCH($D236,ModelOutput!$C$16:$C$26,0)))</f>
        <v>1</v>
      </c>
      <c r="M236" s="13">
        <f>IF($B236="On campus",1,INDEX(ModelOutput!$D$16:$D$26,MATCH($B236,ModelOutput!$C$16:$C$26,0)))</f>
        <v>1</v>
      </c>
      <c r="N236" s="13">
        <f>IF($B236="On campus",1,INDEX(ModelOutput!$E$16:$E$26,MATCH($B236,ModelOutput!$C$16:$C$26,0)))</f>
        <v>1</v>
      </c>
      <c r="O236" s="13">
        <f>IF($B236="On campus",1,INDEX(ModelOutput!$F$16:$F$26,MATCH($B236,ModelOutput!$C$16:$C$26,0)))</f>
        <v>1</v>
      </c>
      <c r="P236" s="13">
        <f>IF($B236="On campus",1,INDEX(ModelOutput!$G$16:$G$26,MATCH($B236,ModelOutput!$C$16:$C$26,0)))</f>
        <v>1</v>
      </c>
      <c r="Q236" s="72">
        <f>INDEX(ModelOutput!$D$9:$D$11,MATCH("Tier "&amp;$F236,ModelOutput!$B$9:$B$11,0))</f>
        <v>36.175496869914397</v>
      </c>
      <c r="R236" s="72">
        <f>INDEX(ModelOutput!$E$9:$E$11,MATCH("Tier "&amp;$F236,ModelOutput!$B$9:$B$11,0))</f>
        <v>106.647084447761</v>
      </c>
      <c r="S236" s="72">
        <f>INDEX(ModelOutput!$F$9:$F$11,MATCH("Tier "&amp;$F236,ModelOutput!$B$9:$B$11,0))</f>
        <v>123.726482920496</v>
      </c>
      <c r="T236" s="72">
        <f>INDEX(ModelOutput!$G$9:$G$11,MATCH("Tier "&amp;$F236,ModelOutput!$B$9:$B$11,0))</f>
        <v>20.551544113210401</v>
      </c>
      <c r="U236" s="76">
        <f t="shared" si="33"/>
        <v>240.22942071790274</v>
      </c>
      <c r="V236" s="76">
        <f t="shared" si="34"/>
        <v>708.20775206672386</v>
      </c>
      <c r="W236" s="76">
        <f t="shared" si="35"/>
        <v>821.62634631767446</v>
      </c>
      <c r="X236" s="76">
        <f t="shared" si="36"/>
        <v>136.4759564997411</v>
      </c>
      <c r="Y236" s="27">
        <f t="shared" si="37"/>
        <v>1906.5394756020423</v>
      </c>
      <c r="Z236" s="27">
        <f t="shared" si="38"/>
        <v>3141.8484871485666</v>
      </c>
      <c r="AA236" s="33">
        <f t="shared" si="39"/>
        <v>1.2029048483216433</v>
      </c>
      <c r="AB236" s="14">
        <f t="shared" si="40"/>
        <v>1782.7872193062994</v>
      </c>
      <c r="AC236" s="29">
        <f t="shared" si="41"/>
        <v>4</v>
      </c>
      <c r="AD236" s="20">
        <v>1906.5394756020401</v>
      </c>
      <c r="AE236" s="78">
        <f t="shared" si="42"/>
        <v>2.2737367544323206E-12</v>
      </c>
      <c r="AF236" s="29">
        <f t="shared" si="43"/>
        <v>3</v>
      </c>
    </row>
    <row r="237" spans="1:32" ht="15" customHeight="1" x14ac:dyDescent="0.35">
      <c r="A237" s="19" t="s">
        <v>109</v>
      </c>
      <c r="B237" s="19" t="s">
        <v>113</v>
      </c>
      <c r="C237" s="19" t="s">
        <v>118</v>
      </c>
      <c r="D237" s="19" t="s">
        <v>122</v>
      </c>
      <c r="E237" s="19" t="s">
        <v>97</v>
      </c>
      <c r="F237" s="19">
        <v>2</v>
      </c>
      <c r="G237" s="19" t="s">
        <v>211</v>
      </c>
      <c r="H237" s="16">
        <v>38</v>
      </c>
      <c r="I237" s="13">
        <f>IF($G237="Base",1,INDEX(ModelOutput!$D$16:$D$26,MATCH($G237,ModelOutput!$C$16:$C$26,0)))</f>
        <v>1</v>
      </c>
      <c r="J237" s="13">
        <f>IF($A237="Non-greek",1,INDEX(ModelOutput!$D$16:$D$26,MATCH($A237,ModelOutput!$C$16:$C$26,0)))</f>
        <v>4.3562312213391099</v>
      </c>
      <c r="K237" s="13">
        <f>IF($C237="Yes",1,INDEX(ModelOutput!$D$16:$D$26,MATCH($C237,ModelOutput!$C$16:$C$26,0)))</f>
        <v>1.5400747552012299</v>
      </c>
      <c r="L237" s="13">
        <f>IF($D237="2.0-3.0",1,INDEX(ModelOutput!$D$16:$D$26,MATCH($D237,ModelOutput!$C$16:$C$26,0)))</f>
        <v>1</v>
      </c>
      <c r="M237" s="13">
        <f>IF($B237="On campus",1,INDEX(ModelOutput!$D$16:$D$26,MATCH($B237,ModelOutput!$C$16:$C$26,0)))</f>
        <v>1</v>
      </c>
      <c r="N237" s="13">
        <f>IF($B237="On campus",1,INDEX(ModelOutput!$E$16:$E$26,MATCH($B237,ModelOutput!$C$16:$C$26,0)))</f>
        <v>1</v>
      </c>
      <c r="O237" s="13">
        <f>IF($B237="On campus",1,INDEX(ModelOutput!$F$16:$F$26,MATCH($B237,ModelOutput!$C$16:$C$26,0)))</f>
        <v>1</v>
      </c>
      <c r="P237" s="13">
        <f>IF($B237="On campus",1,INDEX(ModelOutput!$G$16:$G$26,MATCH($B237,ModelOutput!$C$16:$C$26,0)))</f>
        <v>1</v>
      </c>
      <c r="Q237" s="72">
        <f>INDEX(ModelOutput!$D$9:$D$11,MATCH("Tier "&amp;$F237,ModelOutput!$B$9:$B$11,0))</f>
        <v>42.8051506068728</v>
      </c>
      <c r="R237" s="72">
        <f>INDEX(ModelOutput!$E$9:$E$11,MATCH("Tier "&amp;$F237,ModelOutput!$B$9:$B$11,0))</f>
        <v>126.191618818284</v>
      </c>
      <c r="S237" s="72">
        <f>INDEX(ModelOutput!$F$9:$F$11,MATCH("Tier "&amp;$F237,ModelOutput!$B$9:$B$11,0))</f>
        <v>146.401050261042</v>
      </c>
      <c r="T237" s="72">
        <f>INDEX(ModelOutput!$G$9:$G$11,MATCH("Tier "&amp;$F237,ModelOutput!$B$9:$B$11,0))</f>
        <v>24.317895180076398</v>
      </c>
      <c r="U237" s="76">
        <f t="shared" si="33"/>
        <v>287.17640513958287</v>
      </c>
      <c r="V237" s="76">
        <f t="shared" si="34"/>
        <v>846.60969386148497</v>
      </c>
      <c r="W237" s="76">
        <f t="shared" si="35"/>
        <v>982.19318765520279</v>
      </c>
      <c r="X237" s="76">
        <f t="shared" si="36"/>
        <v>163.14685544534106</v>
      </c>
      <c r="Y237" s="27">
        <f t="shared" si="37"/>
        <v>2279.1261421016115</v>
      </c>
      <c r="Z237" s="27">
        <f t="shared" si="38"/>
        <v>3747.7034536035185</v>
      </c>
      <c r="AA237" s="33">
        <f t="shared" si="39"/>
        <v>1.6276996302605502</v>
      </c>
      <c r="AB237" s="14">
        <f t="shared" si="40"/>
        <v>1782.7872193062994</v>
      </c>
      <c r="AC237" s="29">
        <f t="shared" si="41"/>
        <v>5</v>
      </c>
      <c r="AD237" s="20">
        <v>2279.1261421016102</v>
      </c>
      <c r="AE237" s="78">
        <f t="shared" si="42"/>
        <v>0</v>
      </c>
      <c r="AF237" s="29">
        <f t="shared" si="43"/>
        <v>2</v>
      </c>
    </row>
    <row r="238" spans="1:32" ht="15" customHeight="1" x14ac:dyDescent="0.35">
      <c r="A238" s="19" t="s">
        <v>109</v>
      </c>
      <c r="B238" s="19" t="s">
        <v>113</v>
      </c>
      <c r="C238" s="19" t="s">
        <v>118</v>
      </c>
      <c r="D238" s="19" t="s">
        <v>122</v>
      </c>
      <c r="E238" s="19" t="s">
        <v>99</v>
      </c>
      <c r="F238" s="19">
        <v>3</v>
      </c>
      <c r="G238" s="19" t="s">
        <v>211</v>
      </c>
      <c r="H238" s="16">
        <v>41</v>
      </c>
      <c r="I238" s="13">
        <f>IF($G238="Base",1,INDEX(ModelOutput!$D$16:$D$26,MATCH($G238,ModelOutput!$C$16:$C$26,0)))</f>
        <v>1</v>
      </c>
      <c r="J238" s="13">
        <f>IF($A238="Non-greek",1,INDEX(ModelOutput!$D$16:$D$26,MATCH($A238,ModelOutput!$C$16:$C$26,0)))</f>
        <v>4.3562312213391099</v>
      </c>
      <c r="K238" s="13">
        <f>IF($C238="Yes",1,INDEX(ModelOutput!$D$16:$D$26,MATCH($C238,ModelOutput!$C$16:$C$26,0)))</f>
        <v>1.5400747552012299</v>
      </c>
      <c r="L238" s="13">
        <f>IF($D238="2.0-3.0",1,INDEX(ModelOutput!$D$16:$D$26,MATCH($D238,ModelOutput!$C$16:$C$26,0)))</f>
        <v>1</v>
      </c>
      <c r="M238" s="13">
        <f>IF($B238="On campus",1,INDEX(ModelOutput!$D$16:$D$26,MATCH($B238,ModelOutput!$C$16:$C$26,0)))</f>
        <v>1</v>
      </c>
      <c r="N238" s="13">
        <f>IF($B238="On campus",1,INDEX(ModelOutput!$E$16:$E$26,MATCH($B238,ModelOutput!$C$16:$C$26,0)))</f>
        <v>1</v>
      </c>
      <c r="O238" s="13">
        <f>IF($B238="On campus",1,INDEX(ModelOutput!$F$16:$F$26,MATCH($B238,ModelOutput!$C$16:$C$26,0)))</f>
        <v>1</v>
      </c>
      <c r="P238" s="13">
        <f>IF($B238="On campus",1,INDEX(ModelOutput!$G$16:$G$26,MATCH($B238,ModelOutput!$C$16:$C$26,0)))</f>
        <v>1</v>
      </c>
      <c r="Q238" s="72">
        <f>INDEX(ModelOutput!$D$9:$D$11,MATCH("Tier "&amp;$F238,ModelOutput!$B$9:$B$11,0))</f>
        <v>40.009437343712797</v>
      </c>
      <c r="R238" s="72">
        <f>INDEX(ModelOutput!$E$9:$E$11,MATCH("Tier "&amp;$F238,ModelOutput!$B$9:$B$11,0))</f>
        <v>117.949723218616</v>
      </c>
      <c r="S238" s="72">
        <f>INDEX(ModelOutput!$F$9:$F$11,MATCH("Tier "&amp;$F238,ModelOutput!$B$9:$B$11,0))</f>
        <v>136.83922529015501</v>
      </c>
      <c r="T238" s="72">
        <f>INDEX(ModelOutput!$G$9:$G$11,MATCH("Tier "&amp;$F238,ModelOutput!$B$9:$B$11,0))</f>
        <v>22.729631592092201</v>
      </c>
      <c r="U238" s="76">
        <f t="shared" si="33"/>
        <v>268.42018367247664</v>
      </c>
      <c r="V238" s="76">
        <f t="shared" si="34"/>
        <v>791.31546136161433</v>
      </c>
      <c r="W238" s="76">
        <f t="shared" si="35"/>
        <v>918.04365231231498</v>
      </c>
      <c r="X238" s="76">
        <f t="shared" si="36"/>
        <v>152.49131934408121</v>
      </c>
      <c r="Y238" s="27">
        <f t="shared" si="37"/>
        <v>2130.2706166904873</v>
      </c>
      <c r="Z238" s="27">
        <f t="shared" si="38"/>
        <v>3505.6527645601541</v>
      </c>
      <c r="AA238" s="33">
        <f t="shared" si="39"/>
        <v>1.4579859605485046</v>
      </c>
      <c r="AB238" s="14">
        <f t="shared" si="40"/>
        <v>1782.7872193062994</v>
      </c>
      <c r="AC238" s="29">
        <f t="shared" si="41"/>
        <v>5</v>
      </c>
      <c r="AD238" s="20">
        <v>2130.27061669049</v>
      </c>
      <c r="AE238" s="78">
        <f t="shared" si="42"/>
        <v>0</v>
      </c>
      <c r="AF238" s="29">
        <f t="shared" si="43"/>
        <v>1</v>
      </c>
    </row>
    <row r="239" spans="1:32" ht="15" customHeight="1" x14ac:dyDescent="0.35">
      <c r="A239" s="19" t="s">
        <v>109</v>
      </c>
      <c r="B239" s="19" t="s">
        <v>113</v>
      </c>
      <c r="C239" s="19" t="s">
        <v>118</v>
      </c>
      <c r="D239" s="19" t="s">
        <v>122</v>
      </c>
      <c r="E239" s="19" t="s">
        <v>213</v>
      </c>
      <c r="F239" s="19">
        <v>3</v>
      </c>
      <c r="G239" s="19" t="s">
        <v>107</v>
      </c>
      <c r="H239" s="16">
        <v>16</v>
      </c>
      <c r="I239" s="13">
        <f>IF($G239="Base",1,INDEX(ModelOutput!$D$16:$D$26,MATCH($G239,ModelOutput!$C$16:$C$26,0)))</f>
        <v>1.1906804269762199</v>
      </c>
      <c r="J239" s="13">
        <f>IF($A239="Non-greek",1,INDEX(ModelOutput!$D$16:$D$26,MATCH($A239,ModelOutput!$C$16:$C$26,0)))</f>
        <v>4.3562312213391099</v>
      </c>
      <c r="K239" s="13">
        <f>IF($C239="Yes",1,INDEX(ModelOutput!$D$16:$D$26,MATCH($C239,ModelOutput!$C$16:$C$26,0)))</f>
        <v>1.5400747552012299</v>
      </c>
      <c r="L239" s="13">
        <f>IF($D239="2.0-3.0",1,INDEX(ModelOutput!$D$16:$D$26,MATCH($D239,ModelOutput!$C$16:$C$26,0)))</f>
        <v>1</v>
      </c>
      <c r="M239" s="13">
        <f>IF($B239="On campus",1,INDEX(ModelOutput!$D$16:$D$26,MATCH($B239,ModelOutput!$C$16:$C$26,0)))</f>
        <v>1</v>
      </c>
      <c r="N239" s="13">
        <f>IF($B239="On campus",1,INDEX(ModelOutput!$E$16:$E$26,MATCH($B239,ModelOutput!$C$16:$C$26,0)))</f>
        <v>1</v>
      </c>
      <c r="O239" s="13">
        <f>IF($B239="On campus",1,INDEX(ModelOutput!$F$16:$F$26,MATCH($B239,ModelOutput!$C$16:$C$26,0)))</f>
        <v>1</v>
      </c>
      <c r="P239" s="13">
        <f>IF($B239="On campus",1,INDEX(ModelOutput!$G$16:$G$26,MATCH($B239,ModelOutput!$C$16:$C$26,0)))</f>
        <v>1</v>
      </c>
      <c r="Q239" s="72">
        <f>INDEX(ModelOutput!$D$9:$D$11,MATCH("Tier "&amp;$F239,ModelOutput!$B$9:$B$11,0))</f>
        <v>40.009437343712797</v>
      </c>
      <c r="R239" s="72">
        <f>INDEX(ModelOutput!$E$9:$E$11,MATCH("Tier "&amp;$F239,ModelOutput!$B$9:$B$11,0))</f>
        <v>117.949723218616</v>
      </c>
      <c r="S239" s="72">
        <f>INDEX(ModelOutput!$F$9:$F$11,MATCH("Tier "&amp;$F239,ModelOutput!$B$9:$B$11,0))</f>
        <v>136.83922529015501</v>
      </c>
      <c r="T239" s="72">
        <f>INDEX(ModelOutput!$G$9:$G$11,MATCH("Tier "&amp;$F239,ModelOutput!$B$9:$B$11,0))</f>
        <v>22.729631592092201</v>
      </c>
      <c r="U239" s="76">
        <f t="shared" si="33"/>
        <v>319.60265890417992</v>
      </c>
      <c r="V239" s="76">
        <f t="shared" si="34"/>
        <v>942.20383140693139</v>
      </c>
      <c r="W239" s="76">
        <f t="shared" si="35"/>
        <v>1093.0966079180357</v>
      </c>
      <c r="X239" s="76">
        <f t="shared" si="36"/>
        <v>181.56842922677771</v>
      </c>
      <c r="Y239" s="27">
        <f t="shared" si="37"/>
        <v>2536.4715274559248</v>
      </c>
      <c r="Z239" s="27">
        <f t="shared" si="38"/>
        <v>4166.167112746175</v>
      </c>
      <c r="AA239" s="33">
        <f t="shared" si="39"/>
        <v>1.9211051293934509</v>
      </c>
      <c r="AB239" s="14">
        <f t="shared" si="40"/>
        <v>1782.7872193062994</v>
      </c>
      <c r="AC239" s="29">
        <f t="shared" si="41"/>
        <v>5</v>
      </c>
      <c r="AD239" s="20">
        <v>2536.4715274559298</v>
      </c>
      <c r="AE239" s="78">
        <f t="shared" si="42"/>
        <v>-5.0022208597511053E-12</v>
      </c>
      <c r="AF239" s="29">
        <f t="shared" si="43"/>
        <v>2</v>
      </c>
    </row>
    <row r="240" spans="1:32" ht="15" customHeight="1" x14ac:dyDescent="0.35">
      <c r="A240" s="37" t="s">
        <v>109</v>
      </c>
      <c r="B240" s="37" t="s">
        <v>113</v>
      </c>
      <c r="C240" s="37" t="s">
        <v>118</v>
      </c>
      <c r="D240" s="37" t="s">
        <v>124</v>
      </c>
      <c r="E240" s="37" t="s">
        <v>95</v>
      </c>
      <c r="F240" s="37">
        <v>1</v>
      </c>
      <c r="G240" s="37" t="s">
        <v>211</v>
      </c>
      <c r="H240" s="38">
        <v>16</v>
      </c>
      <c r="I240" s="39">
        <f>IF($G240="Base",1,INDEX(ModelOutput!$D$16:$D$26,MATCH($G240,ModelOutput!$C$16:$C$26,0)))</f>
        <v>1</v>
      </c>
      <c r="J240" s="39">
        <f>IF($A240="Non-greek",1,INDEX(ModelOutput!$D$16:$D$26,MATCH($A240,ModelOutput!$C$16:$C$26,0)))</f>
        <v>4.3562312213391099</v>
      </c>
      <c r="K240" s="39">
        <f>IF($C240="Yes",1,INDEX(ModelOutput!$D$16:$D$26,MATCH($C240,ModelOutput!$C$16:$C$26,0)))</f>
        <v>1.5400747552012299</v>
      </c>
      <c r="L240" s="39">
        <f>IF($D240="2.0-3.0",1,INDEX(ModelOutput!$D$16:$D$26,MATCH($D240,ModelOutput!$C$16:$C$26,0)))</f>
        <v>0.87654761766211098</v>
      </c>
      <c r="M240" s="39">
        <f>IF($B240="On campus",1,INDEX(ModelOutput!$D$16:$D$26,MATCH($B240,ModelOutput!$C$16:$C$26,0)))</f>
        <v>1</v>
      </c>
      <c r="N240" s="39">
        <f>IF($B240="On campus",1,INDEX(ModelOutput!$E$16:$E$26,MATCH($B240,ModelOutput!$C$16:$C$26,0)))</f>
        <v>1</v>
      </c>
      <c r="O240" s="39">
        <f>IF($B240="On campus",1,INDEX(ModelOutput!$F$16:$F$26,MATCH($B240,ModelOutput!$C$16:$C$26,0)))</f>
        <v>1</v>
      </c>
      <c r="P240" s="39">
        <f>IF($B240="On campus",1,INDEX(ModelOutput!$G$16:$G$26,MATCH($B240,ModelOutput!$C$16:$C$26,0)))</f>
        <v>1</v>
      </c>
      <c r="Q240" s="73">
        <f>INDEX(ModelOutput!$D$9:$D$11,MATCH("Tier "&amp;$F240,ModelOutput!$B$9:$B$11,0))</f>
        <v>36.175496869914397</v>
      </c>
      <c r="R240" s="73">
        <f>INDEX(ModelOutput!$E$9:$E$11,MATCH("Tier "&amp;$F240,ModelOutput!$B$9:$B$11,0))</f>
        <v>106.647084447761</v>
      </c>
      <c r="S240" s="73">
        <f>INDEX(ModelOutput!$F$9:$F$11,MATCH("Tier "&amp;$F240,ModelOutput!$B$9:$B$11,0))</f>
        <v>123.726482920496</v>
      </c>
      <c r="T240" s="73">
        <f>INDEX(ModelOutput!$G$9:$G$11,MATCH("Tier "&amp;$F240,ModelOutput!$B$9:$B$11,0))</f>
        <v>20.551544113210401</v>
      </c>
      <c r="U240" s="77">
        <f t="shared" si="33"/>
        <v>212.73685957520109</v>
      </c>
      <c r="V240" s="77">
        <f t="shared" si="34"/>
        <v>627.15837490365971</v>
      </c>
      <c r="W240" s="77">
        <f t="shared" si="35"/>
        <v>727.59701179616047</v>
      </c>
      <c r="X240" s="77">
        <f t="shared" si="36"/>
        <v>120.85724682061397</v>
      </c>
      <c r="Y240" s="30">
        <f t="shared" si="37"/>
        <v>1688.3494930956354</v>
      </c>
      <c r="Z240" s="30">
        <f t="shared" si="38"/>
        <v>2787.0545655781643</v>
      </c>
      <c r="AA240" s="41">
        <f t="shared" si="39"/>
        <v>0.95414134073066448</v>
      </c>
      <c r="AB240" s="40">
        <f t="shared" si="40"/>
        <v>1782.7872193062994</v>
      </c>
      <c r="AC240" s="42">
        <f t="shared" si="41"/>
        <v>4</v>
      </c>
      <c r="AD240" s="43">
        <v>1688.3494930956299</v>
      </c>
      <c r="AE240" s="79">
        <f t="shared" si="42"/>
        <v>5.4569682106375694E-12</v>
      </c>
      <c r="AF240" s="29">
        <f t="shared" si="43"/>
        <v>4</v>
      </c>
    </row>
    <row r="241" spans="1:32" ht="15" customHeight="1" x14ac:dyDescent="0.35">
      <c r="A241" s="37" t="s">
        <v>109</v>
      </c>
      <c r="B241" s="37" t="s">
        <v>113</v>
      </c>
      <c r="C241" s="37" t="s">
        <v>118</v>
      </c>
      <c r="D241" s="37" t="s">
        <v>124</v>
      </c>
      <c r="E241" s="37" t="s">
        <v>105</v>
      </c>
      <c r="F241" s="37">
        <v>1</v>
      </c>
      <c r="G241" s="37" t="s">
        <v>105</v>
      </c>
      <c r="H241" s="38">
        <v>23</v>
      </c>
      <c r="I241" s="39">
        <f>IF($G241="Base",1,INDEX(ModelOutput!$D$16:$D$26,MATCH($G241,ModelOutput!$C$16:$C$26,0)))</f>
        <v>0.98982624281990295</v>
      </c>
      <c r="J241" s="39">
        <f>IF($A241="Non-greek",1,INDEX(ModelOutput!$D$16:$D$26,MATCH($A241,ModelOutput!$C$16:$C$26,0)))</f>
        <v>4.3562312213391099</v>
      </c>
      <c r="K241" s="39">
        <f>IF($C241="Yes",1,INDEX(ModelOutput!$D$16:$D$26,MATCH($C241,ModelOutput!$C$16:$C$26,0)))</f>
        <v>1.5400747552012299</v>
      </c>
      <c r="L241" s="39">
        <f>IF($D241="2.0-3.0",1,INDEX(ModelOutput!$D$16:$D$26,MATCH($D241,ModelOutput!$C$16:$C$26,0)))</f>
        <v>0.87654761766211098</v>
      </c>
      <c r="M241" s="39">
        <f>IF($B241="On campus",1,INDEX(ModelOutput!$D$16:$D$26,MATCH($B241,ModelOutput!$C$16:$C$26,0)))</f>
        <v>1</v>
      </c>
      <c r="N241" s="39">
        <f>IF($B241="On campus",1,INDEX(ModelOutput!$E$16:$E$26,MATCH($B241,ModelOutput!$C$16:$C$26,0)))</f>
        <v>1</v>
      </c>
      <c r="O241" s="39">
        <f>IF($B241="On campus",1,INDEX(ModelOutput!$F$16:$F$26,MATCH($B241,ModelOutput!$C$16:$C$26,0)))</f>
        <v>1</v>
      </c>
      <c r="P241" s="39">
        <f>IF($B241="On campus",1,INDEX(ModelOutput!$G$16:$G$26,MATCH($B241,ModelOutput!$C$16:$C$26,0)))</f>
        <v>1</v>
      </c>
      <c r="Q241" s="73">
        <f>INDEX(ModelOutput!$D$9:$D$11,MATCH("Tier "&amp;$F241,ModelOutput!$B$9:$B$11,0))</f>
        <v>36.175496869914397</v>
      </c>
      <c r="R241" s="73">
        <f>INDEX(ModelOutput!$E$9:$E$11,MATCH("Tier "&amp;$F241,ModelOutput!$B$9:$B$11,0))</f>
        <v>106.647084447761</v>
      </c>
      <c r="S241" s="73">
        <f>INDEX(ModelOutput!$F$9:$F$11,MATCH("Tier "&amp;$F241,ModelOutput!$B$9:$B$11,0))</f>
        <v>123.726482920496</v>
      </c>
      <c r="T241" s="73">
        <f>INDEX(ModelOutput!$G$9:$G$11,MATCH("Tier "&amp;$F241,ModelOutput!$B$9:$B$11,0))</f>
        <v>20.551544113210401</v>
      </c>
      <c r="U241" s="77">
        <f t="shared" si="33"/>
        <v>210.57252642262662</v>
      </c>
      <c r="V241" s="77">
        <f t="shared" si="34"/>
        <v>620.77781788392576</v>
      </c>
      <c r="W241" s="77">
        <f t="shared" si="35"/>
        <v>720.19461647318212</v>
      </c>
      <c r="X241" s="77">
        <f t="shared" si="36"/>
        <v>119.62767453800595</v>
      </c>
      <c r="Y241" s="30">
        <f t="shared" si="37"/>
        <v>1671.1726353177405</v>
      </c>
      <c r="Z241" s="30">
        <f t="shared" si="38"/>
        <v>2759.1236557294624</v>
      </c>
      <c r="AA241" s="41">
        <f t="shared" si="39"/>
        <v>0.93455760301211455</v>
      </c>
      <c r="AB241" s="40">
        <f t="shared" si="40"/>
        <v>1782.7872193062994</v>
      </c>
      <c r="AC241" s="42">
        <f t="shared" si="41"/>
        <v>3</v>
      </c>
      <c r="AD241" s="43">
        <v>1671.1726353177401</v>
      </c>
      <c r="AE241" s="79">
        <f t="shared" si="42"/>
        <v>0</v>
      </c>
      <c r="AF241" s="29">
        <f t="shared" si="43"/>
        <v>3</v>
      </c>
    </row>
    <row r="242" spans="1:32" ht="15" customHeight="1" x14ac:dyDescent="0.35">
      <c r="A242" s="37" t="s">
        <v>109</v>
      </c>
      <c r="B242" s="37" t="s">
        <v>113</v>
      </c>
      <c r="C242" s="37" t="s">
        <v>118</v>
      </c>
      <c r="D242" s="37" t="s">
        <v>124</v>
      </c>
      <c r="E242" s="37" t="s">
        <v>97</v>
      </c>
      <c r="F242" s="37">
        <v>2</v>
      </c>
      <c r="G242" s="37" t="s">
        <v>211</v>
      </c>
      <c r="H242" s="38">
        <v>24</v>
      </c>
      <c r="I242" s="39">
        <f>IF($G242="Base",1,INDEX(ModelOutput!$D$16:$D$26,MATCH($G242,ModelOutput!$C$16:$C$26,0)))</f>
        <v>1</v>
      </c>
      <c r="J242" s="39">
        <f>IF($A242="Non-greek",1,INDEX(ModelOutput!$D$16:$D$26,MATCH($A242,ModelOutput!$C$16:$C$26,0)))</f>
        <v>4.3562312213391099</v>
      </c>
      <c r="K242" s="39">
        <f>IF($C242="Yes",1,INDEX(ModelOutput!$D$16:$D$26,MATCH($C242,ModelOutput!$C$16:$C$26,0)))</f>
        <v>1.5400747552012299</v>
      </c>
      <c r="L242" s="39">
        <f>IF($D242="2.0-3.0",1,INDEX(ModelOutput!$D$16:$D$26,MATCH($D242,ModelOutput!$C$16:$C$26,0)))</f>
        <v>0.87654761766211098</v>
      </c>
      <c r="M242" s="39">
        <f>IF($B242="On campus",1,INDEX(ModelOutput!$D$16:$D$26,MATCH($B242,ModelOutput!$C$16:$C$26,0)))</f>
        <v>1</v>
      </c>
      <c r="N242" s="39">
        <f>IF($B242="On campus",1,INDEX(ModelOutput!$E$16:$E$26,MATCH($B242,ModelOutput!$C$16:$C$26,0)))</f>
        <v>1</v>
      </c>
      <c r="O242" s="39">
        <f>IF($B242="On campus",1,INDEX(ModelOutput!$F$16:$F$26,MATCH($B242,ModelOutput!$C$16:$C$26,0)))</f>
        <v>1</v>
      </c>
      <c r="P242" s="39">
        <f>IF($B242="On campus",1,INDEX(ModelOutput!$G$16:$G$26,MATCH($B242,ModelOutput!$C$16:$C$26,0)))</f>
        <v>1</v>
      </c>
      <c r="Q242" s="73">
        <f>INDEX(ModelOutput!$D$9:$D$11,MATCH("Tier "&amp;$F242,ModelOutput!$B$9:$B$11,0))</f>
        <v>42.8051506068728</v>
      </c>
      <c r="R242" s="73">
        <f>INDEX(ModelOutput!$E$9:$E$11,MATCH("Tier "&amp;$F242,ModelOutput!$B$9:$B$11,0))</f>
        <v>126.191618818284</v>
      </c>
      <c r="S242" s="73">
        <f>INDEX(ModelOutput!$F$9:$F$11,MATCH("Tier "&amp;$F242,ModelOutput!$B$9:$B$11,0))</f>
        <v>146.401050261042</v>
      </c>
      <c r="T242" s="73">
        <f>INDEX(ModelOutput!$G$9:$G$11,MATCH("Tier "&amp;$F242,ModelOutput!$B$9:$B$11,0))</f>
        <v>24.317895180076398</v>
      </c>
      <c r="U242" s="77">
        <f t="shared" si="33"/>
        <v>251.72379377387057</v>
      </c>
      <c r="V242" s="77">
        <f t="shared" si="34"/>
        <v>742.09371024393374</v>
      </c>
      <c r="W242" s="77">
        <f t="shared" si="35"/>
        <v>860.9390987231227</v>
      </c>
      <c r="X242" s="77">
        <f t="shared" si="36"/>
        <v>143.0059874696785</v>
      </c>
      <c r="Y242" s="30">
        <f t="shared" si="37"/>
        <v>1997.7625902106056</v>
      </c>
      <c r="Z242" s="30">
        <f t="shared" si="38"/>
        <v>3290.1843832243089</v>
      </c>
      <c r="AA242" s="41">
        <f t="shared" si="39"/>
        <v>1.3069104571159595</v>
      </c>
      <c r="AB242" s="40">
        <f t="shared" si="40"/>
        <v>1782.7872193062994</v>
      </c>
      <c r="AC242" s="42">
        <f t="shared" si="41"/>
        <v>4</v>
      </c>
      <c r="AD242" s="43">
        <v>1997.7625902105999</v>
      </c>
      <c r="AE242" s="79">
        <f t="shared" si="42"/>
        <v>5.6843418860808015E-12</v>
      </c>
      <c r="AF242" s="29">
        <f t="shared" si="43"/>
        <v>2</v>
      </c>
    </row>
    <row r="243" spans="1:32" ht="15" customHeight="1" x14ac:dyDescent="0.35">
      <c r="A243" s="37" t="s">
        <v>109</v>
      </c>
      <c r="B243" s="37" t="s">
        <v>113</v>
      </c>
      <c r="C243" s="37" t="s">
        <v>118</v>
      </c>
      <c r="D243" s="37" t="s">
        <v>124</v>
      </c>
      <c r="E243" s="37" t="s">
        <v>99</v>
      </c>
      <c r="F243" s="37">
        <v>3</v>
      </c>
      <c r="G243" s="37" t="s">
        <v>211</v>
      </c>
      <c r="H243" s="38">
        <v>23</v>
      </c>
      <c r="I243" s="39">
        <f>IF($G243="Base",1,INDEX(ModelOutput!$D$16:$D$26,MATCH($G243,ModelOutput!$C$16:$C$26,0)))</f>
        <v>1</v>
      </c>
      <c r="J243" s="39">
        <f>IF($A243="Non-greek",1,INDEX(ModelOutput!$D$16:$D$26,MATCH($A243,ModelOutput!$C$16:$C$26,0)))</f>
        <v>4.3562312213391099</v>
      </c>
      <c r="K243" s="39">
        <f>IF($C243="Yes",1,INDEX(ModelOutput!$D$16:$D$26,MATCH($C243,ModelOutput!$C$16:$C$26,0)))</f>
        <v>1.5400747552012299</v>
      </c>
      <c r="L243" s="39">
        <f>IF($D243="2.0-3.0",1,INDEX(ModelOutput!$D$16:$D$26,MATCH($D243,ModelOutput!$C$16:$C$26,0)))</f>
        <v>0.87654761766211098</v>
      </c>
      <c r="M243" s="39">
        <f>IF($B243="On campus",1,INDEX(ModelOutput!$D$16:$D$26,MATCH($B243,ModelOutput!$C$16:$C$26,0)))</f>
        <v>1</v>
      </c>
      <c r="N243" s="39">
        <f>IF($B243="On campus",1,INDEX(ModelOutput!$E$16:$E$26,MATCH($B243,ModelOutput!$C$16:$C$26,0)))</f>
        <v>1</v>
      </c>
      <c r="O243" s="39">
        <f>IF($B243="On campus",1,INDEX(ModelOutput!$F$16:$F$26,MATCH($B243,ModelOutput!$C$16:$C$26,0)))</f>
        <v>1</v>
      </c>
      <c r="P243" s="39">
        <f>IF($B243="On campus",1,INDEX(ModelOutput!$G$16:$G$26,MATCH($B243,ModelOutput!$C$16:$C$26,0)))</f>
        <v>1</v>
      </c>
      <c r="Q243" s="73">
        <f>INDEX(ModelOutput!$D$9:$D$11,MATCH("Tier "&amp;$F243,ModelOutput!$B$9:$B$11,0))</f>
        <v>40.009437343712797</v>
      </c>
      <c r="R243" s="73">
        <f>INDEX(ModelOutput!$E$9:$E$11,MATCH("Tier "&amp;$F243,ModelOutput!$B$9:$B$11,0))</f>
        <v>117.949723218616</v>
      </c>
      <c r="S243" s="73">
        <f>INDEX(ModelOutput!$F$9:$F$11,MATCH("Tier "&amp;$F243,ModelOutput!$B$9:$B$11,0))</f>
        <v>136.83922529015501</v>
      </c>
      <c r="T243" s="73">
        <f>INDEX(ModelOutput!$G$9:$G$11,MATCH("Tier "&amp;$F243,ModelOutput!$B$9:$B$11,0))</f>
        <v>22.729631592092201</v>
      </c>
      <c r="U243" s="77">
        <f t="shared" si="33"/>
        <v>235.28307253053566</v>
      </c>
      <c r="V243" s="77">
        <f t="shared" si="34"/>
        <v>693.62568247571721</v>
      </c>
      <c r="W243" s="77">
        <f t="shared" si="35"/>
        <v>804.70897634418304</v>
      </c>
      <c r="X243" s="77">
        <f t="shared" si="36"/>
        <v>133.66590268520656</v>
      </c>
      <c r="Y243" s="30">
        <f t="shared" si="37"/>
        <v>1867.2836340356425</v>
      </c>
      <c r="Z243" s="30">
        <f t="shared" si="38"/>
        <v>3078.0154283898751</v>
      </c>
      <c r="AA243" s="41">
        <f t="shared" si="39"/>
        <v>1.1581483442451717</v>
      </c>
      <c r="AB243" s="40">
        <f t="shared" si="40"/>
        <v>1782.7872193062994</v>
      </c>
      <c r="AC243" s="42">
        <f t="shared" si="41"/>
        <v>4</v>
      </c>
      <c r="AD243" s="43">
        <v>1867.28363403564</v>
      </c>
      <c r="AE243" s="79">
        <f t="shared" si="42"/>
        <v>2.5011104298755527E-12</v>
      </c>
      <c r="AF243" s="29">
        <f t="shared" si="43"/>
        <v>1</v>
      </c>
    </row>
    <row r="244" spans="1:32" ht="15" customHeight="1" x14ac:dyDescent="0.35">
      <c r="A244" s="37" t="s">
        <v>109</v>
      </c>
      <c r="B244" s="37" t="s">
        <v>113</v>
      </c>
      <c r="C244" s="37" t="s">
        <v>118</v>
      </c>
      <c r="D244" s="37" t="s">
        <v>124</v>
      </c>
      <c r="E244" s="37" t="s">
        <v>213</v>
      </c>
      <c r="F244" s="37">
        <v>3</v>
      </c>
      <c r="G244" s="37" t="s">
        <v>107</v>
      </c>
      <c r="H244" s="38">
        <v>13</v>
      </c>
      <c r="I244" s="39">
        <f>IF($G244="Base",1,INDEX(ModelOutput!$D$16:$D$26,MATCH($G244,ModelOutput!$C$16:$C$26,0)))</f>
        <v>1.1906804269762199</v>
      </c>
      <c r="J244" s="39">
        <f>IF($A244="Non-greek",1,INDEX(ModelOutput!$D$16:$D$26,MATCH($A244,ModelOutput!$C$16:$C$26,0)))</f>
        <v>4.3562312213391099</v>
      </c>
      <c r="K244" s="39">
        <f>IF($C244="Yes",1,INDEX(ModelOutput!$D$16:$D$26,MATCH($C244,ModelOutput!$C$16:$C$26,0)))</f>
        <v>1.5400747552012299</v>
      </c>
      <c r="L244" s="39">
        <f>IF($D244="2.0-3.0",1,INDEX(ModelOutput!$D$16:$D$26,MATCH($D244,ModelOutput!$C$16:$C$26,0)))</f>
        <v>0.87654761766211098</v>
      </c>
      <c r="M244" s="39">
        <f>IF($B244="On campus",1,INDEX(ModelOutput!$D$16:$D$26,MATCH($B244,ModelOutput!$C$16:$C$26,0)))</f>
        <v>1</v>
      </c>
      <c r="N244" s="39">
        <f>IF($B244="On campus",1,INDEX(ModelOutput!$E$16:$E$26,MATCH($B244,ModelOutput!$C$16:$C$26,0)))</f>
        <v>1</v>
      </c>
      <c r="O244" s="39">
        <f>IF($B244="On campus",1,INDEX(ModelOutput!$F$16:$F$26,MATCH($B244,ModelOutput!$C$16:$C$26,0)))</f>
        <v>1</v>
      </c>
      <c r="P244" s="39">
        <f>IF($B244="On campus",1,INDEX(ModelOutput!$G$16:$G$26,MATCH($B244,ModelOutput!$C$16:$C$26,0)))</f>
        <v>1</v>
      </c>
      <c r="Q244" s="73">
        <f>INDEX(ModelOutput!$D$9:$D$11,MATCH("Tier "&amp;$F244,ModelOutput!$B$9:$B$11,0))</f>
        <v>40.009437343712797</v>
      </c>
      <c r="R244" s="73">
        <f>INDEX(ModelOutput!$E$9:$E$11,MATCH("Tier "&amp;$F244,ModelOutput!$B$9:$B$11,0))</f>
        <v>117.949723218616</v>
      </c>
      <c r="S244" s="73">
        <f>INDEX(ModelOutput!$F$9:$F$11,MATCH("Tier "&amp;$F244,ModelOutput!$B$9:$B$11,0))</f>
        <v>136.83922529015501</v>
      </c>
      <c r="T244" s="73">
        <f>INDEX(ModelOutput!$G$9:$G$11,MATCH("Tier "&amp;$F244,ModelOutput!$B$9:$B$11,0))</f>
        <v>22.729631592092201</v>
      </c>
      <c r="U244" s="77">
        <f t="shared" si="33"/>
        <v>280.14694926093517</v>
      </c>
      <c r="V244" s="77">
        <f t="shared" si="34"/>
        <v>825.88652377185895</v>
      </c>
      <c r="W244" s="77">
        <f t="shared" si="35"/>
        <v>958.15122754508877</v>
      </c>
      <c r="X244" s="77">
        <f t="shared" si="36"/>
        <v>159.15337408138362</v>
      </c>
      <c r="Y244" s="30">
        <f t="shared" si="37"/>
        <v>2223.3380746592666</v>
      </c>
      <c r="Z244" s="30">
        <f t="shared" si="38"/>
        <v>3656.9877067239731</v>
      </c>
      <c r="AA244" s="41">
        <f t="shared" si="39"/>
        <v>1.5640943483898657</v>
      </c>
      <c r="AB244" s="40">
        <f t="shared" si="40"/>
        <v>1782.7872193062994</v>
      </c>
      <c r="AC244" s="42">
        <f t="shared" si="41"/>
        <v>5</v>
      </c>
      <c r="AD244" s="43">
        <v>2223.3380746592702</v>
      </c>
      <c r="AE244" s="79">
        <f t="shared" si="42"/>
        <v>-3.637978807091713E-12</v>
      </c>
      <c r="AF244" s="29">
        <f t="shared" si="43"/>
        <v>2</v>
      </c>
    </row>
    <row r="245" spans="1:32" ht="15" customHeight="1" x14ac:dyDescent="0.35">
      <c r="A245" s="19" t="s">
        <v>109</v>
      </c>
      <c r="B245" s="19" t="s">
        <v>112</v>
      </c>
      <c r="C245" s="19" t="s">
        <v>210</v>
      </c>
      <c r="D245" s="19" t="s">
        <v>121</v>
      </c>
      <c r="E245" s="19" t="s">
        <v>95</v>
      </c>
      <c r="F245" s="19">
        <v>1</v>
      </c>
      <c r="G245" s="19" t="s">
        <v>211</v>
      </c>
      <c r="H245" s="16">
        <v>1</v>
      </c>
      <c r="I245" s="13">
        <f>IF($G245="Base",1,INDEX(ModelOutput!$D$16:$D$26,MATCH($G245,ModelOutput!$C$16:$C$26,0)))</f>
        <v>1</v>
      </c>
      <c r="J245" s="13">
        <f>IF($A245="Non-greek",1,INDEX(ModelOutput!$D$16:$D$26,MATCH($A245,ModelOutput!$C$16:$C$26,0)))</f>
        <v>4.3562312213391099</v>
      </c>
      <c r="K245" s="13">
        <f>IF($C245="Yes",1,INDEX(ModelOutput!$D$16:$D$26,MATCH($C245,ModelOutput!$C$16:$C$26,0)))</f>
        <v>1</v>
      </c>
      <c r="L245" s="13">
        <f>IF($D245="2.0-3.0",1,INDEX(ModelOutput!$D$16:$D$26,MATCH($D245,ModelOutput!$C$16:$C$26,0)))</f>
        <v>1.12144800201769</v>
      </c>
      <c r="M245" s="13">
        <f>IF($B245="On campus",1,INDEX(ModelOutput!$D$16:$D$26,MATCH($B245,ModelOutput!$C$16:$C$26,0)))</f>
        <v>1.9771404201318099</v>
      </c>
      <c r="N245" s="13">
        <f>IF($B245="On campus",1,INDEX(ModelOutput!$E$16:$E$26,MATCH($B245,ModelOutput!$C$16:$C$26,0)))</f>
        <v>1.9459582144513401</v>
      </c>
      <c r="O245" s="13">
        <f>IF($B245="On campus",1,INDEX(ModelOutput!$F$16:$F$26,MATCH($B245,ModelOutput!$C$16:$C$26,0)))</f>
        <v>2.5135188217196598</v>
      </c>
      <c r="P245" s="13">
        <f>IF($B245="On campus",1,INDEX(ModelOutput!$G$16:$G$26,MATCH($B245,ModelOutput!$C$16:$C$26,0)))</f>
        <v>3.16845056067557</v>
      </c>
      <c r="Q245" s="72">
        <f>INDEX(ModelOutput!$D$9:$D$11,MATCH("Tier "&amp;$F245,ModelOutput!$B$9:$B$11,0))</f>
        <v>36.175496869914397</v>
      </c>
      <c r="R245" s="72">
        <f>INDEX(ModelOutput!$E$9:$E$11,MATCH("Tier "&amp;$F245,ModelOutput!$B$9:$B$11,0))</f>
        <v>106.647084447761</v>
      </c>
      <c r="S245" s="72">
        <f>INDEX(ModelOutput!$F$9:$F$11,MATCH("Tier "&amp;$F245,ModelOutput!$B$9:$B$11,0))</f>
        <v>123.726482920496</v>
      </c>
      <c r="T245" s="72">
        <f>INDEX(ModelOutput!$G$9:$G$11,MATCH("Tier "&amp;$F245,ModelOutput!$B$9:$B$11,0))</f>
        <v>20.551544113210401</v>
      </c>
      <c r="U245" s="76">
        <f t="shared" si="33"/>
        <v>349.41543419303088</v>
      </c>
      <c r="V245" s="76">
        <f t="shared" si="34"/>
        <v>1013.8473313093923</v>
      </c>
      <c r="W245" s="76">
        <f t="shared" si="35"/>
        <v>1519.2696922633061</v>
      </c>
      <c r="X245" s="76">
        <f t="shared" si="36"/>
        <v>318.11302931666353</v>
      </c>
      <c r="Y245" s="27">
        <f t="shared" si="37"/>
        <v>3200.6454870823927</v>
      </c>
      <c r="Z245" s="27">
        <f t="shared" si="38"/>
        <v>5246.1657498692011</v>
      </c>
      <c r="AA245" s="33">
        <f t="shared" si="39"/>
        <v>2.6783454112309437</v>
      </c>
      <c r="AB245" s="14">
        <f t="shared" si="40"/>
        <v>1782.7872193062994</v>
      </c>
      <c r="AC245" s="29">
        <f t="shared" si="41"/>
        <v>6</v>
      </c>
      <c r="AD245" s="20">
        <v>3200.64548708239</v>
      </c>
      <c r="AE245" s="78">
        <f t="shared" si="42"/>
        <v>0</v>
      </c>
      <c r="AF245" s="29">
        <f t="shared" si="43"/>
        <v>4</v>
      </c>
    </row>
    <row r="246" spans="1:32" ht="15" customHeight="1" x14ac:dyDescent="0.35">
      <c r="A246" s="19" t="s">
        <v>109</v>
      </c>
      <c r="B246" s="19" t="s">
        <v>112</v>
      </c>
      <c r="C246" s="19" t="s">
        <v>210</v>
      </c>
      <c r="D246" s="19" t="s">
        <v>121</v>
      </c>
      <c r="E246" s="19" t="s">
        <v>105</v>
      </c>
      <c r="F246" s="19">
        <v>1</v>
      </c>
      <c r="G246" s="19" t="s">
        <v>105</v>
      </c>
      <c r="H246" s="16">
        <v>3</v>
      </c>
      <c r="I246" s="13">
        <f>IF($G246="Base",1,INDEX(ModelOutput!$D$16:$D$26,MATCH($G246,ModelOutput!$C$16:$C$26,0)))</f>
        <v>0.98982624281990295</v>
      </c>
      <c r="J246" s="13">
        <f>IF($A246="Non-greek",1,INDEX(ModelOutput!$D$16:$D$26,MATCH($A246,ModelOutput!$C$16:$C$26,0)))</f>
        <v>4.3562312213391099</v>
      </c>
      <c r="K246" s="13">
        <f>IF($C246="Yes",1,INDEX(ModelOutput!$D$16:$D$26,MATCH($C246,ModelOutput!$C$16:$C$26,0)))</f>
        <v>1</v>
      </c>
      <c r="L246" s="13">
        <f>IF($D246="2.0-3.0",1,INDEX(ModelOutput!$D$16:$D$26,MATCH($D246,ModelOutput!$C$16:$C$26,0)))</f>
        <v>1.12144800201769</v>
      </c>
      <c r="M246" s="13">
        <f>IF($B246="On campus",1,INDEX(ModelOutput!$D$16:$D$26,MATCH($B246,ModelOutput!$C$16:$C$26,0)))</f>
        <v>1.9771404201318099</v>
      </c>
      <c r="N246" s="13">
        <f>IF($B246="On campus",1,INDEX(ModelOutput!$E$16:$E$26,MATCH($B246,ModelOutput!$C$16:$C$26,0)))</f>
        <v>1.9459582144513401</v>
      </c>
      <c r="O246" s="13">
        <f>IF($B246="On campus",1,INDEX(ModelOutput!$F$16:$F$26,MATCH($B246,ModelOutput!$C$16:$C$26,0)))</f>
        <v>2.5135188217196598</v>
      </c>
      <c r="P246" s="13">
        <f>IF($B246="On campus",1,INDEX(ModelOutput!$G$16:$G$26,MATCH($B246,ModelOutput!$C$16:$C$26,0)))</f>
        <v>3.16845056067557</v>
      </c>
      <c r="Q246" s="72">
        <f>INDEX(ModelOutput!$D$9:$D$11,MATCH("Tier "&amp;$F246,ModelOutput!$B$9:$B$11,0))</f>
        <v>36.175496869914397</v>
      </c>
      <c r="R246" s="72">
        <f>INDEX(ModelOutput!$E$9:$E$11,MATCH("Tier "&amp;$F246,ModelOutput!$B$9:$B$11,0))</f>
        <v>106.647084447761</v>
      </c>
      <c r="S246" s="72">
        <f>INDEX(ModelOutput!$F$9:$F$11,MATCH("Tier "&amp;$F246,ModelOutput!$B$9:$B$11,0))</f>
        <v>123.726482920496</v>
      </c>
      <c r="T246" s="72">
        <f>INDEX(ModelOutput!$G$9:$G$11,MATCH("Tier "&amp;$F246,ModelOutput!$B$9:$B$11,0))</f>
        <v>20.551544113210401</v>
      </c>
      <c r="U246" s="76">
        <f t="shared" si="33"/>
        <v>345.8605664105728</v>
      </c>
      <c r="V246" s="76">
        <f t="shared" si="34"/>
        <v>1003.5326947429612</v>
      </c>
      <c r="W246" s="76">
        <f t="shared" si="35"/>
        <v>1503.8130113231382</v>
      </c>
      <c r="X246" s="76">
        <f t="shared" si="36"/>
        <v>314.87662460057072</v>
      </c>
      <c r="Y246" s="27">
        <f t="shared" si="37"/>
        <v>3168.0828970772427</v>
      </c>
      <c r="Z246" s="27">
        <f t="shared" si="38"/>
        <v>5193.2164399526609</v>
      </c>
      <c r="AA246" s="33">
        <f t="shared" si="39"/>
        <v>2.6412200399701891</v>
      </c>
      <c r="AB246" s="14">
        <f t="shared" si="40"/>
        <v>1782.7872193062994</v>
      </c>
      <c r="AC246" s="29">
        <f t="shared" si="41"/>
        <v>6</v>
      </c>
      <c r="AD246" s="20">
        <v>3168.08289707724</v>
      </c>
      <c r="AE246" s="78">
        <f t="shared" si="42"/>
        <v>0</v>
      </c>
      <c r="AF246" s="29">
        <f t="shared" si="43"/>
        <v>3</v>
      </c>
    </row>
    <row r="247" spans="1:32" ht="15" customHeight="1" x14ac:dyDescent="0.35">
      <c r="A247" s="19" t="s">
        <v>109</v>
      </c>
      <c r="B247" s="19" t="s">
        <v>112</v>
      </c>
      <c r="C247" s="19" t="s">
        <v>210</v>
      </c>
      <c r="D247" s="19" t="s">
        <v>121</v>
      </c>
      <c r="E247" s="19" t="s">
        <v>97</v>
      </c>
      <c r="F247" s="19">
        <v>2</v>
      </c>
      <c r="G247" s="19" t="s">
        <v>211</v>
      </c>
      <c r="H247" s="16">
        <v>0</v>
      </c>
      <c r="I247" s="13">
        <f>IF($G247="Base",1,INDEX(ModelOutput!$D$16:$D$26,MATCH($G247,ModelOutput!$C$16:$C$26,0)))</f>
        <v>1</v>
      </c>
      <c r="J247" s="13">
        <f>IF($A247="Non-greek",1,INDEX(ModelOutput!$D$16:$D$26,MATCH($A247,ModelOutput!$C$16:$C$26,0)))</f>
        <v>4.3562312213391099</v>
      </c>
      <c r="K247" s="13">
        <f>IF($C247="Yes",1,INDEX(ModelOutput!$D$16:$D$26,MATCH($C247,ModelOutput!$C$16:$C$26,0)))</f>
        <v>1</v>
      </c>
      <c r="L247" s="13">
        <f>IF($D247="2.0-3.0",1,INDEX(ModelOutput!$D$16:$D$26,MATCH($D247,ModelOutput!$C$16:$C$26,0)))</f>
        <v>1.12144800201769</v>
      </c>
      <c r="M247" s="13">
        <f>IF($B247="On campus",1,INDEX(ModelOutput!$D$16:$D$26,MATCH($B247,ModelOutput!$C$16:$C$26,0)))</f>
        <v>1.9771404201318099</v>
      </c>
      <c r="N247" s="13">
        <f>IF($B247="On campus",1,INDEX(ModelOutput!$E$16:$E$26,MATCH($B247,ModelOutput!$C$16:$C$26,0)))</f>
        <v>1.9459582144513401</v>
      </c>
      <c r="O247" s="13">
        <f>IF($B247="On campus",1,INDEX(ModelOutput!$F$16:$F$26,MATCH($B247,ModelOutput!$C$16:$C$26,0)))</f>
        <v>2.5135188217196598</v>
      </c>
      <c r="P247" s="13">
        <f>IF($B247="On campus",1,INDEX(ModelOutput!$G$16:$G$26,MATCH($B247,ModelOutput!$C$16:$C$26,0)))</f>
        <v>3.16845056067557</v>
      </c>
      <c r="Q247" s="72">
        <f>INDEX(ModelOutput!$D$9:$D$11,MATCH("Tier "&amp;$F247,ModelOutput!$B$9:$B$11,0))</f>
        <v>42.8051506068728</v>
      </c>
      <c r="R247" s="72">
        <f>INDEX(ModelOutput!$E$9:$E$11,MATCH("Tier "&amp;$F247,ModelOutput!$B$9:$B$11,0))</f>
        <v>126.191618818284</v>
      </c>
      <c r="S247" s="72">
        <f>INDEX(ModelOutput!$F$9:$F$11,MATCH("Tier "&amp;$F247,ModelOutput!$B$9:$B$11,0))</f>
        <v>146.401050261042</v>
      </c>
      <c r="T247" s="72">
        <f>INDEX(ModelOutput!$G$9:$G$11,MATCH("Tier "&amp;$F247,ModelOutput!$B$9:$B$11,0))</f>
        <v>24.317895180076398</v>
      </c>
      <c r="U247" s="76">
        <f t="shared" si="33"/>
        <v>413.45058338196441</v>
      </c>
      <c r="V247" s="76">
        <f t="shared" si="34"/>
        <v>1199.6486977119171</v>
      </c>
      <c r="W247" s="76">
        <f t="shared" si="35"/>
        <v>1797.6966072820651</v>
      </c>
      <c r="X247" s="76">
        <f t="shared" si="36"/>
        <v>376.41158541302235</v>
      </c>
      <c r="Y247" s="27">
        <f t="shared" si="37"/>
        <v>3787.2074737889689</v>
      </c>
      <c r="Z247" s="27">
        <f t="shared" si="38"/>
        <v>6199.9612684221274</v>
      </c>
      <c r="AA247" s="33">
        <f t="shared" si="39"/>
        <v>3.3470984655943647</v>
      </c>
      <c r="AB247" s="14">
        <f t="shared" si="40"/>
        <v>1782.7872193062994</v>
      </c>
      <c r="AC247" s="29">
        <f t="shared" si="41"/>
        <v>7</v>
      </c>
      <c r="AD247" s="20">
        <v>3787.2074737889702</v>
      </c>
      <c r="AE247" s="78">
        <f t="shared" si="42"/>
        <v>0</v>
      </c>
      <c r="AF247" s="29">
        <f t="shared" si="43"/>
        <v>2</v>
      </c>
    </row>
    <row r="248" spans="1:32" ht="15" customHeight="1" x14ac:dyDescent="0.35">
      <c r="A248" s="19" t="s">
        <v>109</v>
      </c>
      <c r="B248" s="19" t="s">
        <v>112</v>
      </c>
      <c r="C248" s="19" t="s">
        <v>210</v>
      </c>
      <c r="D248" s="19" t="s">
        <v>121</v>
      </c>
      <c r="E248" s="19" t="s">
        <v>99</v>
      </c>
      <c r="F248" s="19">
        <v>3</v>
      </c>
      <c r="G248" s="19" t="s">
        <v>211</v>
      </c>
      <c r="H248" s="16">
        <v>1</v>
      </c>
      <c r="I248" s="13">
        <f>IF($G248="Base",1,INDEX(ModelOutput!$D$16:$D$26,MATCH($G248,ModelOutput!$C$16:$C$26,0)))</f>
        <v>1</v>
      </c>
      <c r="J248" s="13">
        <f>IF($A248="Non-greek",1,INDEX(ModelOutput!$D$16:$D$26,MATCH($A248,ModelOutput!$C$16:$C$26,0)))</f>
        <v>4.3562312213391099</v>
      </c>
      <c r="K248" s="13">
        <f>IF($C248="Yes",1,INDEX(ModelOutput!$D$16:$D$26,MATCH($C248,ModelOutput!$C$16:$C$26,0)))</f>
        <v>1</v>
      </c>
      <c r="L248" s="13">
        <f>IF($D248="2.0-3.0",1,INDEX(ModelOutput!$D$16:$D$26,MATCH($D248,ModelOutput!$C$16:$C$26,0)))</f>
        <v>1.12144800201769</v>
      </c>
      <c r="M248" s="13">
        <f>IF($B248="On campus",1,INDEX(ModelOutput!$D$16:$D$26,MATCH($B248,ModelOutput!$C$16:$C$26,0)))</f>
        <v>1.9771404201318099</v>
      </c>
      <c r="N248" s="13">
        <f>IF($B248="On campus",1,INDEX(ModelOutput!$E$16:$E$26,MATCH($B248,ModelOutput!$C$16:$C$26,0)))</f>
        <v>1.9459582144513401</v>
      </c>
      <c r="O248" s="13">
        <f>IF($B248="On campus",1,INDEX(ModelOutput!$F$16:$F$26,MATCH($B248,ModelOutput!$C$16:$C$26,0)))</f>
        <v>2.5135188217196598</v>
      </c>
      <c r="P248" s="13">
        <f>IF($B248="On campus",1,INDEX(ModelOutput!$G$16:$G$26,MATCH($B248,ModelOutput!$C$16:$C$26,0)))</f>
        <v>3.16845056067557</v>
      </c>
      <c r="Q248" s="72">
        <f>INDEX(ModelOutput!$D$9:$D$11,MATCH("Tier "&amp;$F248,ModelOutput!$B$9:$B$11,0))</f>
        <v>40.009437343712797</v>
      </c>
      <c r="R248" s="72">
        <f>INDEX(ModelOutput!$E$9:$E$11,MATCH("Tier "&amp;$F248,ModelOutput!$B$9:$B$11,0))</f>
        <v>117.949723218616</v>
      </c>
      <c r="S248" s="72">
        <f>INDEX(ModelOutput!$F$9:$F$11,MATCH("Tier "&amp;$F248,ModelOutput!$B$9:$B$11,0))</f>
        <v>136.83922529015501</v>
      </c>
      <c r="T248" s="72">
        <f>INDEX(ModelOutput!$G$9:$G$11,MATCH("Tier "&amp;$F248,ModelOutput!$B$9:$B$11,0))</f>
        <v>22.729631592092201</v>
      </c>
      <c r="U248" s="76">
        <f t="shared" si="33"/>
        <v>386.44707414920845</v>
      </c>
      <c r="V248" s="76">
        <f t="shared" si="34"/>
        <v>1121.2965898983457</v>
      </c>
      <c r="W248" s="76">
        <f t="shared" si="35"/>
        <v>1680.2844693299196</v>
      </c>
      <c r="X248" s="76">
        <f t="shared" si="36"/>
        <v>351.82718734814722</v>
      </c>
      <c r="Y248" s="27">
        <f t="shared" si="37"/>
        <v>3539.8553207256209</v>
      </c>
      <c r="Z248" s="27">
        <f t="shared" si="38"/>
        <v>5797.7473840534876</v>
      </c>
      <c r="AA248" s="33">
        <f t="shared" si="39"/>
        <v>3.0650864845703865</v>
      </c>
      <c r="AB248" s="14">
        <f t="shared" si="40"/>
        <v>1782.7872193062994</v>
      </c>
      <c r="AC248" s="29">
        <f t="shared" si="41"/>
        <v>7</v>
      </c>
      <c r="AD248" s="20">
        <v>3539.85532072563</v>
      </c>
      <c r="AE248" s="78">
        <f t="shared" si="42"/>
        <v>-9.0949470177292824E-12</v>
      </c>
      <c r="AF248" s="29">
        <f t="shared" si="43"/>
        <v>1</v>
      </c>
    </row>
    <row r="249" spans="1:32" ht="15" customHeight="1" x14ac:dyDescent="0.35">
      <c r="A249" s="19" t="s">
        <v>109</v>
      </c>
      <c r="B249" s="19" t="s">
        <v>112</v>
      </c>
      <c r="C249" s="19" t="s">
        <v>210</v>
      </c>
      <c r="D249" s="19" t="s">
        <v>121</v>
      </c>
      <c r="E249" s="19" t="s">
        <v>213</v>
      </c>
      <c r="F249" s="19">
        <v>3</v>
      </c>
      <c r="G249" s="19" t="s">
        <v>107</v>
      </c>
      <c r="H249" s="16">
        <v>0</v>
      </c>
      <c r="I249" s="13">
        <f>IF($G249="Base",1,INDEX(ModelOutput!$D$16:$D$26,MATCH($G249,ModelOutput!$C$16:$C$26,0)))</f>
        <v>1.1906804269762199</v>
      </c>
      <c r="J249" s="13">
        <f>IF($A249="Non-greek",1,INDEX(ModelOutput!$D$16:$D$26,MATCH($A249,ModelOutput!$C$16:$C$26,0)))</f>
        <v>4.3562312213391099</v>
      </c>
      <c r="K249" s="13">
        <f>IF($C249="Yes",1,INDEX(ModelOutput!$D$16:$D$26,MATCH($C249,ModelOutput!$C$16:$C$26,0)))</f>
        <v>1</v>
      </c>
      <c r="L249" s="13">
        <f>IF($D249="2.0-3.0",1,INDEX(ModelOutput!$D$16:$D$26,MATCH($D249,ModelOutput!$C$16:$C$26,0)))</f>
        <v>1.12144800201769</v>
      </c>
      <c r="M249" s="13">
        <f>IF($B249="On campus",1,INDEX(ModelOutput!$D$16:$D$26,MATCH($B249,ModelOutput!$C$16:$C$26,0)))</f>
        <v>1.9771404201318099</v>
      </c>
      <c r="N249" s="13">
        <f>IF($B249="On campus",1,INDEX(ModelOutput!$E$16:$E$26,MATCH($B249,ModelOutput!$C$16:$C$26,0)))</f>
        <v>1.9459582144513401</v>
      </c>
      <c r="O249" s="13">
        <f>IF($B249="On campus",1,INDEX(ModelOutput!$F$16:$F$26,MATCH($B249,ModelOutput!$C$16:$C$26,0)))</f>
        <v>2.5135188217196598</v>
      </c>
      <c r="P249" s="13">
        <f>IF($B249="On campus",1,INDEX(ModelOutput!$G$16:$G$26,MATCH($B249,ModelOutput!$C$16:$C$26,0)))</f>
        <v>3.16845056067557</v>
      </c>
      <c r="Q249" s="72">
        <f>INDEX(ModelOutput!$D$9:$D$11,MATCH("Tier "&amp;$F249,ModelOutput!$B$9:$B$11,0))</f>
        <v>40.009437343712797</v>
      </c>
      <c r="R249" s="72">
        <f>INDEX(ModelOutput!$E$9:$E$11,MATCH("Tier "&amp;$F249,ModelOutput!$B$9:$B$11,0))</f>
        <v>117.949723218616</v>
      </c>
      <c r="S249" s="72">
        <f>INDEX(ModelOutput!$F$9:$F$11,MATCH("Tier "&amp;$F249,ModelOutput!$B$9:$B$11,0))</f>
        <v>136.83922529015501</v>
      </c>
      <c r="T249" s="72">
        <f>INDEX(ModelOutput!$G$9:$G$11,MATCH("Tier "&amp;$F249,ModelOutput!$B$9:$B$11,0))</f>
        <v>22.729631592092201</v>
      </c>
      <c r="U249" s="76">
        <f t="shared" si="33"/>
        <v>460.1349672516904</v>
      </c>
      <c r="V249" s="76">
        <f t="shared" si="34"/>
        <v>1335.1059024271417</v>
      </c>
      <c r="W249" s="76">
        <f t="shared" si="35"/>
        <v>2000.6818293832603</v>
      </c>
      <c r="X249" s="76">
        <f t="shared" si="36"/>
        <v>418.91374565353442</v>
      </c>
      <c r="Y249" s="27">
        <f t="shared" si="37"/>
        <v>4214.8364447156264</v>
      </c>
      <c r="Z249" s="27">
        <f t="shared" si="38"/>
        <v>6895.3193129543924</v>
      </c>
      <c r="AA249" s="33">
        <f t="shared" si="39"/>
        <v>3.8346482675295306</v>
      </c>
      <c r="AB249" s="14">
        <f t="shared" si="40"/>
        <v>1782.7872193062994</v>
      </c>
      <c r="AC249" s="29">
        <f t="shared" si="41"/>
        <v>8</v>
      </c>
      <c r="AD249" s="20">
        <v>4214.83644471564</v>
      </c>
      <c r="AE249" s="78">
        <f t="shared" si="42"/>
        <v>-1.3642420526593924E-11</v>
      </c>
      <c r="AF249" s="29">
        <f t="shared" si="43"/>
        <v>2</v>
      </c>
    </row>
    <row r="250" spans="1:32" ht="15" customHeight="1" x14ac:dyDescent="0.35">
      <c r="A250" s="37" t="s">
        <v>109</v>
      </c>
      <c r="B250" s="37" t="s">
        <v>112</v>
      </c>
      <c r="C250" s="37" t="s">
        <v>210</v>
      </c>
      <c r="D250" s="37" t="s">
        <v>123</v>
      </c>
      <c r="E250" s="37" t="s">
        <v>95</v>
      </c>
      <c r="F250" s="37">
        <v>1</v>
      </c>
      <c r="G250" s="37" t="s">
        <v>211</v>
      </c>
      <c r="H250" s="38">
        <v>2</v>
      </c>
      <c r="I250" s="39">
        <f>IF($G250="Base",1,INDEX(ModelOutput!$D$16:$D$26,MATCH($G250,ModelOutput!$C$16:$C$26,0)))</f>
        <v>1</v>
      </c>
      <c r="J250" s="39">
        <f>IF($A250="Non-greek",1,INDEX(ModelOutput!$D$16:$D$26,MATCH($A250,ModelOutput!$C$16:$C$26,0)))</f>
        <v>4.3562312213391099</v>
      </c>
      <c r="K250" s="39">
        <f>IF($C250="Yes",1,INDEX(ModelOutput!$D$16:$D$26,MATCH($C250,ModelOutput!$C$16:$C$26,0)))</f>
        <v>1</v>
      </c>
      <c r="L250" s="39">
        <f>IF($D250="2.0-3.0",1,INDEX(ModelOutput!$D$16:$D$26,MATCH($D250,ModelOutput!$C$16:$C$26,0)))</f>
        <v>1.01762556011242</v>
      </c>
      <c r="M250" s="39">
        <f>IF($B250="On campus",1,INDEX(ModelOutput!$D$16:$D$26,MATCH($B250,ModelOutput!$C$16:$C$26,0)))</f>
        <v>1.9771404201318099</v>
      </c>
      <c r="N250" s="39">
        <f>IF($B250="On campus",1,INDEX(ModelOutput!$E$16:$E$26,MATCH($B250,ModelOutput!$C$16:$C$26,0)))</f>
        <v>1.9459582144513401</v>
      </c>
      <c r="O250" s="39">
        <f>IF($B250="On campus",1,INDEX(ModelOutput!$F$16:$F$26,MATCH($B250,ModelOutput!$C$16:$C$26,0)))</f>
        <v>2.5135188217196598</v>
      </c>
      <c r="P250" s="39">
        <f>IF($B250="On campus",1,INDEX(ModelOutput!$G$16:$G$26,MATCH($B250,ModelOutput!$C$16:$C$26,0)))</f>
        <v>3.16845056067557</v>
      </c>
      <c r="Q250" s="73">
        <f>INDEX(ModelOutput!$D$9:$D$11,MATCH("Tier "&amp;$F250,ModelOutput!$B$9:$B$11,0))</f>
        <v>36.175496869914397</v>
      </c>
      <c r="R250" s="73">
        <f>INDEX(ModelOutput!$E$9:$E$11,MATCH("Tier "&amp;$F250,ModelOutput!$B$9:$B$11,0))</f>
        <v>106.647084447761</v>
      </c>
      <c r="S250" s="73">
        <f>INDEX(ModelOutput!$F$9:$F$11,MATCH("Tier "&amp;$F250,ModelOutput!$B$9:$B$11,0))</f>
        <v>123.726482920496</v>
      </c>
      <c r="T250" s="73">
        <f>INDEX(ModelOutput!$G$9:$G$11,MATCH("Tier "&amp;$F250,ModelOutput!$B$9:$B$11,0))</f>
        <v>20.551544113210401</v>
      </c>
      <c r="U250" s="77">
        <f t="shared" si="33"/>
        <v>317.06693158565054</v>
      </c>
      <c r="V250" s="77">
        <f t="shared" si="34"/>
        <v>919.98644300578826</v>
      </c>
      <c r="W250" s="77">
        <f t="shared" si="35"/>
        <v>1378.6173489717296</v>
      </c>
      <c r="X250" s="77">
        <f t="shared" si="36"/>
        <v>288.6624694635837</v>
      </c>
      <c r="Y250" s="30">
        <f t="shared" si="37"/>
        <v>2904.3331930267523</v>
      </c>
      <c r="Z250" s="30">
        <f t="shared" si="38"/>
        <v>4764.3388593315676</v>
      </c>
      <c r="AA250" s="41">
        <f t="shared" si="39"/>
        <v>2.3405128271458975</v>
      </c>
      <c r="AB250" s="40">
        <f t="shared" si="40"/>
        <v>1782.7872193062994</v>
      </c>
      <c r="AC250" s="42">
        <f t="shared" si="41"/>
        <v>6</v>
      </c>
      <c r="AD250" s="43">
        <v>2904.33319302675</v>
      </c>
      <c r="AE250" s="79">
        <f t="shared" si="42"/>
        <v>0</v>
      </c>
      <c r="AF250" s="29">
        <f t="shared" si="43"/>
        <v>4</v>
      </c>
    </row>
    <row r="251" spans="1:32" ht="15" customHeight="1" x14ac:dyDescent="0.35">
      <c r="A251" s="37" t="s">
        <v>109</v>
      </c>
      <c r="B251" s="37" t="s">
        <v>112</v>
      </c>
      <c r="C251" s="37" t="s">
        <v>210</v>
      </c>
      <c r="D251" s="37" t="s">
        <v>123</v>
      </c>
      <c r="E251" s="37" t="s">
        <v>105</v>
      </c>
      <c r="F251" s="37">
        <v>1</v>
      </c>
      <c r="G251" s="37" t="s">
        <v>105</v>
      </c>
      <c r="H251" s="38">
        <v>5</v>
      </c>
      <c r="I251" s="39">
        <f>IF($G251="Base",1,INDEX(ModelOutput!$D$16:$D$26,MATCH($G251,ModelOutput!$C$16:$C$26,0)))</f>
        <v>0.98982624281990295</v>
      </c>
      <c r="J251" s="39">
        <f>IF($A251="Non-greek",1,INDEX(ModelOutput!$D$16:$D$26,MATCH($A251,ModelOutput!$C$16:$C$26,0)))</f>
        <v>4.3562312213391099</v>
      </c>
      <c r="K251" s="39">
        <f>IF($C251="Yes",1,INDEX(ModelOutput!$D$16:$D$26,MATCH($C251,ModelOutput!$C$16:$C$26,0)))</f>
        <v>1</v>
      </c>
      <c r="L251" s="39">
        <f>IF($D251="2.0-3.0",1,INDEX(ModelOutput!$D$16:$D$26,MATCH($D251,ModelOutput!$C$16:$C$26,0)))</f>
        <v>1.01762556011242</v>
      </c>
      <c r="M251" s="39">
        <f>IF($B251="On campus",1,INDEX(ModelOutput!$D$16:$D$26,MATCH($B251,ModelOutput!$C$16:$C$26,0)))</f>
        <v>1.9771404201318099</v>
      </c>
      <c r="N251" s="39">
        <f>IF($B251="On campus",1,INDEX(ModelOutput!$E$16:$E$26,MATCH($B251,ModelOutput!$C$16:$C$26,0)))</f>
        <v>1.9459582144513401</v>
      </c>
      <c r="O251" s="39">
        <f>IF($B251="On campus",1,INDEX(ModelOutput!$F$16:$F$26,MATCH($B251,ModelOutput!$C$16:$C$26,0)))</f>
        <v>2.5135188217196598</v>
      </c>
      <c r="P251" s="39">
        <f>IF($B251="On campus",1,INDEX(ModelOutput!$G$16:$G$26,MATCH($B251,ModelOutput!$C$16:$C$26,0)))</f>
        <v>3.16845056067557</v>
      </c>
      <c r="Q251" s="73">
        <f>INDEX(ModelOutput!$D$9:$D$11,MATCH("Tier "&amp;$F251,ModelOutput!$B$9:$B$11,0))</f>
        <v>36.175496869914397</v>
      </c>
      <c r="R251" s="73">
        <f>INDEX(ModelOutput!$E$9:$E$11,MATCH("Tier "&amp;$F251,ModelOutput!$B$9:$B$11,0))</f>
        <v>106.647084447761</v>
      </c>
      <c r="S251" s="73">
        <f>INDEX(ModelOutput!$F$9:$F$11,MATCH("Tier "&amp;$F251,ModelOutput!$B$9:$B$11,0))</f>
        <v>123.726482920496</v>
      </c>
      <c r="T251" s="73">
        <f>INDEX(ModelOutput!$G$9:$G$11,MATCH("Tier "&amp;$F251,ModelOutput!$B$9:$B$11,0))</f>
        <v>20.551544113210401</v>
      </c>
      <c r="U251" s="77">
        <f t="shared" si="33"/>
        <v>313.84116961385973</v>
      </c>
      <c r="V251" s="77">
        <f t="shared" si="34"/>
        <v>910.62672432566626</v>
      </c>
      <c r="W251" s="77">
        <f t="shared" si="35"/>
        <v>1364.5916308190222</v>
      </c>
      <c r="X251" s="77">
        <f t="shared" si="36"/>
        <v>285.72568759225402</v>
      </c>
      <c r="Y251" s="30">
        <f t="shared" si="37"/>
        <v>2874.7852123508019</v>
      </c>
      <c r="Z251" s="30">
        <f t="shared" si="38"/>
        <v>4716.2915392021978</v>
      </c>
      <c r="AA251" s="41">
        <f t="shared" si="39"/>
        <v>2.3068244825631479</v>
      </c>
      <c r="AB251" s="40">
        <f t="shared" si="40"/>
        <v>1782.7872193062994</v>
      </c>
      <c r="AC251" s="42">
        <f t="shared" si="41"/>
        <v>6</v>
      </c>
      <c r="AD251" s="43">
        <v>2874.7852123508001</v>
      </c>
      <c r="AE251" s="79">
        <f t="shared" si="42"/>
        <v>0</v>
      </c>
      <c r="AF251" s="29">
        <f t="shared" si="43"/>
        <v>3</v>
      </c>
    </row>
    <row r="252" spans="1:32" ht="15" customHeight="1" x14ac:dyDescent="0.35">
      <c r="A252" s="37" t="s">
        <v>109</v>
      </c>
      <c r="B252" s="37" t="s">
        <v>112</v>
      </c>
      <c r="C252" s="37" t="s">
        <v>210</v>
      </c>
      <c r="D252" s="37" t="s">
        <v>123</v>
      </c>
      <c r="E252" s="37" t="s">
        <v>97</v>
      </c>
      <c r="F252" s="37">
        <v>2</v>
      </c>
      <c r="G252" s="37" t="s">
        <v>211</v>
      </c>
      <c r="H252" s="38">
        <v>5</v>
      </c>
      <c r="I252" s="39">
        <f>IF($G252="Base",1,INDEX(ModelOutput!$D$16:$D$26,MATCH($G252,ModelOutput!$C$16:$C$26,0)))</f>
        <v>1</v>
      </c>
      <c r="J252" s="39">
        <f>IF($A252="Non-greek",1,INDEX(ModelOutput!$D$16:$D$26,MATCH($A252,ModelOutput!$C$16:$C$26,0)))</f>
        <v>4.3562312213391099</v>
      </c>
      <c r="K252" s="39">
        <f>IF($C252="Yes",1,INDEX(ModelOutput!$D$16:$D$26,MATCH($C252,ModelOutput!$C$16:$C$26,0)))</f>
        <v>1</v>
      </c>
      <c r="L252" s="39">
        <f>IF($D252="2.0-3.0",1,INDEX(ModelOutput!$D$16:$D$26,MATCH($D252,ModelOutput!$C$16:$C$26,0)))</f>
        <v>1.01762556011242</v>
      </c>
      <c r="M252" s="39">
        <f>IF($B252="On campus",1,INDEX(ModelOutput!$D$16:$D$26,MATCH($B252,ModelOutput!$C$16:$C$26,0)))</f>
        <v>1.9771404201318099</v>
      </c>
      <c r="N252" s="39">
        <f>IF($B252="On campus",1,INDEX(ModelOutput!$E$16:$E$26,MATCH($B252,ModelOutput!$C$16:$C$26,0)))</f>
        <v>1.9459582144513401</v>
      </c>
      <c r="O252" s="39">
        <f>IF($B252="On campus",1,INDEX(ModelOutput!$F$16:$F$26,MATCH($B252,ModelOutput!$C$16:$C$26,0)))</f>
        <v>2.5135188217196598</v>
      </c>
      <c r="P252" s="39">
        <f>IF($B252="On campus",1,INDEX(ModelOutput!$G$16:$G$26,MATCH($B252,ModelOutput!$C$16:$C$26,0)))</f>
        <v>3.16845056067557</v>
      </c>
      <c r="Q252" s="73">
        <f>INDEX(ModelOutput!$D$9:$D$11,MATCH("Tier "&amp;$F252,ModelOutput!$B$9:$B$11,0))</f>
        <v>42.8051506068728</v>
      </c>
      <c r="R252" s="73">
        <f>INDEX(ModelOutput!$E$9:$E$11,MATCH("Tier "&amp;$F252,ModelOutput!$B$9:$B$11,0))</f>
        <v>126.191618818284</v>
      </c>
      <c r="S252" s="73">
        <f>INDEX(ModelOutput!$F$9:$F$11,MATCH("Tier "&amp;$F252,ModelOutput!$B$9:$B$11,0))</f>
        <v>146.401050261042</v>
      </c>
      <c r="T252" s="73">
        <f>INDEX(ModelOutput!$G$9:$G$11,MATCH("Tier "&amp;$F252,ModelOutput!$B$9:$B$11,0))</f>
        <v>24.317895180076398</v>
      </c>
      <c r="U252" s="77">
        <f t="shared" si="33"/>
        <v>375.1737759895189</v>
      </c>
      <c r="V252" s="77">
        <f t="shared" si="34"/>
        <v>1088.586520062272</v>
      </c>
      <c r="W252" s="77">
        <f t="shared" si="35"/>
        <v>1631.2678016334382</v>
      </c>
      <c r="X252" s="77">
        <f t="shared" si="36"/>
        <v>341.56380835273774</v>
      </c>
      <c r="Y252" s="30">
        <f t="shared" si="37"/>
        <v>3436.591906037967</v>
      </c>
      <c r="Z252" s="30">
        <f t="shared" si="38"/>
        <v>5629.833021391546</v>
      </c>
      <c r="AA252" s="41">
        <f t="shared" si="39"/>
        <v>2.9473534477534078</v>
      </c>
      <c r="AB252" s="40">
        <f t="shared" si="40"/>
        <v>1782.7872193062994</v>
      </c>
      <c r="AC252" s="42">
        <f t="shared" si="41"/>
        <v>7</v>
      </c>
      <c r="AD252" s="43">
        <v>3436.5919060379601</v>
      </c>
      <c r="AE252" s="79">
        <f t="shared" si="42"/>
        <v>6.8212102632969618E-12</v>
      </c>
      <c r="AF252" s="29">
        <f t="shared" si="43"/>
        <v>2</v>
      </c>
    </row>
    <row r="253" spans="1:32" ht="15" customHeight="1" x14ac:dyDescent="0.35">
      <c r="A253" s="37" t="s">
        <v>109</v>
      </c>
      <c r="B253" s="37" t="s">
        <v>112</v>
      </c>
      <c r="C253" s="37" t="s">
        <v>210</v>
      </c>
      <c r="D253" s="37" t="s">
        <v>123</v>
      </c>
      <c r="E253" s="37" t="s">
        <v>99</v>
      </c>
      <c r="F253" s="37">
        <v>3</v>
      </c>
      <c r="G253" s="37" t="s">
        <v>211</v>
      </c>
      <c r="H253" s="38">
        <v>6</v>
      </c>
      <c r="I253" s="39">
        <f>IF($G253="Base",1,INDEX(ModelOutput!$D$16:$D$26,MATCH($G253,ModelOutput!$C$16:$C$26,0)))</f>
        <v>1</v>
      </c>
      <c r="J253" s="39">
        <f>IF($A253="Non-greek",1,INDEX(ModelOutput!$D$16:$D$26,MATCH($A253,ModelOutput!$C$16:$C$26,0)))</f>
        <v>4.3562312213391099</v>
      </c>
      <c r="K253" s="39">
        <f>IF($C253="Yes",1,INDEX(ModelOutput!$D$16:$D$26,MATCH($C253,ModelOutput!$C$16:$C$26,0)))</f>
        <v>1</v>
      </c>
      <c r="L253" s="39">
        <f>IF($D253="2.0-3.0",1,INDEX(ModelOutput!$D$16:$D$26,MATCH($D253,ModelOutput!$C$16:$C$26,0)))</f>
        <v>1.01762556011242</v>
      </c>
      <c r="M253" s="39">
        <f>IF($B253="On campus",1,INDEX(ModelOutput!$D$16:$D$26,MATCH($B253,ModelOutput!$C$16:$C$26,0)))</f>
        <v>1.9771404201318099</v>
      </c>
      <c r="N253" s="39">
        <f>IF($B253="On campus",1,INDEX(ModelOutput!$E$16:$E$26,MATCH($B253,ModelOutput!$C$16:$C$26,0)))</f>
        <v>1.9459582144513401</v>
      </c>
      <c r="O253" s="39">
        <f>IF($B253="On campus",1,INDEX(ModelOutput!$F$16:$F$26,MATCH($B253,ModelOutput!$C$16:$C$26,0)))</f>
        <v>2.5135188217196598</v>
      </c>
      <c r="P253" s="39">
        <f>IF($B253="On campus",1,INDEX(ModelOutput!$G$16:$G$26,MATCH($B253,ModelOutput!$C$16:$C$26,0)))</f>
        <v>3.16845056067557</v>
      </c>
      <c r="Q253" s="73">
        <f>INDEX(ModelOutput!$D$9:$D$11,MATCH("Tier "&amp;$F253,ModelOutput!$B$9:$B$11,0))</f>
        <v>40.009437343712797</v>
      </c>
      <c r="R253" s="73">
        <f>INDEX(ModelOutput!$E$9:$E$11,MATCH("Tier "&amp;$F253,ModelOutput!$B$9:$B$11,0))</f>
        <v>117.949723218616</v>
      </c>
      <c r="S253" s="73">
        <f>INDEX(ModelOutput!$F$9:$F$11,MATCH("Tier "&amp;$F253,ModelOutput!$B$9:$B$11,0))</f>
        <v>136.83922529015501</v>
      </c>
      <c r="T253" s="73">
        <f>INDEX(ModelOutput!$G$9:$G$11,MATCH("Tier "&amp;$F253,ModelOutput!$B$9:$B$11,0))</f>
        <v>22.729631592092201</v>
      </c>
      <c r="U253" s="77">
        <f t="shared" si="33"/>
        <v>350.67022240652295</v>
      </c>
      <c r="V253" s="77">
        <f t="shared" si="34"/>
        <v>1017.48816556316</v>
      </c>
      <c r="W253" s="77">
        <f t="shared" si="35"/>
        <v>1524.7255522981329</v>
      </c>
      <c r="X253" s="77">
        <f t="shared" si="36"/>
        <v>319.25540724472035</v>
      </c>
      <c r="Y253" s="30">
        <f t="shared" si="37"/>
        <v>3212.139347512536</v>
      </c>
      <c r="Z253" s="30">
        <f t="shared" si="38"/>
        <v>5264.8556629859677</v>
      </c>
      <c r="AA253" s="41">
        <f t="shared" si="39"/>
        <v>2.691449830615916</v>
      </c>
      <c r="AB253" s="40">
        <f t="shared" si="40"/>
        <v>1782.7872193062994</v>
      </c>
      <c r="AC253" s="42">
        <f t="shared" si="41"/>
        <v>6</v>
      </c>
      <c r="AD253" s="43">
        <v>3212.1393475125401</v>
      </c>
      <c r="AE253" s="79">
        <f t="shared" si="42"/>
        <v>-4.0927261579781771E-12</v>
      </c>
      <c r="AF253" s="29">
        <f t="shared" si="43"/>
        <v>1</v>
      </c>
    </row>
    <row r="254" spans="1:32" ht="15" customHeight="1" x14ac:dyDescent="0.35">
      <c r="A254" s="37" t="s">
        <v>109</v>
      </c>
      <c r="B254" s="37" t="s">
        <v>112</v>
      </c>
      <c r="C254" s="37" t="s">
        <v>210</v>
      </c>
      <c r="D254" s="37" t="s">
        <v>123</v>
      </c>
      <c r="E254" s="37" t="s">
        <v>213</v>
      </c>
      <c r="F254" s="37">
        <v>3</v>
      </c>
      <c r="G254" s="37" t="s">
        <v>107</v>
      </c>
      <c r="H254" s="38">
        <v>3</v>
      </c>
      <c r="I254" s="39">
        <f>IF($G254="Base",1,INDEX(ModelOutput!$D$16:$D$26,MATCH($G254,ModelOutput!$C$16:$C$26,0)))</f>
        <v>1.1906804269762199</v>
      </c>
      <c r="J254" s="39">
        <f>IF($A254="Non-greek",1,INDEX(ModelOutput!$D$16:$D$26,MATCH($A254,ModelOutput!$C$16:$C$26,0)))</f>
        <v>4.3562312213391099</v>
      </c>
      <c r="K254" s="39">
        <f>IF($C254="Yes",1,INDEX(ModelOutput!$D$16:$D$26,MATCH($C254,ModelOutput!$C$16:$C$26,0)))</f>
        <v>1</v>
      </c>
      <c r="L254" s="39">
        <f>IF($D254="2.0-3.0",1,INDEX(ModelOutput!$D$16:$D$26,MATCH($D254,ModelOutput!$C$16:$C$26,0)))</f>
        <v>1.01762556011242</v>
      </c>
      <c r="M254" s="39">
        <f>IF($B254="On campus",1,INDEX(ModelOutput!$D$16:$D$26,MATCH($B254,ModelOutput!$C$16:$C$26,0)))</f>
        <v>1.9771404201318099</v>
      </c>
      <c r="N254" s="39">
        <f>IF($B254="On campus",1,INDEX(ModelOutput!$E$16:$E$26,MATCH($B254,ModelOutput!$C$16:$C$26,0)))</f>
        <v>1.9459582144513401</v>
      </c>
      <c r="O254" s="39">
        <f>IF($B254="On campus",1,INDEX(ModelOutput!$F$16:$F$26,MATCH($B254,ModelOutput!$C$16:$C$26,0)))</f>
        <v>2.5135188217196598</v>
      </c>
      <c r="P254" s="39">
        <f>IF($B254="On campus",1,INDEX(ModelOutput!$G$16:$G$26,MATCH($B254,ModelOutput!$C$16:$C$26,0)))</f>
        <v>3.16845056067557</v>
      </c>
      <c r="Q254" s="73">
        <f>INDEX(ModelOutput!$D$9:$D$11,MATCH("Tier "&amp;$F254,ModelOutput!$B$9:$B$11,0))</f>
        <v>40.009437343712797</v>
      </c>
      <c r="R254" s="73">
        <f>INDEX(ModelOutput!$E$9:$E$11,MATCH("Tier "&amp;$F254,ModelOutput!$B$9:$B$11,0))</f>
        <v>117.949723218616</v>
      </c>
      <c r="S254" s="73">
        <f>INDEX(ModelOutput!$F$9:$F$11,MATCH("Tier "&amp;$F254,ModelOutput!$B$9:$B$11,0))</f>
        <v>136.83922529015501</v>
      </c>
      <c r="T254" s="73">
        <f>INDEX(ModelOutput!$G$9:$G$11,MATCH("Tier "&amp;$F254,ModelOutput!$B$9:$B$11,0))</f>
        <v>22.729631592092201</v>
      </c>
      <c r="U254" s="77">
        <f t="shared" si="33"/>
        <v>417.53617014284475</v>
      </c>
      <c r="V254" s="77">
        <f t="shared" si="34"/>
        <v>1211.5032434159941</v>
      </c>
      <c r="W254" s="77">
        <f t="shared" si="35"/>
        <v>1815.4608716318937</v>
      </c>
      <c r="X254" s="77">
        <f t="shared" si="36"/>
        <v>380.13116461261063</v>
      </c>
      <c r="Y254" s="30">
        <f t="shared" si="37"/>
        <v>3824.6314498033435</v>
      </c>
      <c r="Z254" s="30">
        <f t="shared" si="38"/>
        <v>6260.8155709816265</v>
      </c>
      <c r="AA254" s="41">
        <f t="shared" si="39"/>
        <v>3.389766416865057</v>
      </c>
      <c r="AB254" s="40">
        <f t="shared" si="40"/>
        <v>1782.7872193062994</v>
      </c>
      <c r="AC254" s="42">
        <f t="shared" si="41"/>
        <v>7</v>
      </c>
      <c r="AD254" s="43">
        <v>3824.6314498033498</v>
      </c>
      <c r="AE254" s="79">
        <f t="shared" si="42"/>
        <v>-6.3664629124104977E-12</v>
      </c>
      <c r="AF254" s="29">
        <f t="shared" si="43"/>
        <v>2</v>
      </c>
    </row>
    <row r="255" spans="1:32" ht="15" customHeight="1" x14ac:dyDescent="0.35">
      <c r="A255" s="19" t="s">
        <v>109</v>
      </c>
      <c r="B255" s="19" t="s">
        <v>112</v>
      </c>
      <c r="C255" s="19" t="s">
        <v>210</v>
      </c>
      <c r="D255" s="19" t="s">
        <v>122</v>
      </c>
      <c r="E255" s="19" t="s">
        <v>95</v>
      </c>
      <c r="F255" s="19">
        <v>1</v>
      </c>
      <c r="G255" s="19" t="s">
        <v>211</v>
      </c>
      <c r="H255" s="16">
        <v>8</v>
      </c>
      <c r="I255" s="13">
        <f>IF($G255="Base",1,INDEX(ModelOutput!$D$16:$D$26,MATCH($G255,ModelOutput!$C$16:$C$26,0)))</f>
        <v>1</v>
      </c>
      <c r="J255" s="13">
        <f>IF($A255="Non-greek",1,INDEX(ModelOutput!$D$16:$D$26,MATCH($A255,ModelOutput!$C$16:$C$26,0)))</f>
        <v>4.3562312213391099</v>
      </c>
      <c r="K255" s="13">
        <f>IF($C255="Yes",1,INDEX(ModelOutput!$D$16:$D$26,MATCH($C255,ModelOutput!$C$16:$C$26,0)))</f>
        <v>1</v>
      </c>
      <c r="L255" s="13">
        <f>IF($D255="2.0-3.0",1,INDEX(ModelOutput!$D$16:$D$26,MATCH($D255,ModelOutput!$C$16:$C$26,0)))</f>
        <v>1</v>
      </c>
      <c r="M255" s="13">
        <f>IF($B255="On campus",1,INDEX(ModelOutput!$D$16:$D$26,MATCH($B255,ModelOutput!$C$16:$C$26,0)))</f>
        <v>1.9771404201318099</v>
      </c>
      <c r="N255" s="13">
        <f>IF($B255="On campus",1,INDEX(ModelOutput!$E$16:$E$26,MATCH($B255,ModelOutput!$C$16:$C$26,0)))</f>
        <v>1.9459582144513401</v>
      </c>
      <c r="O255" s="13">
        <f>IF($B255="On campus",1,INDEX(ModelOutput!$F$16:$F$26,MATCH($B255,ModelOutput!$C$16:$C$26,0)))</f>
        <v>2.5135188217196598</v>
      </c>
      <c r="P255" s="13">
        <f>IF($B255="On campus",1,INDEX(ModelOutput!$G$16:$G$26,MATCH($B255,ModelOutput!$C$16:$C$26,0)))</f>
        <v>3.16845056067557</v>
      </c>
      <c r="Q255" s="72">
        <f>INDEX(ModelOutput!$D$9:$D$11,MATCH("Tier "&amp;$F255,ModelOutput!$B$9:$B$11,0))</f>
        <v>36.175496869914397</v>
      </c>
      <c r="R255" s="72">
        <f>INDEX(ModelOutput!$E$9:$E$11,MATCH("Tier "&amp;$F255,ModelOutput!$B$9:$B$11,0))</f>
        <v>106.647084447761</v>
      </c>
      <c r="S255" s="72">
        <f>INDEX(ModelOutput!$F$9:$F$11,MATCH("Tier "&amp;$F255,ModelOutput!$B$9:$B$11,0))</f>
        <v>123.726482920496</v>
      </c>
      <c r="T255" s="72">
        <f>INDEX(ModelOutput!$G$9:$G$11,MATCH("Tier "&amp;$F255,ModelOutput!$B$9:$B$11,0))</f>
        <v>20.551544113210401</v>
      </c>
      <c r="U255" s="76">
        <f t="shared" si="33"/>
        <v>311.57524340350028</v>
      </c>
      <c r="V255" s="76">
        <f t="shared" si="34"/>
        <v>904.05201978629032</v>
      </c>
      <c r="W255" s="76">
        <f t="shared" si="35"/>
        <v>1354.7393098296684</v>
      </c>
      <c r="X255" s="76">
        <f t="shared" si="36"/>
        <v>283.66275453192662</v>
      </c>
      <c r="Y255" s="27">
        <f t="shared" si="37"/>
        <v>2854.0293275513854</v>
      </c>
      <c r="Z255" s="27">
        <f t="shared" si="38"/>
        <v>4682.5408523968026</v>
      </c>
      <c r="AA255" s="33">
        <f t="shared" si="39"/>
        <v>2.2831602123407264</v>
      </c>
      <c r="AB255" s="14">
        <f t="shared" si="40"/>
        <v>1782.7872193062994</v>
      </c>
      <c r="AC255" s="29">
        <f t="shared" si="41"/>
        <v>6</v>
      </c>
      <c r="AD255" s="20">
        <v>2854.02932755138</v>
      </c>
      <c r="AE255" s="78">
        <f t="shared" si="42"/>
        <v>5.4569682106375694E-12</v>
      </c>
      <c r="AF255" s="29">
        <f t="shared" si="43"/>
        <v>4</v>
      </c>
    </row>
    <row r="256" spans="1:32" ht="15" customHeight="1" x14ac:dyDescent="0.35">
      <c r="A256" s="19" t="s">
        <v>109</v>
      </c>
      <c r="B256" s="19" t="s">
        <v>112</v>
      </c>
      <c r="C256" s="19" t="s">
        <v>210</v>
      </c>
      <c r="D256" s="19" t="s">
        <v>122</v>
      </c>
      <c r="E256" s="19" t="s">
        <v>105</v>
      </c>
      <c r="F256" s="19">
        <v>1</v>
      </c>
      <c r="G256" s="19" t="s">
        <v>105</v>
      </c>
      <c r="H256" s="16">
        <v>13</v>
      </c>
      <c r="I256" s="13">
        <f>IF($G256="Base",1,INDEX(ModelOutput!$D$16:$D$26,MATCH($G256,ModelOutput!$C$16:$C$26,0)))</f>
        <v>0.98982624281990295</v>
      </c>
      <c r="J256" s="13">
        <f>IF($A256="Non-greek",1,INDEX(ModelOutput!$D$16:$D$26,MATCH($A256,ModelOutput!$C$16:$C$26,0)))</f>
        <v>4.3562312213391099</v>
      </c>
      <c r="K256" s="13">
        <f>IF($C256="Yes",1,INDEX(ModelOutput!$D$16:$D$26,MATCH($C256,ModelOutput!$C$16:$C$26,0)))</f>
        <v>1</v>
      </c>
      <c r="L256" s="13">
        <f>IF($D256="2.0-3.0",1,INDEX(ModelOutput!$D$16:$D$26,MATCH($D256,ModelOutput!$C$16:$C$26,0)))</f>
        <v>1</v>
      </c>
      <c r="M256" s="13">
        <f>IF($B256="On campus",1,INDEX(ModelOutput!$D$16:$D$26,MATCH($B256,ModelOutput!$C$16:$C$26,0)))</f>
        <v>1.9771404201318099</v>
      </c>
      <c r="N256" s="13">
        <f>IF($B256="On campus",1,INDEX(ModelOutput!$E$16:$E$26,MATCH($B256,ModelOutput!$C$16:$C$26,0)))</f>
        <v>1.9459582144513401</v>
      </c>
      <c r="O256" s="13">
        <f>IF($B256="On campus",1,INDEX(ModelOutput!$F$16:$F$26,MATCH($B256,ModelOutput!$C$16:$C$26,0)))</f>
        <v>2.5135188217196598</v>
      </c>
      <c r="P256" s="13">
        <f>IF($B256="On campus",1,INDEX(ModelOutput!$G$16:$G$26,MATCH($B256,ModelOutput!$C$16:$C$26,0)))</f>
        <v>3.16845056067557</v>
      </c>
      <c r="Q256" s="72">
        <f>INDEX(ModelOutput!$D$9:$D$11,MATCH("Tier "&amp;$F256,ModelOutput!$B$9:$B$11,0))</f>
        <v>36.175496869914397</v>
      </c>
      <c r="R256" s="72">
        <f>INDEX(ModelOutput!$E$9:$E$11,MATCH("Tier "&amp;$F256,ModelOutput!$B$9:$B$11,0))</f>
        <v>106.647084447761</v>
      </c>
      <c r="S256" s="72">
        <f>INDEX(ModelOutput!$F$9:$F$11,MATCH("Tier "&amp;$F256,ModelOutput!$B$9:$B$11,0))</f>
        <v>123.726482920496</v>
      </c>
      <c r="T256" s="72">
        <f>INDEX(ModelOutput!$G$9:$G$11,MATCH("Tier "&amp;$F256,ModelOutput!$B$9:$B$11,0))</f>
        <v>20.551544113210401</v>
      </c>
      <c r="U256" s="76">
        <f t="shared" si="33"/>
        <v>308.40535253378346</v>
      </c>
      <c r="V256" s="76">
        <f t="shared" si="34"/>
        <v>894.85441405880829</v>
      </c>
      <c r="W256" s="76">
        <f t="shared" si="35"/>
        <v>1340.9565210491289</v>
      </c>
      <c r="X256" s="76">
        <f t="shared" si="36"/>
        <v>280.77683854628128</v>
      </c>
      <c r="Y256" s="27">
        <f t="shared" si="37"/>
        <v>2824.993126188002</v>
      </c>
      <c r="Z256" s="27">
        <f t="shared" si="38"/>
        <v>4635.3257253278034</v>
      </c>
      <c r="AA256" s="33">
        <f t="shared" si="39"/>
        <v>2.2500553593346484</v>
      </c>
      <c r="AB256" s="14">
        <f t="shared" si="40"/>
        <v>1782.7872193062994</v>
      </c>
      <c r="AC256" s="29">
        <f t="shared" si="41"/>
        <v>6</v>
      </c>
      <c r="AD256" s="20">
        <v>2824.9931261880001</v>
      </c>
      <c r="AE256" s="78">
        <f t="shared" si="42"/>
        <v>0</v>
      </c>
      <c r="AF256" s="29">
        <f t="shared" si="43"/>
        <v>3</v>
      </c>
    </row>
    <row r="257" spans="1:32" ht="15" customHeight="1" x14ac:dyDescent="0.35">
      <c r="A257" s="19" t="s">
        <v>109</v>
      </c>
      <c r="B257" s="19" t="s">
        <v>112</v>
      </c>
      <c r="C257" s="19" t="s">
        <v>210</v>
      </c>
      <c r="D257" s="19" t="s">
        <v>122</v>
      </c>
      <c r="E257" s="19" t="s">
        <v>97</v>
      </c>
      <c r="F257" s="19">
        <v>2</v>
      </c>
      <c r="G257" s="19" t="s">
        <v>211</v>
      </c>
      <c r="H257" s="16">
        <v>8</v>
      </c>
      <c r="I257" s="13">
        <f>IF($G257="Base",1,INDEX(ModelOutput!$D$16:$D$26,MATCH($G257,ModelOutput!$C$16:$C$26,0)))</f>
        <v>1</v>
      </c>
      <c r="J257" s="13">
        <f>IF($A257="Non-greek",1,INDEX(ModelOutput!$D$16:$D$26,MATCH($A257,ModelOutput!$C$16:$C$26,0)))</f>
        <v>4.3562312213391099</v>
      </c>
      <c r="K257" s="13">
        <f>IF($C257="Yes",1,INDEX(ModelOutput!$D$16:$D$26,MATCH($C257,ModelOutput!$C$16:$C$26,0)))</f>
        <v>1</v>
      </c>
      <c r="L257" s="13">
        <f>IF($D257="2.0-3.0",1,INDEX(ModelOutput!$D$16:$D$26,MATCH($D257,ModelOutput!$C$16:$C$26,0)))</f>
        <v>1</v>
      </c>
      <c r="M257" s="13">
        <f>IF($B257="On campus",1,INDEX(ModelOutput!$D$16:$D$26,MATCH($B257,ModelOutput!$C$16:$C$26,0)))</f>
        <v>1.9771404201318099</v>
      </c>
      <c r="N257" s="13">
        <f>IF($B257="On campus",1,INDEX(ModelOutput!$E$16:$E$26,MATCH($B257,ModelOutput!$C$16:$C$26,0)))</f>
        <v>1.9459582144513401</v>
      </c>
      <c r="O257" s="13">
        <f>IF($B257="On campus",1,INDEX(ModelOutput!$F$16:$F$26,MATCH($B257,ModelOutput!$C$16:$C$26,0)))</f>
        <v>2.5135188217196598</v>
      </c>
      <c r="P257" s="13">
        <f>IF($B257="On campus",1,INDEX(ModelOutput!$G$16:$G$26,MATCH($B257,ModelOutput!$C$16:$C$26,0)))</f>
        <v>3.16845056067557</v>
      </c>
      <c r="Q257" s="72">
        <f>INDEX(ModelOutput!$D$9:$D$11,MATCH("Tier "&amp;$F257,ModelOutput!$B$9:$B$11,0))</f>
        <v>42.8051506068728</v>
      </c>
      <c r="R257" s="72">
        <f>INDEX(ModelOutput!$E$9:$E$11,MATCH("Tier "&amp;$F257,ModelOutput!$B$9:$B$11,0))</f>
        <v>126.191618818284</v>
      </c>
      <c r="S257" s="72">
        <f>INDEX(ModelOutput!$F$9:$F$11,MATCH("Tier "&amp;$F257,ModelOutput!$B$9:$B$11,0))</f>
        <v>146.401050261042</v>
      </c>
      <c r="T257" s="72">
        <f>INDEX(ModelOutput!$G$9:$G$11,MATCH("Tier "&amp;$F257,ModelOutput!$B$9:$B$11,0))</f>
        <v>24.317895180076398</v>
      </c>
      <c r="U257" s="76">
        <f t="shared" si="33"/>
        <v>368.67566096519073</v>
      </c>
      <c r="V257" s="76">
        <f t="shared" si="34"/>
        <v>1069.7318962212512</v>
      </c>
      <c r="W257" s="76">
        <f t="shared" si="35"/>
        <v>1603.0137857909419</v>
      </c>
      <c r="X257" s="76">
        <f t="shared" si="36"/>
        <v>335.64782739439465</v>
      </c>
      <c r="Y257" s="27">
        <f t="shared" si="37"/>
        <v>3377.0691703717785</v>
      </c>
      <c r="Z257" s="27">
        <f t="shared" si="38"/>
        <v>5533.0444128265981</v>
      </c>
      <c r="AA257" s="33">
        <f t="shared" si="39"/>
        <v>2.8794901832000184</v>
      </c>
      <c r="AB257" s="14">
        <f t="shared" si="40"/>
        <v>1782.7872193062994</v>
      </c>
      <c r="AC257" s="29">
        <f t="shared" si="41"/>
        <v>7</v>
      </c>
      <c r="AD257" s="20">
        <v>3377.0691703717698</v>
      </c>
      <c r="AE257" s="78">
        <f t="shared" si="42"/>
        <v>8.6401996668428183E-12</v>
      </c>
      <c r="AF257" s="29">
        <f t="shared" si="43"/>
        <v>2</v>
      </c>
    </row>
    <row r="258" spans="1:32" ht="15" customHeight="1" x14ac:dyDescent="0.35">
      <c r="A258" s="19" t="s">
        <v>109</v>
      </c>
      <c r="B258" s="19" t="s">
        <v>112</v>
      </c>
      <c r="C258" s="19" t="s">
        <v>210</v>
      </c>
      <c r="D258" s="19" t="s">
        <v>122</v>
      </c>
      <c r="E258" s="19" t="s">
        <v>99</v>
      </c>
      <c r="F258" s="19">
        <v>3</v>
      </c>
      <c r="G258" s="19" t="s">
        <v>211</v>
      </c>
      <c r="H258" s="16">
        <v>2</v>
      </c>
      <c r="I258" s="13">
        <f>IF($G258="Base",1,INDEX(ModelOutput!$D$16:$D$26,MATCH($G258,ModelOutput!$C$16:$C$26,0)))</f>
        <v>1</v>
      </c>
      <c r="J258" s="13">
        <f>IF($A258="Non-greek",1,INDEX(ModelOutput!$D$16:$D$26,MATCH($A258,ModelOutput!$C$16:$C$26,0)))</f>
        <v>4.3562312213391099</v>
      </c>
      <c r="K258" s="13">
        <f>IF($C258="Yes",1,INDEX(ModelOutput!$D$16:$D$26,MATCH($C258,ModelOutput!$C$16:$C$26,0)))</f>
        <v>1</v>
      </c>
      <c r="L258" s="13">
        <f>IF($D258="2.0-3.0",1,INDEX(ModelOutput!$D$16:$D$26,MATCH($D258,ModelOutput!$C$16:$C$26,0)))</f>
        <v>1</v>
      </c>
      <c r="M258" s="13">
        <f>IF($B258="On campus",1,INDEX(ModelOutput!$D$16:$D$26,MATCH($B258,ModelOutput!$C$16:$C$26,0)))</f>
        <v>1.9771404201318099</v>
      </c>
      <c r="N258" s="13">
        <f>IF($B258="On campus",1,INDEX(ModelOutput!$E$16:$E$26,MATCH($B258,ModelOutput!$C$16:$C$26,0)))</f>
        <v>1.9459582144513401</v>
      </c>
      <c r="O258" s="13">
        <f>IF($B258="On campus",1,INDEX(ModelOutput!$F$16:$F$26,MATCH($B258,ModelOutput!$C$16:$C$26,0)))</f>
        <v>2.5135188217196598</v>
      </c>
      <c r="P258" s="13">
        <f>IF($B258="On campus",1,INDEX(ModelOutput!$G$16:$G$26,MATCH($B258,ModelOutput!$C$16:$C$26,0)))</f>
        <v>3.16845056067557</v>
      </c>
      <c r="Q258" s="72">
        <f>INDEX(ModelOutput!$D$9:$D$11,MATCH("Tier "&amp;$F258,ModelOutput!$B$9:$B$11,0))</f>
        <v>40.009437343712797</v>
      </c>
      <c r="R258" s="72">
        <f>INDEX(ModelOutput!$E$9:$E$11,MATCH("Tier "&amp;$F258,ModelOutput!$B$9:$B$11,0))</f>
        <v>117.949723218616</v>
      </c>
      <c r="S258" s="72">
        <f>INDEX(ModelOutput!$F$9:$F$11,MATCH("Tier "&amp;$F258,ModelOutput!$B$9:$B$11,0))</f>
        <v>136.83922529015501</v>
      </c>
      <c r="T258" s="72">
        <f>INDEX(ModelOutput!$G$9:$G$11,MATCH("Tier "&amp;$F258,ModelOutput!$B$9:$B$11,0))</f>
        <v>22.729631592092201</v>
      </c>
      <c r="U258" s="76">
        <f t="shared" si="33"/>
        <v>344.59651580271179</v>
      </c>
      <c r="V258" s="76">
        <f t="shared" si="34"/>
        <v>999.86498516286804</v>
      </c>
      <c r="W258" s="76">
        <f t="shared" si="35"/>
        <v>1498.3168780958017</v>
      </c>
      <c r="X258" s="76">
        <f t="shared" si="36"/>
        <v>313.72581405035788</v>
      </c>
      <c r="Y258" s="27">
        <f t="shared" si="37"/>
        <v>3156.5041931117394</v>
      </c>
      <c r="Z258" s="27">
        <f t="shared" si="38"/>
        <v>5174.3885646330273</v>
      </c>
      <c r="AA258" s="33">
        <f t="shared" si="39"/>
        <v>2.6280188884840907</v>
      </c>
      <c r="AB258" s="14">
        <f t="shared" si="40"/>
        <v>1782.7872193062994</v>
      </c>
      <c r="AC258" s="29">
        <f t="shared" si="41"/>
        <v>6</v>
      </c>
      <c r="AD258" s="20">
        <v>3156.5041931117398</v>
      </c>
      <c r="AE258" s="78">
        <f t="shared" si="42"/>
        <v>0</v>
      </c>
      <c r="AF258" s="29">
        <f t="shared" si="43"/>
        <v>1</v>
      </c>
    </row>
    <row r="259" spans="1:32" ht="15" customHeight="1" x14ac:dyDescent="0.35">
      <c r="A259" s="19" t="s">
        <v>109</v>
      </c>
      <c r="B259" s="19" t="s">
        <v>112</v>
      </c>
      <c r="C259" s="19" t="s">
        <v>210</v>
      </c>
      <c r="D259" s="19" t="s">
        <v>122</v>
      </c>
      <c r="E259" s="19" t="s">
        <v>213</v>
      </c>
      <c r="F259" s="19">
        <v>3</v>
      </c>
      <c r="G259" s="19" t="s">
        <v>107</v>
      </c>
      <c r="H259" s="16">
        <v>5</v>
      </c>
      <c r="I259" s="13">
        <f>IF($G259="Base",1,INDEX(ModelOutput!$D$16:$D$26,MATCH($G259,ModelOutput!$C$16:$C$26,0)))</f>
        <v>1.1906804269762199</v>
      </c>
      <c r="J259" s="13">
        <f>IF($A259="Non-greek",1,INDEX(ModelOutput!$D$16:$D$26,MATCH($A259,ModelOutput!$C$16:$C$26,0)))</f>
        <v>4.3562312213391099</v>
      </c>
      <c r="K259" s="13">
        <f>IF($C259="Yes",1,INDEX(ModelOutput!$D$16:$D$26,MATCH($C259,ModelOutput!$C$16:$C$26,0)))</f>
        <v>1</v>
      </c>
      <c r="L259" s="13">
        <f>IF($D259="2.0-3.0",1,INDEX(ModelOutput!$D$16:$D$26,MATCH($D259,ModelOutput!$C$16:$C$26,0)))</f>
        <v>1</v>
      </c>
      <c r="M259" s="13">
        <f>IF($B259="On campus",1,INDEX(ModelOutput!$D$16:$D$26,MATCH($B259,ModelOutput!$C$16:$C$26,0)))</f>
        <v>1.9771404201318099</v>
      </c>
      <c r="N259" s="13">
        <f>IF($B259="On campus",1,INDEX(ModelOutput!$E$16:$E$26,MATCH($B259,ModelOutput!$C$16:$C$26,0)))</f>
        <v>1.9459582144513401</v>
      </c>
      <c r="O259" s="13">
        <f>IF($B259="On campus",1,INDEX(ModelOutput!$F$16:$F$26,MATCH($B259,ModelOutput!$C$16:$C$26,0)))</f>
        <v>2.5135188217196598</v>
      </c>
      <c r="P259" s="13">
        <f>IF($B259="On campus",1,INDEX(ModelOutput!$G$16:$G$26,MATCH($B259,ModelOutput!$C$16:$C$26,0)))</f>
        <v>3.16845056067557</v>
      </c>
      <c r="Q259" s="72">
        <f>INDEX(ModelOutput!$D$9:$D$11,MATCH("Tier "&amp;$F259,ModelOutput!$B$9:$B$11,0))</f>
        <v>40.009437343712797</v>
      </c>
      <c r="R259" s="72">
        <f>INDEX(ModelOutput!$E$9:$E$11,MATCH("Tier "&amp;$F259,ModelOutput!$B$9:$B$11,0))</f>
        <v>117.949723218616</v>
      </c>
      <c r="S259" s="72">
        <f>INDEX(ModelOutput!$F$9:$F$11,MATCH("Tier "&amp;$F259,ModelOutput!$B$9:$B$11,0))</f>
        <v>136.83922529015501</v>
      </c>
      <c r="T259" s="72">
        <f>INDEX(ModelOutput!$G$9:$G$11,MATCH("Tier "&amp;$F259,ModelOutput!$B$9:$B$11,0))</f>
        <v>22.729631592092201</v>
      </c>
      <c r="U259" s="76">
        <f t="shared" si="33"/>
        <v>410.30432657049056</v>
      </c>
      <c r="V259" s="76">
        <f t="shared" si="34"/>
        <v>1190.5196674522956</v>
      </c>
      <c r="W259" s="76">
        <f t="shared" si="35"/>
        <v>1784.0165801567864</v>
      </c>
      <c r="X259" s="76">
        <f t="shared" si="36"/>
        <v>373.5471862269423</v>
      </c>
      <c r="Y259" s="27">
        <f t="shared" si="37"/>
        <v>3758.3877604065146</v>
      </c>
      <c r="Z259" s="27">
        <f t="shared" si="38"/>
        <v>6153.0981676874471</v>
      </c>
      <c r="AA259" s="33">
        <f t="shared" si="39"/>
        <v>3.3142404356040309</v>
      </c>
      <c r="AB259" s="14">
        <f t="shared" si="40"/>
        <v>1782.7872193062994</v>
      </c>
      <c r="AC259" s="29">
        <f t="shared" si="41"/>
        <v>7</v>
      </c>
      <c r="AD259" s="20">
        <v>3758.3877604065201</v>
      </c>
      <c r="AE259" s="78">
        <f t="shared" si="42"/>
        <v>-5.4569682106375694E-12</v>
      </c>
      <c r="AF259" s="29">
        <f t="shared" si="43"/>
        <v>2</v>
      </c>
    </row>
    <row r="260" spans="1:32" ht="15" customHeight="1" x14ac:dyDescent="0.35">
      <c r="A260" s="37" t="s">
        <v>109</v>
      </c>
      <c r="B260" s="37" t="s">
        <v>112</v>
      </c>
      <c r="C260" s="37" t="s">
        <v>210</v>
      </c>
      <c r="D260" s="37" t="s">
        <v>124</v>
      </c>
      <c r="E260" s="37" t="s">
        <v>95</v>
      </c>
      <c r="F260" s="37">
        <v>1</v>
      </c>
      <c r="G260" s="37" t="s">
        <v>211</v>
      </c>
      <c r="H260" s="38">
        <v>6</v>
      </c>
      <c r="I260" s="39">
        <f>IF($G260="Base",1,INDEX(ModelOutput!$D$16:$D$26,MATCH($G260,ModelOutput!$C$16:$C$26,0)))</f>
        <v>1</v>
      </c>
      <c r="J260" s="39">
        <f>IF($A260="Non-greek",1,INDEX(ModelOutput!$D$16:$D$26,MATCH($A260,ModelOutput!$C$16:$C$26,0)))</f>
        <v>4.3562312213391099</v>
      </c>
      <c r="K260" s="39">
        <f>IF($C260="Yes",1,INDEX(ModelOutput!$D$16:$D$26,MATCH($C260,ModelOutput!$C$16:$C$26,0)))</f>
        <v>1</v>
      </c>
      <c r="L260" s="39">
        <f>IF($D260="2.0-3.0",1,INDEX(ModelOutput!$D$16:$D$26,MATCH($D260,ModelOutput!$C$16:$C$26,0)))</f>
        <v>0.87654761766211098</v>
      </c>
      <c r="M260" s="39">
        <f>IF($B260="On campus",1,INDEX(ModelOutput!$D$16:$D$26,MATCH($B260,ModelOutput!$C$16:$C$26,0)))</f>
        <v>1.9771404201318099</v>
      </c>
      <c r="N260" s="39">
        <f>IF($B260="On campus",1,INDEX(ModelOutput!$E$16:$E$26,MATCH($B260,ModelOutput!$C$16:$C$26,0)))</f>
        <v>1.9459582144513401</v>
      </c>
      <c r="O260" s="39">
        <f>IF($B260="On campus",1,INDEX(ModelOutput!$F$16:$F$26,MATCH($B260,ModelOutput!$C$16:$C$26,0)))</f>
        <v>2.5135188217196598</v>
      </c>
      <c r="P260" s="39">
        <f>IF($B260="On campus",1,INDEX(ModelOutput!$G$16:$G$26,MATCH($B260,ModelOutput!$C$16:$C$26,0)))</f>
        <v>3.16845056067557</v>
      </c>
      <c r="Q260" s="73">
        <f>INDEX(ModelOutput!$D$9:$D$11,MATCH("Tier "&amp;$F260,ModelOutput!$B$9:$B$11,0))</f>
        <v>36.175496869914397</v>
      </c>
      <c r="R260" s="73">
        <f>INDEX(ModelOutput!$E$9:$E$11,MATCH("Tier "&amp;$F260,ModelOutput!$B$9:$B$11,0))</f>
        <v>106.647084447761</v>
      </c>
      <c r="S260" s="73">
        <f>INDEX(ModelOutput!$F$9:$F$11,MATCH("Tier "&amp;$F260,ModelOutput!$B$9:$B$11,0))</f>
        <v>123.726482920496</v>
      </c>
      <c r="T260" s="73">
        <f>INDEX(ModelOutput!$G$9:$G$11,MATCH("Tier "&amp;$F260,ModelOutput!$B$9:$B$11,0))</f>
        <v>20.551544113210401</v>
      </c>
      <c r="U260" s="77">
        <f t="shared" si="33"/>
        <v>273.11053732783051</v>
      </c>
      <c r="V260" s="77">
        <f t="shared" si="34"/>
        <v>792.44464418629241</v>
      </c>
      <c r="W260" s="77">
        <f t="shared" si="35"/>
        <v>1187.4935145844083</v>
      </c>
      <c r="X260" s="77">
        <f t="shared" si="36"/>
        <v>248.64391170443244</v>
      </c>
      <c r="Y260" s="30">
        <f t="shared" si="37"/>
        <v>2501.6926078029637</v>
      </c>
      <c r="Z260" s="30">
        <f t="shared" si="38"/>
        <v>4109.6138780380061</v>
      </c>
      <c r="AA260" s="41">
        <f t="shared" si="39"/>
        <v>1.8814528688097578</v>
      </c>
      <c r="AB260" s="40">
        <f t="shared" si="40"/>
        <v>1782.7872193062994</v>
      </c>
      <c r="AC260" s="42">
        <f t="shared" si="41"/>
        <v>5</v>
      </c>
      <c r="AD260" s="43">
        <v>2501.6926078029601</v>
      </c>
      <c r="AE260" s="79">
        <f t="shared" si="42"/>
        <v>3.637978807091713E-12</v>
      </c>
      <c r="AF260" s="29">
        <f t="shared" si="43"/>
        <v>4</v>
      </c>
    </row>
    <row r="261" spans="1:32" ht="15" customHeight="1" x14ac:dyDescent="0.35">
      <c r="A261" s="37" t="s">
        <v>109</v>
      </c>
      <c r="B261" s="37" t="s">
        <v>112</v>
      </c>
      <c r="C261" s="37" t="s">
        <v>210</v>
      </c>
      <c r="D261" s="37" t="s">
        <v>124</v>
      </c>
      <c r="E261" s="37" t="s">
        <v>105</v>
      </c>
      <c r="F261" s="37">
        <v>1</v>
      </c>
      <c r="G261" s="37" t="s">
        <v>105</v>
      </c>
      <c r="H261" s="38">
        <v>4</v>
      </c>
      <c r="I261" s="39">
        <f>IF($G261="Base",1,INDEX(ModelOutput!$D$16:$D$26,MATCH($G261,ModelOutput!$C$16:$C$26,0)))</f>
        <v>0.98982624281990295</v>
      </c>
      <c r="J261" s="39">
        <f>IF($A261="Non-greek",1,INDEX(ModelOutput!$D$16:$D$26,MATCH($A261,ModelOutput!$C$16:$C$26,0)))</f>
        <v>4.3562312213391099</v>
      </c>
      <c r="K261" s="39">
        <f>IF($C261="Yes",1,INDEX(ModelOutput!$D$16:$D$26,MATCH($C261,ModelOutput!$C$16:$C$26,0)))</f>
        <v>1</v>
      </c>
      <c r="L261" s="39">
        <f>IF($D261="2.0-3.0",1,INDEX(ModelOutput!$D$16:$D$26,MATCH($D261,ModelOutput!$C$16:$C$26,0)))</f>
        <v>0.87654761766211098</v>
      </c>
      <c r="M261" s="39">
        <f>IF($B261="On campus",1,INDEX(ModelOutput!$D$16:$D$26,MATCH($B261,ModelOutput!$C$16:$C$26,0)))</f>
        <v>1.9771404201318099</v>
      </c>
      <c r="N261" s="39">
        <f>IF($B261="On campus",1,INDEX(ModelOutput!$E$16:$E$26,MATCH($B261,ModelOutput!$C$16:$C$26,0)))</f>
        <v>1.9459582144513401</v>
      </c>
      <c r="O261" s="39">
        <f>IF($B261="On campus",1,INDEX(ModelOutput!$F$16:$F$26,MATCH($B261,ModelOutput!$C$16:$C$26,0)))</f>
        <v>2.5135188217196598</v>
      </c>
      <c r="P261" s="39">
        <f>IF($B261="On campus",1,INDEX(ModelOutput!$G$16:$G$26,MATCH($B261,ModelOutput!$C$16:$C$26,0)))</f>
        <v>3.16845056067557</v>
      </c>
      <c r="Q261" s="73">
        <f>INDEX(ModelOutput!$D$9:$D$11,MATCH("Tier "&amp;$F261,ModelOutput!$B$9:$B$11,0))</f>
        <v>36.175496869914397</v>
      </c>
      <c r="R261" s="73">
        <f>INDEX(ModelOutput!$E$9:$E$11,MATCH("Tier "&amp;$F261,ModelOutput!$B$9:$B$11,0))</f>
        <v>106.647084447761</v>
      </c>
      <c r="S261" s="73">
        <f>INDEX(ModelOutput!$F$9:$F$11,MATCH("Tier "&amp;$F261,ModelOutput!$B$9:$B$11,0))</f>
        <v>123.726482920496</v>
      </c>
      <c r="T261" s="73">
        <f>INDEX(ModelOutput!$G$9:$G$11,MATCH("Tier "&amp;$F261,ModelOutput!$B$9:$B$11,0))</f>
        <v>20.551544113210401</v>
      </c>
      <c r="U261" s="77">
        <f t="shared" ref="U261:U324" si="44">$Q261*$I261*$J261*$K261*$L261*$M261</f>
        <v>270.33197703773135</v>
      </c>
      <c r="V261" s="77">
        <f t="shared" ref="V261:V324" si="45">$R261*$I261*$J261*$K261*$L261*$N261</f>
        <v>784.38250479767271</v>
      </c>
      <c r="W261" s="77">
        <f t="shared" ref="W261:W324" si="46">$S261*$I261*$J261*$K261*$L261*$O261</f>
        <v>1175.4122439140865</v>
      </c>
      <c r="X261" s="77">
        <f t="shared" ref="X261:X324" si="47">$T261*$I261*$J261*$K261*$L261*$P261</f>
        <v>246.11426892244202</v>
      </c>
      <c r="Y261" s="30">
        <f t="shared" ref="Y261:Y324" si="48">SUM(U261:X261)</f>
        <v>2476.2409946719326</v>
      </c>
      <c r="Z261" s="30">
        <f t="shared" ref="Z261:Z324" si="49">$Y261*GROSS_MULT+POLICY_FEE</f>
        <v>4068.2275708880611</v>
      </c>
      <c r="AA261" s="41">
        <f t="shared" ref="AA261:AA324" si="50">$Z261/CURRENT_FLAT-1</f>
        <v>1.8524348887742259</v>
      </c>
      <c r="AB261" s="40">
        <f t="shared" ref="AB261:AB324" si="51">MEDIAN(CURRENT_FLAT*(1-CAP_DOWN),$Z261,CURRENT_FLAT*(1+CAP_UP))</f>
        <v>1782.7872193062994</v>
      </c>
      <c r="AC261" s="42">
        <f t="shared" ref="AC261:AC324" si="52">IF($Z261&gt;CURRENT_FLAT,ROUNDUP(LN($Z261/CURRENT_FLAT)/LN(1+CAP_UP),0),IF($Z261&lt;CURRENT_FLAT,ROUNDUP(LN($Z261/CURRENT_FLAT)/LN(1-CAP_DOWN),0),0))</f>
        <v>5</v>
      </c>
      <c r="AD261" s="43">
        <v>2476.2409946719299</v>
      </c>
      <c r="AE261" s="79">
        <f t="shared" ref="AE261:AE324" si="53">$Y261-$AD261</f>
        <v>0</v>
      </c>
      <c r="AF261" s="29">
        <f t="shared" ref="AF261:AF324" si="54">IF($E261="Freshman",4,IF($E261="Sophomore",3,IF($E261="Junior",2,IF($E261="Senior",1,2))))</f>
        <v>3</v>
      </c>
    </row>
    <row r="262" spans="1:32" ht="15" customHeight="1" x14ac:dyDescent="0.35">
      <c r="A262" s="37" t="s">
        <v>109</v>
      </c>
      <c r="B262" s="37" t="s">
        <v>112</v>
      </c>
      <c r="C262" s="37" t="s">
        <v>210</v>
      </c>
      <c r="D262" s="37" t="s">
        <v>124</v>
      </c>
      <c r="E262" s="37" t="s">
        <v>97</v>
      </c>
      <c r="F262" s="37">
        <v>2</v>
      </c>
      <c r="G262" s="37" t="s">
        <v>211</v>
      </c>
      <c r="H262" s="38">
        <v>6</v>
      </c>
      <c r="I262" s="39">
        <f>IF($G262="Base",1,INDEX(ModelOutput!$D$16:$D$26,MATCH($G262,ModelOutput!$C$16:$C$26,0)))</f>
        <v>1</v>
      </c>
      <c r="J262" s="39">
        <f>IF($A262="Non-greek",1,INDEX(ModelOutput!$D$16:$D$26,MATCH($A262,ModelOutput!$C$16:$C$26,0)))</f>
        <v>4.3562312213391099</v>
      </c>
      <c r="K262" s="39">
        <f>IF($C262="Yes",1,INDEX(ModelOutput!$D$16:$D$26,MATCH($C262,ModelOutput!$C$16:$C$26,0)))</f>
        <v>1</v>
      </c>
      <c r="L262" s="39">
        <f>IF($D262="2.0-3.0",1,INDEX(ModelOutput!$D$16:$D$26,MATCH($D262,ModelOutput!$C$16:$C$26,0)))</f>
        <v>0.87654761766211098</v>
      </c>
      <c r="M262" s="39">
        <f>IF($B262="On campus",1,INDEX(ModelOutput!$D$16:$D$26,MATCH($B262,ModelOutput!$C$16:$C$26,0)))</f>
        <v>1.9771404201318099</v>
      </c>
      <c r="N262" s="39">
        <f>IF($B262="On campus",1,INDEX(ModelOutput!$E$16:$E$26,MATCH($B262,ModelOutput!$C$16:$C$26,0)))</f>
        <v>1.9459582144513401</v>
      </c>
      <c r="O262" s="39">
        <f>IF($B262="On campus",1,INDEX(ModelOutput!$F$16:$F$26,MATCH($B262,ModelOutput!$C$16:$C$26,0)))</f>
        <v>2.5135188217196598</v>
      </c>
      <c r="P262" s="39">
        <f>IF($B262="On campus",1,INDEX(ModelOutput!$G$16:$G$26,MATCH($B262,ModelOutput!$C$16:$C$26,0)))</f>
        <v>3.16845056067557</v>
      </c>
      <c r="Q262" s="73">
        <f>INDEX(ModelOutput!$D$9:$D$11,MATCH("Tier "&amp;$F262,ModelOutput!$B$9:$B$11,0))</f>
        <v>42.8051506068728</v>
      </c>
      <c r="R262" s="73">
        <f>INDEX(ModelOutput!$E$9:$E$11,MATCH("Tier "&amp;$F262,ModelOutput!$B$9:$B$11,0))</f>
        <v>126.191618818284</v>
      </c>
      <c r="S262" s="73">
        <f>INDEX(ModelOutput!$F$9:$F$11,MATCH("Tier "&amp;$F262,ModelOutput!$B$9:$B$11,0))</f>
        <v>146.401050261042</v>
      </c>
      <c r="T262" s="73">
        <f>INDEX(ModelOutput!$G$9:$G$11,MATCH("Tier "&amp;$F262,ModelOutput!$B$9:$B$11,0))</f>
        <v>24.317895180076398</v>
      </c>
      <c r="U262" s="77">
        <f t="shared" si="44"/>
        <v>323.16177230904202</v>
      </c>
      <c r="V262" s="77">
        <f t="shared" si="45"/>
        <v>937.67094516991028</v>
      </c>
      <c r="W262" s="77">
        <f t="shared" si="46"/>
        <v>1405.1179150145717</v>
      </c>
      <c r="X262" s="77">
        <f t="shared" si="47"/>
        <v>294.21130347602008</v>
      </c>
      <c r="Y262" s="30">
        <f t="shared" si="48"/>
        <v>2960.1619359695442</v>
      </c>
      <c r="Z262" s="30">
        <f t="shared" si="49"/>
        <v>4855.1207477458875</v>
      </c>
      <c r="AA262" s="41">
        <f t="shared" si="50"/>
        <v>2.4041644841069871</v>
      </c>
      <c r="AB262" s="40">
        <f t="shared" si="51"/>
        <v>1782.7872193062994</v>
      </c>
      <c r="AC262" s="42">
        <f t="shared" si="52"/>
        <v>6</v>
      </c>
      <c r="AD262" s="43">
        <v>2960.1619359695401</v>
      </c>
      <c r="AE262" s="79">
        <f t="shared" si="53"/>
        <v>4.0927261579781771E-12</v>
      </c>
      <c r="AF262" s="29">
        <f t="shared" si="54"/>
        <v>2</v>
      </c>
    </row>
    <row r="263" spans="1:32" ht="15" customHeight="1" x14ac:dyDescent="0.35">
      <c r="A263" s="37" t="s">
        <v>109</v>
      </c>
      <c r="B263" s="37" t="s">
        <v>112</v>
      </c>
      <c r="C263" s="37" t="s">
        <v>210</v>
      </c>
      <c r="D263" s="37" t="s">
        <v>124</v>
      </c>
      <c r="E263" s="37" t="s">
        <v>99</v>
      </c>
      <c r="F263" s="37">
        <v>3</v>
      </c>
      <c r="G263" s="37" t="s">
        <v>211</v>
      </c>
      <c r="H263" s="38">
        <v>3</v>
      </c>
      <c r="I263" s="39">
        <f>IF($G263="Base",1,INDEX(ModelOutput!$D$16:$D$26,MATCH($G263,ModelOutput!$C$16:$C$26,0)))</f>
        <v>1</v>
      </c>
      <c r="J263" s="39">
        <f>IF($A263="Non-greek",1,INDEX(ModelOutput!$D$16:$D$26,MATCH($A263,ModelOutput!$C$16:$C$26,0)))</f>
        <v>4.3562312213391099</v>
      </c>
      <c r="K263" s="39">
        <f>IF($C263="Yes",1,INDEX(ModelOutput!$D$16:$D$26,MATCH($C263,ModelOutput!$C$16:$C$26,0)))</f>
        <v>1</v>
      </c>
      <c r="L263" s="39">
        <f>IF($D263="2.0-3.0",1,INDEX(ModelOutput!$D$16:$D$26,MATCH($D263,ModelOutput!$C$16:$C$26,0)))</f>
        <v>0.87654761766211098</v>
      </c>
      <c r="M263" s="39">
        <f>IF($B263="On campus",1,INDEX(ModelOutput!$D$16:$D$26,MATCH($B263,ModelOutput!$C$16:$C$26,0)))</f>
        <v>1.9771404201318099</v>
      </c>
      <c r="N263" s="39">
        <f>IF($B263="On campus",1,INDEX(ModelOutput!$E$16:$E$26,MATCH($B263,ModelOutput!$C$16:$C$26,0)))</f>
        <v>1.9459582144513401</v>
      </c>
      <c r="O263" s="39">
        <f>IF($B263="On campus",1,INDEX(ModelOutput!$F$16:$F$26,MATCH($B263,ModelOutput!$C$16:$C$26,0)))</f>
        <v>2.5135188217196598</v>
      </c>
      <c r="P263" s="39">
        <f>IF($B263="On campus",1,INDEX(ModelOutput!$G$16:$G$26,MATCH($B263,ModelOutput!$C$16:$C$26,0)))</f>
        <v>3.16845056067557</v>
      </c>
      <c r="Q263" s="73">
        <f>INDEX(ModelOutput!$D$9:$D$11,MATCH("Tier "&amp;$F263,ModelOutput!$B$9:$B$11,0))</f>
        <v>40.009437343712797</v>
      </c>
      <c r="R263" s="73">
        <f>INDEX(ModelOutput!$E$9:$E$11,MATCH("Tier "&amp;$F263,ModelOutput!$B$9:$B$11,0))</f>
        <v>117.949723218616</v>
      </c>
      <c r="S263" s="73">
        <f>INDEX(ModelOutput!$F$9:$F$11,MATCH("Tier "&amp;$F263,ModelOutput!$B$9:$B$11,0))</f>
        <v>136.83922529015501</v>
      </c>
      <c r="T263" s="73">
        <f>INDEX(ModelOutput!$G$9:$G$11,MATCH("Tier "&amp;$F263,ModelOutput!$B$9:$B$11,0))</f>
        <v>22.729631592092201</v>
      </c>
      <c r="U263" s="77">
        <f t="shared" si="44"/>
        <v>302.05525498153099</v>
      </c>
      <c r="V263" s="77">
        <f t="shared" si="45"/>
        <v>876.42927072827399</v>
      </c>
      <c r="W263" s="77">
        <f t="shared" si="46"/>
        <v>1313.3460899978065</v>
      </c>
      <c r="X263" s="77">
        <f t="shared" si="47"/>
        <v>274.99561490494762</v>
      </c>
      <c r="Y263" s="30">
        <f t="shared" si="48"/>
        <v>2766.8262306125589</v>
      </c>
      <c r="Z263" s="30">
        <f t="shared" si="49"/>
        <v>4540.741818451228</v>
      </c>
      <c r="AA263" s="41">
        <f t="shared" si="50"/>
        <v>2.1837379198133333</v>
      </c>
      <c r="AB263" s="40">
        <f t="shared" si="51"/>
        <v>1782.7872193062994</v>
      </c>
      <c r="AC263" s="42">
        <f t="shared" si="52"/>
        <v>6</v>
      </c>
      <c r="AD263" s="43">
        <v>2766.8262306125598</v>
      </c>
      <c r="AE263" s="79">
        <f t="shared" si="53"/>
        <v>0</v>
      </c>
      <c r="AF263" s="29">
        <f t="shared" si="54"/>
        <v>1</v>
      </c>
    </row>
    <row r="264" spans="1:32" ht="15" customHeight="1" x14ac:dyDescent="0.35">
      <c r="A264" s="37" t="s">
        <v>109</v>
      </c>
      <c r="B264" s="37" t="s">
        <v>112</v>
      </c>
      <c r="C264" s="37" t="s">
        <v>210</v>
      </c>
      <c r="D264" s="37" t="s">
        <v>124</v>
      </c>
      <c r="E264" s="37" t="s">
        <v>213</v>
      </c>
      <c r="F264" s="37">
        <v>3</v>
      </c>
      <c r="G264" s="37" t="s">
        <v>107</v>
      </c>
      <c r="H264" s="38">
        <v>4</v>
      </c>
      <c r="I264" s="39">
        <f>IF($G264="Base",1,INDEX(ModelOutput!$D$16:$D$26,MATCH($G264,ModelOutput!$C$16:$C$26,0)))</f>
        <v>1.1906804269762199</v>
      </c>
      <c r="J264" s="39">
        <f>IF($A264="Non-greek",1,INDEX(ModelOutput!$D$16:$D$26,MATCH($A264,ModelOutput!$C$16:$C$26,0)))</f>
        <v>4.3562312213391099</v>
      </c>
      <c r="K264" s="39">
        <f>IF($C264="Yes",1,INDEX(ModelOutput!$D$16:$D$26,MATCH($C264,ModelOutput!$C$16:$C$26,0)))</f>
        <v>1</v>
      </c>
      <c r="L264" s="39">
        <f>IF($D264="2.0-3.0",1,INDEX(ModelOutput!$D$16:$D$26,MATCH($D264,ModelOutput!$C$16:$C$26,0)))</f>
        <v>0.87654761766211098</v>
      </c>
      <c r="M264" s="39">
        <f>IF($B264="On campus",1,INDEX(ModelOutput!$D$16:$D$26,MATCH($B264,ModelOutput!$C$16:$C$26,0)))</f>
        <v>1.9771404201318099</v>
      </c>
      <c r="N264" s="39">
        <f>IF($B264="On campus",1,INDEX(ModelOutput!$E$16:$E$26,MATCH($B264,ModelOutput!$C$16:$C$26,0)))</f>
        <v>1.9459582144513401</v>
      </c>
      <c r="O264" s="39">
        <f>IF($B264="On campus",1,INDEX(ModelOutput!$F$16:$F$26,MATCH($B264,ModelOutput!$C$16:$C$26,0)))</f>
        <v>2.5135188217196598</v>
      </c>
      <c r="P264" s="39">
        <f>IF($B264="On campus",1,INDEX(ModelOutput!$G$16:$G$26,MATCH($B264,ModelOutput!$C$16:$C$26,0)))</f>
        <v>3.16845056067557</v>
      </c>
      <c r="Q264" s="73">
        <f>INDEX(ModelOutput!$D$9:$D$11,MATCH("Tier "&amp;$F264,ModelOutput!$B$9:$B$11,0))</f>
        <v>40.009437343712797</v>
      </c>
      <c r="R264" s="73">
        <f>INDEX(ModelOutput!$E$9:$E$11,MATCH("Tier "&amp;$F264,ModelOutput!$B$9:$B$11,0))</f>
        <v>117.949723218616</v>
      </c>
      <c r="S264" s="73">
        <f>INDEX(ModelOutput!$F$9:$F$11,MATCH("Tier "&amp;$F264,ModelOutput!$B$9:$B$11,0))</f>
        <v>136.83922529015501</v>
      </c>
      <c r="T264" s="73">
        <f>INDEX(ModelOutput!$G$9:$G$11,MATCH("Tier "&amp;$F264,ModelOutput!$B$9:$B$11,0))</f>
        <v>22.729631592092201</v>
      </c>
      <c r="U264" s="77">
        <f t="shared" si="44"/>
        <v>359.65127997182032</v>
      </c>
      <c r="V264" s="77">
        <f t="shared" si="45"/>
        <v>1043.5471782851982</v>
      </c>
      <c r="W264" s="77">
        <f t="shared" si="46"/>
        <v>1563.7754832061376</v>
      </c>
      <c r="X264" s="77">
        <f t="shared" si="47"/>
        <v>327.43189617161119</v>
      </c>
      <c r="Y264" s="30">
        <f t="shared" si="48"/>
        <v>3294.4058376347671</v>
      </c>
      <c r="Z264" s="30">
        <f t="shared" si="49"/>
        <v>5398.6273893916104</v>
      </c>
      <c r="AA264" s="41">
        <f t="shared" si="50"/>
        <v>2.7852437821297253</v>
      </c>
      <c r="AB264" s="40">
        <f t="shared" si="51"/>
        <v>1782.7872193062994</v>
      </c>
      <c r="AC264" s="42">
        <f t="shared" si="52"/>
        <v>6</v>
      </c>
      <c r="AD264" s="43">
        <v>3294.4058376347698</v>
      </c>
      <c r="AE264" s="79">
        <f t="shared" si="53"/>
        <v>0</v>
      </c>
      <c r="AF264" s="29">
        <f t="shared" si="54"/>
        <v>2</v>
      </c>
    </row>
    <row r="265" spans="1:32" ht="15" customHeight="1" x14ac:dyDescent="0.35">
      <c r="A265" s="19" t="s">
        <v>109</v>
      </c>
      <c r="B265" s="19" t="s">
        <v>112</v>
      </c>
      <c r="C265" s="19" t="s">
        <v>118</v>
      </c>
      <c r="D265" s="19" t="s">
        <v>121</v>
      </c>
      <c r="E265" s="19" t="s">
        <v>95</v>
      </c>
      <c r="F265" s="19">
        <v>1</v>
      </c>
      <c r="G265" s="19" t="s">
        <v>211</v>
      </c>
      <c r="H265" s="16">
        <v>3</v>
      </c>
      <c r="I265" s="13">
        <f>IF($G265="Base",1,INDEX(ModelOutput!$D$16:$D$26,MATCH($G265,ModelOutput!$C$16:$C$26,0)))</f>
        <v>1</v>
      </c>
      <c r="J265" s="13">
        <f>IF($A265="Non-greek",1,INDEX(ModelOutput!$D$16:$D$26,MATCH($A265,ModelOutput!$C$16:$C$26,0)))</f>
        <v>4.3562312213391099</v>
      </c>
      <c r="K265" s="13">
        <f>IF($C265="Yes",1,INDEX(ModelOutput!$D$16:$D$26,MATCH($C265,ModelOutput!$C$16:$C$26,0)))</f>
        <v>1.5400747552012299</v>
      </c>
      <c r="L265" s="13">
        <f>IF($D265="2.0-3.0",1,INDEX(ModelOutput!$D$16:$D$26,MATCH($D265,ModelOutput!$C$16:$C$26,0)))</f>
        <v>1.12144800201769</v>
      </c>
      <c r="M265" s="13">
        <f>IF($B265="On campus",1,INDEX(ModelOutput!$D$16:$D$26,MATCH($B265,ModelOutput!$C$16:$C$26,0)))</f>
        <v>1.9771404201318099</v>
      </c>
      <c r="N265" s="13">
        <f>IF($B265="On campus",1,INDEX(ModelOutput!$E$16:$E$26,MATCH($B265,ModelOutput!$C$16:$C$26,0)))</f>
        <v>1.9459582144513401</v>
      </c>
      <c r="O265" s="13">
        <f>IF($B265="On campus",1,INDEX(ModelOutput!$F$16:$F$26,MATCH($B265,ModelOutput!$C$16:$C$26,0)))</f>
        <v>2.5135188217196598</v>
      </c>
      <c r="P265" s="13">
        <f>IF($B265="On campus",1,INDEX(ModelOutput!$G$16:$G$26,MATCH($B265,ModelOutput!$C$16:$C$26,0)))</f>
        <v>3.16845056067557</v>
      </c>
      <c r="Q265" s="72">
        <f>INDEX(ModelOutput!$D$9:$D$11,MATCH("Tier "&amp;$F265,ModelOutput!$B$9:$B$11,0))</f>
        <v>36.175496869914397</v>
      </c>
      <c r="R265" s="72">
        <f>INDEX(ModelOutput!$E$9:$E$11,MATCH("Tier "&amp;$F265,ModelOutput!$B$9:$B$11,0))</f>
        <v>106.647084447761</v>
      </c>
      <c r="S265" s="72">
        <f>INDEX(ModelOutput!$F$9:$F$11,MATCH("Tier "&amp;$F265,ModelOutput!$B$9:$B$11,0))</f>
        <v>123.726482920496</v>
      </c>
      <c r="T265" s="72">
        <f>INDEX(ModelOutput!$G$9:$G$11,MATCH("Tier "&amp;$F265,ModelOutput!$B$9:$B$11,0))</f>
        <v>20.551544113210401</v>
      </c>
      <c r="U265" s="76">
        <f t="shared" si="44"/>
        <v>538.1258892783635</v>
      </c>
      <c r="V265" s="76">
        <f t="shared" si="45"/>
        <v>1561.4006805777326</v>
      </c>
      <c r="W265" s="76">
        <f t="shared" si="46"/>
        <v>2339.7888993970587</v>
      </c>
      <c r="X265" s="76">
        <f t="shared" si="47"/>
        <v>489.91784575118237</v>
      </c>
      <c r="Y265" s="27">
        <f t="shared" si="48"/>
        <v>4929.2333150043378</v>
      </c>
      <c r="Z265" s="27">
        <f t="shared" si="49"/>
        <v>8056.9843181748365</v>
      </c>
      <c r="AA265" s="33">
        <f t="shared" si="50"/>
        <v>4.6491488656943378</v>
      </c>
      <c r="AB265" s="14">
        <f t="shared" si="51"/>
        <v>1782.7872193062994</v>
      </c>
      <c r="AC265" s="29">
        <f t="shared" si="52"/>
        <v>8</v>
      </c>
      <c r="AD265" s="20">
        <v>4929.2333150043296</v>
      </c>
      <c r="AE265" s="78">
        <f t="shared" si="53"/>
        <v>8.1854523159563541E-12</v>
      </c>
      <c r="AF265" s="29">
        <f t="shared" si="54"/>
        <v>4</v>
      </c>
    </row>
    <row r="266" spans="1:32" ht="15" customHeight="1" x14ac:dyDescent="0.35">
      <c r="A266" s="19" t="s">
        <v>109</v>
      </c>
      <c r="B266" s="19" t="s">
        <v>112</v>
      </c>
      <c r="C266" s="19" t="s">
        <v>118</v>
      </c>
      <c r="D266" s="19" t="s">
        <v>121</v>
      </c>
      <c r="E266" s="19" t="s">
        <v>105</v>
      </c>
      <c r="F266" s="19">
        <v>1</v>
      </c>
      <c r="G266" s="19" t="s">
        <v>105</v>
      </c>
      <c r="H266" s="16">
        <v>0</v>
      </c>
      <c r="I266" s="13">
        <f>IF($G266="Base",1,INDEX(ModelOutput!$D$16:$D$26,MATCH($G266,ModelOutput!$C$16:$C$26,0)))</f>
        <v>0.98982624281990295</v>
      </c>
      <c r="J266" s="13">
        <f>IF($A266="Non-greek",1,INDEX(ModelOutput!$D$16:$D$26,MATCH($A266,ModelOutput!$C$16:$C$26,0)))</f>
        <v>4.3562312213391099</v>
      </c>
      <c r="K266" s="13">
        <f>IF($C266="Yes",1,INDEX(ModelOutput!$D$16:$D$26,MATCH($C266,ModelOutput!$C$16:$C$26,0)))</f>
        <v>1.5400747552012299</v>
      </c>
      <c r="L266" s="13">
        <f>IF($D266="2.0-3.0",1,INDEX(ModelOutput!$D$16:$D$26,MATCH($D266,ModelOutput!$C$16:$C$26,0)))</f>
        <v>1.12144800201769</v>
      </c>
      <c r="M266" s="13">
        <f>IF($B266="On campus",1,INDEX(ModelOutput!$D$16:$D$26,MATCH($B266,ModelOutput!$C$16:$C$26,0)))</f>
        <v>1.9771404201318099</v>
      </c>
      <c r="N266" s="13">
        <f>IF($B266="On campus",1,INDEX(ModelOutput!$E$16:$E$26,MATCH($B266,ModelOutput!$C$16:$C$26,0)))</f>
        <v>1.9459582144513401</v>
      </c>
      <c r="O266" s="13">
        <f>IF($B266="On campus",1,INDEX(ModelOutput!$F$16:$F$26,MATCH($B266,ModelOutput!$C$16:$C$26,0)))</f>
        <v>2.5135188217196598</v>
      </c>
      <c r="P266" s="13">
        <f>IF($B266="On campus",1,INDEX(ModelOutput!$G$16:$G$26,MATCH($B266,ModelOutput!$C$16:$C$26,0)))</f>
        <v>3.16845056067557</v>
      </c>
      <c r="Q266" s="72">
        <f>INDEX(ModelOutput!$D$9:$D$11,MATCH("Tier "&amp;$F266,ModelOutput!$B$9:$B$11,0))</f>
        <v>36.175496869914397</v>
      </c>
      <c r="R266" s="72">
        <f>INDEX(ModelOutput!$E$9:$E$11,MATCH("Tier "&amp;$F266,ModelOutput!$B$9:$B$11,0))</f>
        <v>106.647084447761</v>
      </c>
      <c r="S266" s="72">
        <f>INDEX(ModelOutput!$F$9:$F$11,MATCH("Tier "&amp;$F266,ModelOutput!$B$9:$B$11,0))</f>
        <v>123.726482920496</v>
      </c>
      <c r="T266" s="72">
        <f>INDEX(ModelOutput!$G$9:$G$11,MATCH("Tier "&amp;$F266,ModelOutput!$B$9:$B$11,0))</f>
        <v>20.551544113210401</v>
      </c>
      <c r="U266" s="76">
        <f t="shared" si="44"/>
        <v>532.6511271485216</v>
      </c>
      <c r="V266" s="76">
        <f t="shared" si="45"/>
        <v>1545.5153691926967</v>
      </c>
      <c r="W266" s="76">
        <f t="shared" si="46"/>
        <v>2315.9844552819063</v>
      </c>
      <c r="X266" s="76">
        <f t="shared" si="47"/>
        <v>484.93354055031341</v>
      </c>
      <c r="Y266" s="27">
        <f t="shared" si="48"/>
        <v>4879.0844921734379</v>
      </c>
      <c r="Z266" s="27">
        <f t="shared" si="49"/>
        <v>7975.4384226670454</v>
      </c>
      <c r="AA266" s="33">
        <f t="shared" si="50"/>
        <v>4.5919730186381758</v>
      </c>
      <c r="AB266" s="14">
        <f t="shared" si="51"/>
        <v>1782.7872193062994</v>
      </c>
      <c r="AC266" s="29">
        <f t="shared" si="52"/>
        <v>8</v>
      </c>
      <c r="AD266" s="20">
        <v>4879.0844921734297</v>
      </c>
      <c r="AE266" s="78">
        <f t="shared" si="53"/>
        <v>8.1854523159563541E-12</v>
      </c>
      <c r="AF266" s="29">
        <f t="shared" si="54"/>
        <v>3</v>
      </c>
    </row>
    <row r="267" spans="1:32" ht="15" customHeight="1" x14ac:dyDescent="0.35">
      <c r="A267" s="19" t="s">
        <v>109</v>
      </c>
      <c r="B267" s="19" t="s">
        <v>112</v>
      </c>
      <c r="C267" s="19" t="s">
        <v>118</v>
      </c>
      <c r="D267" s="19" t="s">
        <v>121</v>
      </c>
      <c r="E267" s="19" t="s">
        <v>97</v>
      </c>
      <c r="F267" s="19">
        <v>2</v>
      </c>
      <c r="G267" s="19" t="s">
        <v>211</v>
      </c>
      <c r="H267" s="16">
        <v>1</v>
      </c>
      <c r="I267" s="13">
        <f>IF($G267="Base",1,INDEX(ModelOutput!$D$16:$D$26,MATCH($G267,ModelOutput!$C$16:$C$26,0)))</f>
        <v>1</v>
      </c>
      <c r="J267" s="13">
        <f>IF($A267="Non-greek",1,INDEX(ModelOutput!$D$16:$D$26,MATCH($A267,ModelOutput!$C$16:$C$26,0)))</f>
        <v>4.3562312213391099</v>
      </c>
      <c r="K267" s="13">
        <f>IF($C267="Yes",1,INDEX(ModelOutput!$D$16:$D$26,MATCH($C267,ModelOutput!$C$16:$C$26,0)))</f>
        <v>1.5400747552012299</v>
      </c>
      <c r="L267" s="13">
        <f>IF($D267="2.0-3.0",1,INDEX(ModelOutput!$D$16:$D$26,MATCH($D267,ModelOutput!$C$16:$C$26,0)))</f>
        <v>1.12144800201769</v>
      </c>
      <c r="M267" s="13">
        <f>IF($B267="On campus",1,INDEX(ModelOutput!$D$16:$D$26,MATCH($B267,ModelOutput!$C$16:$C$26,0)))</f>
        <v>1.9771404201318099</v>
      </c>
      <c r="N267" s="13">
        <f>IF($B267="On campus",1,INDEX(ModelOutput!$E$16:$E$26,MATCH($B267,ModelOutput!$C$16:$C$26,0)))</f>
        <v>1.9459582144513401</v>
      </c>
      <c r="O267" s="13">
        <f>IF($B267="On campus",1,INDEX(ModelOutput!$F$16:$F$26,MATCH($B267,ModelOutput!$C$16:$C$26,0)))</f>
        <v>2.5135188217196598</v>
      </c>
      <c r="P267" s="13">
        <f>IF($B267="On campus",1,INDEX(ModelOutput!$G$16:$G$26,MATCH($B267,ModelOutput!$C$16:$C$26,0)))</f>
        <v>3.16845056067557</v>
      </c>
      <c r="Q267" s="72">
        <f>INDEX(ModelOutput!$D$9:$D$11,MATCH("Tier "&amp;$F267,ModelOutput!$B$9:$B$11,0))</f>
        <v>42.8051506068728</v>
      </c>
      <c r="R267" s="72">
        <f>INDEX(ModelOutput!$E$9:$E$11,MATCH("Tier "&amp;$F267,ModelOutput!$B$9:$B$11,0))</f>
        <v>126.191618818284</v>
      </c>
      <c r="S267" s="72">
        <f>INDEX(ModelOutput!$F$9:$F$11,MATCH("Tier "&amp;$F267,ModelOutput!$B$9:$B$11,0))</f>
        <v>146.401050261042</v>
      </c>
      <c r="T267" s="72">
        <f>INDEX(ModelOutput!$G$9:$G$11,MATCH("Tier "&amp;$F267,ModelOutput!$B$9:$B$11,0))</f>
        <v>24.317895180076398</v>
      </c>
      <c r="U267" s="76">
        <f t="shared" si="44"/>
        <v>636.74480598978448</v>
      </c>
      <c r="V267" s="76">
        <f t="shared" si="45"/>
        <v>1847.5486744561549</v>
      </c>
      <c r="W267" s="76">
        <f t="shared" si="46"/>
        <v>2768.5871623860085</v>
      </c>
      <c r="X267" s="76">
        <f t="shared" si="47"/>
        <v>579.70198025986736</v>
      </c>
      <c r="Y267" s="27">
        <f t="shared" si="48"/>
        <v>5832.5826230918146</v>
      </c>
      <c r="Z267" s="27">
        <f t="shared" si="49"/>
        <v>9525.9007179222626</v>
      </c>
      <c r="AA267" s="33">
        <f t="shared" si="50"/>
        <v>5.6790785621831574</v>
      </c>
      <c r="AB267" s="14">
        <f t="shared" si="51"/>
        <v>1782.7872193062994</v>
      </c>
      <c r="AC267" s="29">
        <f t="shared" si="52"/>
        <v>9</v>
      </c>
      <c r="AD267" s="20">
        <v>5832.5826230918201</v>
      </c>
      <c r="AE267" s="78">
        <f t="shared" si="53"/>
        <v>0</v>
      </c>
      <c r="AF267" s="29">
        <f t="shared" si="54"/>
        <v>2</v>
      </c>
    </row>
    <row r="268" spans="1:32" ht="15" customHeight="1" x14ac:dyDescent="0.35">
      <c r="A268" s="19" t="s">
        <v>109</v>
      </c>
      <c r="B268" s="19" t="s">
        <v>112</v>
      </c>
      <c r="C268" s="19" t="s">
        <v>118</v>
      </c>
      <c r="D268" s="19" t="s">
        <v>121</v>
      </c>
      <c r="E268" s="19" t="s">
        <v>99</v>
      </c>
      <c r="F268" s="19">
        <v>3</v>
      </c>
      <c r="G268" s="19" t="s">
        <v>211</v>
      </c>
      <c r="H268" s="16">
        <v>1</v>
      </c>
      <c r="I268" s="13">
        <f>IF($G268="Base",1,INDEX(ModelOutput!$D$16:$D$26,MATCH($G268,ModelOutput!$C$16:$C$26,0)))</f>
        <v>1</v>
      </c>
      <c r="J268" s="13">
        <f>IF($A268="Non-greek",1,INDEX(ModelOutput!$D$16:$D$26,MATCH($A268,ModelOutput!$C$16:$C$26,0)))</f>
        <v>4.3562312213391099</v>
      </c>
      <c r="K268" s="13">
        <f>IF($C268="Yes",1,INDEX(ModelOutput!$D$16:$D$26,MATCH($C268,ModelOutput!$C$16:$C$26,0)))</f>
        <v>1.5400747552012299</v>
      </c>
      <c r="L268" s="13">
        <f>IF($D268="2.0-3.0",1,INDEX(ModelOutput!$D$16:$D$26,MATCH($D268,ModelOutput!$C$16:$C$26,0)))</f>
        <v>1.12144800201769</v>
      </c>
      <c r="M268" s="13">
        <f>IF($B268="On campus",1,INDEX(ModelOutput!$D$16:$D$26,MATCH($B268,ModelOutput!$C$16:$C$26,0)))</f>
        <v>1.9771404201318099</v>
      </c>
      <c r="N268" s="13">
        <f>IF($B268="On campus",1,INDEX(ModelOutput!$E$16:$E$26,MATCH($B268,ModelOutput!$C$16:$C$26,0)))</f>
        <v>1.9459582144513401</v>
      </c>
      <c r="O268" s="13">
        <f>IF($B268="On campus",1,INDEX(ModelOutput!$F$16:$F$26,MATCH($B268,ModelOutput!$C$16:$C$26,0)))</f>
        <v>2.5135188217196598</v>
      </c>
      <c r="P268" s="13">
        <f>IF($B268="On campus",1,INDEX(ModelOutput!$G$16:$G$26,MATCH($B268,ModelOutput!$C$16:$C$26,0)))</f>
        <v>3.16845056067557</v>
      </c>
      <c r="Q268" s="72">
        <f>INDEX(ModelOutput!$D$9:$D$11,MATCH("Tier "&amp;$F268,ModelOutput!$B$9:$B$11,0))</f>
        <v>40.009437343712797</v>
      </c>
      <c r="R268" s="72">
        <f>INDEX(ModelOutput!$E$9:$E$11,MATCH("Tier "&amp;$F268,ModelOutput!$B$9:$B$11,0))</f>
        <v>117.949723218616</v>
      </c>
      <c r="S268" s="72">
        <f>INDEX(ModelOutput!$F$9:$F$11,MATCH("Tier "&amp;$F268,ModelOutput!$B$9:$B$11,0))</f>
        <v>136.83922529015501</v>
      </c>
      <c r="T268" s="72">
        <f>INDEX(ModelOutput!$G$9:$G$11,MATCH("Tier "&amp;$F268,ModelOutput!$B$9:$B$11,0))</f>
        <v>22.729631592092201</v>
      </c>
      <c r="U268" s="76">
        <f t="shared" si="44"/>
        <v>595.15738311857376</v>
      </c>
      <c r="V268" s="76">
        <f t="shared" si="45"/>
        <v>1726.8805711956686</v>
      </c>
      <c r="W268" s="76">
        <f t="shared" si="46"/>
        <v>2587.7636927717044</v>
      </c>
      <c r="X268" s="76">
        <f t="shared" si="47"/>
        <v>541.840169428335</v>
      </c>
      <c r="Y268" s="27">
        <f t="shared" si="48"/>
        <v>5451.6418165142823</v>
      </c>
      <c r="Z268" s="27">
        <f t="shared" si="49"/>
        <v>8906.4612684146941</v>
      </c>
      <c r="AA268" s="33">
        <f t="shared" si="50"/>
        <v>5.2447590295438395</v>
      </c>
      <c r="AB268" s="14">
        <f t="shared" si="51"/>
        <v>1782.7872193062994</v>
      </c>
      <c r="AC268" s="29">
        <f t="shared" si="52"/>
        <v>9</v>
      </c>
      <c r="AD268" s="20">
        <v>5451.6418165142904</v>
      </c>
      <c r="AE268" s="78">
        <f t="shared" si="53"/>
        <v>-8.1854523159563541E-12</v>
      </c>
      <c r="AF268" s="29">
        <f t="shared" si="54"/>
        <v>1</v>
      </c>
    </row>
    <row r="269" spans="1:32" ht="15" customHeight="1" x14ac:dyDescent="0.35">
      <c r="A269" s="19" t="s">
        <v>109</v>
      </c>
      <c r="B269" s="19" t="s">
        <v>112</v>
      </c>
      <c r="C269" s="19" t="s">
        <v>118</v>
      </c>
      <c r="D269" s="19" t="s">
        <v>121</v>
      </c>
      <c r="E269" s="19" t="s">
        <v>213</v>
      </c>
      <c r="F269" s="19">
        <v>3</v>
      </c>
      <c r="G269" s="19" t="s">
        <v>107</v>
      </c>
      <c r="H269" s="16">
        <v>0</v>
      </c>
      <c r="I269" s="13">
        <f>IF($G269="Base",1,INDEX(ModelOutput!$D$16:$D$26,MATCH($G269,ModelOutput!$C$16:$C$26,0)))</f>
        <v>1.1906804269762199</v>
      </c>
      <c r="J269" s="13">
        <f>IF($A269="Non-greek",1,INDEX(ModelOutput!$D$16:$D$26,MATCH($A269,ModelOutput!$C$16:$C$26,0)))</f>
        <v>4.3562312213391099</v>
      </c>
      <c r="K269" s="13">
        <f>IF($C269="Yes",1,INDEX(ModelOutput!$D$16:$D$26,MATCH($C269,ModelOutput!$C$16:$C$26,0)))</f>
        <v>1.5400747552012299</v>
      </c>
      <c r="L269" s="13">
        <f>IF($D269="2.0-3.0",1,INDEX(ModelOutput!$D$16:$D$26,MATCH($D269,ModelOutput!$C$16:$C$26,0)))</f>
        <v>1.12144800201769</v>
      </c>
      <c r="M269" s="13">
        <f>IF($B269="On campus",1,INDEX(ModelOutput!$D$16:$D$26,MATCH($B269,ModelOutput!$C$16:$C$26,0)))</f>
        <v>1.9771404201318099</v>
      </c>
      <c r="N269" s="13">
        <f>IF($B269="On campus",1,INDEX(ModelOutput!$E$16:$E$26,MATCH($B269,ModelOutput!$C$16:$C$26,0)))</f>
        <v>1.9459582144513401</v>
      </c>
      <c r="O269" s="13">
        <f>IF($B269="On campus",1,INDEX(ModelOutput!$F$16:$F$26,MATCH($B269,ModelOutput!$C$16:$C$26,0)))</f>
        <v>2.5135188217196598</v>
      </c>
      <c r="P269" s="13">
        <f>IF($B269="On campus",1,INDEX(ModelOutput!$G$16:$G$26,MATCH($B269,ModelOutput!$C$16:$C$26,0)))</f>
        <v>3.16845056067557</v>
      </c>
      <c r="Q269" s="72">
        <f>INDEX(ModelOutput!$D$9:$D$11,MATCH("Tier "&amp;$F269,ModelOutput!$B$9:$B$11,0))</f>
        <v>40.009437343712797</v>
      </c>
      <c r="R269" s="72">
        <f>INDEX(ModelOutput!$E$9:$E$11,MATCH("Tier "&amp;$F269,ModelOutput!$B$9:$B$11,0))</f>
        <v>117.949723218616</v>
      </c>
      <c r="S269" s="72">
        <f>INDEX(ModelOutput!$F$9:$F$11,MATCH("Tier "&amp;$F269,ModelOutput!$B$9:$B$11,0))</f>
        <v>136.83922529015501</v>
      </c>
      <c r="T269" s="72">
        <f>INDEX(ModelOutput!$G$9:$G$11,MATCH("Tier "&amp;$F269,ModelOutput!$B$9:$B$11,0))</f>
        <v>22.729631592092201</v>
      </c>
      <c r="U269" s="76">
        <f t="shared" si="44"/>
        <v>708.64224704967319</v>
      </c>
      <c r="V269" s="76">
        <f t="shared" si="45"/>
        <v>2056.162895848197</v>
      </c>
      <c r="W269" s="76">
        <f t="shared" si="46"/>
        <v>3081.1995786229731</v>
      </c>
      <c r="X269" s="76">
        <f t="shared" si="47"/>
        <v>645.15848428779725</v>
      </c>
      <c r="Y269" s="27">
        <f t="shared" si="48"/>
        <v>6491.1632058086407</v>
      </c>
      <c r="Z269" s="27">
        <f t="shared" si="49"/>
        <v>10596.804088132498</v>
      </c>
      <c r="AA269" s="33">
        <f t="shared" si="50"/>
        <v>6.4299417040468665</v>
      </c>
      <c r="AB269" s="14">
        <f t="shared" si="51"/>
        <v>1782.7872193062994</v>
      </c>
      <c r="AC269" s="29">
        <f t="shared" si="52"/>
        <v>9</v>
      </c>
      <c r="AD269" s="20">
        <v>6491.1632058086498</v>
      </c>
      <c r="AE269" s="78">
        <f t="shared" si="53"/>
        <v>-9.0949470177292824E-12</v>
      </c>
      <c r="AF269" s="29">
        <f t="shared" si="54"/>
        <v>2</v>
      </c>
    </row>
    <row r="270" spans="1:32" ht="15" customHeight="1" x14ac:dyDescent="0.35">
      <c r="A270" s="37" t="s">
        <v>109</v>
      </c>
      <c r="B270" s="37" t="s">
        <v>112</v>
      </c>
      <c r="C270" s="37" t="s">
        <v>118</v>
      </c>
      <c r="D270" s="37" t="s">
        <v>123</v>
      </c>
      <c r="E270" s="37" t="s">
        <v>95</v>
      </c>
      <c r="F270" s="37">
        <v>1</v>
      </c>
      <c r="G270" s="37" t="s">
        <v>211</v>
      </c>
      <c r="H270" s="38">
        <v>5</v>
      </c>
      <c r="I270" s="39">
        <f>IF($G270="Base",1,INDEX(ModelOutput!$D$16:$D$26,MATCH($G270,ModelOutput!$C$16:$C$26,0)))</f>
        <v>1</v>
      </c>
      <c r="J270" s="39">
        <f>IF($A270="Non-greek",1,INDEX(ModelOutput!$D$16:$D$26,MATCH($A270,ModelOutput!$C$16:$C$26,0)))</f>
        <v>4.3562312213391099</v>
      </c>
      <c r="K270" s="39">
        <f>IF($C270="Yes",1,INDEX(ModelOutput!$D$16:$D$26,MATCH($C270,ModelOutput!$C$16:$C$26,0)))</f>
        <v>1.5400747552012299</v>
      </c>
      <c r="L270" s="39">
        <f>IF($D270="2.0-3.0",1,INDEX(ModelOutput!$D$16:$D$26,MATCH($D270,ModelOutput!$C$16:$C$26,0)))</f>
        <v>1.01762556011242</v>
      </c>
      <c r="M270" s="39">
        <f>IF($B270="On campus",1,INDEX(ModelOutput!$D$16:$D$26,MATCH($B270,ModelOutput!$C$16:$C$26,0)))</f>
        <v>1.9771404201318099</v>
      </c>
      <c r="N270" s="39">
        <f>IF($B270="On campus",1,INDEX(ModelOutput!$E$16:$E$26,MATCH($B270,ModelOutput!$C$16:$C$26,0)))</f>
        <v>1.9459582144513401</v>
      </c>
      <c r="O270" s="39">
        <f>IF($B270="On campus",1,INDEX(ModelOutput!$F$16:$F$26,MATCH($B270,ModelOutput!$C$16:$C$26,0)))</f>
        <v>2.5135188217196598</v>
      </c>
      <c r="P270" s="39">
        <f>IF($B270="On campus",1,INDEX(ModelOutput!$G$16:$G$26,MATCH($B270,ModelOutput!$C$16:$C$26,0)))</f>
        <v>3.16845056067557</v>
      </c>
      <c r="Q270" s="73">
        <f>INDEX(ModelOutput!$D$9:$D$11,MATCH("Tier "&amp;$F270,ModelOutput!$B$9:$B$11,0))</f>
        <v>36.175496869914397</v>
      </c>
      <c r="R270" s="73">
        <f>INDEX(ModelOutput!$E$9:$E$11,MATCH("Tier "&amp;$F270,ModelOutput!$B$9:$B$11,0))</f>
        <v>106.647084447761</v>
      </c>
      <c r="S270" s="73">
        <f>INDEX(ModelOutput!$F$9:$F$11,MATCH("Tier "&amp;$F270,ModelOutput!$B$9:$B$11,0))</f>
        <v>123.726482920496</v>
      </c>
      <c r="T270" s="73">
        <f>INDEX(ModelOutput!$G$9:$G$11,MATCH("Tier "&amp;$F270,ModelOutput!$B$9:$B$11,0))</f>
        <v>20.551544113210401</v>
      </c>
      <c r="U270" s="77">
        <f t="shared" si="44"/>
        <v>488.30677704417587</v>
      </c>
      <c r="V270" s="77">
        <f t="shared" si="45"/>
        <v>1416.8478960005893</v>
      </c>
      <c r="W270" s="77">
        <f t="shared" si="46"/>
        <v>2123.1737762338053</v>
      </c>
      <c r="X270" s="77">
        <f t="shared" si="47"/>
        <v>444.5617819949112</v>
      </c>
      <c r="Y270" s="30">
        <f t="shared" si="48"/>
        <v>4472.8902312734817</v>
      </c>
      <c r="Z270" s="30">
        <f t="shared" si="49"/>
        <v>7314.9348876807189</v>
      </c>
      <c r="AA270" s="41">
        <f t="shared" si="50"/>
        <v>4.1288614314605603</v>
      </c>
      <c r="AB270" s="40">
        <f t="shared" si="51"/>
        <v>1782.7872193062994</v>
      </c>
      <c r="AC270" s="42">
        <f t="shared" si="52"/>
        <v>8</v>
      </c>
      <c r="AD270" s="43">
        <v>4472.8902312734699</v>
      </c>
      <c r="AE270" s="79">
        <f t="shared" si="53"/>
        <v>1.1823431123048067E-11</v>
      </c>
      <c r="AF270" s="29">
        <f t="shared" si="54"/>
        <v>4</v>
      </c>
    </row>
    <row r="271" spans="1:32" ht="15" customHeight="1" x14ac:dyDescent="0.35">
      <c r="A271" s="37" t="s">
        <v>109</v>
      </c>
      <c r="B271" s="37" t="s">
        <v>112</v>
      </c>
      <c r="C271" s="37" t="s">
        <v>118</v>
      </c>
      <c r="D271" s="37" t="s">
        <v>123</v>
      </c>
      <c r="E271" s="37" t="s">
        <v>105</v>
      </c>
      <c r="F271" s="37">
        <v>1</v>
      </c>
      <c r="G271" s="37" t="s">
        <v>105</v>
      </c>
      <c r="H271" s="38">
        <v>3</v>
      </c>
      <c r="I271" s="39">
        <f>IF($G271="Base",1,INDEX(ModelOutput!$D$16:$D$26,MATCH($G271,ModelOutput!$C$16:$C$26,0)))</f>
        <v>0.98982624281990295</v>
      </c>
      <c r="J271" s="39">
        <f>IF($A271="Non-greek",1,INDEX(ModelOutput!$D$16:$D$26,MATCH($A271,ModelOutput!$C$16:$C$26,0)))</f>
        <v>4.3562312213391099</v>
      </c>
      <c r="K271" s="39">
        <f>IF($C271="Yes",1,INDEX(ModelOutput!$D$16:$D$26,MATCH($C271,ModelOutput!$C$16:$C$26,0)))</f>
        <v>1.5400747552012299</v>
      </c>
      <c r="L271" s="39">
        <f>IF($D271="2.0-3.0",1,INDEX(ModelOutput!$D$16:$D$26,MATCH($D271,ModelOutput!$C$16:$C$26,0)))</f>
        <v>1.01762556011242</v>
      </c>
      <c r="M271" s="39">
        <f>IF($B271="On campus",1,INDEX(ModelOutput!$D$16:$D$26,MATCH($B271,ModelOutput!$C$16:$C$26,0)))</f>
        <v>1.9771404201318099</v>
      </c>
      <c r="N271" s="39">
        <f>IF($B271="On campus",1,INDEX(ModelOutput!$E$16:$E$26,MATCH($B271,ModelOutput!$C$16:$C$26,0)))</f>
        <v>1.9459582144513401</v>
      </c>
      <c r="O271" s="39">
        <f>IF($B271="On campus",1,INDEX(ModelOutput!$F$16:$F$26,MATCH($B271,ModelOutput!$C$16:$C$26,0)))</f>
        <v>2.5135188217196598</v>
      </c>
      <c r="P271" s="39">
        <f>IF($B271="On campus",1,INDEX(ModelOutput!$G$16:$G$26,MATCH($B271,ModelOutput!$C$16:$C$26,0)))</f>
        <v>3.16845056067557</v>
      </c>
      <c r="Q271" s="73">
        <f>INDEX(ModelOutput!$D$9:$D$11,MATCH("Tier "&amp;$F271,ModelOutput!$B$9:$B$11,0))</f>
        <v>36.175496869914397</v>
      </c>
      <c r="R271" s="73">
        <f>INDEX(ModelOutput!$E$9:$E$11,MATCH("Tier "&amp;$F271,ModelOutput!$B$9:$B$11,0))</f>
        <v>106.647084447761</v>
      </c>
      <c r="S271" s="73">
        <f>INDEX(ModelOutput!$F$9:$F$11,MATCH("Tier "&amp;$F271,ModelOutput!$B$9:$B$11,0))</f>
        <v>123.726482920496</v>
      </c>
      <c r="T271" s="73">
        <f>INDEX(ModelOutput!$G$9:$G$11,MATCH("Tier "&amp;$F271,ModelOutput!$B$9:$B$11,0))</f>
        <v>20.551544113210401</v>
      </c>
      <c r="U271" s="77">
        <f t="shared" si="44"/>
        <v>483.33886246513271</v>
      </c>
      <c r="V271" s="77">
        <f t="shared" si="45"/>
        <v>1402.4332295455483</v>
      </c>
      <c r="W271" s="77">
        <f t="shared" si="46"/>
        <v>2101.5731217832522</v>
      </c>
      <c r="X271" s="77">
        <f t="shared" si="47"/>
        <v>440.03891837334368</v>
      </c>
      <c r="Y271" s="30">
        <f t="shared" si="48"/>
        <v>4427.3841321672771</v>
      </c>
      <c r="Z271" s="30">
        <f t="shared" si="49"/>
        <v>7240.9384228944054</v>
      </c>
      <c r="AA271" s="41">
        <f t="shared" si="50"/>
        <v>4.0769788624241476</v>
      </c>
      <c r="AB271" s="40">
        <f t="shared" si="51"/>
        <v>1782.7872193062994</v>
      </c>
      <c r="AC271" s="42">
        <f t="shared" si="52"/>
        <v>8</v>
      </c>
      <c r="AD271" s="43">
        <v>4427.3841321672598</v>
      </c>
      <c r="AE271" s="79">
        <f t="shared" si="53"/>
        <v>1.7280399333685637E-11</v>
      </c>
      <c r="AF271" s="29">
        <f t="shared" si="54"/>
        <v>3</v>
      </c>
    </row>
    <row r="272" spans="1:32" ht="15" customHeight="1" x14ac:dyDescent="0.35">
      <c r="A272" s="37" t="s">
        <v>109</v>
      </c>
      <c r="B272" s="37" t="s">
        <v>112</v>
      </c>
      <c r="C272" s="37" t="s">
        <v>118</v>
      </c>
      <c r="D272" s="37" t="s">
        <v>123</v>
      </c>
      <c r="E272" s="37" t="s">
        <v>97</v>
      </c>
      <c r="F272" s="37">
        <v>2</v>
      </c>
      <c r="G272" s="37" t="s">
        <v>211</v>
      </c>
      <c r="H272" s="38">
        <v>1</v>
      </c>
      <c r="I272" s="39">
        <f>IF($G272="Base",1,INDEX(ModelOutput!$D$16:$D$26,MATCH($G272,ModelOutput!$C$16:$C$26,0)))</f>
        <v>1</v>
      </c>
      <c r="J272" s="39">
        <f>IF($A272="Non-greek",1,INDEX(ModelOutput!$D$16:$D$26,MATCH($A272,ModelOutput!$C$16:$C$26,0)))</f>
        <v>4.3562312213391099</v>
      </c>
      <c r="K272" s="39">
        <f>IF($C272="Yes",1,INDEX(ModelOutput!$D$16:$D$26,MATCH($C272,ModelOutput!$C$16:$C$26,0)))</f>
        <v>1.5400747552012299</v>
      </c>
      <c r="L272" s="39">
        <f>IF($D272="2.0-3.0",1,INDEX(ModelOutput!$D$16:$D$26,MATCH($D272,ModelOutput!$C$16:$C$26,0)))</f>
        <v>1.01762556011242</v>
      </c>
      <c r="M272" s="39">
        <f>IF($B272="On campus",1,INDEX(ModelOutput!$D$16:$D$26,MATCH($B272,ModelOutput!$C$16:$C$26,0)))</f>
        <v>1.9771404201318099</v>
      </c>
      <c r="N272" s="39">
        <f>IF($B272="On campus",1,INDEX(ModelOutput!$E$16:$E$26,MATCH($B272,ModelOutput!$C$16:$C$26,0)))</f>
        <v>1.9459582144513401</v>
      </c>
      <c r="O272" s="39">
        <f>IF($B272="On campus",1,INDEX(ModelOutput!$F$16:$F$26,MATCH($B272,ModelOutput!$C$16:$C$26,0)))</f>
        <v>2.5135188217196598</v>
      </c>
      <c r="P272" s="39">
        <f>IF($B272="On campus",1,INDEX(ModelOutput!$G$16:$G$26,MATCH($B272,ModelOutput!$C$16:$C$26,0)))</f>
        <v>3.16845056067557</v>
      </c>
      <c r="Q272" s="73">
        <f>INDEX(ModelOutput!$D$9:$D$11,MATCH("Tier "&amp;$F272,ModelOutput!$B$9:$B$11,0))</f>
        <v>42.8051506068728</v>
      </c>
      <c r="R272" s="73">
        <f>INDEX(ModelOutput!$E$9:$E$11,MATCH("Tier "&amp;$F272,ModelOutput!$B$9:$B$11,0))</f>
        <v>126.191618818284</v>
      </c>
      <c r="S272" s="73">
        <f>INDEX(ModelOutput!$F$9:$F$11,MATCH("Tier "&amp;$F272,ModelOutput!$B$9:$B$11,0))</f>
        <v>146.401050261042</v>
      </c>
      <c r="T272" s="73">
        <f>INDEX(ModelOutput!$G$9:$G$11,MATCH("Tier "&amp;$F272,ModelOutput!$B$9:$B$11,0))</f>
        <v>24.317895180076398</v>
      </c>
      <c r="U272" s="77">
        <f t="shared" si="44"/>
        <v>577.7956612149793</v>
      </c>
      <c r="V272" s="77">
        <f t="shared" si="45"/>
        <v>1676.5046184002622</v>
      </c>
      <c r="W272" s="77">
        <f t="shared" si="46"/>
        <v>2512.2743602682658</v>
      </c>
      <c r="X272" s="77">
        <f t="shared" si="47"/>
        <v>526.03379853444244</v>
      </c>
      <c r="Y272" s="30">
        <f t="shared" si="48"/>
        <v>5292.6084384179494</v>
      </c>
      <c r="Z272" s="30">
        <f t="shared" si="49"/>
        <v>8647.8605974433322</v>
      </c>
      <c r="AA272" s="41">
        <f t="shared" si="50"/>
        <v>5.0634413516888328</v>
      </c>
      <c r="AB272" s="40">
        <f t="shared" si="51"/>
        <v>1782.7872193062994</v>
      </c>
      <c r="AC272" s="42">
        <f t="shared" si="52"/>
        <v>9</v>
      </c>
      <c r="AD272" s="43">
        <v>5292.6084384179403</v>
      </c>
      <c r="AE272" s="79">
        <f t="shared" si="53"/>
        <v>9.0949470177292824E-12</v>
      </c>
      <c r="AF272" s="29">
        <f t="shared" si="54"/>
        <v>2</v>
      </c>
    </row>
    <row r="273" spans="1:32" ht="15" customHeight="1" x14ac:dyDescent="0.35">
      <c r="A273" s="37" t="s">
        <v>109</v>
      </c>
      <c r="B273" s="37" t="s">
        <v>112</v>
      </c>
      <c r="C273" s="37" t="s">
        <v>118</v>
      </c>
      <c r="D273" s="37" t="s">
        <v>123</v>
      </c>
      <c r="E273" s="37" t="s">
        <v>99</v>
      </c>
      <c r="F273" s="37">
        <v>3</v>
      </c>
      <c r="G273" s="37" t="s">
        <v>211</v>
      </c>
      <c r="H273" s="38">
        <v>4</v>
      </c>
      <c r="I273" s="39">
        <f>IF($G273="Base",1,INDEX(ModelOutput!$D$16:$D$26,MATCH($G273,ModelOutput!$C$16:$C$26,0)))</f>
        <v>1</v>
      </c>
      <c r="J273" s="39">
        <f>IF($A273="Non-greek",1,INDEX(ModelOutput!$D$16:$D$26,MATCH($A273,ModelOutput!$C$16:$C$26,0)))</f>
        <v>4.3562312213391099</v>
      </c>
      <c r="K273" s="39">
        <f>IF($C273="Yes",1,INDEX(ModelOutput!$D$16:$D$26,MATCH($C273,ModelOutput!$C$16:$C$26,0)))</f>
        <v>1.5400747552012299</v>
      </c>
      <c r="L273" s="39">
        <f>IF($D273="2.0-3.0",1,INDEX(ModelOutput!$D$16:$D$26,MATCH($D273,ModelOutput!$C$16:$C$26,0)))</f>
        <v>1.01762556011242</v>
      </c>
      <c r="M273" s="39">
        <f>IF($B273="On campus",1,INDEX(ModelOutput!$D$16:$D$26,MATCH($B273,ModelOutput!$C$16:$C$26,0)))</f>
        <v>1.9771404201318099</v>
      </c>
      <c r="N273" s="39">
        <f>IF($B273="On campus",1,INDEX(ModelOutput!$E$16:$E$26,MATCH($B273,ModelOutput!$C$16:$C$26,0)))</f>
        <v>1.9459582144513401</v>
      </c>
      <c r="O273" s="39">
        <f>IF($B273="On campus",1,INDEX(ModelOutput!$F$16:$F$26,MATCH($B273,ModelOutput!$C$16:$C$26,0)))</f>
        <v>2.5135188217196598</v>
      </c>
      <c r="P273" s="39">
        <f>IF($B273="On campus",1,INDEX(ModelOutput!$G$16:$G$26,MATCH($B273,ModelOutput!$C$16:$C$26,0)))</f>
        <v>3.16845056067557</v>
      </c>
      <c r="Q273" s="73">
        <f>INDEX(ModelOutput!$D$9:$D$11,MATCH("Tier "&amp;$F273,ModelOutput!$B$9:$B$11,0))</f>
        <v>40.009437343712797</v>
      </c>
      <c r="R273" s="73">
        <f>INDEX(ModelOutput!$E$9:$E$11,MATCH("Tier "&amp;$F273,ModelOutput!$B$9:$B$11,0))</f>
        <v>117.949723218616</v>
      </c>
      <c r="S273" s="73">
        <f>INDEX(ModelOutput!$F$9:$F$11,MATCH("Tier "&amp;$F273,ModelOutput!$B$9:$B$11,0))</f>
        <v>136.83922529015501</v>
      </c>
      <c r="T273" s="73">
        <f>INDEX(ModelOutput!$G$9:$G$11,MATCH("Tier "&amp;$F273,ModelOutput!$B$9:$B$11,0))</f>
        <v>22.729631592092201</v>
      </c>
      <c r="U273" s="77">
        <f t="shared" si="44"/>
        <v>540.0583569290867</v>
      </c>
      <c r="V273" s="77">
        <f t="shared" si="45"/>
        <v>1567.0078374998325</v>
      </c>
      <c r="W273" s="77">
        <f t="shared" si="46"/>
        <v>2348.1913317046069</v>
      </c>
      <c r="X273" s="77">
        <f t="shared" si="47"/>
        <v>491.6771931590817</v>
      </c>
      <c r="Y273" s="30">
        <f t="shared" si="48"/>
        <v>4946.934719292608</v>
      </c>
      <c r="Z273" s="30">
        <f t="shared" si="49"/>
        <v>8085.7681815428723</v>
      </c>
      <c r="AA273" s="41">
        <f t="shared" si="50"/>
        <v>4.6693306511707027</v>
      </c>
      <c r="AB273" s="40">
        <f t="shared" si="51"/>
        <v>1782.7872193062994</v>
      </c>
      <c r="AC273" s="42">
        <f t="shared" si="52"/>
        <v>8</v>
      </c>
      <c r="AD273" s="43">
        <v>4946.9347192926098</v>
      </c>
      <c r="AE273" s="79">
        <f t="shared" si="53"/>
        <v>0</v>
      </c>
      <c r="AF273" s="29">
        <f t="shared" si="54"/>
        <v>1</v>
      </c>
    </row>
    <row r="274" spans="1:32" ht="15" customHeight="1" x14ac:dyDescent="0.35">
      <c r="A274" s="37" t="s">
        <v>109</v>
      </c>
      <c r="B274" s="37" t="s">
        <v>112</v>
      </c>
      <c r="C274" s="37" t="s">
        <v>118</v>
      </c>
      <c r="D274" s="37" t="s">
        <v>123</v>
      </c>
      <c r="E274" s="37" t="s">
        <v>213</v>
      </c>
      <c r="F274" s="37">
        <v>3</v>
      </c>
      <c r="G274" s="37" t="s">
        <v>107</v>
      </c>
      <c r="H274" s="38">
        <v>0</v>
      </c>
      <c r="I274" s="39">
        <f>IF($G274="Base",1,INDEX(ModelOutput!$D$16:$D$26,MATCH($G274,ModelOutput!$C$16:$C$26,0)))</f>
        <v>1.1906804269762199</v>
      </c>
      <c r="J274" s="39">
        <f>IF($A274="Non-greek",1,INDEX(ModelOutput!$D$16:$D$26,MATCH($A274,ModelOutput!$C$16:$C$26,0)))</f>
        <v>4.3562312213391099</v>
      </c>
      <c r="K274" s="39">
        <f>IF($C274="Yes",1,INDEX(ModelOutput!$D$16:$D$26,MATCH($C274,ModelOutput!$C$16:$C$26,0)))</f>
        <v>1.5400747552012299</v>
      </c>
      <c r="L274" s="39">
        <f>IF($D274="2.0-3.0",1,INDEX(ModelOutput!$D$16:$D$26,MATCH($D274,ModelOutput!$C$16:$C$26,0)))</f>
        <v>1.01762556011242</v>
      </c>
      <c r="M274" s="39">
        <f>IF($B274="On campus",1,INDEX(ModelOutput!$D$16:$D$26,MATCH($B274,ModelOutput!$C$16:$C$26,0)))</f>
        <v>1.9771404201318099</v>
      </c>
      <c r="N274" s="39">
        <f>IF($B274="On campus",1,INDEX(ModelOutput!$E$16:$E$26,MATCH($B274,ModelOutput!$C$16:$C$26,0)))</f>
        <v>1.9459582144513401</v>
      </c>
      <c r="O274" s="39">
        <f>IF($B274="On campus",1,INDEX(ModelOutput!$F$16:$F$26,MATCH($B274,ModelOutput!$C$16:$C$26,0)))</f>
        <v>2.5135188217196598</v>
      </c>
      <c r="P274" s="39">
        <f>IF($B274="On campus",1,INDEX(ModelOutput!$G$16:$G$26,MATCH($B274,ModelOutput!$C$16:$C$26,0)))</f>
        <v>3.16845056067557</v>
      </c>
      <c r="Q274" s="73">
        <f>INDEX(ModelOutput!$D$9:$D$11,MATCH("Tier "&amp;$F274,ModelOutput!$B$9:$B$11,0))</f>
        <v>40.009437343712797</v>
      </c>
      <c r="R274" s="73">
        <f>INDEX(ModelOutput!$E$9:$E$11,MATCH("Tier "&amp;$F274,ModelOutput!$B$9:$B$11,0))</f>
        <v>117.949723218616</v>
      </c>
      <c r="S274" s="73">
        <f>INDEX(ModelOutput!$F$9:$F$11,MATCH("Tier "&amp;$F274,ModelOutput!$B$9:$B$11,0))</f>
        <v>136.83922529015501</v>
      </c>
      <c r="T274" s="73">
        <f>INDEX(ModelOutput!$G$9:$G$11,MATCH("Tier "&amp;$F274,ModelOutput!$B$9:$B$11,0))</f>
        <v>22.729631592092201</v>
      </c>
      <c r="U274" s="77">
        <f t="shared" si="44"/>
        <v>643.03691502040078</v>
      </c>
      <c r="V274" s="77">
        <f t="shared" si="45"/>
        <v>1865.8055610293834</v>
      </c>
      <c r="W274" s="77">
        <f t="shared" si="46"/>
        <v>2795.9454574559004</v>
      </c>
      <c r="X274" s="77">
        <f t="shared" si="47"/>
        <v>585.43041028512471</v>
      </c>
      <c r="Y274" s="30">
        <f t="shared" si="48"/>
        <v>5890.2183437908088</v>
      </c>
      <c r="Z274" s="30">
        <f t="shared" si="49"/>
        <v>9619.6208930395242</v>
      </c>
      <c r="AA274" s="41">
        <f t="shared" si="50"/>
        <v>5.7447903967913057</v>
      </c>
      <c r="AB274" s="40">
        <f t="shared" si="51"/>
        <v>1782.7872193062994</v>
      </c>
      <c r="AC274" s="42">
        <f t="shared" si="52"/>
        <v>9</v>
      </c>
      <c r="AD274" s="43">
        <v>5890.2183437908097</v>
      </c>
      <c r="AE274" s="79">
        <f t="shared" si="53"/>
        <v>0</v>
      </c>
      <c r="AF274" s="29">
        <f t="shared" si="54"/>
        <v>2</v>
      </c>
    </row>
    <row r="275" spans="1:32" ht="15" customHeight="1" x14ac:dyDescent="0.35">
      <c r="A275" s="19" t="s">
        <v>109</v>
      </c>
      <c r="B275" s="19" t="s">
        <v>112</v>
      </c>
      <c r="C275" s="19" t="s">
        <v>118</v>
      </c>
      <c r="D275" s="19" t="s">
        <v>122</v>
      </c>
      <c r="E275" s="19" t="s">
        <v>95</v>
      </c>
      <c r="F275" s="19">
        <v>1</v>
      </c>
      <c r="G275" s="19" t="s">
        <v>211</v>
      </c>
      <c r="H275" s="16">
        <v>6</v>
      </c>
      <c r="I275" s="13">
        <f>IF($G275="Base",1,INDEX(ModelOutput!$D$16:$D$26,MATCH($G275,ModelOutput!$C$16:$C$26,0)))</f>
        <v>1</v>
      </c>
      <c r="J275" s="13">
        <f>IF($A275="Non-greek",1,INDEX(ModelOutput!$D$16:$D$26,MATCH($A275,ModelOutput!$C$16:$C$26,0)))</f>
        <v>4.3562312213391099</v>
      </c>
      <c r="K275" s="13">
        <f>IF($C275="Yes",1,INDEX(ModelOutput!$D$16:$D$26,MATCH($C275,ModelOutput!$C$16:$C$26,0)))</f>
        <v>1.5400747552012299</v>
      </c>
      <c r="L275" s="13">
        <f>IF($D275="2.0-3.0",1,INDEX(ModelOutput!$D$16:$D$26,MATCH($D275,ModelOutput!$C$16:$C$26,0)))</f>
        <v>1</v>
      </c>
      <c r="M275" s="13">
        <f>IF($B275="On campus",1,INDEX(ModelOutput!$D$16:$D$26,MATCH($B275,ModelOutput!$C$16:$C$26,0)))</f>
        <v>1.9771404201318099</v>
      </c>
      <c r="N275" s="13">
        <f>IF($B275="On campus",1,INDEX(ModelOutput!$E$16:$E$26,MATCH($B275,ModelOutput!$C$16:$C$26,0)))</f>
        <v>1.9459582144513401</v>
      </c>
      <c r="O275" s="13">
        <f>IF($B275="On campus",1,INDEX(ModelOutput!$F$16:$F$26,MATCH($B275,ModelOutput!$C$16:$C$26,0)))</f>
        <v>2.5135188217196598</v>
      </c>
      <c r="P275" s="13">
        <f>IF($B275="On campus",1,INDEX(ModelOutput!$G$16:$G$26,MATCH($B275,ModelOutput!$C$16:$C$26,0)))</f>
        <v>3.16845056067557</v>
      </c>
      <c r="Q275" s="72">
        <f>INDEX(ModelOutput!$D$9:$D$11,MATCH("Tier "&amp;$F275,ModelOutput!$B$9:$B$11,0))</f>
        <v>36.175496869914397</v>
      </c>
      <c r="R275" s="72">
        <f>INDEX(ModelOutput!$E$9:$E$11,MATCH("Tier "&amp;$F275,ModelOutput!$B$9:$B$11,0))</f>
        <v>106.647084447761</v>
      </c>
      <c r="S275" s="72">
        <f>INDEX(ModelOutput!$F$9:$F$11,MATCH("Tier "&amp;$F275,ModelOutput!$B$9:$B$11,0))</f>
        <v>123.726482920496</v>
      </c>
      <c r="T275" s="72">
        <f>INDEX(ModelOutput!$G$9:$G$11,MATCH("Tier "&amp;$F275,ModelOutput!$B$9:$B$11,0))</f>
        <v>20.551544113210401</v>
      </c>
      <c r="U275" s="76">
        <f t="shared" si="44"/>
        <v>479.84916671140928</v>
      </c>
      <c r="V275" s="76">
        <f t="shared" si="45"/>
        <v>1392.3076930615484</v>
      </c>
      <c r="W275" s="76">
        <f t="shared" si="46"/>
        <v>2086.3998109474096</v>
      </c>
      <c r="X275" s="76">
        <f t="shared" si="47"/>
        <v>436.86184724546348</v>
      </c>
      <c r="Y275" s="27">
        <f t="shared" si="48"/>
        <v>4395.4185179658307</v>
      </c>
      <c r="Z275" s="27">
        <f t="shared" si="49"/>
        <v>7188.9598421747123</v>
      </c>
      <c r="AA275" s="33">
        <f t="shared" si="50"/>
        <v>4.0405341172543361</v>
      </c>
      <c r="AB275" s="14">
        <f t="shared" si="51"/>
        <v>1782.7872193062994</v>
      </c>
      <c r="AC275" s="29">
        <f t="shared" si="52"/>
        <v>8</v>
      </c>
      <c r="AD275" s="20">
        <v>4395.4185179658098</v>
      </c>
      <c r="AE275" s="78">
        <f t="shared" si="53"/>
        <v>2.0918378140777349E-11</v>
      </c>
      <c r="AF275" s="29">
        <f t="shared" si="54"/>
        <v>4</v>
      </c>
    </row>
    <row r="276" spans="1:32" ht="15" customHeight="1" x14ac:dyDescent="0.35">
      <c r="A276" s="19" t="s">
        <v>109</v>
      </c>
      <c r="B276" s="19" t="s">
        <v>112</v>
      </c>
      <c r="C276" s="19" t="s">
        <v>118</v>
      </c>
      <c r="D276" s="19" t="s">
        <v>122</v>
      </c>
      <c r="E276" s="19" t="s">
        <v>105</v>
      </c>
      <c r="F276" s="19">
        <v>1</v>
      </c>
      <c r="G276" s="19" t="s">
        <v>105</v>
      </c>
      <c r="H276" s="16">
        <v>6</v>
      </c>
      <c r="I276" s="13">
        <f>IF($G276="Base",1,INDEX(ModelOutput!$D$16:$D$26,MATCH($G276,ModelOutput!$C$16:$C$26,0)))</f>
        <v>0.98982624281990295</v>
      </c>
      <c r="J276" s="13">
        <f>IF($A276="Non-greek",1,INDEX(ModelOutput!$D$16:$D$26,MATCH($A276,ModelOutput!$C$16:$C$26,0)))</f>
        <v>4.3562312213391099</v>
      </c>
      <c r="K276" s="13">
        <f>IF($C276="Yes",1,INDEX(ModelOutput!$D$16:$D$26,MATCH($C276,ModelOutput!$C$16:$C$26,0)))</f>
        <v>1.5400747552012299</v>
      </c>
      <c r="L276" s="13">
        <f>IF($D276="2.0-3.0",1,INDEX(ModelOutput!$D$16:$D$26,MATCH($D276,ModelOutput!$C$16:$C$26,0)))</f>
        <v>1</v>
      </c>
      <c r="M276" s="13">
        <f>IF($B276="On campus",1,INDEX(ModelOutput!$D$16:$D$26,MATCH($B276,ModelOutput!$C$16:$C$26,0)))</f>
        <v>1.9771404201318099</v>
      </c>
      <c r="N276" s="13">
        <f>IF($B276="On campus",1,INDEX(ModelOutput!$E$16:$E$26,MATCH($B276,ModelOutput!$C$16:$C$26,0)))</f>
        <v>1.9459582144513401</v>
      </c>
      <c r="O276" s="13">
        <f>IF($B276="On campus",1,INDEX(ModelOutput!$F$16:$F$26,MATCH($B276,ModelOutput!$C$16:$C$26,0)))</f>
        <v>2.5135188217196598</v>
      </c>
      <c r="P276" s="13">
        <f>IF($B276="On campus",1,INDEX(ModelOutput!$G$16:$G$26,MATCH($B276,ModelOutput!$C$16:$C$26,0)))</f>
        <v>3.16845056067557</v>
      </c>
      <c r="Q276" s="72">
        <f>INDEX(ModelOutput!$D$9:$D$11,MATCH("Tier "&amp;$F276,ModelOutput!$B$9:$B$11,0))</f>
        <v>36.175496869914397</v>
      </c>
      <c r="R276" s="72">
        <f>INDEX(ModelOutput!$E$9:$E$11,MATCH("Tier "&amp;$F276,ModelOutput!$B$9:$B$11,0))</f>
        <v>106.647084447761</v>
      </c>
      <c r="S276" s="72">
        <f>INDEX(ModelOutput!$F$9:$F$11,MATCH("Tier "&amp;$F276,ModelOutput!$B$9:$B$11,0))</f>
        <v>123.726482920496</v>
      </c>
      <c r="T276" s="72">
        <f>INDEX(ModelOutput!$G$9:$G$11,MATCH("Tier "&amp;$F276,ModelOutput!$B$9:$B$11,0))</f>
        <v>20.551544113210401</v>
      </c>
      <c r="U276" s="76">
        <f t="shared" si="44"/>
        <v>474.96729780621553</v>
      </c>
      <c r="V276" s="76">
        <f t="shared" si="45"/>
        <v>1378.1426926723593</v>
      </c>
      <c r="W276" s="76">
        <f t="shared" si="46"/>
        <v>2065.1732858902301</v>
      </c>
      <c r="X276" s="76">
        <f t="shared" si="47"/>
        <v>432.4173208903394</v>
      </c>
      <c r="Y276" s="27">
        <f t="shared" si="48"/>
        <v>4350.7005972591442</v>
      </c>
      <c r="Z276" s="27">
        <f t="shared" si="49"/>
        <v>7116.2450169121284</v>
      </c>
      <c r="AA276" s="33">
        <f t="shared" si="50"/>
        <v>3.9895501688650281</v>
      </c>
      <c r="AB276" s="14">
        <f t="shared" si="51"/>
        <v>1782.7872193062994</v>
      </c>
      <c r="AC276" s="29">
        <f t="shared" si="52"/>
        <v>8</v>
      </c>
      <c r="AD276" s="20">
        <v>4350.7005972591296</v>
      </c>
      <c r="AE276" s="78">
        <f t="shared" si="53"/>
        <v>1.4551915228366852E-11</v>
      </c>
      <c r="AF276" s="29">
        <f t="shared" si="54"/>
        <v>3</v>
      </c>
    </row>
    <row r="277" spans="1:32" ht="15" customHeight="1" x14ac:dyDescent="0.35">
      <c r="A277" s="19" t="s">
        <v>109</v>
      </c>
      <c r="B277" s="19" t="s">
        <v>112</v>
      </c>
      <c r="C277" s="19" t="s">
        <v>118</v>
      </c>
      <c r="D277" s="19" t="s">
        <v>122</v>
      </c>
      <c r="E277" s="19" t="s">
        <v>97</v>
      </c>
      <c r="F277" s="19">
        <v>2</v>
      </c>
      <c r="G277" s="19" t="s">
        <v>211</v>
      </c>
      <c r="H277" s="16">
        <v>4</v>
      </c>
      <c r="I277" s="13">
        <f>IF($G277="Base",1,INDEX(ModelOutput!$D$16:$D$26,MATCH($G277,ModelOutput!$C$16:$C$26,0)))</f>
        <v>1</v>
      </c>
      <c r="J277" s="13">
        <f>IF($A277="Non-greek",1,INDEX(ModelOutput!$D$16:$D$26,MATCH($A277,ModelOutput!$C$16:$C$26,0)))</f>
        <v>4.3562312213391099</v>
      </c>
      <c r="K277" s="13">
        <f>IF($C277="Yes",1,INDEX(ModelOutput!$D$16:$D$26,MATCH($C277,ModelOutput!$C$16:$C$26,0)))</f>
        <v>1.5400747552012299</v>
      </c>
      <c r="L277" s="13">
        <f>IF($D277="2.0-3.0",1,INDEX(ModelOutput!$D$16:$D$26,MATCH($D277,ModelOutput!$C$16:$C$26,0)))</f>
        <v>1</v>
      </c>
      <c r="M277" s="13">
        <f>IF($B277="On campus",1,INDEX(ModelOutput!$D$16:$D$26,MATCH($B277,ModelOutput!$C$16:$C$26,0)))</f>
        <v>1.9771404201318099</v>
      </c>
      <c r="N277" s="13">
        <f>IF($B277="On campus",1,INDEX(ModelOutput!$E$16:$E$26,MATCH($B277,ModelOutput!$C$16:$C$26,0)))</f>
        <v>1.9459582144513401</v>
      </c>
      <c r="O277" s="13">
        <f>IF($B277="On campus",1,INDEX(ModelOutput!$F$16:$F$26,MATCH($B277,ModelOutput!$C$16:$C$26,0)))</f>
        <v>2.5135188217196598</v>
      </c>
      <c r="P277" s="13">
        <f>IF($B277="On campus",1,INDEX(ModelOutput!$G$16:$G$26,MATCH($B277,ModelOutput!$C$16:$C$26,0)))</f>
        <v>3.16845056067557</v>
      </c>
      <c r="Q277" s="72">
        <f>INDEX(ModelOutput!$D$9:$D$11,MATCH("Tier "&amp;$F277,ModelOutput!$B$9:$B$11,0))</f>
        <v>42.8051506068728</v>
      </c>
      <c r="R277" s="72">
        <f>INDEX(ModelOutput!$E$9:$E$11,MATCH("Tier "&amp;$F277,ModelOutput!$B$9:$B$11,0))</f>
        <v>126.191618818284</v>
      </c>
      <c r="S277" s="72">
        <f>INDEX(ModelOutput!$F$9:$F$11,MATCH("Tier "&amp;$F277,ModelOutput!$B$9:$B$11,0))</f>
        <v>146.401050261042</v>
      </c>
      <c r="T277" s="72">
        <f>INDEX(ModelOutput!$G$9:$G$11,MATCH("Tier "&amp;$F277,ModelOutput!$B$9:$B$11,0))</f>
        <v>24.317895180076398</v>
      </c>
      <c r="U277" s="76">
        <f t="shared" si="44"/>
        <v>567.78807830961773</v>
      </c>
      <c r="V277" s="76">
        <f t="shared" si="45"/>
        <v>1647.4670882038909</v>
      </c>
      <c r="W277" s="76">
        <f t="shared" si="46"/>
        <v>2468.7610637361822</v>
      </c>
      <c r="X277" s="76">
        <f t="shared" si="47"/>
        <v>516.92274560824706</v>
      </c>
      <c r="Y277" s="27">
        <f t="shared" si="48"/>
        <v>5200.9389758579382</v>
      </c>
      <c r="Z277" s="27">
        <f t="shared" si="49"/>
        <v>8498.798904801406</v>
      </c>
      <c r="AA277" s="33">
        <f t="shared" si="50"/>
        <v>4.9589268511446178</v>
      </c>
      <c r="AB277" s="14">
        <f t="shared" si="51"/>
        <v>1782.7872193062994</v>
      </c>
      <c r="AC277" s="29">
        <f t="shared" si="52"/>
        <v>8</v>
      </c>
      <c r="AD277" s="20">
        <v>5200.93897585792</v>
      </c>
      <c r="AE277" s="78">
        <f t="shared" si="53"/>
        <v>1.8189894035458565E-11</v>
      </c>
      <c r="AF277" s="29">
        <f t="shared" si="54"/>
        <v>2</v>
      </c>
    </row>
    <row r="278" spans="1:32" ht="15" customHeight="1" x14ac:dyDescent="0.35">
      <c r="A278" s="19" t="s">
        <v>109</v>
      </c>
      <c r="B278" s="19" t="s">
        <v>112</v>
      </c>
      <c r="C278" s="19" t="s">
        <v>118</v>
      </c>
      <c r="D278" s="19" t="s">
        <v>122</v>
      </c>
      <c r="E278" s="19" t="s">
        <v>99</v>
      </c>
      <c r="F278" s="19">
        <v>3</v>
      </c>
      <c r="G278" s="19" t="s">
        <v>211</v>
      </c>
      <c r="H278" s="16">
        <v>3</v>
      </c>
      <c r="I278" s="13">
        <f>IF($G278="Base",1,INDEX(ModelOutput!$D$16:$D$26,MATCH($G278,ModelOutput!$C$16:$C$26,0)))</f>
        <v>1</v>
      </c>
      <c r="J278" s="13">
        <f>IF($A278="Non-greek",1,INDEX(ModelOutput!$D$16:$D$26,MATCH($A278,ModelOutput!$C$16:$C$26,0)))</f>
        <v>4.3562312213391099</v>
      </c>
      <c r="K278" s="13">
        <f>IF($C278="Yes",1,INDEX(ModelOutput!$D$16:$D$26,MATCH($C278,ModelOutput!$C$16:$C$26,0)))</f>
        <v>1.5400747552012299</v>
      </c>
      <c r="L278" s="13">
        <f>IF($D278="2.0-3.0",1,INDEX(ModelOutput!$D$16:$D$26,MATCH($D278,ModelOutput!$C$16:$C$26,0)))</f>
        <v>1</v>
      </c>
      <c r="M278" s="13">
        <f>IF($B278="On campus",1,INDEX(ModelOutput!$D$16:$D$26,MATCH($B278,ModelOutput!$C$16:$C$26,0)))</f>
        <v>1.9771404201318099</v>
      </c>
      <c r="N278" s="13">
        <f>IF($B278="On campus",1,INDEX(ModelOutput!$E$16:$E$26,MATCH($B278,ModelOutput!$C$16:$C$26,0)))</f>
        <v>1.9459582144513401</v>
      </c>
      <c r="O278" s="13">
        <f>IF($B278="On campus",1,INDEX(ModelOutput!$F$16:$F$26,MATCH($B278,ModelOutput!$C$16:$C$26,0)))</f>
        <v>2.5135188217196598</v>
      </c>
      <c r="P278" s="13">
        <f>IF($B278="On campus",1,INDEX(ModelOutput!$G$16:$G$26,MATCH($B278,ModelOutput!$C$16:$C$26,0)))</f>
        <v>3.16845056067557</v>
      </c>
      <c r="Q278" s="72">
        <f>INDEX(ModelOutput!$D$9:$D$11,MATCH("Tier "&amp;$F278,ModelOutput!$B$9:$B$11,0))</f>
        <v>40.009437343712797</v>
      </c>
      <c r="R278" s="72">
        <f>INDEX(ModelOutput!$E$9:$E$11,MATCH("Tier "&amp;$F278,ModelOutput!$B$9:$B$11,0))</f>
        <v>117.949723218616</v>
      </c>
      <c r="S278" s="72">
        <f>INDEX(ModelOutput!$F$9:$F$11,MATCH("Tier "&amp;$F278,ModelOutput!$B$9:$B$11,0))</f>
        <v>136.83922529015501</v>
      </c>
      <c r="T278" s="72">
        <f>INDEX(ModelOutput!$G$9:$G$11,MATCH("Tier "&amp;$F278,ModelOutput!$B$9:$B$11,0))</f>
        <v>22.729631592092201</v>
      </c>
      <c r="U278" s="76">
        <f t="shared" si="44"/>
        <v>530.7043947180581</v>
      </c>
      <c r="V278" s="76">
        <f t="shared" si="45"/>
        <v>1539.8668222589854</v>
      </c>
      <c r="W278" s="76">
        <f t="shared" si="46"/>
        <v>2307.5199992472631</v>
      </c>
      <c r="X278" s="76">
        <f t="shared" si="47"/>
        <v>483.16120627391149</v>
      </c>
      <c r="Y278" s="27">
        <f t="shared" si="48"/>
        <v>4861.252422498218</v>
      </c>
      <c r="Z278" s="27">
        <f t="shared" si="49"/>
        <v>7946.4420871932016</v>
      </c>
      <c r="AA278" s="33">
        <f t="shared" si="50"/>
        <v>4.5716422584948484</v>
      </c>
      <c r="AB278" s="14">
        <f t="shared" si="51"/>
        <v>1782.7872193062994</v>
      </c>
      <c r="AC278" s="29">
        <f t="shared" si="52"/>
        <v>8</v>
      </c>
      <c r="AD278" s="20">
        <v>4861.2524224982199</v>
      </c>
      <c r="AE278" s="78">
        <f t="shared" si="53"/>
        <v>0</v>
      </c>
      <c r="AF278" s="29">
        <f t="shared" si="54"/>
        <v>1</v>
      </c>
    </row>
    <row r="279" spans="1:32" ht="15" customHeight="1" x14ac:dyDescent="0.35">
      <c r="A279" s="19" t="s">
        <v>109</v>
      </c>
      <c r="B279" s="19" t="s">
        <v>112</v>
      </c>
      <c r="C279" s="19" t="s">
        <v>118</v>
      </c>
      <c r="D279" s="19" t="s">
        <v>122</v>
      </c>
      <c r="E279" s="19" t="s">
        <v>213</v>
      </c>
      <c r="F279" s="19">
        <v>3</v>
      </c>
      <c r="G279" s="19" t="s">
        <v>107</v>
      </c>
      <c r="H279" s="16">
        <v>1</v>
      </c>
      <c r="I279" s="13">
        <f>IF($G279="Base",1,INDEX(ModelOutput!$D$16:$D$26,MATCH($G279,ModelOutput!$C$16:$C$26,0)))</f>
        <v>1.1906804269762199</v>
      </c>
      <c r="J279" s="13">
        <f>IF($A279="Non-greek",1,INDEX(ModelOutput!$D$16:$D$26,MATCH($A279,ModelOutput!$C$16:$C$26,0)))</f>
        <v>4.3562312213391099</v>
      </c>
      <c r="K279" s="13">
        <f>IF($C279="Yes",1,INDEX(ModelOutput!$D$16:$D$26,MATCH($C279,ModelOutput!$C$16:$C$26,0)))</f>
        <v>1.5400747552012299</v>
      </c>
      <c r="L279" s="13">
        <f>IF($D279="2.0-3.0",1,INDEX(ModelOutput!$D$16:$D$26,MATCH($D279,ModelOutput!$C$16:$C$26,0)))</f>
        <v>1</v>
      </c>
      <c r="M279" s="13">
        <f>IF($B279="On campus",1,INDEX(ModelOutput!$D$16:$D$26,MATCH($B279,ModelOutput!$C$16:$C$26,0)))</f>
        <v>1.9771404201318099</v>
      </c>
      <c r="N279" s="13">
        <f>IF($B279="On campus",1,INDEX(ModelOutput!$E$16:$E$26,MATCH($B279,ModelOutput!$C$16:$C$26,0)))</f>
        <v>1.9459582144513401</v>
      </c>
      <c r="O279" s="13">
        <f>IF($B279="On campus",1,INDEX(ModelOutput!$F$16:$F$26,MATCH($B279,ModelOutput!$C$16:$C$26,0)))</f>
        <v>2.5135188217196598</v>
      </c>
      <c r="P279" s="13">
        <f>IF($B279="On campus",1,INDEX(ModelOutput!$G$16:$G$26,MATCH($B279,ModelOutput!$C$16:$C$26,0)))</f>
        <v>3.16845056067557</v>
      </c>
      <c r="Q279" s="72">
        <f>INDEX(ModelOutput!$D$9:$D$11,MATCH("Tier "&amp;$F279,ModelOutput!$B$9:$B$11,0))</f>
        <v>40.009437343712797</v>
      </c>
      <c r="R279" s="72">
        <f>INDEX(ModelOutput!$E$9:$E$11,MATCH("Tier "&amp;$F279,ModelOutput!$B$9:$B$11,0))</f>
        <v>117.949723218616</v>
      </c>
      <c r="S279" s="72">
        <f>INDEX(ModelOutput!$F$9:$F$11,MATCH("Tier "&amp;$F279,ModelOutput!$B$9:$B$11,0))</f>
        <v>136.83922529015501</v>
      </c>
      <c r="T279" s="72">
        <f>INDEX(ModelOutput!$G$9:$G$11,MATCH("Tier "&amp;$F279,ModelOutput!$B$9:$B$11,0))</f>
        <v>22.729631592092201</v>
      </c>
      <c r="U279" s="76">
        <f t="shared" si="44"/>
        <v>631.89933530105384</v>
      </c>
      <c r="V279" s="76">
        <f t="shared" si="45"/>
        <v>1833.4892854138436</v>
      </c>
      <c r="W279" s="76">
        <f t="shared" si="46"/>
        <v>2747.5188979598979</v>
      </c>
      <c r="X279" s="76">
        <f t="shared" si="47"/>
        <v>575.29059138456637</v>
      </c>
      <c r="Y279" s="27">
        <f t="shared" si="48"/>
        <v>5788.1981100593621</v>
      </c>
      <c r="Z279" s="27">
        <f t="shared" si="49"/>
        <v>9453.7280395303296</v>
      </c>
      <c r="AA279" s="33">
        <f t="shared" si="50"/>
        <v>5.6284747396893993</v>
      </c>
      <c r="AB279" s="14">
        <f t="shared" si="51"/>
        <v>1782.7872193062994</v>
      </c>
      <c r="AC279" s="29">
        <f t="shared" si="52"/>
        <v>9</v>
      </c>
      <c r="AD279" s="20">
        <v>5788.1981100593603</v>
      </c>
      <c r="AE279" s="78">
        <f t="shared" si="53"/>
        <v>0</v>
      </c>
      <c r="AF279" s="29">
        <f t="shared" si="54"/>
        <v>2</v>
      </c>
    </row>
    <row r="280" spans="1:32" ht="15" customHeight="1" x14ac:dyDescent="0.35">
      <c r="A280" s="37" t="s">
        <v>109</v>
      </c>
      <c r="B280" s="37" t="s">
        <v>112</v>
      </c>
      <c r="C280" s="37" t="s">
        <v>118</v>
      </c>
      <c r="D280" s="37" t="s">
        <v>124</v>
      </c>
      <c r="E280" s="37" t="s">
        <v>95</v>
      </c>
      <c r="F280" s="37">
        <v>1</v>
      </c>
      <c r="G280" s="37" t="s">
        <v>211</v>
      </c>
      <c r="H280" s="38">
        <v>3</v>
      </c>
      <c r="I280" s="39">
        <f>IF($G280="Base",1,INDEX(ModelOutput!$D$16:$D$26,MATCH($G280,ModelOutput!$C$16:$C$26,0)))</f>
        <v>1</v>
      </c>
      <c r="J280" s="39">
        <f>IF($A280="Non-greek",1,INDEX(ModelOutput!$D$16:$D$26,MATCH($A280,ModelOutput!$C$16:$C$26,0)))</f>
        <v>4.3562312213391099</v>
      </c>
      <c r="K280" s="39">
        <f>IF($C280="Yes",1,INDEX(ModelOutput!$D$16:$D$26,MATCH($C280,ModelOutput!$C$16:$C$26,0)))</f>
        <v>1.5400747552012299</v>
      </c>
      <c r="L280" s="39">
        <f>IF($D280="2.0-3.0",1,INDEX(ModelOutput!$D$16:$D$26,MATCH($D280,ModelOutput!$C$16:$C$26,0)))</f>
        <v>0.87654761766211098</v>
      </c>
      <c r="M280" s="39">
        <f>IF($B280="On campus",1,INDEX(ModelOutput!$D$16:$D$26,MATCH($B280,ModelOutput!$C$16:$C$26,0)))</f>
        <v>1.9771404201318099</v>
      </c>
      <c r="N280" s="39">
        <f>IF($B280="On campus",1,INDEX(ModelOutput!$E$16:$E$26,MATCH($B280,ModelOutput!$C$16:$C$26,0)))</f>
        <v>1.9459582144513401</v>
      </c>
      <c r="O280" s="39">
        <f>IF($B280="On campus",1,INDEX(ModelOutput!$F$16:$F$26,MATCH($B280,ModelOutput!$C$16:$C$26,0)))</f>
        <v>2.5135188217196598</v>
      </c>
      <c r="P280" s="39">
        <f>IF($B280="On campus",1,INDEX(ModelOutput!$G$16:$G$26,MATCH($B280,ModelOutput!$C$16:$C$26,0)))</f>
        <v>3.16845056067557</v>
      </c>
      <c r="Q280" s="73">
        <f>INDEX(ModelOutput!$D$9:$D$11,MATCH("Tier "&amp;$F280,ModelOutput!$B$9:$B$11,0))</f>
        <v>36.175496869914397</v>
      </c>
      <c r="R280" s="73">
        <f>INDEX(ModelOutput!$E$9:$E$11,MATCH("Tier "&amp;$F280,ModelOutput!$B$9:$B$11,0))</f>
        <v>106.647084447761</v>
      </c>
      <c r="S280" s="73">
        <f>INDEX(ModelOutput!$F$9:$F$11,MATCH("Tier "&amp;$F280,ModelOutput!$B$9:$B$11,0))</f>
        <v>123.726482920496</v>
      </c>
      <c r="T280" s="73">
        <f>INDEX(ModelOutput!$G$9:$G$11,MATCH("Tier "&amp;$F280,ModelOutput!$B$9:$B$11,0))</f>
        <v>20.551544113210401</v>
      </c>
      <c r="U280" s="77">
        <f t="shared" si="44"/>
        <v>420.61064391803495</v>
      </c>
      <c r="V280" s="77">
        <f t="shared" si="45"/>
        <v>1220.4239914057298</v>
      </c>
      <c r="W280" s="77">
        <f t="shared" si="46"/>
        <v>1828.8287837766306</v>
      </c>
      <c r="X280" s="77">
        <f t="shared" si="47"/>
        <v>382.93021145048004</v>
      </c>
      <c r="Y280" s="30">
        <f t="shared" si="48"/>
        <v>3852.7936305508752</v>
      </c>
      <c r="Z280" s="30">
        <f t="shared" si="49"/>
        <v>6306.6094723909073</v>
      </c>
      <c r="AA280" s="41">
        <f t="shared" si="50"/>
        <v>3.4218747785033425</v>
      </c>
      <c r="AB280" s="40">
        <f t="shared" si="51"/>
        <v>1782.7872193062994</v>
      </c>
      <c r="AC280" s="42">
        <f t="shared" si="52"/>
        <v>7</v>
      </c>
      <c r="AD280" s="43">
        <v>3852.7936305508601</v>
      </c>
      <c r="AE280" s="79">
        <f t="shared" si="53"/>
        <v>1.5006662579253316E-11</v>
      </c>
      <c r="AF280" s="29">
        <f t="shared" si="54"/>
        <v>4</v>
      </c>
    </row>
    <row r="281" spans="1:32" ht="15" customHeight="1" x14ac:dyDescent="0.35">
      <c r="A281" s="37" t="s">
        <v>109</v>
      </c>
      <c r="B281" s="37" t="s">
        <v>112</v>
      </c>
      <c r="C281" s="37" t="s">
        <v>118</v>
      </c>
      <c r="D281" s="37" t="s">
        <v>124</v>
      </c>
      <c r="E281" s="37" t="s">
        <v>105</v>
      </c>
      <c r="F281" s="37">
        <v>1</v>
      </c>
      <c r="G281" s="37" t="s">
        <v>105</v>
      </c>
      <c r="H281" s="38">
        <v>2</v>
      </c>
      <c r="I281" s="39">
        <f>IF($G281="Base",1,INDEX(ModelOutput!$D$16:$D$26,MATCH($G281,ModelOutput!$C$16:$C$26,0)))</f>
        <v>0.98982624281990295</v>
      </c>
      <c r="J281" s="39">
        <f>IF($A281="Non-greek",1,INDEX(ModelOutput!$D$16:$D$26,MATCH($A281,ModelOutput!$C$16:$C$26,0)))</f>
        <v>4.3562312213391099</v>
      </c>
      <c r="K281" s="39">
        <f>IF($C281="Yes",1,INDEX(ModelOutput!$D$16:$D$26,MATCH($C281,ModelOutput!$C$16:$C$26,0)))</f>
        <v>1.5400747552012299</v>
      </c>
      <c r="L281" s="39">
        <f>IF($D281="2.0-3.0",1,INDEX(ModelOutput!$D$16:$D$26,MATCH($D281,ModelOutput!$C$16:$C$26,0)))</f>
        <v>0.87654761766211098</v>
      </c>
      <c r="M281" s="39">
        <f>IF($B281="On campus",1,INDEX(ModelOutput!$D$16:$D$26,MATCH($B281,ModelOutput!$C$16:$C$26,0)))</f>
        <v>1.9771404201318099</v>
      </c>
      <c r="N281" s="39">
        <f>IF($B281="On campus",1,INDEX(ModelOutput!$E$16:$E$26,MATCH($B281,ModelOutput!$C$16:$C$26,0)))</f>
        <v>1.9459582144513401</v>
      </c>
      <c r="O281" s="39">
        <f>IF($B281="On campus",1,INDEX(ModelOutput!$F$16:$F$26,MATCH($B281,ModelOutput!$C$16:$C$26,0)))</f>
        <v>2.5135188217196598</v>
      </c>
      <c r="P281" s="39">
        <f>IF($B281="On campus",1,INDEX(ModelOutput!$G$16:$G$26,MATCH($B281,ModelOutput!$C$16:$C$26,0)))</f>
        <v>3.16845056067557</v>
      </c>
      <c r="Q281" s="73">
        <f>INDEX(ModelOutput!$D$9:$D$11,MATCH("Tier "&amp;$F281,ModelOutput!$B$9:$B$11,0))</f>
        <v>36.175496869914397</v>
      </c>
      <c r="R281" s="73">
        <f>INDEX(ModelOutput!$E$9:$E$11,MATCH("Tier "&amp;$F281,ModelOutput!$B$9:$B$11,0))</f>
        <v>106.647084447761</v>
      </c>
      <c r="S281" s="73">
        <f>INDEX(ModelOutput!$F$9:$F$11,MATCH("Tier "&amp;$F281,ModelOutput!$B$9:$B$11,0))</f>
        <v>123.726482920496</v>
      </c>
      <c r="T281" s="73">
        <f>INDEX(ModelOutput!$G$9:$G$11,MATCH("Tier "&amp;$F281,ModelOutput!$B$9:$B$11,0))</f>
        <v>20.551544113210401</v>
      </c>
      <c r="U281" s="77">
        <f t="shared" si="44"/>
        <v>416.33145335944863</v>
      </c>
      <c r="V281" s="77">
        <f t="shared" si="45"/>
        <v>1208.0076940604033</v>
      </c>
      <c r="W281" s="77">
        <f t="shared" si="46"/>
        <v>1810.222723806515</v>
      </c>
      <c r="X281" s="77">
        <f t="shared" si="47"/>
        <v>379.03437246225957</v>
      </c>
      <c r="Y281" s="30">
        <f t="shared" si="48"/>
        <v>3813.5962436886261</v>
      </c>
      <c r="Z281" s="30">
        <f t="shared" si="49"/>
        <v>6242.8714655382737</v>
      </c>
      <c r="AA281" s="41">
        <f t="shared" si="50"/>
        <v>3.3771849200036881</v>
      </c>
      <c r="AB281" s="40">
        <f t="shared" si="51"/>
        <v>1782.7872193062994</v>
      </c>
      <c r="AC281" s="42">
        <f t="shared" si="52"/>
        <v>7</v>
      </c>
      <c r="AD281" s="43">
        <v>3813.5962436886098</v>
      </c>
      <c r="AE281" s="79">
        <f t="shared" si="53"/>
        <v>1.6370904631912708E-11</v>
      </c>
      <c r="AF281" s="29">
        <f t="shared" si="54"/>
        <v>3</v>
      </c>
    </row>
    <row r="282" spans="1:32" ht="15" customHeight="1" x14ac:dyDescent="0.35">
      <c r="A282" s="37" t="s">
        <v>109</v>
      </c>
      <c r="B282" s="37" t="s">
        <v>112</v>
      </c>
      <c r="C282" s="37" t="s">
        <v>118</v>
      </c>
      <c r="D282" s="37" t="s">
        <v>124</v>
      </c>
      <c r="E282" s="37" t="s">
        <v>97</v>
      </c>
      <c r="F282" s="37">
        <v>2</v>
      </c>
      <c r="G282" s="37" t="s">
        <v>211</v>
      </c>
      <c r="H282" s="38">
        <v>1</v>
      </c>
      <c r="I282" s="39">
        <f>IF($G282="Base",1,INDEX(ModelOutput!$D$16:$D$26,MATCH($G282,ModelOutput!$C$16:$C$26,0)))</f>
        <v>1</v>
      </c>
      <c r="J282" s="39">
        <f>IF($A282="Non-greek",1,INDEX(ModelOutput!$D$16:$D$26,MATCH($A282,ModelOutput!$C$16:$C$26,0)))</f>
        <v>4.3562312213391099</v>
      </c>
      <c r="K282" s="39">
        <f>IF($C282="Yes",1,INDEX(ModelOutput!$D$16:$D$26,MATCH($C282,ModelOutput!$C$16:$C$26,0)))</f>
        <v>1.5400747552012299</v>
      </c>
      <c r="L282" s="39">
        <f>IF($D282="2.0-3.0",1,INDEX(ModelOutput!$D$16:$D$26,MATCH($D282,ModelOutput!$C$16:$C$26,0)))</f>
        <v>0.87654761766211098</v>
      </c>
      <c r="M282" s="39">
        <f>IF($B282="On campus",1,INDEX(ModelOutput!$D$16:$D$26,MATCH($B282,ModelOutput!$C$16:$C$26,0)))</f>
        <v>1.9771404201318099</v>
      </c>
      <c r="N282" s="39">
        <f>IF($B282="On campus",1,INDEX(ModelOutput!$E$16:$E$26,MATCH($B282,ModelOutput!$C$16:$C$26,0)))</f>
        <v>1.9459582144513401</v>
      </c>
      <c r="O282" s="39">
        <f>IF($B282="On campus",1,INDEX(ModelOutput!$F$16:$F$26,MATCH($B282,ModelOutput!$C$16:$C$26,0)))</f>
        <v>2.5135188217196598</v>
      </c>
      <c r="P282" s="39">
        <f>IF($B282="On campus",1,INDEX(ModelOutput!$G$16:$G$26,MATCH($B282,ModelOutput!$C$16:$C$26,0)))</f>
        <v>3.16845056067557</v>
      </c>
      <c r="Q282" s="73">
        <f>INDEX(ModelOutput!$D$9:$D$11,MATCH("Tier "&amp;$F282,ModelOutput!$B$9:$B$11,0))</f>
        <v>42.8051506068728</v>
      </c>
      <c r="R282" s="73">
        <f>INDEX(ModelOutput!$E$9:$E$11,MATCH("Tier "&amp;$F282,ModelOutput!$B$9:$B$11,0))</f>
        <v>126.191618818284</v>
      </c>
      <c r="S282" s="73">
        <f>INDEX(ModelOutput!$F$9:$F$11,MATCH("Tier "&amp;$F282,ModelOutput!$B$9:$B$11,0))</f>
        <v>146.401050261042</v>
      </c>
      <c r="T282" s="73">
        <f>INDEX(ModelOutput!$G$9:$G$11,MATCH("Tier "&amp;$F282,ModelOutput!$B$9:$B$11,0))</f>
        <v>24.317895180076398</v>
      </c>
      <c r="U282" s="77">
        <f t="shared" si="44"/>
        <v>497.69328737924354</v>
      </c>
      <c r="V282" s="77">
        <f t="shared" si="45"/>
        <v>1444.0833513418554</v>
      </c>
      <c r="W282" s="77">
        <f t="shared" si="46"/>
        <v>2163.9866289949291</v>
      </c>
      <c r="X282" s="77">
        <f t="shared" si="47"/>
        <v>453.1074011782664</v>
      </c>
      <c r="Y282" s="30">
        <f t="shared" si="48"/>
        <v>4558.8706688942948</v>
      </c>
      <c r="Z282" s="30">
        <f t="shared" si="49"/>
        <v>7454.7457822571087</v>
      </c>
      <c r="AA282" s="41">
        <f t="shared" si="50"/>
        <v>4.2268897414730633</v>
      </c>
      <c r="AB282" s="40">
        <f t="shared" si="51"/>
        <v>1782.7872193062994</v>
      </c>
      <c r="AC282" s="42">
        <f t="shared" si="52"/>
        <v>8</v>
      </c>
      <c r="AD282" s="43">
        <v>4558.8706688942802</v>
      </c>
      <c r="AE282" s="79">
        <f t="shared" si="53"/>
        <v>1.4551915228366852E-11</v>
      </c>
      <c r="AF282" s="29">
        <f t="shared" si="54"/>
        <v>2</v>
      </c>
    </row>
    <row r="283" spans="1:32" ht="15" customHeight="1" x14ac:dyDescent="0.35">
      <c r="A283" s="37" t="s">
        <v>109</v>
      </c>
      <c r="B283" s="37" t="s">
        <v>112</v>
      </c>
      <c r="C283" s="37" t="s">
        <v>118</v>
      </c>
      <c r="D283" s="37" t="s">
        <v>124</v>
      </c>
      <c r="E283" s="37" t="s">
        <v>99</v>
      </c>
      <c r="F283" s="37">
        <v>3</v>
      </c>
      <c r="G283" s="37" t="s">
        <v>211</v>
      </c>
      <c r="H283" s="38">
        <v>0</v>
      </c>
      <c r="I283" s="39">
        <f>IF($G283="Base",1,INDEX(ModelOutput!$D$16:$D$26,MATCH($G283,ModelOutput!$C$16:$C$26,0)))</f>
        <v>1</v>
      </c>
      <c r="J283" s="39">
        <f>IF($A283="Non-greek",1,INDEX(ModelOutput!$D$16:$D$26,MATCH($A283,ModelOutput!$C$16:$C$26,0)))</f>
        <v>4.3562312213391099</v>
      </c>
      <c r="K283" s="39">
        <f>IF($C283="Yes",1,INDEX(ModelOutput!$D$16:$D$26,MATCH($C283,ModelOutput!$C$16:$C$26,0)))</f>
        <v>1.5400747552012299</v>
      </c>
      <c r="L283" s="39">
        <f>IF($D283="2.0-3.0",1,INDEX(ModelOutput!$D$16:$D$26,MATCH($D283,ModelOutput!$C$16:$C$26,0)))</f>
        <v>0.87654761766211098</v>
      </c>
      <c r="M283" s="39">
        <f>IF($B283="On campus",1,INDEX(ModelOutput!$D$16:$D$26,MATCH($B283,ModelOutput!$C$16:$C$26,0)))</f>
        <v>1.9771404201318099</v>
      </c>
      <c r="N283" s="39">
        <f>IF($B283="On campus",1,INDEX(ModelOutput!$E$16:$E$26,MATCH($B283,ModelOutput!$C$16:$C$26,0)))</f>
        <v>1.9459582144513401</v>
      </c>
      <c r="O283" s="39">
        <f>IF($B283="On campus",1,INDEX(ModelOutput!$F$16:$F$26,MATCH($B283,ModelOutput!$C$16:$C$26,0)))</f>
        <v>2.5135188217196598</v>
      </c>
      <c r="P283" s="39">
        <f>IF($B283="On campus",1,INDEX(ModelOutput!$G$16:$G$26,MATCH($B283,ModelOutput!$C$16:$C$26,0)))</f>
        <v>3.16845056067557</v>
      </c>
      <c r="Q283" s="73">
        <f>INDEX(ModelOutput!$D$9:$D$11,MATCH("Tier "&amp;$F283,ModelOutput!$B$9:$B$11,0))</f>
        <v>40.009437343712797</v>
      </c>
      <c r="R283" s="73">
        <f>INDEX(ModelOutput!$E$9:$E$11,MATCH("Tier "&amp;$F283,ModelOutput!$B$9:$B$11,0))</f>
        <v>117.949723218616</v>
      </c>
      <c r="S283" s="73">
        <f>INDEX(ModelOutput!$F$9:$F$11,MATCH("Tier "&amp;$F283,ModelOutput!$B$9:$B$11,0))</f>
        <v>136.83922529015501</v>
      </c>
      <c r="T283" s="73">
        <f>INDEX(ModelOutput!$G$9:$G$11,MATCH("Tier "&amp;$F283,ModelOutput!$B$9:$B$11,0))</f>
        <v>22.729631592092201</v>
      </c>
      <c r="U283" s="77">
        <f t="shared" si="44"/>
        <v>465.18767287292638</v>
      </c>
      <c r="V283" s="77">
        <f t="shared" si="45"/>
        <v>1349.766594568039</v>
      </c>
      <c r="W283" s="77">
        <f t="shared" si="46"/>
        <v>2022.6511580478646</v>
      </c>
      <c r="X283" s="77">
        <f t="shared" si="47"/>
        <v>423.51380430614893</v>
      </c>
      <c r="Y283" s="30">
        <f t="shared" si="48"/>
        <v>4261.1192297949792</v>
      </c>
      <c r="Z283" s="30">
        <f t="shared" si="49"/>
        <v>6970.5787296832132</v>
      </c>
      <c r="AA283" s="41">
        <f t="shared" si="50"/>
        <v>3.8874163544286677</v>
      </c>
      <c r="AB283" s="40">
        <f t="shared" si="51"/>
        <v>1782.7872193062994</v>
      </c>
      <c r="AC283" s="42">
        <f t="shared" si="52"/>
        <v>8</v>
      </c>
      <c r="AD283" s="43">
        <v>4261.1192297949701</v>
      </c>
      <c r="AE283" s="79">
        <f t="shared" si="53"/>
        <v>9.0949470177292824E-12</v>
      </c>
      <c r="AF283" s="29">
        <f t="shared" si="54"/>
        <v>1</v>
      </c>
    </row>
    <row r="284" spans="1:32" ht="15" customHeight="1" x14ac:dyDescent="0.35">
      <c r="A284" s="37" t="s">
        <v>109</v>
      </c>
      <c r="B284" s="37" t="s">
        <v>112</v>
      </c>
      <c r="C284" s="37" t="s">
        <v>118</v>
      </c>
      <c r="D284" s="37" t="s">
        <v>124</v>
      </c>
      <c r="E284" s="37" t="s">
        <v>213</v>
      </c>
      <c r="F284" s="37">
        <v>3</v>
      </c>
      <c r="G284" s="37" t="s">
        <v>107</v>
      </c>
      <c r="H284" s="38">
        <v>1</v>
      </c>
      <c r="I284" s="39">
        <f>IF($G284="Base",1,INDEX(ModelOutput!$D$16:$D$26,MATCH($G284,ModelOutput!$C$16:$C$26,0)))</f>
        <v>1.1906804269762199</v>
      </c>
      <c r="J284" s="39">
        <f>IF($A284="Non-greek",1,INDEX(ModelOutput!$D$16:$D$26,MATCH($A284,ModelOutput!$C$16:$C$26,0)))</f>
        <v>4.3562312213391099</v>
      </c>
      <c r="K284" s="39">
        <f>IF($C284="Yes",1,INDEX(ModelOutput!$D$16:$D$26,MATCH($C284,ModelOutput!$C$16:$C$26,0)))</f>
        <v>1.5400747552012299</v>
      </c>
      <c r="L284" s="39">
        <f>IF($D284="2.0-3.0",1,INDEX(ModelOutput!$D$16:$D$26,MATCH($D284,ModelOutput!$C$16:$C$26,0)))</f>
        <v>0.87654761766211098</v>
      </c>
      <c r="M284" s="39">
        <f>IF($B284="On campus",1,INDEX(ModelOutput!$D$16:$D$26,MATCH($B284,ModelOutput!$C$16:$C$26,0)))</f>
        <v>1.9771404201318099</v>
      </c>
      <c r="N284" s="39">
        <f>IF($B284="On campus",1,INDEX(ModelOutput!$E$16:$E$26,MATCH($B284,ModelOutput!$C$16:$C$26,0)))</f>
        <v>1.9459582144513401</v>
      </c>
      <c r="O284" s="39">
        <f>IF($B284="On campus",1,INDEX(ModelOutput!$F$16:$F$26,MATCH($B284,ModelOutput!$C$16:$C$26,0)))</f>
        <v>2.5135188217196598</v>
      </c>
      <c r="P284" s="39">
        <f>IF($B284="On campus",1,INDEX(ModelOutput!$G$16:$G$26,MATCH($B284,ModelOutput!$C$16:$C$26,0)))</f>
        <v>3.16845056067557</v>
      </c>
      <c r="Q284" s="73">
        <f>INDEX(ModelOutput!$D$9:$D$11,MATCH("Tier "&amp;$F284,ModelOutput!$B$9:$B$11,0))</f>
        <v>40.009437343712797</v>
      </c>
      <c r="R284" s="73">
        <f>INDEX(ModelOutput!$E$9:$E$11,MATCH("Tier "&amp;$F284,ModelOutput!$B$9:$B$11,0))</f>
        <v>117.949723218616</v>
      </c>
      <c r="S284" s="73">
        <f>INDEX(ModelOutput!$F$9:$F$11,MATCH("Tier "&amp;$F284,ModelOutput!$B$9:$B$11,0))</f>
        <v>136.83922529015501</v>
      </c>
      <c r="T284" s="73">
        <f>INDEX(ModelOutput!$G$9:$G$11,MATCH("Tier "&amp;$F284,ModelOutput!$B$9:$B$11,0))</f>
        <v>22.729631592092201</v>
      </c>
      <c r="U284" s="77">
        <f t="shared" si="44"/>
        <v>553.88985696041016</v>
      </c>
      <c r="V284" s="77">
        <f t="shared" si="45"/>
        <v>1607.1406651385109</v>
      </c>
      <c r="W284" s="77">
        <f t="shared" si="46"/>
        <v>2408.331144488377</v>
      </c>
      <c r="X284" s="77">
        <f t="shared" si="47"/>
        <v>504.26959734156867</v>
      </c>
      <c r="Y284" s="30">
        <f t="shared" si="48"/>
        <v>5073.6312639288662</v>
      </c>
      <c r="Z284" s="30">
        <f t="shared" si="49"/>
        <v>8291.7866403398857</v>
      </c>
      <c r="AA284" s="41">
        <f t="shared" si="50"/>
        <v>4.8137803480876862</v>
      </c>
      <c r="AB284" s="40">
        <f t="shared" si="51"/>
        <v>1782.7872193062994</v>
      </c>
      <c r="AC284" s="42">
        <f t="shared" si="52"/>
        <v>8</v>
      </c>
      <c r="AD284" s="43">
        <v>5073.6312639288599</v>
      </c>
      <c r="AE284" s="79">
        <f t="shared" si="53"/>
        <v>0</v>
      </c>
      <c r="AF284" s="29">
        <f t="shared" si="54"/>
        <v>2</v>
      </c>
    </row>
    <row r="285" spans="1:32" ht="15" customHeight="1" x14ac:dyDescent="0.35">
      <c r="A285" s="19" t="s">
        <v>109</v>
      </c>
      <c r="B285" s="19" t="s">
        <v>114</v>
      </c>
      <c r="C285" s="19" t="s">
        <v>210</v>
      </c>
      <c r="D285" s="19" t="s">
        <v>121</v>
      </c>
      <c r="E285" s="19" t="s">
        <v>95</v>
      </c>
      <c r="F285" s="19">
        <v>1</v>
      </c>
      <c r="G285" s="19" t="s">
        <v>211</v>
      </c>
      <c r="H285" s="16">
        <v>3</v>
      </c>
      <c r="I285" s="13">
        <f>IF($G285="Base",1,INDEX(ModelOutput!$D$16:$D$26,MATCH($G285,ModelOutput!$C$16:$C$26,0)))</f>
        <v>1</v>
      </c>
      <c r="J285" s="13">
        <f>IF($A285="Non-greek",1,INDEX(ModelOutput!$D$16:$D$26,MATCH($A285,ModelOutput!$C$16:$C$26,0)))</f>
        <v>4.3562312213391099</v>
      </c>
      <c r="K285" s="13">
        <f>IF($C285="Yes",1,INDEX(ModelOutput!$D$16:$D$26,MATCH($C285,ModelOutput!$C$16:$C$26,0)))</f>
        <v>1</v>
      </c>
      <c r="L285" s="13">
        <f>IF($D285="2.0-3.0",1,INDEX(ModelOutput!$D$16:$D$26,MATCH($D285,ModelOutput!$C$16:$C$26,0)))</f>
        <v>1.12144800201769</v>
      </c>
      <c r="M285" s="13">
        <f>IF($B285="On campus",1,INDEX(ModelOutput!$D$16:$D$26,MATCH($B285,ModelOutput!$C$16:$C$26,0)))</f>
        <v>1.7006219753182299</v>
      </c>
      <c r="N285" s="13">
        <f>IF($B285="On campus",1,INDEX(ModelOutput!$E$16:$E$26,MATCH($B285,ModelOutput!$C$16:$C$26,0)))</f>
        <v>1.6738008433039699</v>
      </c>
      <c r="O285" s="13">
        <f>IF($B285="On campus",1,INDEX(ModelOutput!$F$16:$F$26,MATCH($B285,ModelOutput!$C$16:$C$26,0)))</f>
        <v>2.1619836912278898</v>
      </c>
      <c r="P285" s="13">
        <f>IF($B285="On campus",1,INDEX(ModelOutput!$G$16:$G$26,MATCH($B285,ModelOutput!$C$16:$C$26,0)))</f>
        <v>2.7253181394344401</v>
      </c>
      <c r="Q285" s="72">
        <f>INDEX(ModelOutput!$D$9:$D$11,MATCH("Tier "&amp;$F285,ModelOutput!$B$9:$B$11,0))</f>
        <v>36.175496869914397</v>
      </c>
      <c r="R285" s="72">
        <f>INDEX(ModelOutput!$E$9:$E$11,MATCH("Tier "&amp;$F285,ModelOutput!$B$9:$B$11,0))</f>
        <v>106.647084447761</v>
      </c>
      <c r="S285" s="72">
        <f>INDEX(ModelOutput!$F$9:$F$11,MATCH("Tier "&amp;$F285,ModelOutput!$B$9:$B$11,0))</f>
        <v>123.726482920496</v>
      </c>
      <c r="T285" s="72">
        <f>INDEX(ModelOutput!$G$9:$G$11,MATCH("Tier "&amp;$F285,ModelOutput!$B$9:$B$11,0))</f>
        <v>20.551544113210401</v>
      </c>
      <c r="U285" s="76">
        <f t="shared" si="44"/>
        <v>300.54697170391876</v>
      </c>
      <c r="V285" s="76">
        <f t="shared" si="45"/>
        <v>872.05290716152433</v>
      </c>
      <c r="W285" s="76">
        <f t="shared" si="46"/>
        <v>1306.7880251649963</v>
      </c>
      <c r="X285" s="76">
        <f t="shared" si="47"/>
        <v>273.62245128492452</v>
      </c>
      <c r="Y285" s="27">
        <f t="shared" si="48"/>
        <v>2753.0103553153635</v>
      </c>
      <c r="Z285" s="27">
        <f t="shared" si="49"/>
        <v>4518.2761281371659</v>
      </c>
      <c r="AA285" s="33">
        <f t="shared" si="50"/>
        <v>2.1679861169125334</v>
      </c>
      <c r="AB285" s="14">
        <f t="shared" si="51"/>
        <v>1782.7872193062994</v>
      </c>
      <c r="AC285" s="29">
        <f t="shared" si="52"/>
        <v>6</v>
      </c>
      <c r="AD285" s="20">
        <v>2753.0103553153699</v>
      </c>
      <c r="AE285" s="78">
        <f t="shared" si="53"/>
        <v>-6.3664629124104977E-12</v>
      </c>
      <c r="AF285" s="29">
        <f t="shared" si="54"/>
        <v>4</v>
      </c>
    </row>
    <row r="286" spans="1:32" ht="15" customHeight="1" x14ac:dyDescent="0.35">
      <c r="A286" s="19" t="s">
        <v>109</v>
      </c>
      <c r="B286" s="19" t="s">
        <v>114</v>
      </c>
      <c r="C286" s="19" t="s">
        <v>210</v>
      </c>
      <c r="D286" s="19" t="s">
        <v>121</v>
      </c>
      <c r="E286" s="19" t="s">
        <v>105</v>
      </c>
      <c r="F286" s="19">
        <v>1</v>
      </c>
      <c r="G286" s="19" t="s">
        <v>105</v>
      </c>
      <c r="H286" s="16">
        <v>6</v>
      </c>
      <c r="I286" s="13">
        <f>IF($G286="Base",1,INDEX(ModelOutput!$D$16:$D$26,MATCH($G286,ModelOutput!$C$16:$C$26,0)))</f>
        <v>0.98982624281990295</v>
      </c>
      <c r="J286" s="13">
        <f>IF($A286="Non-greek",1,INDEX(ModelOutput!$D$16:$D$26,MATCH($A286,ModelOutput!$C$16:$C$26,0)))</f>
        <v>4.3562312213391099</v>
      </c>
      <c r="K286" s="13">
        <f>IF($C286="Yes",1,INDEX(ModelOutput!$D$16:$D$26,MATCH($C286,ModelOutput!$C$16:$C$26,0)))</f>
        <v>1</v>
      </c>
      <c r="L286" s="13">
        <f>IF($D286="2.0-3.0",1,INDEX(ModelOutput!$D$16:$D$26,MATCH($D286,ModelOutput!$C$16:$C$26,0)))</f>
        <v>1.12144800201769</v>
      </c>
      <c r="M286" s="13">
        <f>IF($B286="On campus",1,INDEX(ModelOutput!$D$16:$D$26,MATCH($B286,ModelOutput!$C$16:$C$26,0)))</f>
        <v>1.7006219753182299</v>
      </c>
      <c r="N286" s="13">
        <f>IF($B286="On campus",1,INDEX(ModelOutput!$E$16:$E$26,MATCH($B286,ModelOutput!$C$16:$C$26,0)))</f>
        <v>1.6738008433039699</v>
      </c>
      <c r="O286" s="13">
        <f>IF($B286="On campus",1,INDEX(ModelOutput!$F$16:$F$26,MATCH($B286,ModelOutput!$C$16:$C$26,0)))</f>
        <v>2.1619836912278898</v>
      </c>
      <c r="P286" s="13">
        <f>IF($B286="On campus",1,INDEX(ModelOutput!$G$16:$G$26,MATCH($B286,ModelOutput!$C$16:$C$26,0)))</f>
        <v>2.7253181394344401</v>
      </c>
      <c r="Q286" s="72">
        <f>INDEX(ModelOutput!$D$9:$D$11,MATCH("Tier "&amp;$F286,ModelOutput!$B$9:$B$11,0))</f>
        <v>36.175496869914397</v>
      </c>
      <c r="R286" s="72">
        <f>INDEX(ModelOutput!$E$9:$E$11,MATCH("Tier "&amp;$F286,ModelOutput!$B$9:$B$11,0))</f>
        <v>106.647084447761</v>
      </c>
      <c r="S286" s="72">
        <f>INDEX(ModelOutput!$F$9:$F$11,MATCH("Tier "&amp;$F286,ModelOutput!$B$9:$B$11,0))</f>
        <v>123.726482920496</v>
      </c>
      <c r="T286" s="72">
        <f>INDEX(ModelOutput!$G$9:$G$11,MATCH("Tier "&amp;$F286,ModelOutput!$B$9:$B$11,0))</f>
        <v>20.551544113210401</v>
      </c>
      <c r="U286" s="76">
        <f t="shared" si="44"/>
        <v>297.48927979258957</v>
      </c>
      <c r="V286" s="76">
        <f t="shared" si="45"/>
        <v>863.18085263586534</v>
      </c>
      <c r="W286" s="76">
        <f t="shared" si="46"/>
        <v>1293.4930811111089</v>
      </c>
      <c r="X286" s="76">
        <f t="shared" si="47"/>
        <v>270.83868290652879</v>
      </c>
      <c r="Y286" s="27">
        <f t="shared" si="48"/>
        <v>2725.0018964460928</v>
      </c>
      <c r="Z286" s="27">
        <f t="shared" si="49"/>
        <v>4472.732190486041</v>
      </c>
      <c r="AA286" s="33">
        <f t="shared" si="50"/>
        <v>2.1360530171867804</v>
      </c>
      <c r="AB286" s="14">
        <f t="shared" si="51"/>
        <v>1782.7872193062994</v>
      </c>
      <c r="AC286" s="29">
        <f t="shared" si="52"/>
        <v>6</v>
      </c>
      <c r="AD286" s="20">
        <v>2725.0018964461001</v>
      </c>
      <c r="AE286" s="78">
        <f t="shared" si="53"/>
        <v>-7.2759576141834259E-12</v>
      </c>
      <c r="AF286" s="29">
        <f t="shared" si="54"/>
        <v>3</v>
      </c>
    </row>
    <row r="287" spans="1:32" ht="15" customHeight="1" x14ac:dyDescent="0.35">
      <c r="A287" s="19" t="s">
        <v>109</v>
      </c>
      <c r="B287" s="19" t="s">
        <v>114</v>
      </c>
      <c r="C287" s="19" t="s">
        <v>210</v>
      </c>
      <c r="D287" s="19" t="s">
        <v>121</v>
      </c>
      <c r="E287" s="19" t="s">
        <v>97</v>
      </c>
      <c r="F287" s="19">
        <v>2</v>
      </c>
      <c r="G287" s="19" t="s">
        <v>211</v>
      </c>
      <c r="H287" s="16">
        <v>3</v>
      </c>
      <c r="I287" s="13">
        <f>IF($G287="Base",1,INDEX(ModelOutput!$D$16:$D$26,MATCH($G287,ModelOutput!$C$16:$C$26,0)))</f>
        <v>1</v>
      </c>
      <c r="J287" s="13">
        <f>IF($A287="Non-greek",1,INDEX(ModelOutput!$D$16:$D$26,MATCH($A287,ModelOutput!$C$16:$C$26,0)))</f>
        <v>4.3562312213391099</v>
      </c>
      <c r="K287" s="13">
        <f>IF($C287="Yes",1,INDEX(ModelOutput!$D$16:$D$26,MATCH($C287,ModelOutput!$C$16:$C$26,0)))</f>
        <v>1</v>
      </c>
      <c r="L287" s="13">
        <f>IF($D287="2.0-3.0",1,INDEX(ModelOutput!$D$16:$D$26,MATCH($D287,ModelOutput!$C$16:$C$26,0)))</f>
        <v>1.12144800201769</v>
      </c>
      <c r="M287" s="13">
        <f>IF($B287="On campus",1,INDEX(ModelOutput!$D$16:$D$26,MATCH($B287,ModelOutput!$C$16:$C$26,0)))</f>
        <v>1.7006219753182299</v>
      </c>
      <c r="N287" s="13">
        <f>IF($B287="On campus",1,INDEX(ModelOutput!$E$16:$E$26,MATCH($B287,ModelOutput!$C$16:$C$26,0)))</f>
        <v>1.6738008433039699</v>
      </c>
      <c r="O287" s="13">
        <f>IF($B287="On campus",1,INDEX(ModelOutput!$F$16:$F$26,MATCH($B287,ModelOutput!$C$16:$C$26,0)))</f>
        <v>2.1619836912278898</v>
      </c>
      <c r="P287" s="13">
        <f>IF($B287="On campus",1,INDEX(ModelOutput!$G$16:$G$26,MATCH($B287,ModelOutput!$C$16:$C$26,0)))</f>
        <v>2.7253181394344401</v>
      </c>
      <c r="Q287" s="72">
        <f>INDEX(ModelOutput!$D$9:$D$11,MATCH("Tier "&amp;$F287,ModelOutput!$B$9:$B$11,0))</f>
        <v>42.8051506068728</v>
      </c>
      <c r="R287" s="72">
        <f>INDEX(ModelOutput!$E$9:$E$11,MATCH("Tier "&amp;$F287,ModelOutput!$B$9:$B$11,0))</f>
        <v>126.191618818284</v>
      </c>
      <c r="S287" s="72">
        <f>INDEX(ModelOutput!$F$9:$F$11,MATCH("Tier "&amp;$F287,ModelOutput!$B$9:$B$11,0))</f>
        <v>146.401050261042</v>
      </c>
      <c r="T287" s="72">
        <f>INDEX(ModelOutput!$G$9:$G$11,MATCH("Tier "&amp;$F287,ModelOutput!$B$9:$B$11,0))</f>
        <v>24.317895180076398</v>
      </c>
      <c r="U287" s="76">
        <f t="shared" si="44"/>
        <v>355.62630789806815</v>
      </c>
      <c r="V287" s="76">
        <f t="shared" si="45"/>
        <v>1031.8685092962601</v>
      </c>
      <c r="W287" s="76">
        <f t="shared" si="46"/>
        <v>1546.2747734908414</v>
      </c>
      <c r="X287" s="76">
        <f t="shared" si="47"/>
        <v>323.76750148837993</v>
      </c>
      <c r="Y287" s="27">
        <f t="shared" si="48"/>
        <v>3257.5370921735494</v>
      </c>
      <c r="Z287" s="27">
        <f t="shared" si="49"/>
        <v>5338.6759349971253</v>
      </c>
      <c r="AA287" s="33">
        <f t="shared" si="50"/>
        <v>2.7432088622124362</v>
      </c>
      <c r="AB287" s="14">
        <f t="shared" si="51"/>
        <v>1782.7872193062994</v>
      </c>
      <c r="AC287" s="29">
        <f t="shared" si="52"/>
        <v>6</v>
      </c>
      <c r="AD287" s="20">
        <v>3257.5370921735598</v>
      </c>
      <c r="AE287" s="78">
        <f t="shared" si="53"/>
        <v>-1.0459189070388675E-11</v>
      </c>
      <c r="AF287" s="29">
        <f t="shared" si="54"/>
        <v>2</v>
      </c>
    </row>
    <row r="288" spans="1:32" ht="15" customHeight="1" x14ac:dyDescent="0.35">
      <c r="A288" s="19" t="s">
        <v>109</v>
      </c>
      <c r="B288" s="19" t="s">
        <v>114</v>
      </c>
      <c r="C288" s="19" t="s">
        <v>210</v>
      </c>
      <c r="D288" s="19" t="s">
        <v>121</v>
      </c>
      <c r="E288" s="19" t="s">
        <v>99</v>
      </c>
      <c r="F288" s="19">
        <v>3</v>
      </c>
      <c r="G288" s="19" t="s">
        <v>211</v>
      </c>
      <c r="H288" s="16">
        <v>1</v>
      </c>
      <c r="I288" s="13">
        <f>IF($G288="Base",1,INDEX(ModelOutput!$D$16:$D$26,MATCH($G288,ModelOutput!$C$16:$C$26,0)))</f>
        <v>1</v>
      </c>
      <c r="J288" s="13">
        <f>IF($A288="Non-greek",1,INDEX(ModelOutput!$D$16:$D$26,MATCH($A288,ModelOutput!$C$16:$C$26,0)))</f>
        <v>4.3562312213391099</v>
      </c>
      <c r="K288" s="13">
        <f>IF($C288="Yes",1,INDEX(ModelOutput!$D$16:$D$26,MATCH($C288,ModelOutput!$C$16:$C$26,0)))</f>
        <v>1</v>
      </c>
      <c r="L288" s="13">
        <f>IF($D288="2.0-3.0",1,INDEX(ModelOutput!$D$16:$D$26,MATCH($D288,ModelOutput!$C$16:$C$26,0)))</f>
        <v>1.12144800201769</v>
      </c>
      <c r="M288" s="13">
        <f>IF($B288="On campus",1,INDEX(ModelOutput!$D$16:$D$26,MATCH($B288,ModelOutput!$C$16:$C$26,0)))</f>
        <v>1.7006219753182299</v>
      </c>
      <c r="N288" s="13">
        <f>IF($B288="On campus",1,INDEX(ModelOutput!$E$16:$E$26,MATCH($B288,ModelOutput!$C$16:$C$26,0)))</f>
        <v>1.6738008433039699</v>
      </c>
      <c r="O288" s="13">
        <f>IF($B288="On campus",1,INDEX(ModelOutput!$F$16:$F$26,MATCH($B288,ModelOutput!$C$16:$C$26,0)))</f>
        <v>2.1619836912278898</v>
      </c>
      <c r="P288" s="13">
        <f>IF($B288="On campus",1,INDEX(ModelOutput!$G$16:$G$26,MATCH($B288,ModelOutput!$C$16:$C$26,0)))</f>
        <v>2.7253181394344401</v>
      </c>
      <c r="Q288" s="72">
        <f>INDEX(ModelOutput!$D$9:$D$11,MATCH("Tier "&amp;$F288,ModelOutput!$B$9:$B$11,0))</f>
        <v>40.009437343712797</v>
      </c>
      <c r="R288" s="72">
        <f>INDEX(ModelOutput!$E$9:$E$11,MATCH("Tier "&amp;$F288,ModelOutput!$B$9:$B$11,0))</f>
        <v>117.949723218616</v>
      </c>
      <c r="S288" s="72">
        <f>INDEX(ModelOutput!$F$9:$F$11,MATCH("Tier "&amp;$F288,ModelOutput!$B$9:$B$11,0))</f>
        <v>136.83922529015501</v>
      </c>
      <c r="T288" s="72">
        <f>INDEX(ModelOutput!$G$9:$G$11,MATCH("Tier "&amp;$F288,ModelOutput!$B$9:$B$11,0))</f>
        <v>22.729631592092201</v>
      </c>
      <c r="U288" s="76">
        <f t="shared" si="44"/>
        <v>332.39944917608017</v>
      </c>
      <c r="V288" s="76">
        <f t="shared" si="45"/>
        <v>964.47455234535209</v>
      </c>
      <c r="W288" s="76">
        <f t="shared" si="46"/>
        <v>1445.2836350075149</v>
      </c>
      <c r="X288" s="76">
        <f t="shared" si="47"/>
        <v>302.62142244746366</v>
      </c>
      <c r="Y288" s="27">
        <f t="shared" si="48"/>
        <v>3044.7790589764113</v>
      </c>
      <c r="Z288" s="27">
        <f t="shared" si="49"/>
        <v>4992.7147864764693</v>
      </c>
      <c r="AA288" s="33">
        <f t="shared" si="50"/>
        <v>2.5006384472085128</v>
      </c>
      <c r="AB288" s="14">
        <f t="shared" si="51"/>
        <v>1782.7872193062994</v>
      </c>
      <c r="AC288" s="29">
        <f t="shared" si="52"/>
        <v>6</v>
      </c>
      <c r="AD288" s="20">
        <v>3044.7790589764199</v>
      </c>
      <c r="AE288" s="78">
        <f t="shared" si="53"/>
        <v>-8.6401996668428183E-12</v>
      </c>
      <c r="AF288" s="29">
        <f t="shared" si="54"/>
        <v>1</v>
      </c>
    </row>
    <row r="289" spans="1:32" ht="15" customHeight="1" x14ac:dyDescent="0.35">
      <c r="A289" s="19" t="s">
        <v>109</v>
      </c>
      <c r="B289" s="19" t="s">
        <v>114</v>
      </c>
      <c r="C289" s="19" t="s">
        <v>210</v>
      </c>
      <c r="D289" s="19" t="s">
        <v>121</v>
      </c>
      <c r="E289" s="19" t="s">
        <v>213</v>
      </c>
      <c r="F289" s="19">
        <v>3</v>
      </c>
      <c r="G289" s="19" t="s">
        <v>107</v>
      </c>
      <c r="H289" s="16">
        <v>0</v>
      </c>
      <c r="I289" s="13">
        <f>IF($G289="Base",1,INDEX(ModelOutput!$D$16:$D$26,MATCH($G289,ModelOutput!$C$16:$C$26,0)))</f>
        <v>1.1906804269762199</v>
      </c>
      <c r="J289" s="13">
        <f>IF($A289="Non-greek",1,INDEX(ModelOutput!$D$16:$D$26,MATCH($A289,ModelOutput!$C$16:$C$26,0)))</f>
        <v>4.3562312213391099</v>
      </c>
      <c r="K289" s="13">
        <f>IF($C289="Yes",1,INDEX(ModelOutput!$D$16:$D$26,MATCH($C289,ModelOutput!$C$16:$C$26,0)))</f>
        <v>1</v>
      </c>
      <c r="L289" s="13">
        <f>IF($D289="2.0-3.0",1,INDEX(ModelOutput!$D$16:$D$26,MATCH($D289,ModelOutput!$C$16:$C$26,0)))</f>
        <v>1.12144800201769</v>
      </c>
      <c r="M289" s="13">
        <f>IF($B289="On campus",1,INDEX(ModelOutput!$D$16:$D$26,MATCH($B289,ModelOutput!$C$16:$C$26,0)))</f>
        <v>1.7006219753182299</v>
      </c>
      <c r="N289" s="13">
        <f>IF($B289="On campus",1,INDEX(ModelOutput!$E$16:$E$26,MATCH($B289,ModelOutput!$C$16:$C$26,0)))</f>
        <v>1.6738008433039699</v>
      </c>
      <c r="O289" s="13">
        <f>IF($B289="On campus",1,INDEX(ModelOutput!$F$16:$F$26,MATCH($B289,ModelOutput!$C$16:$C$26,0)))</f>
        <v>2.1619836912278898</v>
      </c>
      <c r="P289" s="13">
        <f>IF($B289="On campus",1,INDEX(ModelOutput!$G$16:$G$26,MATCH($B289,ModelOutput!$C$16:$C$26,0)))</f>
        <v>2.7253181394344401</v>
      </c>
      <c r="Q289" s="72">
        <f>INDEX(ModelOutput!$D$9:$D$11,MATCH("Tier "&amp;$F289,ModelOutput!$B$9:$B$11,0))</f>
        <v>40.009437343712797</v>
      </c>
      <c r="R289" s="72">
        <f>INDEX(ModelOutput!$E$9:$E$11,MATCH("Tier "&amp;$F289,ModelOutput!$B$9:$B$11,0))</f>
        <v>117.949723218616</v>
      </c>
      <c r="S289" s="72">
        <f>INDEX(ModelOutput!$F$9:$F$11,MATCH("Tier "&amp;$F289,ModelOutput!$B$9:$B$11,0))</f>
        <v>136.83922529015501</v>
      </c>
      <c r="T289" s="72">
        <f>INDEX(ModelOutput!$G$9:$G$11,MATCH("Tier "&amp;$F289,ModelOutput!$B$9:$B$11,0))</f>
        <v>22.729631592092201</v>
      </c>
      <c r="U289" s="76">
        <f t="shared" si="44"/>
        <v>395.78151807163545</v>
      </c>
      <c r="V289" s="76">
        <f t="shared" si="45"/>
        <v>1148.3809717942622</v>
      </c>
      <c r="W289" s="76">
        <f t="shared" si="46"/>
        <v>1720.8709356324914</v>
      </c>
      <c r="X289" s="76">
        <f t="shared" si="47"/>
        <v>360.32540449189702</v>
      </c>
      <c r="Y289" s="27">
        <f t="shared" si="48"/>
        <v>3625.3588299902863</v>
      </c>
      <c r="Z289" s="27">
        <f t="shared" si="49"/>
        <v>5936.7827559416128</v>
      </c>
      <c r="AA289" s="33">
        <f t="shared" si="50"/>
        <v>3.1625710373976057</v>
      </c>
      <c r="AB289" s="14">
        <f t="shared" si="51"/>
        <v>1782.7872193062994</v>
      </c>
      <c r="AC289" s="29">
        <f t="shared" si="52"/>
        <v>7</v>
      </c>
      <c r="AD289" s="20">
        <v>3625.3588299902999</v>
      </c>
      <c r="AE289" s="78">
        <f t="shared" si="53"/>
        <v>-1.3642420526593924E-11</v>
      </c>
      <c r="AF289" s="29">
        <f t="shared" si="54"/>
        <v>2</v>
      </c>
    </row>
    <row r="290" spans="1:32" ht="15" customHeight="1" x14ac:dyDescent="0.35">
      <c r="A290" s="37" t="s">
        <v>109</v>
      </c>
      <c r="B290" s="37" t="s">
        <v>114</v>
      </c>
      <c r="C290" s="37" t="s">
        <v>210</v>
      </c>
      <c r="D290" s="37" t="s">
        <v>123</v>
      </c>
      <c r="E290" s="37" t="s">
        <v>95</v>
      </c>
      <c r="F290" s="37">
        <v>1</v>
      </c>
      <c r="G290" s="37" t="s">
        <v>211</v>
      </c>
      <c r="H290" s="38">
        <v>7</v>
      </c>
      <c r="I290" s="39">
        <f>IF($G290="Base",1,INDEX(ModelOutput!$D$16:$D$26,MATCH($G290,ModelOutput!$C$16:$C$26,0)))</f>
        <v>1</v>
      </c>
      <c r="J290" s="39">
        <f>IF($A290="Non-greek",1,INDEX(ModelOutput!$D$16:$D$26,MATCH($A290,ModelOutput!$C$16:$C$26,0)))</f>
        <v>4.3562312213391099</v>
      </c>
      <c r="K290" s="39">
        <f>IF($C290="Yes",1,INDEX(ModelOutput!$D$16:$D$26,MATCH($C290,ModelOutput!$C$16:$C$26,0)))</f>
        <v>1</v>
      </c>
      <c r="L290" s="39">
        <f>IF($D290="2.0-3.0",1,INDEX(ModelOutput!$D$16:$D$26,MATCH($D290,ModelOutput!$C$16:$C$26,0)))</f>
        <v>1.01762556011242</v>
      </c>
      <c r="M290" s="39">
        <f>IF($B290="On campus",1,INDEX(ModelOutput!$D$16:$D$26,MATCH($B290,ModelOutput!$C$16:$C$26,0)))</f>
        <v>1.7006219753182299</v>
      </c>
      <c r="N290" s="39">
        <f>IF($B290="On campus",1,INDEX(ModelOutput!$E$16:$E$26,MATCH($B290,ModelOutput!$C$16:$C$26,0)))</f>
        <v>1.6738008433039699</v>
      </c>
      <c r="O290" s="39">
        <f>IF($B290="On campus",1,INDEX(ModelOutput!$F$16:$F$26,MATCH($B290,ModelOutput!$C$16:$C$26,0)))</f>
        <v>2.1619836912278898</v>
      </c>
      <c r="P290" s="39">
        <f>IF($B290="On campus",1,INDEX(ModelOutput!$G$16:$G$26,MATCH($B290,ModelOutput!$C$16:$C$26,0)))</f>
        <v>2.7253181394344401</v>
      </c>
      <c r="Q290" s="73">
        <f>INDEX(ModelOutput!$D$9:$D$11,MATCH("Tier "&amp;$F290,ModelOutput!$B$9:$B$11,0))</f>
        <v>36.175496869914397</v>
      </c>
      <c r="R290" s="73">
        <f>INDEX(ModelOutput!$E$9:$E$11,MATCH("Tier "&amp;$F290,ModelOutput!$B$9:$B$11,0))</f>
        <v>106.647084447761</v>
      </c>
      <c r="S290" s="73">
        <f>INDEX(ModelOutput!$F$9:$F$11,MATCH("Tier "&amp;$F290,ModelOutput!$B$9:$B$11,0))</f>
        <v>123.726482920496</v>
      </c>
      <c r="T290" s="73">
        <f>INDEX(ModelOutput!$G$9:$G$11,MATCH("Tier "&amp;$F290,ModelOutput!$B$9:$B$11,0))</f>
        <v>20.551544113210401</v>
      </c>
      <c r="U290" s="77">
        <f t="shared" si="44"/>
        <v>272.72265844695619</v>
      </c>
      <c r="V290" s="77">
        <f t="shared" si="45"/>
        <v>791.31919313358594</v>
      </c>
      <c r="W290" s="77">
        <f t="shared" si="46"/>
        <v>1185.8070045727857</v>
      </c>
      <c r="X290" s="77">
        <f t="shared" si="47"/>
        <v>248.29078097886023</v>
      </c>
      <c r="Y290" s="30">
        <f t="shared" si="48"/>
        <v>2498.139637132188</v>
      </c>
      <c r="Z290" s="30">
        <f t="shared" si="49"/>
        <v>4103.8364707389701</v>
      </c>
      <c r="AA290" s="41">
        <f t="shared" si="50"/>
        <v>1.8774020437614354</v>
      </c>
      <c r="AB290" s="40">
        <f t="shared" si="51"/>
        <v>1782.7872193062994</v>
      </c>
      <c r="AC290" s="42">
        <f t="shared" si="52"/>
        <v>5</v>
      </c>
      <c r="AD290" s="43">
        <v>2498.1396371321898</v>
      </c>
      <c r="AE290" s="79">
        <f t="shared" si="53"/>
        <v>0</v>
      </c>
      <c r="AF290" s="29">
        <f t="shared" si="54"/>
        <v>4</v>
      </c>
    </row>
    <row r="291" spans="1:32" ht="15" customHeight="1" x14ac:dyDescent="0.35">
      <c r="A291" s="37" t="s">
        <v>109</v>
      </c>
      <c r="B291" s="37" t="s">
        <v>114</v>
      </c>
      <c r="C291" s="37" t="s">
        <v>210</v>
      </c>
      <c r="D291" s="37" t="s">
        <v>123</v>
      </c>
      <c r="E291" s="37" t="s">
        <v>105</v>
      </c>
      <c r="F291" s="37">
        <v>1</v>
      </c>
      <c r="G291" s="37" t="s">
        <v>105</v>
      </c>
      <c r="H291" s="38">
        <v>10</v>
      </c>
      <c r="I291" s="39">
        <f>IF($G291="Base",1,INDEX(ModelOutput!$D$16:$D$26,MATCH($G291,ModelOutput!$C$16:$C$26,0)))</f>
        <v>0.98982624281990295</v>
      </c>
      <c r="J291" s="39">
        <f>IF($A291="Non-greek",1,INDEX(ModelOutput!$D$16:$D$26,MATCH($A291,ModelOutput!$C$16:$C$26,0)))</f>
        <v>4.3562312213391099</v>
      </c>
      <c r="K291" s="39">
        <f>IF($C291="Yes",1,INDEX(ModelOutput!$D$16:$D$26,MATCH($C291,ModelOutput!$C$16:$C$26,0)))</f>
        <v>1</v>
      </c>
      <c r="L291" s="39">
        <f>IF($D291="2.0-3.0",1,INDEX(ModelOutput!$D$16:$D$26,MATCH($D291,ModelOutput!$C$16:$C$26,0)))</f>
        <v>1.01762556011242</v>
      </c>
      <c r="M291" s="39">
        <f>IF($B291="On campus",1,INDEX(ModelOutput!$D$16:$D$26,MATCH($B291,ModelOutput!$C$16:$C$26,0)))</f>
        <v>1.7006219753182299</v>
      </c>
      <c r="N291" s="39">
        <f>IF($B291="On campus",1,INDEX(ModelOutput!$E$16:$E$26,MATCH($B291,ModelOutput!$C$16:$C$26,0)))</f>
        <v>1.6738008433039699</v>
      </c>
      <c r="O291" s="39">
        <f>IF($B291="On campus",1,INDEX(ModelOutput!$F$16:$F$26,MATCH($B291,ModelOutput!$C$16:$C$26,0)))</f>
        <v>2.1619836912278898</v>
      </c>
      <c r="P291" s="39">
        <f>IF($B291="On campus",1,INDEX(ModelOutput!$G$16:$G$26,MATCH($B291,ModelOutput!$C$16:$C$26,0)))</f>
        <v>2.7253181394344401</v>
      </c>
      <c r="Q291" s="73">
        <f>INDEX(ModelOutput!$D$9:$D$11,MATCH("Tier "&amp;$F291,ModelOutput!$B$9:$B$11,0))</f>
        <v>36.175496869914397</v>
      </c>
      <c r="R291" s="73">
        <f>INDEX(ModelOutput!$E$9:$E$11,MATCH("Tier "&amp;$F291,ModelOutput!$B$9:$B$11,0))</f>
        <v>106.647084447761</v>
      </c>
      <c r="S291" s="73">
        <f>INDEX(ModelOutput!$F$9:$F$11,MATCH("Tier "&amp;$F291,ModelOutput!$B$9:$B$11,0))</f>
        <v>123.726482920496</v>
      </c>
      <c r="T291" s="73">
        <f>INDEX(ModelOutput!$G$9:$G$11,MATCH("Tier "&amp;$F291,ModelOutput!$B$9:$B$11,0))</f>
        <v>20.551544113210401</v>
      </c>
      <c r="U291" s="77">
        <f t="shared" si="44"/>
        <v>269.94804434240638</v>
      </c>
      <c r="V291" s="77">
        <f t="shared" si="45"/>
        <v>783.2685038106946</v>
      </c>
      <c r="W291" s="77">
        <f t="shared" si="46"/>
        <v>1173.7428920458042</v>
      </c>
      <c r="X291" s="77">
        <f t="shared" si="47"/>
        <v>245.76473086312464</v>
      </c>
      <c r="Y291" s="30">
        <f t="shared" si="48"/>
        <v>2472.7241710620297</v>
      </c>
      <c r="Z291" s="30">
        <f t="shared" si="49"/>
        <v>4062.5089415280163</v>
      </c>
      <c r="AA291" s="41">
        <f t="shared" si="50"/>
        <v>1.8484252758363247</v>
      </c>
      <c r="AB291" s="40">
        <f t="shared" si="51"/>
        <v>1782.7872193062994</v>
      </c>
      <c r="AC291" s="42">
        <f t="shared" si="52"/>
        <v>5</v>
      </c>
      <c r="AD291" s="43">
        <v>2472.7241710620301</v>
      </c>
      <c r="AE291" s="79">
        <f t="shared" si="53"/>
        <v>0</v>
      </c>
      <c r="AF291" s="29">
        <f t="shared" si="54"/>
        <v>3</v>
      </c>
    </row>
    <row r="292" spans="1:32" ht="15" customHeight="1" x14ac:dyDescent="0.35">
      <c r="A292" s="37" t="s">
        <v>109</v>
      </c>
      <c r="B292" s="37" t="s">
        <v>114</v>
      </c>
      <c r="C292" s="37" t="s">
        <v>210</v>
      </c>
      <c r="D292" s="37" t="s">
        <v>123</v>
      </c>
      <c r="E292" s="37" t="s">
        <v>97</v>
      </c>
      <c r="F292" s="37">
        <v>2</v>
      </c>
      <c r="G292" s="37" t="s">
        <v>211</v>
      </c>
      <c r="H292" s="38">
        <v>10</v>
      </c>
      <c r="I292" s="39">
        <f>IF($G292="Base",1,INDEX(ModelOutput!$D$16:$D$26,MATCH($G292,ModelOutput!$C$16:$C$26,0)))</f>
        <v>1</v>
      </c>
      <c r="J292" s="39">
        <f>IF($A292="Non-greek",1,INDEX(ModelOutput!$D$16:$D$26,MATCH($A292,ModelOutput!$C$16:$C$26,0)))</f>
        <v>4.3562312213391099</v>
      </c>
      <c r="K292" s="39">
        <f>IF($C292="Yes",1,INDEX(ModelOutput!$D$16:$D$26,MATCH($C292,ModelOutput!$C$16:$C$26,0)))</f>
        <v>1</v>
      </c>
      <c r="L292" s="39">
        <f>IF($D292="2.0-3.0",1,INDEX(ModelOutput!$D$16:$D$26,MATCH($D292,ModelOutput!$C$16:$C$26,0)))</f>
        <v>1.01762556011242</v>
      </c>
      <c r="M292" s="39">
        <f>IF($B292="On campus",1,INDEX(ModelOutput!$D$16:$D$26,MATCH($B292,ModelOutput!$C$16:$C$26,0)))</f>
        <v>1.7006219753182299</v>
      </c>
      <c r="N292" s="39">
        <f>IF($B292="On campus",1,INDEX(ModelOutput!$E$16:$E$26,MATCH($B292,ModelOutput!$C$16:$C$26,0)))</f>
        <v>1.6738008433039699</v>
      </c>
      <c r="O292" s="39">
        <f>IF($B292="On campus",1,INDEX(ModelOutput!$F$16:$F$26,MATCH($B292,ModelOutput!$C$16:$C$26,0)))</f>
        <v>2.1619836912278898</v>
      </c>
      <c r="P292" s="39">
        <f>IF($B292="On campus",1,INDEX(ModelOutput!$G$16:$G$26,MATCH($B292,ModelOutput!$C$16:$C$26,0)))</f>
        <v>2.7253181394344401</v>
      </c>
      <c r="Q292" s="73">
        <f>INDEX(ModelOutput!$D$9:$D$11,MATCH("Tier "&amp;$F292,ModelOutput!$B$9:$B$11,0))</f>
        <v>42.8051506068728</v>
      </c>
      <c r="R292" s="73">
        <f>INDEX(ModelOutput!$E$9:$E$11,MATCH("Tier "&amp;$F292,ModelOutput!$B$9:$B$11,0))</f>
        <v>126.191618818284</v>
      </c>
      <c r="S292" s="73">
        <f>INDEX(ModelOutput!$F$9:$F$11,MATCH("Tier "&amp;$F292,ModelOutput!$B$9:$B$11,0))</f>
        <v>146.401050261042</v>
      </c>
      <c r="T292" s="73">
        <f>INDEX(ModelOutput!$G$9:$G$11,MATCH("Tier "&amp;$F292,ModelOutput!$B$9:$B$11,0))</f>
        <v>24.317895180076398</v>
      </c>
      <c r="U292" s="77">
        <f t="shared" si="44"/>
        <v>322.70280932719959</v>
      </c>
      <c r="V292" s="77">
        <f t="shared" si="45"/>
        <v>936.33923984503269</v>
      </c>
      <c r="W292" s="77">
        <f t="shared" si="46"/>
        <v>1403.1223290159303</v>
      </c>
      <c r="X292" s="77">
        <f t="shared" si="47"/>
        <v>293.79345672338559</v>
      </c>
      <c r="Y292" s="30">
        <f t="shared" si="48"/>
        <v>2955.9578349115482</v>
      </c>
      <c r="Z292" s="30">
        <f t="shared" si="49"/>
        <v>4848.2845516753332</v>
      </c>
      <c r="AA292" s="41">
        <f t="shared" si="50"/>
        <v>2.3993712900591198</v>
      </c>
      <c r="AB292" s="40">
        <f t="shared" si="51"/>
        <v>1782.7872193062994</v>
      </c>
      <c r="AC292" s="42">
        <f t="shared" si="52"/>
        <v>6</v>
      </c>
      <c r="AD292" s="43">
        <v>2955.95783491155</v>
      </c>
      <c r="AE292" s="79">
        <f t="shared" si="53"/>
        <v>0</v>
      </c>
      <c r="AF292" s="29">
        <f t="shared" si="54"/>
        <v>2</v>
      </c>
    </row>
    <row r="293" spans="1:32" ht="15" customHeight="1" x14ac:dyDescent="0.35">
      <c r="A293" s="37" t="s">
        <v>109</v>
      </c>
      <c r="B293" s="37" t="s">
        <v>114</v>
      </c>
      <c r="C293" s="37" t="s">
        <v>210</v>
      </c>
      <c r="D293" s="37" t="s">
        <v>123</v>
      </c>
      <c r="E293" s="37" t="s">
        <v>99</v>
      </c>
      <c r="F293" s="37">
        <v>3</v>
      </c>
      <c r="G293" s="37" t="s">
        <v>211</v>
      </c>
      <c r="H293" s="38">
        <v>12</v>
      </c>
      <c r="I293" s="39">
        <f>IF($G293="Base",1,INDEX(ModelOutput!$D$16:$D$26,MATCH($G293,ModelOutput!$C$16:$C$26,0)))</f>
        <v>1</v>
      </c>
      <c r="J293" s="39">
        <f>IF($A293="Non-greek",1,INDEX(ModelOutput!$D$16:$D$26,MATCH($A293,ModelOutput!$C$16:$C$26,0)))</f>
        <v>4.3562312213391099</v>
      </c>
      <c r="K293" s="39">
        <f>IF($C293="Yes",1,INDEX(ModelOutput!$D$16:$D$26,MATCH($C293,ModelOutput!$C$16:$C$26,0)))</f>
        <v>1</v>
      </c>
      <c r="L293" s="39">
        <f>IF($D293="2.0-3.0",1,INDEX(ModelOutput!$D$16:$D$26,MATCH($D293,ModelOutput!$C$16:$C$26,0)))</f>
        <v>1.01762556011242</v>
      </c>
      <c r="M293" s="39">
        <f>IF($B293="On campus",1,INDEX(ModelOutput!$D$16:$D$26,MATCH($B293,ModelOutput!$C$16:$C$26,0)))</f>
        <v>1.7006219753182299</v>
      </c>
      <c r="N293" s="39">
        <f>IF($B293="On campus",1,INDEX(ModelOutput!$E$16:$E$26,MATCH($B293,ModelOutput!$C$16:$C$26,0)))</f>
        <v>1.6738008433039699</v>
      </c>
      <c r="O293" s="39">
        <f>IF($B293="On campus",1,INDEX(ModelOutput!$F$16:$F$26,MATCH($B293,ModelOutput!$C$16:$C$26,0)))</f>
        <v>2.1619836912278898</v>
      </c>
      <c r="P293" s="39">
        <f>IF($B293="On campus",1,INDEX(ModelOutput!$G$16:$G$26,MATCH($B293,ModelOutput!$C$16:$C$26,0)))</f>
        <v>2.7253181394344401</v>
      </c>
      <c r="Q293" s="73">
        <f>INDEX(ModelOutput!$D$9:$D$11,MATCH("Tier "&amp;$F293,ModelOutput!$B$9:$B$11,0))</f>
        <v>40.009437343712797</v>
      </c>
      <c r="R293" s="73">
        <f>INDEX(ModelOutput!$E$9:$E$11,MATCH("Tier "&amp;$F293,ModelOutput!$B$9:$B$11,0))</f>
        <v>117.949723218616</v>
      </c>
      <c r="S293" s="73">
        <f>INDEX(ModelOutput!$F$9:$F$11,MATCH("Tier "&amp;$F293,ModelOutput!$B$9:$B$11,0))</f>
        <v>136.83922529015501</v>
      </c>
      <c r="T293" s="73">
        <f>INDEX(ModelOutput!$G$9:$G$11,MATCH("Tier "&amp;$F293,ModelOutput!$B$9:$B$11,0))</f>
        <v>22.729631592092201</v>
      </c>
      <c r="U293" s="77">
        <f t="shared" si="44"/>
        <v>301.62626803942771</v>
      </c>
      <c r="V293" s="77">
        <f t="shared" si="45"/>
        <v>875.18454246542251</v>
      </c>
      <c r="W293" s="77">
        <f t="shared" si="46"/>
        <v>1311.4808407966086</v>
      </c>
      <c r="X293" s="77">
        <f t="shared" si="47"/>
        <v>274.60505878654163</v>
      </c>
      <c r="Y293" s="30">
        <f t="shared" si="48"/>
        <v>2762.8967100880004</v>
      </c>
      <c r="Z293" s="30">
        <f t="shared" si="49"/>
        <v>4534.3521117342461</v>
      </c>
      <c r="AA293" s="41">
        <f t="shared" si="50"/>
        <v>2.1792577814604597</v>
      </c>
      <c r="AB293" s="40">
        <f t="shared" si="51"/>
        <v>1782.7872193062994</v>
      </c>
      <c r="AC293" s="42">
        <f t="shared" si="52"/>
        <v>6</v>
      </c>
      <c r="AD293" s="43">
        <v>2762.89671008801</v>
      </c>
      <c r="AE293" s="79">
        <f t="shared" si="53"/>
        <v>-9.5496943686157465E-12</v>
      </c>
      <c r="AF293" s="29">
        <f t="shared" si="54"/>
        <v>1</v>
      </c>
    </row>
    <row r="294" spans="1:32" ht="15" customHeight="1" x14ac:dyDescent="0.35">
      <c r="A294" s="37" t="s">
        <v>109</v>
      </c>
      <c r="B294" s="37" t="s">
        <v>114</v>
      </c>
      <c r="C294" s="37" t="s">
        <v>210</v>
      </c>
      <c r="D294" s="37" t="s">
        <v>123</v>
      </c>
      <c r="E294" s="37" t="s">
        <v>213</v>
      </c>
      <c r="F294" s="37">
        <v>3</v>
      </c>
      <c r="G294" s="37" t="s">
        <v>107</v>
      </c>
      <c r="H294" s="38">
        <v>4</v>
      </c>
      <c r="I294" s="39">
        <f>IF($G294="Base",1,INDEX(ModelOutput!$D$16:$D$26,MATCH($G294,ModelOutput!$C$16:$C$26,0)))</f>
        <v>1.1906804269762199</v>
      </c>
      <c r="J294" s="39">
        <f>IF($A294="Non-greek",1,INDEX(ModelOutput!$D$16:$D$26,MATCH($A294,ModelOutput!$C$16:$C$26,0)))</f>
        <v>4.3562312213391099</v>
      </c>
      <c r="K294" s="39">
        <f>IF($C294="Yes",1,INDEX(ModelOutput!$D$16:$D$26,MATCH($C294,ModelOutput!$C$16:$C$26,0)))</f>
        <v>1</v>
      </c>
      <c r="L294" s="39">
        <f>IF($D294="2.0-3.0",1,INDEX(ModelOutput!$D$16:$D$26,MATCH($D294,ModelOutput!$C$16:$C$26,0)))</f>
        <v>1.01762556011242</v>
      </c>
      <c r="M294" s="39">
        <f>IF($B294="On campus",1,INDEX(ModelOutput!$D$16:$D$26,MATCH($B294,ModelOutput!$C$16:$C$26,0)))</f>
        <v>1.7006219753182299</v>
      </c>
      <c r="N294" s="39">
        <f>IF($B294="On campus",1,INDEX(ModelOutput!$E$16:$E$26,MATCH($B294,ModelOutput!$C$16:$C$26,0)))</f>
        <v>1.6738008433039699</v>
      </c>
      <c r="O294" s="39">
        <f>IF($B294="On campus",1,INDEX(ModelOutput!$F$16:$F$26,MATCH($B294,ModelOutput!$C$16:$C$26,0)))</f>
        <v>2.1619836912278898</v>
      </c>
      <c r="P294" s="39">
        <f>IF($B294="On campus",1,INDEX(ModelOutput!$G$16:$G$26,MATCH($B294,ModelOutput!$C$16:$C$26,0)))</f>
        <v>2.7253181394344401</v>
      </c>
      <c r="Q294" s="73">
        <f>INDEX(ModelOutput!$D$9:$D$11,MATCH("Tier "&amp;$F294,ModelOutput!$B$9:$B$11,0))</f>
        <v>40.009437343712797</v>
      </c>
      <c r="R294" s="73">
        <f>INDEX(ModelOutput!$E$9:$E$11,MATCH("Tier "&amp;$F294,ModelOutput!$B$9:$B$11,0))</f>
        <v>117.949723218616</v>
      </c>
      <c r="S294" s="73">
        <f>INDEX(ModelOutput!$F$9:$F$11,MATCH("Tier "&amp;$F294,ModelOutput!$B$9:$B$11,0))</f>
        <v>136.83922529015501</v>
      </c>
      <c r="T294" s="73">
        <f>INDEX(ModelOutput!$G$9:$G$11,MATCH("Tier "&amp;$F294,ModelOutput!$B$9:$B$11,0))</f>
        <v>22.729631592092201</v>
      </c>
      <c r="U294" s="77">
        <f t="shared" si="44"/>
        <v>359.14049361642958</v>
      </c>
      <c r="V294" s="77">
        <f t="shared" si="45"/>
        <v>1042.065104705717</v>
      </c>
      <c r="W294" s="77">
        <f t="shared" si="46"/>
        <v>1561.5545674908381</v>
      </c>
      <c r="X294" s="77">
        <f t="shared" si="47"/>
        <v>326.96686864578942</v>
      </c>
      <c r="Y294" s="30">
        <f t="shared" si="48"/>
        <v>3289.7270344587741</v>
      </c>
      <c r="Z294" s="30">
        <f t="shared" si="49"/>
        <v>5391.0192906695811</v>
      </c>
      <c r="AA294" s="41">
        <f t="shared" si="50"/>
        <v>2.7799093690828123</v>
      </c>
      <c r="AB294" s="40">
        <f t="shared" si="51"/>
        <v>1782.7872193062994</v>
      </c>
      <c r="AC294" s="42">
        <f t="shared" si="52"/>
        <v>6</v>
      </c>
      <c r="AD294" s="43">
        <v>3289.7270344587801</v>
      </c>
      <c r="AE294" s="79">
        <f t="shared" si="53"/>
        <v>-5.9117155615240335E-12</v>
      </c>
      <c r="AF294" s="29">
        <f t="shared" si="54"/>
        <v>2</v>
      </c>
    </row>
    <row r="295" spans="1:32" ht="15" customHeight="1" x14ac:dyDescent="0.35">
      <c r="A295" s="19" t="s">
        <v>109</v>
      </c>
      <c r="B295" s="19" t="s">
        <v>114</v>
      </c>
      <c r="C295" s="19" t="s">
        <v>210</v>
      </c>
      <c r="D295" s="19" t="s">
        <v>122</v>
      </c>
      <c r="E295" s="19" t="s">
        <v>95</v>
      </c>
      <c r="F295" s="19">
        <v>1</v>
      </c>
      <c r="G295" s="19" t="s">
        <v>211</v>
      </c>
      <c r="H295" s="16">
        <v>17</v>
      </c>
      <c r="I295" s="13">
        <f>IF($G295="Base",1,INDEX(ModelOutput!$D$16:$D$26,MATCH($G295,ModelOutput!$C$16:$C$26,0)))</f>
        <v>1</v>
      </c>
      <c r="J295" s="13">
        <f>IF($A295="Non-greek",1,INDEX(ModelOutput!$D$16:$D$26,MATCH($A295,ModelOutput!$C$16:$C$26,0)))</f>
        <v>4.3562312213391099</v>
      </c>
      <c r="K295" s="13">
        <f>IF($C295="Yes",1,INDEX(ModelOutput!$D$16:$D$26,MATCH($C295,ModelOutput!$C$16:$C$26,0)))</f>
        <v>1</v>
      </c>
      <c r="L295" s="13">
        <f>IF($D295="2.0-3.0",1,INDEX(ModelOutput!$D$16:$D$26,MATCH($D295,ModelOutput!$C$16:$C$26,0)))</f>
        <v>1</v>
      </c>
      <c r="M295" s="13">
        <f>IF($B295="On campus",1,INDEX(ModelOutput!$D$16:$D$26,MATCH($B295,ModelOutput!$C$16:$C$26,0)))</f>
        <v>1.7006219753182299</v>
      </c>
      <c r="N295" s="13">
        <f>IF($B295="On campus",1,INDEX(ModelOutput!$E$16:$E$26,MATCH($B295,ModelOutput!$C$16:$C$26,0)))</f>
        <v>1.6738008433039699</v>
      </c>
      <c r="O295" s="13">
        <f>IF($B295="On campus",1,INDEX(ModelOutput!$F$16:$F$26,MATCH($B295,ModelOutput!$C$16:$C$26,0)))</f>
        <v>2.1619836912278898</v>
      </c>
      <c r="P295" s="13">
        <f>IF($B295="On campus",1,INDEX(ModelOutput!$G$16:$G$26,MATCH($B295,ModelOutput!$C$16:$C$26,0)))</f>
        <v>2.7253181394344401</v>
      </c>
      <c r="Q295" s="72">
        <f>INDEX(ModelOutput!$D$9:$D$11,MATCH("Tier "&amp;$F295,ModelOutput!$B$9:$B$11,0))</f>
        <v>36.175496869914397</v>
      </c>
      <c r="R295" s="72">
        <f>INDEX(ModelOutput!$E$9:$E$11,MATCH("Tier "&amp;$F295,ModelOutput!$B$9:$B$11,0))</f>
        <v>106.647084447761</v>
      </c>
      <c r="S295" s="72">
        <f>INDEX(ModelOutput!$F$9:$F$11,MATCH("Tier "&amp;$F295,ModelOutput!$B$9:$B$11,0))</f>
        <v>123.726482920496</v>
      </c>
      <c r="T295" s="72">
        <f>INDEX(ModelOutput!$G$9:$G$11,MATCH("Tier "&amp;$F295,ModelOutput!$B$9:$B$11,0))</f>
        <v>20.551544113210401</v>
      </c>
      <c r="U295" s="76">
        <f t="shared" si="44"/>
        <v>267.99902551271191</v>
      </c>
      <c r="V295" s="76">
        <f t="shared" si="45"/>
        <v>777.61332276890391</v>
      </c>
      <c r="W295" s="76">
        <f t="shared" si="46"/>
        <v>1165.2684946728209</v>
      </c>
      <c r="X295" s="76">
        <f t="shared" si="47"/>
        <v>243.99031501472001</v>
      </c>
      <c r="Y295" s="27">
        <f t="shared" si="48"/>
        <v>2454.8711579691571</v>
      </c>
      <c r="Z295" s="27">
        <f t="shared" si="49"/>
        <v>4033.4785504243278</v>
      </c>
      <c r="AA295" s="33">
        <f t="shared" si="50"/>
        <v>1.8280706376121789</v>
      </c>
      <c r="AB295" s="14">
        <f t="shared" si="51"/>
        <v>1782.7872193062994</v>
      </c>
      <c r="AC295" s="29">
        <f t="shared" si="52"/>
        <v>5</v>
      </c>
      <c r="AD295" s="20">
        <v>2454.8711579691499</v>
      </c>
      <c r="AE295" s="78">
        <f t="shared" si="53"/>
        <v>7.2759576141834259E-12</v>
      </c>
      <c r="AF295" s="29">
        <f t="shared" si="54"/>
        <v>4</v>
      </c>
    </row>
    <row r="296" spans="1:32" ht="15" customHeight="1" x14ac:dyDescent="0.35">
      <c r="A296" s="19" t="s">
        <v>109</v>
      </c>
      <c r="B296" s="19" t="s">
        <v>114</v>
      </c>
      <c r="C296" s="19" t="s">
        <v>210</v>
      </c>
      <c r="D296" s="19" t="s">
        <v>122</v>
      </c>
      <c r="E296" s="19" t="s">
        <v>105</v>
      </c>
      <c r="F296" s="19">
        <v>1</v>
      </c>
      <c r="G296" s="19" t="s">
        <v>105</v>
      </c>
      <c r="H296" s="16">
        <v>15</v>
      </c>
      <c r="I296" s="13">
        <f>IF($G296="Base",1,INDEX(ModelOutput!$D$16:$D$26,MATCH($G296,ModelOutput!$C$16:$C$26,0)))</f>
        <v>0.98982624281990295</v>
      </c>
      <c r="J296" s="13">
        <f>IF($A296="Non-greek",1,INDEX(ModelOutput!$D$16:$D$26,MATCH($A296,ModelOutput!$C$16:$C$26,0)))</f>
        <v>4.3562312213391099</v>
      </c>
      <c r="K296" s="13">
        <f>IF($C296="Yes",1,INDEX(ModelOutput!$D$16:$D$26,MATCH($C296,ModelOutput!$C$16:$C$26,0)))</f>
        <v>1</v>
      </c>
      <c r="L296" s="13">
        <f>IF($D296="2.0-3.0",1,INDEX(ModelOutput!$D$16:$D$26,MATCH($D296,ModelOutput!$C$16:$C$26,0)))</f>
        <v>1</v>
      </c>
      <c r="M296" s="13">
        <f>IF($B296="On campus",1,INDEX(ModelOutput!$D$16:$D$26,MATCH($B296,ModelOutput!$C$16:$C$26,0)))</f>
        <v>1.7006219753182299</v>
      </c>
      <c r="N296" s="13">
        <f>IF($B296="On campus",1,INDEX(ModelOutput!$E$16:$E$26,MATCH($B296,ModelOutput!$C$16:$C$26,0)))</f>
        <v>1.6738008433039699</v>
      </c>
      <c r="O296" s="13">
        <f>IF($B296="On campus",1,INDEX(ModelOutput!$F$16:$F$26,MATCH($B296,ModelOutput!$C$16:$C$26,0)))</f>
        <v>2.1619836912278898</v>
      </c>
      <c r="P296" s="13">
        <f>IF($B296="On campus",1,INDEX(ModelOutput!$G$16:$G$26,MATCH($B296,ModelOutput!$C$16:$C$26,0)))</f>
        <v>2.7253181394344401</v>
      </c>
      <c r="Q296" s="72">
        <f>INDEX(ModelOutput!$D$9:$D$11,MATCH("Tier "&amp;$F296,ModelOutput!$B$9:$B$11,0))</f>
        <v>36.175496869914397</v>
      </c>
      <c r="R296" s="72">
        <f>INDEX(ModelOutput!$E$9:$E$11,MATCH("Tier "&amp;$F296,ModelOutput!$B$9:$B$11,0))</f>
        <v>106.647084447761</v>
      </c>
      <c r="S296" s="72">
        <f>INDEX(ModelOutput!$F$9:$F$11,MATCH("Tier "&amp;$F296,ModelOutput!$B$9:$B$11,0))</f>
        <v>123.726482920496</v>
      </c>
      <c r="T296" s="72">
        <f>INDEX(ModelOutput!$G$9:$G$11,MATCH("Tier "&amp;$F296,ModelOutput!$B$9:$B$11,0))</f>
        <v>20.551544113210401</v>
      </c>
      <c r="U296" s="76">
        <f t="shared" si="44"/>
        <v>265.27246850264299</v>
      </c>
      <c r="V296" s="76">
        <f t="shared" si="45"/>
        <v>769.70207364304474</v>
      </c>
      <c r="W296" s="76">
        <f t="shared" si="46"/>
        <v>1153.4133359584023</v>
      </c>
      <c r="X296" s="76">
        <f t="shared" si="47"/>
        <v>241.50801679546484</v>
      </c>
      <c r="Y296" s="27">
        <f t="shared" si="48"/>
        <v>2429.8958948995551</v>
      </c>
      <c r="Z296" s="27">
        <f t="shared" si="49"/>
        <v>3992.866825610351</v>
      </c>
      <c r="AA296" s="33">
        <f t="shared" si="50"/>
        <v>1.7995957554345825</v>
      </c>
      <c r="AB296" s="14">
        <f t="shared" si="51"/>
        <v>1782.7872193062994</v>
      </c>
      <c r="AC296" s="29">
        <f t="shared" si="52"/>
        <v>5</v>
      </c>
      <c r="AD296" s="20">
        <v>2429.8958948995501</v>
      </c>
      <c r="AE296" s="78">
        <f t="shared" si="53"/>
        <v>5.0022208597511053E-12</v>
      </c>
      <c r="AF296" s="29">
        <f t="shared" si="54"/>
        <v>3</v>
      </c>
    </row>
    <row r="297" spans="1:32" ht="15" customHeight="1" x14ac:dyDescent="0.35">
      <c r="A297" s="19" t="s">
        <v>109</v>
      </c>
      <c r="B297" s="19" t="s">
        <v>114</v>
      </c>
      <c r="C297" s="19" t="s">
        <v>210</v>
      </c>
      <c r="D297" s="19" t="s">
        <v>122</v>
      </c>
      <c r="E297" s="19" t="s">
        <v>97</v>
      </c>
      <c r="F297" s="19">
        <v>2</v>
      </c>
      <c r="G297" s="19" t="s">
        <v>211</v>
      </c>
      <c r="H297" s="16">
        <v>11</v>
      </c>
      <c r="I297" s="13">
        <f>IF($G297="Base",1,INDEX(ModelOutput!$D$16:$D$26,MATCH($G297,ModelOutput!$C$16:$C$26,0)))</f>
        <v>1</v>
      </c>
      <c r="J297" s="13">
        <f>IF($A297="Non-greek",1,INDEX(ModelOutput!$D$16:$D$26,MATCH($A297,ModelOutput!$C$16:$C$26,0)))</f>
        <v>4.3562312213391099</v>
      </c>
      <c r="K297" s="13">
        <f>IF($C297="Yes",1,INDEX(ModelOutput!$D$16:$D$26,MATCH($C297,ModelOutput!$C$16:$C$26,0)))</f>
        <v>1</v>
      </c>
      <c r="L297" s="13">
        <f>IF($D297="2.0-3.0",1,INDEX(ModelOutput!$D$16:$D$26,MATCH($D297,ModelOutput!$C$16:$C$26,0)))</f>
        <v>1</v>
      </c>
      <c r="M297" s="13">
        <f>IF($B297="On campus",1,INDEX(ModelOutput!$D$16:$D$26,MATCH($B297,ModelOutput!$C$16:$C$26,0)))</f>
        <v>1.7006219753182299</v>
      </c>
      <c r="N297" s="13">
        <f>IF($B297="On campus",1,INDEX(ModelOutput!$E$16:$E$26,MATCH($B297,ModelOutput!$C$16:$C$26,0)))</f>
        <v>1.6738008433039699</v>
      </c>
      <c r="O297" s="13">
        <f>IF($B297="On campus",1,INDEX(ModelOutput!$F$16:$F$26,MATCH($B297,ModelOutput!$C$16:$C$26,0)))</f>
        <v>2.1619836912278898</v>
      </c>
      <c r="P297" s="13">
        <f>IF($B297="On campus",1,INDEX(ModelOutput!$G$16:$G$26,MATCH($B297,ModelOutput!$C$16:$C$26,0)))</f>
        <v>2.7253181394344401</v>
      </c>
      <c r="Q297" s="72">
        <f>INDEX(ModelOutput!$D$9:$D$11,MATCH("Tier "&amp;$F297,ModelOutput!$B$9:$B$11,0))</f>
        <v>42.8051506068728</v>
      </c>
      <c r="R297" s="72">
        <f>INDEX(ModelOutput!$E$9:$E$11,MATCH("Tier "&amp;$F297,ModelOutput!$B$9:$B$11,0))</f>
        <v>126.191618818284</v>
      </c>
      <c r="S297" s="72">
        <f>INDEX(ModelOutput!$F$9:$F$11,MATCH("Tier "&amp;$F297,ModelOutput!$B$9:$B$11,0))</f>
        <v>146.401050261042</v>
      </c>
      <c r="T297" s="72">
        <f>INDEX(ModelOutput!$G$9:$G$11,MATCH("Tier "&amp;$F297,ModelOutput!$B$9:$B$11,0))</f>
        <v>24.317895180076398</v>
      </c>
      <c r="U297" s="76">
        <f t="shared" si="44"/>
        <v>317.11350616188304</v>
      </c>
      <c r="V297" s="76">
        <f t="shared" si="45"/>
        <v>920.12158159784474</v>
      </c>
      <c r="W297" s="76">
        <f t="shared" si="46"/>
        <v>1378.8198567466441</v>
      </c>
      <c r="X297" s="76">
        <f t="shared" si="47"/>
        <v>288.70487165331167</v>
      </c>
      <c r="Y297" s="27">
        <f t="shared" si="48"/>
        <v>2904.7598161596834</v>
      </c>
      <c r="Z297" s="27">
        <f t="shared" si="49"/>
        <v>4765.0325818051042</v>
      </c>
      <c r="AA297" s="33">
        <f t="shared" si="50"/>
        <v>2.3409992301683835</v>
      </c>
      <c r="AB297" s="14">
        <f t="shared" si="51"/>
        <v>1782.7872193062994</v>
      </c>
      <c r="AC297" s="29">
        <f t="shared" si="52"/>
        <v>6</v>
      </c>
      <c r="AD297" s="20">
        <v>2904.7598161596802</v>
      </c>
      <c r="AE297" s="78">
        <f t="shared" si="53"/>
        <v>0</v>
      </c>
      <c r="AF297" s="29">
        <f t="shared" si="54"/>
        <v>2</v>
      </c>
    </row>
    <row r="298" spans="1:32" ht="15" customHeight="1" x14ac:dyDescent="0.35">
      <c r="A298" s="19" t="s">
        <v>109</v>
      </c>
      <c r="B298" s="19" t="s">
        <v>114</v>
      </c>
      <c r="C298" s="19" t="s">
        <v>210</v>
      </c>
      <c r="D298" s="19" t="s">
        <v>122</v>
      </c>
      <c r="E298" s="19" t="s">
        <v>99</v>
      </c>
      <c r="F298" s="19">
        <v>3</v>
      </c>
      <c r="G298" s="19" t="s">
        <v>211</v>
      </c>
      <c r="H298" s="16">
        <v>10</v>
      </c>
      <c r="I298" s="13">
        <f>IF($G298="Base",1,INDEX(ModelOutput!$D$16:$D$26,MATCH($G298,ModelOutput!$C$16:$C$26,0)))</f>
        <v>1</v>
      </c>
      <c r="J298" s="13">
        <f>IF($A298="Non-greek",1,INDEX(ModelOutput!$D$16:$D$26,MATCH($A298,ModelOutput!$C$16:$C$26,0)))</f>
        <v>4.3562312213391099</v>
      </c>
      <c r="K298" s="13">
        <f>IF($C298="Yes",1,INDEX(ModelOutput!$D$16:$D$26,MATCH($C298,ModelOutput!$C$16:$C$26,0)))</f>
        <v>1</v>
      </c>
      <c r="L298" s="13">
        <f>IF($D298="2.0-3.0",1,INDEX(ModelOutput!$D$16:$D$26,MATCH($D298,ModelOutput!$C$16:$C$26,0)))</f>
        <v>1</v>
      </c>
      <c r="M298" s="13">
        <f>IF($B298="On campus",1,INDEX(ModelOutput!$D$16:$D$26,MATCH($B298,ModelOutput!$C$16:$C$26,0)))</f>
        <v>1.7006219753182299</v>
      </c>
      <c r="N298" s="13">
        <f>IF($B298="On campus",1,INDEX(ModelOutput!$E$16:$E$26,MATCH($B298,ModelOutput!$C$16:$C$26,0)))</f>
        <v>1.6738008433039699</v>
      </c>
      <c r="O298" s="13">
        <f>IF($B298="On campus",1,INDEX(ModelOutput!$F$16:$F$26,MATCH($B298,ModelOutput!$C$16:$C$26,0)))</f>
        <v>2.1619836912278898</v>
      </c>
      <c r="P298" s="13">
        <f>IF($B298="On campus",1,INDEX(ModelOutput!$G$16:$G$26,MATCH($B298,ModelOutput!$C$16:$C$26,0)))</f>
        <v>2.7253181394344401</v>
      </c>
      <c r="Q298" s="72">
        <f>INDEX(ModelOutput!$D$9:$D$11,MATCH("Tier "&amp;$F298,ModelOutput!$B$9:$B$11,0))</f>
        <v>40.009437343712797</v>
      </c>
      <c r="R298" s="72">
        <f>INDEX(ModelOutput!$E$9:$E$11,MATCH("Tier "&amp;$F298,ModelOutput!$B$9:$B$11,0))</f>
        <v>117.949723218616</v>
      </c>
      <c r="S298" s="72">
        <f>INDEX(ModelOutput!$F$9:$F$11,MATCH("Tier "&amp;$F298,ModelOutput!$B$9:$B$11,0))</f>
        <v>136.83922529015501</v>
      </c>
      <c r="T298" s="72">
        <f>INDEX(ModelOutput!$G$9:$G$11,MATCH("Tier "&amp;$F298,ModelOutput!$B$9:$B$11,0))</f>
        <v>22.729631592092201</v>
      </c>
      <c r="U298" s="76">
        <f t="shared" si="44"/>
        <v>296.40201648050805</v>
      </c>
      <c r="V298" s="76">
        <f t="shared" si="45"/>
        <v>860.02610072877735</v>
      </c>
      <c r="W298" s="76">
        <f t="shared" si="46"/>
        <v>1288.7656248057738</v>
      </c>
      <c r="X298" s="76">
        <f t="shared" si="47"/>
        <v>269.84882215046292</v>
      </c>
      <c r="Y298" s="27">
        <f t="shared" si="48"/>
        <v>2715.042564165522</v>
      </c>
      <c r="Z298" s="27">
        <f t="shared" si="49"/>
        <v>4456.5375397717598</v>
      </c>
      <c r="AA298" s="33">
        <f t="shared" si="50"/>
        <v>2.1246981492734194</v>
      </c>
      <c r="AB298" s="14">
        <f t="shared" si="51"/>
        <v>1782.7872193062994</v>
      </c>
      <c r="AC298" s="29">
        <f t="shared" si="52"/>
        <v>6</v>
      </c>
      <c r="AD298" s="20">
        <v>2715.0425641655302</v>
      </c>
      <c r="AE298" s="78">
        <f t="shared" si="53"/>
        <v>-8.1854523159563541E-12</v>
      </c>
      <c r="AF298" s="29">
        <f t="shared" si="54"/>
        <v>1</v>
      </c>
    </row>
    <row r="299" spans="1:32" ht="15" customHeight="1" x14ac:dyDescent="0.35">
      <c r="A299" s="19" t="s">
        <v>109</v>
      </c>
      <c r="B299" s="19" t="s">
        <v>114</v>
      </c>
      <c r="C299" s="19" t="s">
        <v>210</v>
      </c>
      <c r="D299" s="19" t="s">
        <v>122</v>
      </c>
      <c r="E299" s="19" t="s">
        <v>213</v>
      </c>
      <c r="F299" s="19">
        <v>3</v>
      </c>
      <c r="G299" s="19" t="s">
        <v>107</v>
      </c>
      <c r="H299" s="16">
        <v>10</v>
      </c>
      <c r="I299" s="13">
        <f>IF($G299="Base",1,INDEX(ModelOutput!$D$16:$D$26,MATCH($G299,ModelOutput!$C$16:$C$26,0)))</f>
        <v>1.1906804269762199</v>
      </c>
      <c r="J299" s="13">
        <f>IF($A299="Non-greek",1,INDEX(ModelOutput!$D$16:$D$26,MATCH($A299,ModelOutput!$C$16:$C$26,0)))</f>
        <v>4.3562312213391099</v>
      </c>
      <c r="K299" s="13">
        <f>IF($C299="Yes",1,INDEX(ModelOutput!$D$16:$D$26,MATCH($C299,ModelOutput!$C$16:$C$26,0)))</f>
        <v>1</v>
      </c>
      <c r="L299" s="13">
        <f>IF($D299="2.0-3.0",1,INDEX(ModelOutput!$D$16:$D$26,MATCH($D299,ModelOutput!$C$16:$C$26,0)))</f>
        <v>1</v>
      </c>
      <c r="M299" s="13">
        <f>IF($B299="On campus",1,INDEX(ModelOutput!$D$16:$D$26,MATCH($B299,ModelOutput!$C$16:$C$26,0)))</f>
        <v>1.7006219753182299</v>
      </c>
      <c r="N299" s="13">
        <f>IF($B299="On campus",1,INDEX(ModelOutput!$E$16:$E$26,MATCH($B299,ModelOutput!$C$16:$C$26,0)))</f>
        <v>1.6738008433039699</v>
      </c>
      <c r="O299" s="13">
        <f>IF($B299="On campus",1,INDEX(ModelOutput!$F$16:$F$26,MATCH($B299,ModelOutput!$C$16:$C$26,0)))</f>
        <v>2.1619836912278898</v>
      </c>
      <c r="P299" s="13">
        <f>IF($B299="On campus",1,INDEX(ModelOutput!$G$16:$G$26,MATCH($B299,ModelOutput!$C$16:$C$26,0)))</f>
        <v>2.7253181394344401</v>
      </c>
      <c r="Q299" s="72">
        <f>INDEX(ModelOutput!$D$9:$D$11,MATCH("Tier "&amp;$F299,ModelOutput!$B$9:$B$11,0))</f>
        <v>40.009437343712797</v>
      </c>
      <c r="R299" s="72">
        <f>INDEX(ModelOutput!$E$9:$E$11,MATCH("Tier "&amp;$F299,ModelOutput!$B$9:$B$11,0))</f>
        <v>117.949723218616</v>
      </c>
      <c r="S299" s="72">
        <f>INDEX(ModelOutput!$F$9:$F$11,MATCH("Tier "&amp;$F299,ModelOutput!$B$9:$B$11,0))</f>
        <v>136.83922529015501</v>
      </c>
      <c r="T299" s="72">
        <f>INDEX(ModelOutput!$G$9:$G$11,MATCH("Tier "&amp;$F299,ModelOutput!$B$9:$B$11,0))</f>
        <v>22.729631592092201</v>
      </c>
      <c r="U299" s="76">
        <f t="shared" si="44"/>
        <v>352.92007953962388</v>
      </c>
      <c r="V299" s="76">
        <f t="shared" si="45"/>
        <v>1024.0162448264341</v>
      </c>
      <c r="W299" s="76">
        <f t="shared" si="46"/>
        <v>1534.5080044160138</v>
      </c>
      <c r="X299" s="76">
        <f t="shared" si="47"/>
        <v>321.30371077714324</v>
      </c>
      <c r="Y299" s="27">
        <f t="shared" si="48"/>
        <v>3232.7480395592152</v>
      </c>
      <c r="Z299" s="27">
        <f t="shared" si="49"/>
        <v>5298.367002900316</v>
      </c>
      <c r="AA299" s="33">
        <f t="shared" si="50"/>
        <v>2.7149462829346818</v>
      </c>
      <c r="AB299" s="14">
        <f t="shared" si="51"/>
        <v>1782.7872193062994</v>
      </c>
      <c r="AC299" s="29">
        <f t="shared" si="52"/>
        <v>6</v>
      </c>
      <c r="AD299" s="20">
        <v>3232.7480395592202</v>
      </c>
      <c r="AE299" s="78">
        <f t="shared" si="53"/>
        <v>-5.0022208597511053E-12</v>
      </c>
      <c r="AF299" s="29">
        <f t="shared" si="54"/>
        <v>2</v>
      </c>
    </row>
    <row r="300" spans="1:32" ht="15" customHeight="1" x14ac:dyDescent="0.35">
      <c r="A300" s="37" t="s">
        <v>109</v>
      </c>
      <c r="B300" s="37" t="s">
        <v>114</v>
      </c>
      <c r="C300" s="37" t="s">
        <v>210</v>
      </c>
      <c r="D300" s="37" t="s">
        <v>124</v>
      </c>
      <c r="E300" s="37" t="s">
        <v>95</v>
      </c>
      <c r="F300" s="37">
        <v>1</v>
      </c>
      <c r="G300" s="37" t="s">
        <v>211</v>
      </c>
      <c r="H300" s="38">
        <v>6</v>
      </c>
      <c r="I300" s="39">
        <f>IF($G300="Base",1,INDEX(ModelOutput!$D$16:$D$26,MATCH($G300,ModelOutput!$C$16:$C$26,0)))</f>
        <v>1</v>
      </c>
      <c r="J300" s="39">
        <f>IF($A300="Non-greek",1,INDEX(ModelOutput!$D$16:$D$26,MATCH($A300,ModelOutput!$C$16:$C$26,0)))</f>
        <v>4.3562312213391099</v>
      </c>
      <c r="K300" s="39">
        <f>IF($C300="Yes",1,INDEX(ModelOutput!$D$16:$D$26,MATCH($C300,ModelOutput!$C$16:$C$26,0)))</f>
        <v>1</v>
      </c>
      <c r="L300" s="39">
        <f>IF($D300="2.0-3.0",1,INDEX(ModelOutput!$D$16:$D$26,MATCH($D300,ModelOutput!$C$16:$C$26,0)))</f>
        <v>0.87654761766211098</v>
      </c>
      <c r="M300" s="39">
        <f>IF($B300="On campus",1,INDEX(ModelOutput!$D$16:$D$26,MATCH($B300,ModelOutput!$C$16:$C$26,0)))</f>
        <v>1.7006219753182299</v>
      </c>
      <c r="N300" s="39">
        <f>IF($B300="On campus",1,INDEX(ModelOutput!$E$16:$E$26,MATCH($B300,ModelOutput!$C$16:$C$26,0)))</f>
        <v>1.6738008433039699</v>
      </c>
      <c r="O300" s="39">
        <f>IF($B300="On campus",1,INDEX(ModelOutput!$F$16:$F$26,MATCH($B300,ModelOutput!$C$16:$C$26,0)))</f>
        <v>2.1619836912278898</v>
      </c>
      <c r="P300" s="39">
        <f>IF($B300="On campus",1,INDEX(ModelOutput!$G$16:$G$26,MATCH($B300,ModelOutput!$C$16:$C$26,0)))</f>
        <v>2.7253181394344401</v>
      </c>
      <c r="Q300" s="73">
        <f>INDEX(ModelOutput!$D$9:$D$11,MATCH("Tier "&amp;$F300,ModelOutput!$B$9:$B$11,0))</f>
        <v>36.175496869914397</v>
      </c>
      <c r="R300" s="73">
        <f>INDEX(ModelOutput!$E$9:$E$11,MATCH("Tier "&amp;$F300,ModelOutput!$B$9:$B$11,0))</f>
        <v>106.647084447761</v>
      </c>
      <c r="S300" s="73">
        <f>INDEX(ModelOutput!$F$9:$F$11,MATCH("Tier "&amp;$F300,ModelOutput!$B$9:$B$11,0))</f>
        <v>123.726482920496</v>
      </c>
      <c r="T300" s="73">
        <f>INDEX(ModelOutput!$G$9:$G$11,MATCH("Tier "&amp;$F300,ModelOutput!$B$9:$B$11,0))</f>
        <v>20.551544113210401</v>
      </c>
      <c r="U300" s="77">
        <f t="shared" si="44"/>
        <v>234.91390734893491</v>
      </c>
      <c r="V300" s="77">
        <f t="shared" si="45"/>
        <v>681.61510553540097</v>
      </c>
      <c r="W300" s="77">
        <f t="shared" si="46"/>
        <v>1021.4133229421755</v>
      </c>
      <c r="X300" s="77">
        <f t="shared" si="47"/>
        <v>213.86912935878081</v>
      </c>
      <c r="Y300" s="30">
        <f t="shared" si="48"/>
        <v>2151.811465185292</v>
      </c>
      <c r="Z300" s="30">
        <f t="shared" si="49"/>
        <v>3540.6798635297473</v>
      </c>
      <c r="AA300" s="41">
        <f t="shared" si="50"/>
        <v>1.4825451862585859</v>
      </c>
      <c r="AB300" s="40">
        <f t="shared" si="51"/>
        <v>1782.7872193062994</v>
      </c>
      <c r="AC300" s="42">
        <f t="shared" si="52"/>
        <v>5</v>
      </c>
      <c r="AD300" s="43">
        <v>2151.8114651852902</v>
      </c>
      <c r="AE300" s="79">
        <f t="shared" si="53"/>
        <v>0</v>
      </c>
      <c r="AF300" s="29">
        <f t="shared" si="54"/>
        <v>4</v>
      </c>
    </row>
    <row r="301" spans="1:32" ht="15" customHeight="1" x14ac:dyDescent="0.35">
      <c r="A301" s="37" t="s">
        <v>109</v>
      </c>
      <c r="B301" s="37" t="s">
        <v>114</v>
      </c>
      <c r="C301" s="37" t="s">
        <v>210</v>
      </c>
      <c r="D301" s="37" t="s">
        <v>124</v>
      </c>
      <c r="E301" s="37" t="s">
        <v>105</v>
      </c>
      <c r="F301" s="37">
        <v>1</v>
      </c>
      <c r="G301" s="37" t="s">
        <v>105</v>
      </c>
      <c r="H301" s="38">
        <v>4</v>
      </c>
      <c r="I301" s="39">
        <f>IF($G301="Base",1,INDEX(ModelOutput!$D$16:$D$26,MATCH($G301,ModelOutput!$C$16:$C$26,0)))</f>
        <v>0.98982624281990295</v>
      </c>
      <c r="J301" s="39">
        <f>IF($A301="Non-greek",1,INDEX(ModelOutput!$D$16:$D$26,MATCH($A301,ModelOutput!$C$16:$C$26,0)))</f>
        <v>4.3562312213391099</v>
      </c>
      <c r="K301" s="39">
        <f>IF($C301="Yes",1,INDEX(ModelOutput!$D$16:$D$26,MATCH($C301,ModelOutput!$C$16:$C$26,0)))</f>
        <v>1</v>
      </c>
      <c r="L301" s="39">
        <f>IF($D301="2.0-3.0",1,INDEX(ModelOutput!$D$16:$D$26,MATCH($D301,ModelOutput!$C$16:$C$26,0)))</f>
        <v>0.87654761766211098</v>
      </c>
      <c r="M301" s="39">
        <f>IF($B301="On campus",1,INDEX(ModelOutput!$D$16:$D$26,MATCH($B301,ModelOutput!$C$16:$C$26,0)))</f>
        <v>1.7006219753182299</v>
      </c>
      <c r="N301" s="39">
        <f>IF($B301="On campus",1,INDEX(ModelOutput!$E$16:$E$26,MATCH($B301,ModelOutput!$C$16:$C$26,0)))</f>
        <v>1.6738008433039699</v>
      </c>
      <c r="O301" s="39">
        <f>IF($B301="On campus",1,INDEX(ModelOutput!$F$16:$F$26,MATCH($B301,ModelOutput!$C$16:$C$26,0)))</f>
        <v>2.1619836912278898</v>
      </c>
      <c r="P301" s="39">
        <f>IF($B301="On campus",1,INDEX(ModelOutput!$G$16:$G$26,MATCH($B301,ModelOutput!$C$16:$C$26,0)))</f>
        <v>2.7253181394344401</v>
      </c>
      <c r="Q301" s="73">
        <f>INDEX(ModelOutput!$D$9:$D$11,MATCH("Tier "&amp;$F301,ModelOutput!$B$9:$B$11,0))</f>
        <v>36.175496869914397</v>
      </c>
      <c r="R301" s="73">
        <f>INDEX(ModelOutput!$E$9:$E$11,MATCH("Tier "&amp;$F301,ModelOutput!$B$9:$B$11,0))</f>
        <v>106.647084447761</v>
      </c>
      <c r="S301" s="73">
        <f>INDEX(ModelOutput!$F$9:$F$11,MATCH("Tier "&amp;$F301,ModelOutput!$B$9:$B$11,0))</f>
        <v>123.726482920496</v>
      </c>
      <c r="T301" s="73">
        <f>INDEX(ModelOutput!$G$9:$G$11,MATCH("Tier "&amp;$F301,ModelOutput!$B$9:$B$11,0))</f>
        <v>20.551544113210401</v>
      </c>
      <c r="U301" s="77">
        <f t="shared" si="44"/>
        <v>232.52395029733907</v>
      </c>
      <c r="V301" s="77">
        <f t="shared" si="45"/>
        <v>674.68051896139764</v>
      </c>
      <c r="W301" s="77">
        <f t="shared" si="46"/>
        <v>1011.0217118140456</v>
      </c>
      <c r="X301" s="77">
        <f t="shared" si="47"/>
        <v>211.69327676836579</v>
      </c>
      <c r="Y301" s="30">
        <f t="shared" si="48"/>
        <v>2129.919457841148</v>
      </c>
      <c r="Z301" s="30">
        <f t="shared" si="49"/>
        <v>3505.0817528949069</v>
      </c>
      <c r="AA301" s="41">
        <f t="shared" si="50"/>
        <v>1.457585596122605</v>
      </c>
      <c r="AB301" s="40">
        <f t="shared" si="51"/>
        <v>1782.7872193062994</v>
      </c>
      <c r="AC301" s="42">
        <f t="shared" si="52"/>
        <v>5</v>
      </c>
      <c r="AD301" s="43">
        <v>2129.9194578411498</v>
      </c>
      <c r="AE301" s="79">
        <f t="shared" si="53"/>
        <v>0</v>
      </c>
      <c r="AF301" s="29">
        <f t="shared" si="54"/>
        <v>3</v>
      </c>
    </row>
    <row r="302" spans="1:32" ht="15" customHeight="1" x14ac:dyDescent="0.35">
      <c r="A302" s="37" t="s">
        <v>109</v>
      </c>
      <c r="B302" s="37" t="s">
        <v>114</v>
      </c>
      <c r="C302" s="37" t="s">
        <v>210</v>
      </c>
      <c r="D302" s="37" t="s">
        <v>124</v>
      </c>
      <c r="E302" s="37" t="s">
        <v>97</v>
      </c>
      <c r="F302" s="37">
        <v>2</v>
      </c>
      <c r="G302" s="37" t="s">
        <v>211</v>
      </c>
      <c r="H302" s="38">
        <v>6</v>
      </c>
      <c r="I302" s="39">
        <f>IF($G302="Base",1,INDEX(ModelOutput!$D$16:$D$26,MATCH($G302,ModelOutput!$C$16:$C$26,0)))</f>
        <v>1</v>
      </c>
      <c r="J302" s="39">
        <f>IF($A302="Non-greek",1,INDEX(ModelOutput!$D$16:$D$26,MATCH($A302,ModelOutput!$C$16:$C$26,0)))</f>
        <v>4.3562312213391099</v>
      </c>
      <c r="K302" s="39">
        <f>IF($C302="Yes",1,INDEX(ModelOutput!$D$16:$D$26,MATCH($C302,ModelOutput!$C$16:$C$26,0)))</f>
        <v>1</v>
      </c>
      <c r="L302" s="39">
        <f>IF($D302="2.0-3.0",1,INDEX(ModelOutput!$D$16:$D$26,MATCH($D302,ModelOutput!$C$16:$C$26,0)))</f>
        <v>0.87654761766211098</v>
      </c>
      <c r="M302" s="39">
        <f>IF($B302="On campus",1,INDEX(ModelOutput!$D$16:$D$26,MATCH($B302,ModelOutput!$C$16:$C$26,0)))</f>
        <v>1.7006219753182299</v>
      </c>
      <c r="N302" s="39">
        <f>IF($B302="On campus",1,INDEX(ModelOutput!$E$16:$E$26,MATCH($B302,ModelOutput!$C$16:$C$26,0)))</f>
        <v>1.6738008433039699</v>
      </c>
      <c r="O302" s="39">
        <f>IF($B302="On campus",1,INDEX(ModelOutput!$F$16:$F$26,MATCH($B302,ModelOutput!$C$16:$C$26,0)))</f>
        <v>2.1619836912278898</v>
      </c>
      <c r="P302" s="39">
        <f>IF($B302="On campus",1,INDEX(ModelOutput!$G$16:$G$26,MATCH($B302,ModelOutput!$C$16:$C$26,0)))</f>
        <v>2.7253181394344401</v>
      </c>
      <c r="Q302" s="73">
        <f>INDEX(ModelOutput!$D$9:$D$11,MATCH("Tier "&amp;$F302,ModelOutput!$B$9:$B$11,0))</f>
        <v>42.8051506068728</v>
      </c>
      <c r="R302" s="73">
        <f>INDEX(ModelOutput!$E$9:$E$11,MATCH("Tier "&amp;$F302,ModelOutput!$B$9:$B$11,0))</f>
        <v>126.191618818284</v>
      </c>
      <c r="S302" s="73">
        <f>INDEX(ModelOutput!$F$9:$F$11,MATCH("Tier "&amp;$F302,ModelOutput!$B$9:$B$11,0))</f>
        <v>146.401050261042</v>
      </c>
      <c r="T302" s="73">
        <f>INDEX(ModelOutput!$G$9:$G$11,MATCH("Tier "&amp;$F302,ModelOutput!$B$9:$B$11,0))</f>
        <v>24.317895180076398</v>
      </c>
      <c r="U302" s="77">
        <f t="shared" si="44"/>
        <v>277.96508835467768</v>
      </c>
      <c r="V302" s="77">
        <f t="shared" si="45"/>
        <v>806.53038030908453</v>
      </c>
      <c r="W302" s="77">
        <f t="shared" si="46"/>
        <v>1208.6012606164841</v>
      </c>
      <c r="X302" s="77">
        <f t="shared" si="47"/>
        <v>253.06356745515586</v>
      </c>
      <c r="Y302" s="30">
        <f t="shared" si="48"/>
        <v>2546.160296735402</v>
      </c>
      <c r="Z302" s="30">
        <f t="shared" si="49"/>
        <v>4181.9218069276812</v>
      </c>
      <c r="AA302" s="41">
        <f t="shared" si="50"/>
        <v>1.9321515220945078</v>
      </c>
      <c r="AB302" s="40">
        <f t="shared" si="51"/>
        <v>1782.7872193062994</v>
      </c>
      <c r="AC302" s="42">
        <f t="shared" si="52"/>
        <v>5</v>
      </c>
      <c r="AD302" s="43">
        <v>2546.1602967354002</v>
      </c>
      <c r="AE302" s="79">
        <f t="shared" si="53"/>
        <v>0</v>
      </c>
      <c r="AF302" s="29">
        <f t="shared" si="54"/>
        <v>2</v>
      </c>
    </row>
    <row r="303" spans="1:32" ht="15" customHeight="1" x14ac:dyDescent="0.35">
      <c r="A303" s="37" t="s">
        <v>109</v>
      </c>
      <c r="B303" s="37" t="s">
        <v>114</v>
      </c>
      <c r="C303" s="37" t="s">
        <v>210</v>
      </c>
      <c r="D303" s="37" t="s">
        <v>124</v>
      </c>
      <c r="E303" s="37" t="s">
        <v>99</v>
      </c>
      <c r="F303" s="37">
        <v>3</v>
      </c>
      <c r="G303" s="37" t="s">
        <v>211</v>
      </c>
      <c r="H303" s="38">
        <v>5</v>
      </c>
      <c r="I303" s="39">
        <f>IF($G303="Base",1,INDEX(ModelOutput!$D$16:$D$26,MATCH($G303,ModelOutput!$C$16:$C$26,0)))</f>
        <v>1</v>
      </c>
      <c r="J303" s="39">
        <f>IF($A303="Non-greek",1,INDEX(ModelOutput!$D$16:$D$26,MATCH($A303,ModelOutput!$C$16:$C$26,0)))</f>
        <v>4.3562312213391099</v>
      </c>
      <c r="K303" s="39">
        <f>IF($C303="Yes",1,INDEX(ModelOutput!$D$16:$D$26,MATCH($C303,ModelOutput!$C$16:$C$26,0)))</f>
        <v>1</v>
      </c>
      <c r="L303" s="39">
        <f>IF($D303="2.0-3.0",1,INDEX(ModelOutput!$D$16:$D$26,MATCH($D303,ModelOutput!$C$16:$C$26,0)))</f>
        <v>0.87654761766211098</v>
      </c>
      <c r="M303" s="39">
        <f>IF($B303="On campus",1,INDEX(ModelOutput!$D$16:$D$26,MATCH($B303,ModelOutput!$C$16:$C$26,0)))</f>
        <v>1.7006219753182299</v>
      </c>
      <c r="N303" s="39">
        <f>IF($B303="On campus",1,INDEX(ModelOutput!$E$16:$E$26,MATCH($B303,ModelOutput!$C$16:$C$26,0)))</f>
        <v>1.6738008433039699</v>
      </c>
      <c r="O303" s="39">
        <f>IF($B303="On campus",1,INDEX(ModelOutput!$F$16:$F$26,MATCH($B303,ModelOutput!$C$16:$C$26,0)))</f>
        <v>2.1619836912278898</v>
      </c>
      <c r="P303" s="39">
        <f>IF($B303="On campus",1,INDEX(ModelOutput!$G$16:$G$26,MATCH($B303,ModelOutput!$C$16:$C$26,0)))</f>
        <v>2.7253181394344401</v>
      </c>
      <c r="Q303" s="73">
        <f>INDEX(ModelOutput!$D$9:$D$11,MATCH("Tier "&amp;$F303,ModelOutput!$B$9:$B$11,0))</f>
        <v>40.009437343712797</v>
      </c>
      <c r="R303" s="73">
        <f>INDEX(ModelOutput!$E$9:$E$11,MATCH("Tier "&amp;$F303,ModelOutput!$B$9:$B$11,0))</f>
        <v>117.949723218616</v>
      </c>
      <c r="S303" s="73">
        <f>INDEX(ModelOutput!$F$9:$F$11,MATCH("Tier "&amp;$F303,ModelOutput!$B$9:$B$11,0))</f>
        <v>136.83922529015501</v>
      </c>
      <c r="T303" s="73">
        <f>INDEX(ModelOutput!$G$9:$G$11,MATCH("Tier "&amp;$F303,ModelOutput!$B$9:$B$11,0))</f>
        <v>22.729631592092201</v>
      </c>
      <c r="U303" s="77">
        <f t="shared" si="44"/>
        <v>259.81048141623506</v>
      </c>
      <c r="V303" s="77">
        <f t="shared" si="45"/>
        <v>753.85382972104458</v>
      </c>
      <c r="W303" s="77">
        <f t="shared" si="46"/>
        <v>1129.6644381483229</v>
      </c>
      <c r="X303" s="77">
        <f t="shared" si="47"/>
        <v>236.53534218491498</v>
      </c>
      <c r="Y303" s="30">
        <f t="shared" si="48"/>
        <v>2379.8640914705175</v>
      </c>
      <c r="Z303" s="30">
        <f t="shared" si="49"/>
        <v>3911.5112127727793</v>
      </c>
      <c r="AA303" s="41">
        <f t="shared" si="50"/>
        <v>1.7425533249382865</v>
      </c>
      <c r="AB303" s="40">
        <f t="shared" si="51"/>
        <v>1782.7872193062994</v>
      </c>
      <c r="AC303" s="42">
        <f t="shared" si="52"/>
        <v>5</v>
      </c>
      <c r="AD303" s="43">
        <v>2379.8640914705202</v>
      </c>
      <c r="AE303" s="79">
        <f t="shared" si="53"/>
        <v>0</v>
      </c>
      <c r="AF303" s="29">
        <f t="shared" si="54"/>
        <v>1</v>
      </c>
    </row>
    <row r="304" spans="1:32" ht="15" customHeight="1" x14ac:dyDescent="0.35">
      <c r="A304" s="37" t="s">
        <v>109</v>
      </c>
      <c r="B304" s="37" t="s">
        <v>114</v>
      </c>
      <c r="C304" s="37" t="s">
        <v>210</v>
      </c>
      <c r="D304" s="37" t="s">
        <v>124</v>
      </c>
      <c r="E304" s="37" t="s">
        <v>213</v>
      </c>
      <c r="F304" s="37">
        <v>3</v>
      </c>
      <c r="G304" s="37" t="s">
        <v>107</v>
      </c>
      <c r="H304" s="38">
        <v>4</v>
      </c>
      <c r="I304" s="39">
        <f>IF($G304="Base",1,INDEX(ModelOutput!$D$16:$D$26,MATCH($G304,ModelOutput!$C$16:$C$26,0)))</f>
        <v>1.1906804269762199</v>
      </c>
      <c r="J304" s="39">
        <f>IF($A304="Non-greek",1,INDEX(ModelOutput!$D$16:$D$26,MATCH($A304,ModelOutput!$C$16:$C$26,0)))</f>
        <v>4.3562312213391099</v>
      </c>
      <c r="K304" s="39">
        <f>IF($C304="Yes",1,INDEX(ModelOutput!$D$16:$D$26,MATCH($C304,ModelOutput!$C$16:$C$26,0)))</f>
        <v>1</v>
      </c>
      <c r="L304" s="39">
        <f>IF($D304="2.0-3.0",1,INDEX(ModelOutput!$D$16:$D$26,MATCH($D304,ModelOutput!$C$16:$C$26,0)))</f>
        <v>0.87654761766211098</v>
      </c>
      <c r="M304" s="39">
        <f>IF($B304="On campus",1,INDEX(ModelOutput!$D$16:$D$26,MATCH($B304,ModelOutput!$C$16:$C$26,0)))</f>
        <v>1.7006219753182299</v>
      </c>
      <c r="N304" s="39">
        <f>IF($B304="On campus",1,INDEX(ModelOutput!$E$16:$E$26,MATCH($B304,ModelOutput!$C$16:$C$26,0)))</f>
        <v>1.6738008433039699</v>
      </c>
      <c r="O304" s="39">
        <f>IF($B304="On campus",1,INDEX(ModelOutput!$F$16:$F$26,MATCH($B304,ModelOutput!$C$16:$C$26,0)))</f>
        <v>2.1619836912278898</v>
      </c>
      <c r="P304" s="39">
        <f>IF($B304="On campus",1,INDEX(ModelOutput!$G$16:$G$26,MATCH($B304,ModelOutput!$C$16:$C$26,0)))</f>
        <v>2.7253181394344401</v>
      </c>
      <c r="Q304" s="73">
        <f>INDEX(ModelOutput!$D$9:$D$11,MATCH("Tier "&amp;$F304,ModelOutput!$B$9:$B$11,0))</f>
        <v>40.009437343712797</v>
      </c>
      <c r="R304" s="73">
        <f>INDEX(ModelOutput!$E$9:$E$11,MATCH("Tier "&amp;$F304,ModelOutput!$B$9:$B$11,0))</f>
        <v>117.949723218616</v>
      </c>
      <c r="S304" s="73">
        <f>INDEX(ModelOutput!$F$9:$F$11,MATCH("Tier "&amp;$F304,ModelOutput!$B$9:$B$11,0))</f>
        <v>136.83922529015501</v>
      </c>
      <c r="T304" s="73">
        <f>INDEX(ModelOutput!$G$9:$G$11,MATCH("Tier "&amp;$F304,ModelOutput!$B$9:$B$11,0))</f>
        <v>22.729631592092201</v>
      </c>
      <c r="U304" s="77">
        <f t="shared" si="44"/>
        <v>309.35125494558002</v>
      </c>
      <c r="V304" s="77">
        <f t="shared" si="45"/>
        <v>897.59899984991182</v>
      </c>
      <c r="W304" s="77">
        <f t="shared" si="46"/>
        <v>1345.0693355542969</v>
      </c>
      <c r="X304" s="77">
        <f t="shared" si="47"/>
        <v>281.63800222770084</v>
      </c>
      <c r="Y304" s="30">
        <f t="shared" si="48"/>
        <v>2833.6575925774896</v>
      </c>
      <c r="Z304" s="30">
        <f t="shared" si="49"/>
        <v>4649.4148231558902</v>
      </c>
      <c r="AA304" s="41">
        <f t="shared" si="50"/>
        <v>2.2599339203285744</v>
      </c>
      <c r="AB304" s="40">
        <f t="shared" si="51"/>
        <v>1782.7872193062994</v>
      </c>
      <c r="AC304" s="42">
        <f t="shared" si="52"/>
        <v>6</v>
      </c>
      <c r="AD304" s="43">
        <v>2833.6575925775001</v>
      </c>
      <c r="AE304" s="79">
        <f t="shared" si="53"/>
        <v>-1.0459189070388675E-11</v>
      </c>
      <c r="AF304" s="29">
        <f t="shared" si="54"/>
        <v>2</v>
      </c>
    </row>
    <row r="305" spans="1:32" ht="15" customHeight="1" x14ac:dyDescent="0.35">
      <c r="A305" s="19" t="s">
        <v>109</v>
      </c>
      <c r="B305" s="19" t="s">
        <v>114</v>
      </c>
      <c r="C305" s="19" t="s">
        <v>118</v>
      </c>
      <c r="D305" s="19" t="s">
        <v>121</v>
      </c>
      <c r="E305" s="19" t="s">
        <v>95</v>
      </c>
      <c r="F305" s="19">
        <v>1</v>
      </c>
      <c r="G305" s="19" t="s">
        <v>211</v>
      </c>
      <c r="H305" s="16">
        <v>2</v>
      </c>
      <c r="I305" s="13">
        <f>IF($G305="Base",1,INDEX(ModelOutput!$D$16:$D$26,MATCH($G305,ModelOutput!$C$16:$C$26,0)))</f>
        <v>1</v>
      </c>
      <c r="J305" s="13">
        <f>IF($A305="Non-greek",1,INDEX(ModelOutput!$D$16:$D$26,MATCH($A305,ModelOutput!$C$16:$C$26,0)))</f>
        <v>4.3562312213391099</v>
      </c>
      <c r="K305" s="13">
        <f>IF($C305="Yes",1,INDEX(ModelOutput!$D$16:$D$26,MATCH($C305,ModelOutput!$C$16:$C$26,0)))</f>
        <v>1.5400747552012299</v>
      </c>
      <c r="L305" s="13">
        <f>IF($D305="2.0-3.0",1,INDEX(ModelOutput!$D$16:$D$26,MATCH($D305,ModelOutput!$C$16:$C$26,0)))</f>
        <v>1.12144800201769</v>
      </c>
      <c r="M305" s="13">
        <f>IF($B305="On campus",1,INDEX(ModelOutput!$D$16:$D$26,MATCH($B305,ModelOutput!$C$16:$C$26,0)))</f>
        <v>1.7006219753182299</v>
      </c>
      <c r="N305" s="13">
        <f>IF($B305="On campus",1,INDEX(ModelOutput!$E$16:$E$26,MATCH($B305,ModelOutput!$C$16:$C$26,0)))</f>
        <v>1.6738008433039699</v>
      </c>
      <c r="O305" s="13">
        <f>IF($B305="On campus",1,INDEX(ModelOutput!$F$16:$F$26,MATCH($B305,ModelOutput!$C$16:$C$26,0)))</f>
        <v>2.1619836912278898</v>
      </c>
      <c r="P305" s="13">
        <f>IF($B305="On campus",1,INDEX(ModelOutput!$G$16:$G$26,MATCH($B305,ModelOutput!$C$16:$C$26,0)))</f>
        <v>2.7253181394344401</v>
      </c>
      <c r="Q305" s="72">
        <f>INDEX(ModelOutput!$D$9:$D$11,MATCH("Tier "&amp;$F305,ModelOutput!$B$9:$B$11,0))</f>
        <v>36.175496869914397</v>
      </c>
      <c r="R305" s="72">
        <f>INDEX(ModelOutput!$E$9:$E$11,MATCH("Tier "&amp;$F305,ModelOutput!$B$9:$B$11,0))</f>
        <v>106.647084447761</v>
      </c>
      <c r="S305" s="72">
        <f>INDEX(ModelOutput!$F$9:$F$11,MATCH("Tier "&amp;$F305,ModelOutput!$B$9:$B$11,0))</f>
        <v>123.726482920496</v>
      </c>
      <c r="T305" s="72">
        <f>INDEX(ModelOutput!$G$9:$G$11,MATCH("Tier "&amp;$F305,ModelOutput!$B$9:$B$11,0))</f>
        <v>20.551544113210401</v>
      </c>
      <c r="U305" s="76">
        <f t="shared" si="44"/>
        <v>462.86480387338366</v>
      </c>
      <c r="V305" s="76">
        <f t="shared" si="45"/>
        <v>1343.0266675193056</v>
      </c>
      <c r="W305" s="76">
        <f t="shared" si="46"/>
        <v>2012.5512479558802</v>
      </c>
      <c r="X305" s="76">
        <f t="shared" si="47"/>
        <v>421.39902968019067</v>
      </c>
      <c r="Y305" s="27">
        <f t="shared" si="48"/>
        <v>4239.8417490287602</v>
      </c>
      <c r="Z305" s="27">
        <f t="shared" si="49"/>
        <v>6935.9798871723569</v>
      </c>
      <c r="AA305" s="33">
        <f t="shared" si="50"/>
        <v>3.8631574004322404</v>
      </c>
      <c r="AB305" s="14">
        <f t="shared" si="51"/>
        <v>1782.7872193062994</v>
      </c>
      <c r="AC305" s="29">
        <f t="shared" si="52"/>
        <v>8</v>
      </c>
      <c r="AD305" s="20">
        <v>4239.8417490287602</v>
      </c>
      <c r="AE305" s="78">
        <f t="shared" si="53"/>
        <v>0</v>
      </c>
      <c r="AF305" s="29">
        <f t="shared" si="54"/>
        <v>4</v>
      </c>
    </row>
    <row r="306" spans="1:32" ht="15" customHeight="1" x14ac:dyDescent="0.35">
      <c r="A306" s="19" t="s">
        <v>109</v>
      </c>
      <c r="B306" s="19" t="s">
        <v>114</v>
      </c>
      <c r="C306" s="19" t="s">
        <v>118</v>
      </c>
      <c r="D306" s="19" t="s">
        <v>121</v>
      </c>
      <c r="E306" s="19" t="s">
        <v>105</v>
      </c>
      <c r="F306" s="19">
        <v>1</v>
      </c>
      <c r="G306" s="19" t="s">
        <v>105</v>
      </c>
      <c r="H306" s="16">
        <v>2</v>
      </c>
      <c r="I306" s="13">
        <f>IF($G306="Base",1,INDEX(ModelOutput!$D$16:$D$26,MATCH($G306,ModelOutput!$C$16:$C$26,0)))</f>
        <v>0.98982624281990295</v>
      </c>
      <c r="J306" s="13">
        <f>IF($A306="Non-greek",1,INDEX(ModelOutput!$D$16:$D$26,MATCH($A306,ModelOutput!$C$16:$C$26,0)))</f>
        <v>4.3562312213391099</v>
      </c>
      <c r="K306" s="13">
        <f>IF($C306="Yes",1,INDEX(ModelOutput!$D$16:$D$26,MATCH($C306,ModelOutput!$C$16:$C$26,0)))</f>
        <v>1.5400747552012299</v>
      </c>
      <c r="L306" s="13">
        <f>IF($D306="2.0-3.0",1,INDEX(ModelOutput!$D$16:$D$26,MATCH($D306,ModelOutput!$C$16:$C$26,0)))</f>
        <v>1.12144800201769</v>
      </c>
      <c r="M306" s="13">
        <f>IF($B306="On campus",1,INDEX(ModelOutput!$D$16:$D$26,MATCH($B306,ModelOutput!$C$16:$C$26,0)))</f>
        <v>1.7006219753182299</v>
      </c>
      <c r="N306" s="13">
        <f>IF($B306="On campus",1,INDEX(ModelOutput!$E$16:$E$26,MATCH($B306,ModelOutput!$C$16:$C$26,0)))</f>
        <v>1.6738008433039699</v>
      </c>
      <c r="O306" s="13">
        <f>IF($B306="On campus",1,INDEX(ModelOutput!$F$16:$F$26,MATCH($B306,ModelOutput!$C$16:$C$26,0)))</f>
        <v>2.1619836912278898</v>
      </c>
      <c r="P306" s="13">
        <f>IF($B306="On campus",1,INDEX(ModelOutput!$G$16:$G$26,MATCH($B306,ModelOutput!$C$16:$C$26,0)))</f>
        <v>2.7253181394344401</v>
      </c>
      <c r="Q306" s="72">
        <f>INDEX(ModelOutput!$D$9:$D$11,MATCH("Tier "&amp;$F306,ModelOutput!$B$9:$B$11,0))</f>
        <v>36.175496869914397</v>
      </c>
      <c r="R306" s="72">
        <f>INDEX(ModelOutput!$E$9:$E$11,MATCH("Tier "&amp;$F306,ModelOutput!$B$9:$B$11,0))</f>
        <v>106.647084447761</v>
      </c>
      <c r="S306" s="72">
        <f>INDEX(ModelOutput!$F$9:$F$11,MATCH("Tier "&amp;$F306,ModelOutput!$B$9:$B$11,0))</f>
        <v>123.726482920496</v>
      </c>
      <c r="T306" s="72">
        <f>INDEX(ModelOutput!$G$9:$G$11,MATCH("Tier "&amp;$F306,ModelOutput!$B$9:$B$11,0))</f>
        <v>20.551544113210401</v>
      </c>
      <c r="U306" s="76">
        <f t="shared" si="44"/>
        <v>458.1557297515626</v>
      </c>
      <c r="V306" s="76">
        <f t="shared" si="45"/>
        <v>1329.3630403175694</v>
      </c>
      <c r="W306" s="76">
        <f t="shared" si="46"/>
        <v>1992.0760402466756</v>
      </c>
      <c r="X306" s="76">
        <f t="shared" si="47"/>
        <v>417.11181827629576</v>
      </c>
      <c r="Y306" s="27">
        <f t="shared" si="48"/>
        <v>4196.7066285921037</v>
      </c>
      <c r="Z306" s="27">
        <f t="shared" si="49"/>
        <v>6865.8388185433996</v>
      </c>
      <c r="AA306" s="33">
        <f t="shared" si="50"/>
        <v>3.8139780396892835</v>
      </c>
      <c r="AB306" s="14">
        <f t="shared" si="51"/>
        <v>1782.7872193062994</v>
      </c>
      <c r="AC306" s="29">
        <f t="shared" si="52"/>
        <v>8</v>
      </c>
      <c r="AD306" s="20">
        <v>4196.7066285921101</v>
      </c>
      <c r="AE306" s="78">
        <f t="shared" si="53"/>
        <v>0</v>
      </c>
      <c r="AF306" s="29">
        <f t="shared" si="54"/>
        <v>3</v>
      </c>
    </row>
    <row r="307" spans="1:32" ht="15" customHeight="1" x14ac:dyDescent="0.35">
      <c r="A307" s="19" t="s">
        <v>109</v>
      </c>
      <c r="B307" s="19" t="s">
        <v>114</v>
      </c>
      <c r="C307" s="19" t="s">
        <v>118</v>
      </c>
      <c r="D307" s="19" t="s">
        <v>121</v>
      </c>
      <c r="E307" s="19" t="s">
        <v>97</v>
      </c>
      <c r="F307" s="19">
        <v>2</v>
      </c>
      <c r="G307" s="19" t="s">
        <v>211</v>
      </c>
      <c r="H307" s="16">
        <v>0</v>
      </c>
      <c r="I307" s="13">
        <f>IF($G307="Base",1,INDEX(ModelOutput!$D$16:$D$26,MATCH($G307,ModelOutput!$C$16:$C$26,0)))</f>
        <v>1</v>
      </c>
      <c r="J307" s="13">
        <f>IF($A307="Non-greek",1,INDEX(ModelOutput!$D$16:$D$26,MATCH($A307,ModelOutput!$C$16:$C$26,0)))</f>
        <v>4.3562312213391099</v>
      </c>
      <c r="K307" s="13">
        <f>IF($C307="Yes",1,INDEX(ModelOutput!$D$16:$D$26,MATCH($C307,ModelOutput!$C$16:$C$26,0)))</f>
        <v>1.5400747552012299</v>
      </c>
      <c r="L307" s="13">
        <f>IF($D307="2.0-3.0",1,INDEX(ModelOutput!$D$16:$D$26,MATCH($D307,ModelOutput!$C$16:$C$26,0)))</f>
        <v>1.12144800201769</v>
      </c>
      <c r="M307" s="13">
        <f>IF($B307="On campus",1,INDEX(ModelOutput!$D$16:$D$26,MATCH($B307,ModelOutput!$C$16:$C$26,0)))</f>
        <v>1.7006219753182299</v>
      </c>
      <c r="N307" s="13">
        <f>IF($B307="On campus",1,INDEX(ModelOutput!$E$16:$E$26,MATCH($B307,ModelOutput!$C$16:$C$26,0)))</f>
        <v>1.6738008433039699</v>
      </c>
      <c r="O307" s="13">
        <f>IF($B307="On campus",1,INDEX(ModelOutput!$F$16:$F$26,MATCH($B307,ModelOutput!$C$16:$C$26,0)))</f>
        <v>2.1619836912278898</v>
      </c>
      <c r="P307" s="13">
        <f>IF($B307="On campus",1,INDEX(ModelOutput!$G$16:$G$26,MATCH($B307,ModelOutput!$C$16:$C$26,0)))</f>
        <v>2.7253181394344401</v>
      </c>
      <c r="Q307" s="72">
        <f>INDEX(ModelOutput!$D$9:$D$11,MATCH("Tier "&amp;$F307,ModelOutput!$B$9:$B$11,0))</f>
        <v>42.8051506068728</v>
      </c>
      <c r="R307" s="72">
        <f>INDEX(ModelOutput!$E$9:$E$11,MATCH("Tier "&amp;$F307,ModelOutput!$B$9:$B$11,0))</f>
        <v>126.191618818284</v>
      </c>
      <c r="S307" s="72">
        <f>INDEX(ModelOutput!$F$9:$F$11,MATCH("Tier "&amp;$F307,ModelOutput!$B$9:$B$11,0))</f>
        <v>146.401050261042</v>
      </c>
      <c r="T307" s="72">
        <f>INDEX(ModelOutput!$G$9:$G$11,MATCH("Tier "&amp;$F307,ModelOutput!$B$9:$B$11,0))</f>
        <v>24.317895180076398</v>
      </c>
      <c r="U307" s="76">
        <f t="shared" si="44"/>
        <v>547.6910990792345</v>
      </c>
      <c r="V307" s="76">
        <f t="shared" si="45"/>
        <v>1589.1546418542955</v>
      </c>
      <c r="W307" s="76">
        <f t="shared" si="46"/>
        <v>2381.3787432577451</v>
      </c>
      <c r="X307" s="76">
        <f t="shared" si="47"/>
        <v>498.6261555968307</v>
      </c>
      <c r="Y307" s="27">
        <f t="shared" si="48"/>
        <v>5016.8506397881056</v>
      </c>
      <c r="Z307" s="27">
        <f t="shared" si="49"/>
        <v>8199.4569188893438</v>
      </c>
      <c r="AA307" s="33">
        <f t="shared" si="50"/>
        <v>4.7490434290861661</v>
      </c>
      <c r="AB307" s="14">
        <f t="shared" si="51"/>
        <v>1782.7872193062994</v>
      </c>
      <c r="AC307" s="29">
        <f t="shared" si="52"/>
        <v>8</v>
      </c>
      <c r="AD307" s="20">
        <v>5016.8506397881201</v>
      </c>
      <c r="AE307" s="78">
        <f t="shared" si="53"/>
        <v>-1.4551915228366852E-11</v>
      </c>
      <c r="AF307" s="29">
        <f t="shared" si="54"/>
        <v>2</v>
      </c>
    </row>
    <row r="308" spans="1:32" ht="15" customHeight="1" x14ac:dyDescent="0.35">
      <c r="A308" s="19" t="s">
        <v>109</v>
      </c>
      <c r="B308" s="19" t="s">
        <v>114</v>
      </c>
      <c r="C308" s="19" t="s">
        <v>118</v>
      </c>
      <c r="D308" s="19" t="s">
        <v>121</v>
      </c>
      <c r="E308" s="19" t="s">
        <v>99</v>
      </c>
      <c r="F308" s="19">
        <v>3</v>
      </c>
      <c r="G308" s="19" t="s">
        <v>211</v>
      </c>
      <c r="H308" s="16">
        <v>3</v>
      </c>
      <c r="I308" s="13">
        <f>IF($G308="Base",1,INDEX(ModelOutput!$D$16:$D$26,MATCH($G308,ModelOutput!$C$16:$C$26,0)))</f>
        <v>1</v>
      </c>
      <c r="J308" s="13">
        <f>IF($A308="Non-greek",1,INDEX(ModelOutput!$D$16:$D$26,MATCH($A308,ModelOutput!$C$16:$C$26,0)))</f>
        <v>4.3562312213391099</v>
      </c>
      <c r="K308" s="13">
        <f>IF($C308="Yes",1,INDEX(ModelOutput!$D$16:$D$26,MATCH($C308,ModelOutput!$C$16:$C$26,0)))</f>
        <v>1.5400747552012299</v>
      </c>
      <c r="L308" s="13">
        <f>IF($D308="2.0-3.0",1,INDEX(ModelOutput!$D$16:$D$26,MATCH($D308,ModelOutput!$C$16:$C$26,0)))</f>
        <v>1.12144800201769</v>
      </c>
      <c r="M308" s="13">
        <f>IF($B308="On campus",1,INDEX(ModelOutput!$D$16:$D$26,MATCH($B308,ModelOutput!$C$16:$C$26,0)))</f>
        <v>1.7006219753182299</v>
      </c>
      <c r="N308" s="13">
        <f>IF($B308="On campus",1,INDEX(ModelOutput!$E$16:$E$26,MATCH($B308,ModelOutput!$C$16:$C$26,0)))</f>
        <v>1.6738008433039699</v>
      </c>
      <c r="O308" s="13">
        <f>IF($B308="On campus",1,INDEX(ModelOutput!$F$16:$F$26,MATCH($B308,ModelOutput!$C$16:$C$26,0)))</f>
        <v>2.1619836912278898</v>
      </c>
      <c r="P308" s="13">
        <f>IF($B308="On campus",1,INDEX(ModelOutput!$G$16:$G$26,MATCH($B308,ModelOutput!$C$16:$C$26,0)))</f>
        <v>2.7253181394344401</v>
      </c>
      <c r="Q308" s="72">
        <f>INDEX(ModelOutput!$D$9:$D$11,MATCH("Tier "&amp;$F308,ModelOutput!$B$9:$B$11,0))</f>
        <v>40.009437343712797</v>
      </c>
      <c r="R308" s="72">
        <f>INDEX(ModelOutput!$E$9:$E$11,MATCH("Tier "&amp;$F308,ModelOutput!$B$9:$B$11,0))</f>
        <v>117.949723218616</v>
      </c>
      <c r="S308" s="72">
        <f>INDEX(ModelOutput!$F$9:$F$11,MATCH("Tier "&amp;$F308,ModelOutput!$B$9:$B$11,0))</f>
        <v>136.83922529015501</v>
      </c>
      <c r="T308" s="72">
        <f>INDEX(ModelOutput!$G$9:$G$11,MATCH("Tier "&amp;$F308,ModelOutput!$B$9:$B$11,0))</f>
        <v>22.729631592092201</v>
      </c>
      <c r="U308" s="76">
        <f t="shared" si="44"/>
        <v>511.92000031887534</v>
      </c>
      <c r="V308" s="76">
        <f t="shared" si="45"/>
        <v>1485.3629101010838</v>
      </c>
      <c r="W308" s="76">
        <f t="shared" si="46"/>
        <v>2225.8448403805423</v>
      </c>
      <c r="X308" s="76">
        <f t="shared" si="47"/>
        <v>466.05961309442552</v>
      </c>
      <c r="Y308" s="27">
        <f t="shared" si="48"/>
        <v>4689.1873638949273</v>
      </c>
      <c r="Z308" s="27">
        <f t="shared" si="49"/>
        <v>7666.6508877722572</v>
      </c>
      <c r="AA308" s="33">
        <f t="shared" si="50"/>
        <v>4.3754668565799371</v>
      </c>
      <c r="AB308" s="14">
        <f t="shared" si="51"/>
        <v>1782.7872193062994</v>
      </c>
      <c r="AC308" s="29">
        <f t="shared" si="52"/>
        <v>8</v>
      </c>
      <c r="AD308" s="20">
        <v>4689.1873638949401</v>
      </c>
      <c r="AE308" s="78">
        <f t="shared" si="53"/>
        <v>-1.2732925824820995E-11</v>
      </c>
      <c r="AF308" s="29">
        <f t="shared" si="54"/>
        <v>1</v>
      </c>
    </row>
    <row r="309" spans="1:32" ht="15" customHeight="1" x14ac:dyDescent="0.35">
      <c r="A309" s="19" t="s">
        <v>109</v>
      </c>
      <c r="B309" s="19" t="s">
        <v>114</v>
      </c>
      <c r="C309" s="19" t="s">
        <v>118</v>
      </c>
      <c r="D309" s="19" t="s">
        <v>121</v>
      </c>
      <c r="E309" s="19" t="s">
        <v>213</v>
      </c>
      <c r="F309" s="19">
        <v>3</v>
      </c>
      <c r="G309" s="19" t="s">
        <v>107</v>
      </c>
      <c r="H309" s="16">
        <v>0</v>
      </c>
      <c r="I309" s="13">
        <f>IF($G309="Base",1,INDEX(ModelOutput!$D$16:$D$26,MATCH($G309,ModelOutput!$C$16:$C$26,0)))</f>
        <v>1.1906804269762199</v>
      </c>
      <c r="J309" s="13">
        <f>IF($A309="Non-greek",1,INDEX(ModelOutput!$D$16:$D$26,MATCH($A309,ModelOutput!$C$16:$C$26,0)))</f>
        <v>4.3562312213391099</v>
      </c>
      <c r="K309" s="13">
        <f>IF($C309="Yes",1,INDEX(ModelOutput!$D$16:$D$26,MATCH($C309,ModelOutput!$C$16:$C$26,0)))</f>
        <v>1.5400747552012299</v>
      </c>
      <c r="L309" s="13">
        <f>IF($D309="2.0-3.0",1,INDEX(ModelOutput!$D$16:$D$26,MATCH($D309,ModelOutput!$C$16:$C$26,0)))</f>
        <v>1.12144800201769</v>
      </c>
      <c r="M309" s="13">
        <f>IF($B309="On campus",1,INDEX(ModelOutput!$D$16:$D$26,MATCH($B309,ModelOutput!$C$16:$C$26,0)))</f>
        <v>1.7006219753182299</v>
      </c>
      <c r="N309" s="13">
        <f>IF($B309="On campus",1,INDEX(ModelOutput!$E$16:$E$26,MATCH($B309,ModelOutput!$C$16:$C$26,0)))</f>
        <v>1.6738008433039699</v>
      </c>
      <c r="O309" s="13">
        <f>IF($B309="On campus",1,INDEX(ModelOutput!$F$16:$F$26,MATCH($B309,ModelOutput!$C$16:$C$26,0)))</f>
        <v>2.1619836912278898</v>
      </c>
      <c r="P309" s="13">
        <f>IF($B309="On campus",1,INDEX(ModelOutput!$G$16:$G$26,MATCH($B309,ModelOutput!$C$16:$C$26,0)))</f>
        <v>2.7253181394344401</v>
      </c>
      <c r="Q309" s="72">
        <f>INDEX(ModelOutput!$D$9:$D$11,MATCH("Tier "&amp;$F309,ModelOutput!$B$9:$B$11,0))</f>
        <v>40.009437343712797</v>
      </c>
      <c r="R309" s="72">
        <f>INDEX(ModelOutput!$E$9:$E$11,MATCH("Tier "&amp;$F309,ModelOutput!$B$9:$B$11,0))</f>
        <v>117.949723218616</v>
      </c>
      <c r="S309" s="72">
        <f>INDEX(ModelOutput!$F$9:$F$11,MATCH("Tier "&amp;$F309,ModelOutput!$B$9:$B$11,0))</f>
        <v>136.83922529015501</v>
      </c>
      <c r="T309" s="72">
        <f>INDEX(ModelOutput!$G$9:$G$11,MATCH("Tier "&amp;$F309,ModelOutput!$B$9:$B$11,0))</f>
        <v>22.729631592092201</v>
      </c>
      <c r="U309" s="76">
        <f t="shared" si="44"/>
        <v>609.53312455734522</v>
      </c>
      <c r="V309" s="76">
        <f t="shared" si="45"/>
        <v>1768.5925440137989</v>
      </c>
      <c r="W309" s="76">
        <f t="shared" si="46"/>
        <v>2650.2698849271205</v>
      </c>
      <c r="X309" s="76">
        <f t="shared" si="47"/>
        <v>554.92805911564244</v>
      </c>
      <c r="Y309" s="27">
        <f t="shared" si="48"/>
        <v>5583.3236126139072</v>
      </c>
      <c r="Z309" s="27">
        <f t="shared" si="49"/>
        <v>9120.5861347396094</v>
      </c>
      <c r="AA309" s="33">
        <f t="shared" si="50"/>
        <v>5.3948925283751201</v>
      </c>
      <c r="AB309" s="14">
        <f t="shared" si="51"/>
        <v>1782.7872193062994</v>
      </c>
      <c r="AC309" s="29">
        <f t="shared" si="52"/>
        <v>9</v>
      </c>
      <c r="AD309" s="20">
        <v>5583.32361261393</v>
      </c>
      <c r="AE309" s="78">
        <f t="shared" si="53"/>
        <v>-2.2737367544323206E-11</v>
      </c>
      <c r="AF309" s="29">
        <f t="shared" si="54"/>
        <v>2</v>
      </c>
    </row>
    <row r="310" spans="1:32" ht="15" customHeight="1" x14ac:dyDescent="0.35">
      <c r="A310" s="37" t="s">
        <v>109</v>
      </c>
      <c r="B310" s="37" t="s">
        <v>114</v>
      </c>
      <c r="C310" s="37" t="s">
        <v>118</v>
      </c>
      <c r="D310" s="37" t="s">
        <v>123</v>
      </c>
      <c r="E310" s="37" t="s">
        <v>95</v>
      </c>
      <c r="F310" s="37">
        <v>1</v>
      </c>
      <c r="G310" s="37" t="s">
        <v>211</v>
      </c>
      <c r="H310" s="38">
        <v>3</v>
      </c>
      <c r="I310" s="39">
        <f>IF($G310="Base",1,INDEX(ModelOutput!$D$16:$D$26,MATCH($G310,ModelOutput!$C$16:$C$26,0)))</f>
        <v>1</v>
      </c>
      <c r="J310" s="39">
        <f>IF($A310="Non-greek",1,INDEX(ModelOutput!$D$16:$D$26,MATCH($A310,ModelOutput!$C$16:$C$26,0)))</f>
        <v>4.3562312213391099</v>
      </c>
      <c r="K310" s="39">
        <f>IF($C310="Yes",1,INDEX(ModelOutput!$D$16:$D$26,MATCH($C310,ModelOutput!$C$16:$C$26,0)))</f>
        <v>1.5400747552012299</v>
      </c>
      <c r="L310" s="39">
        <f>IF($D310="2.0-3.0",1,INDEX(ModelOutput!$D$16:$D$26,MATCH($D310,ModelOutput!$C$16:$C$26,0)))</f>
        <v>1.01762556011242</v>
      </c>
      <c r="M310" s="39">
        <f>IF($B310="On campus",1,INDEX(ModelOutput!$D$16:$D$26,MATCH($B310,ModelOutput!$C$16:$C$26,0)))</f>
        <v>1.7006219753182299</v>
      </c>
      <c r="N310" s="39">
        <f>IF($B310="On campus",1,INDEX(ModelOutput!$E$16:$E$26,MATCH($B310,ModelOutput!$C$16:$C$26,0)))</f>
        <v>1.6738008433039699</v>
      </c>
      <c r="O310" s="39">
        <f>IF($B310="On campus",1,INDEX(ModelOutput!$F$16:$F$26,MATCH($B310,ModelOutput!$C$16:$C$26,0)))</f>
        <v>2.1619836912278898</v>
      </c>
      <c r="P310" s="39">
        <f>IF($B310="On campus",1,INDEX(ModelOutput!$G$16:$G$26,MATCH($B310,ModelOutput!$C$16:$C$26,0)))</f>
        <v>2.7253181394344401</v>
      </c>
      <c r="Q310" s="73">
        <f>INDEX(ModelOutput!$D$9:$D$11,MATCH("Tier "&amp;$F310,ModelOutput!$B$9:$B$11,0))</f>
        <v>36.175496869914397</v>
      </c>
      <c r="R310" s="73">
        <f>INDEX(ModelOutput!$E$9:$E$11,MATCH("Tier "&amp;$F310,ModelOutput!$B$9:$B$11,0))</f>
        <v>106.647084447761</v>
      </c>
      <c r="S310" s="73">
        <f>INDEX(ModelOutput!$F$9:$F$11,MATCH("Tier "&amp;$F310,ModelOutput!$B$9:$B$11,0))</f>
        <v>123.726482920496</v>
      </c>
      <c r="T310" s="73">
        <f>INDEX(ModelOutput!$G$9:$G$11,MATCH("Tier "&amp;$F310,ModelOutput!$B$9:$B$11,0))</f>
        <v>20.551544113210401</v>
      </c>
      <c r="U310" s="77">
        <f t="shared" si="44"/>
        <v>420.01328144552474</v>
      </c>
      <c r="V310" s="77">
        <f t="shared" si="45"/>
        <v>1218.6907126512419</v>
      </c>
      <c r="W310" s="77">
        <f t="shared" si="46"/>
        <v>1826.231432283337</v>
      </c>
      <c r="X310" s="77">
        <f t="shared" si="47"/>
        <v>382.38636373474037</v>
      </c>
      <c r="Y310" s="30">
        <f t="shared" si="48"/>
        <v>3847.3217901148437</v>
      </c>
      <c r="Z310" s="30">
        <f t="shared" si="49"/>
        <v>6297.7118332591472</v>
      </c>
      <c r="AA310" s="41">
        <f t="shared" si="50"/>
        <v>3.4156362051086848</v>
      </c>
      <c r="AB310" s="40">
        <f t="shared" si="51"/>
        <v>1782.7872193062994</v>
      </c>
      <c r="AC310" s="42">
        <f t="shared" si="52"/>
        <v>7</v>
      </c>
      <c r="AD310" s="43">
        <v>3847.32179011484</v>
      </c>
      <c r="AE310" s="79">
        <f t="shared" si="53"/>
        <v>3.637978807091713E-12</v>
      </c>
      <c r="AF310" s="29">
        <f t="shared" si="54"/>
        <v>4</v>
      </c>
    </row>
    <row r="311" spans="1:32" ht="15" customHeight="1" x14ac:dyDescent="0.35">
      <c r="A311" s="37" t="s">
        <v>109</v>
      </c>
      <c r="B311" s="37" t="s">
        <v>114</v>
      </c>
      <c r="C311" s="37" t="s">
        <v>118</v>
      </c>
      <c r="D311" s="37" t="s">
        <v>123</v>
      </c>
      <c r="E311" s="37" t="s">
        <v>105</v>
      </c>
      <c r="F311" s="37">
        <v>1</v>
      </c>
      <c r="G311" s="37" t="s">
        <v>105</v>
      </c>
      <c r="H311" s="38">
        <v>6</v>
      </c>
      <c r="I311" s="39">
        <f>IF($G311="Base",1,INDEX(ModelOutput!$D$16:$D$26,MATCH($G311,ModelOutput!$C$16:$C$26,0)))</f>
        <v>0.98982624281990295</v>
      </c>
      <c r="J311" s="39">
        <f>IF($A311="Non-greek",1,INDEX(ModelOutput!$D$16:$D$26,MATCH($A311,ModelOutput!$C$16:$C$26,0)))</f>
        <v>4.3562312213391099</v>
      </c>
      <c r="K311" s="39">
        <f>IF($C311="Yes",1,INDEX(ModelOutput!$D$16:$D$26,MATCH($C311,ModelOutput!$C$16:$C$26,0)))</f>
        <v>1.5400747552012299</v>
      </c>
      <c r="L311" s="39">
        <f>IF($D311="2.0-3.0",1,INDEX(ModelOutput!$D$16:$D$26,MATCH($D311,ModelOutput!$C$16:$C$26,0)))</f>
        <v>1.01762556011242</v>
      </c>
      <c r="M311" s="39">
        <f>IF($B311="On campus",1,INDEX(ModelOutput!$D$16:$D$26,MATCH($B311,ModelOutput!$C$16:$C$26,0)))</f>
        <v>1.7006219753182299</v>
      </c>
      <c r="N311" s="39">
        <f>IF($B311="On campus",1,INDEX(ModelOutput!$E$16:$E$26,MATCH($B311,ModelOutput!$C$16:$C$26,0)))</f>
        <v>1.6738008433039699</v>
      </c>
      <c r="O311" s="39">
        <f>IF($B311="On campus",1,INDEX(ModelOutput!$F$16:$F$26,MATCH($B311,ModelOutput!$C$16:$C$26,0)))</f>
        <v>2.1619836912278898</v>
      </c>
      <c r="P311" s="39">
        <f>IF($B311="On campus",1,INDEX(ModelOutput!$G$16:$G$26,MATCH($B311,ModelOutput!$C$16:$C$26,0)))</f>
        <v>2.7253181394344401</v>
      </c>
      <c r="Q311" s="73">
        <f>INDEX(ModelOutput!$D$9:$D$11,MATCH("Tier "&amp;$F311,ModelOutput!$B$9:$B$11,0))</f>
        <v>36.175496869914397</v>
      </c>
      <c r="R311" s="73">
        <f>INDEX(ModelOutput!$E$9:$E$11,MATCH("Tier "&amp;$F311,ModelOutput!$B$9:$B$11,0))</f>
        <v>106.647084447761</v>
      </c>
      <c r="S311" s="73">
        <f>INDEX(ModelOutput!$F$9:$F$11,MATCH("Tier "&amp;$F311,ModelOutput!$B$9:$B$11,0))</f>
        <v>123.726482920496</v>
      </c>
      <c r="T311" s="73">
        <f>INDEX(ModelOutput!$G$9:$G$11,MATCH("Tier "&amp;$F311,ModelOutput!$B$9:$B$11,0))</f>
        <v>20.551544113210401</v>
      </c>
      <c r="U311" s="77">
        <f t="shared" si="44"/>
        <v>415.74016830768221</v>
      </c>
      <c r="V311" s="77">
        <f t="shared" si="45"/>
        <v>1206.2920492630892</v>
      </c>
      <c r="W311" s="77">
        <f t="shared" si="46"/>
        <v>1807.6517971366252</v>
      </c>
      <c r="X311" s="77">
        <f t="shared" si="47"/>
        <v>378.49605772112284</v>
      </c>
      <c r="Y311" s="30">
        <f t="shared" si="48"/>
        <v>3808.1800724285195</v>
      </c>
      <c r="Z311" s="30">
        <f t="shared" si="49"/>
        <v>6234.0643488265168</v>
      </c>
      <c r="AA311" s="41">
        <f t="shared" si="50"/>
        <v>3.3710098163398978</v>
      </c>
      <c r="AB311" s="40">
        <f t="shared" si="51"/>
        <v>1782.7872193062994</v>
      </c>
      <c r="AC311" s="42">
        <f t="shared" si="52"/>
        <v>7</v>
      </c>
      <c r="AD311" s="43">
        <v>3808.1800724285199</v>
      </c>
      <c r="AE311" s="79">
        <f t="shared" si="53"/>
        <v>0</v>
      </c>
      <c r="AF311" s="29">
        <f t="shared" si="54"/>
        <v>3</v>
      </c>
    </row>
    <row r="312" spans="1:32" ht="15" customHeight="1" x14ac:dyDescent="0.35">
      <c r="A312" s="37" t="s">
        <v>109</v>
      </c>
      <c r="B312" s="37" t="s">
        <v>114</v>
      </c>
      <c r="C312" s="37" t="s">
        <v>118</v>
      </c>
      <c r="D312" s="37" t="s">
        <v>123</v>
      </c>
      <c r="E312" s="37" t="s">
        <v>97</v>
      </c>
      <c r="F312" s="37">
        <v>2</v>
      </c>
      <c r="G312" s="37" t="s">
        <v>211</v>
      </c>
      <c r="H312" s="38">
        <v>3</v>
      </c>
      <c r="I312" s="39">
        <f>IF($G312="Base",1,INDEX(ModelOutput!$D$16:$D$26,MATCH($G312,ModelOutput!$C$16:$C$26,0)))</f>
        <v>1</v>
      </c>
      <c r="J312" s="39">
        <f>IF($A312="Non-greek",1,INDEX(ModelOutput!$D$16:$D$26,MATCH($A312,ModelOutput!$C$16:$C$26,0)))</f>
        <v>4.3562312213391099</v>
      </c>
      <c r="K312" s="39">
        <f>IF($C312="Yes",1,INDEX(ModelOutput!$D$16:$D$26,MATCH($C312,ModelOutput!$C$16:$C$26,0)))</f>
        <v>1.5400747552012299</v>
      </c>
      <c r="L312" s="39">
        <f>IF($D312="2.0-3.0",1,INDEX(ModelOutput!$D$16:$D$26,MATCH($D312,ModelOutput!$C$16:$C$26,0)))</f>
        <v>1.01762556011242</v>
      </c>
      <c r="M312" s="39">
        <f>IF($B312="On campus",1,INDEX(ModelOutput!$D$16:$D$26,MATCH($B312,ModelOutput!$C$16:$C$26,0)))</f>
        <v>1.7006219753182299</v>
      </c>
      <c r="N312" s="39">
        <f>IF($B312="On campus",1,INDEX(ModelOutput!$E$16:$E$26,MATCH($B312,ModelOutput!$C$16:$C$26,0)))</f>
        <v>1.6738008433039699</v>
      </c>
      <c r="O312" s="39">
        <f>IF($B312="On campus",1,INDEX(ModelOutput!$F$16:$F$26,MATCH($B312,ModelOutput!$C$16:$C$26,0)))</f>
        <v>2.1619836912278898</v>
      </c>
      <c r="P312" s="39">
        <f>IF($B312="On campus",1,INDEX(ModelOutput!$G$16:$G$26,MATCH($B312,ModelOutput!$C$16:$C$26,0)))</f>
        <v>2.7253181394344401</v>
      </c>
      <c r="Q312" s="73">
        <f>INDEX(ModelOutput!$D$9:$D$11,MATCH("Tier "&amp;$F312,ModelOutput!$B$9:$B$11,0))</f>
        <v>42.8051506068728</v>
      </c>
      <c r="R312" s="73">
        <f>INDEX(ModelOutput!$E$9:$E$11,MATCH("Tier "&amp;$F312,ModelOutput!$B$9:$B$11,0))</f>
        <v>126.191618818284</v>
      </c>
      <c r="S312" s="73">
        <f>INDEX(ModelOutput!$F$9:$F$11,MATCH("Tier "&amp;$F312,ModelOutput!$B$9:$B$11,0))</f>
        <v>146.401050261042</v>
      </c>
      <c r="T312" s="73">
        <f>INDEX(ModelOutput!$G$9:$G$11,MATCH("Tier "&amp;$F312,ModelOutput!$B$9:$B$11,0))</f>
        <v>24.317895180076398</v>
      </c>
      <c r="U312" s="77">
        <f t="shared" si="44"/>
        <v>496.98645007733603</v>
      </c>
      <c r="V312" s="77">
        <f t="shared" si="45"/>
        <v>1442.0324255896442</v>
      </c>
      <c r="W312" s="77">
        <f t="shared" si="46"/>
        <v>2160.9132773765887</v>
      </c>
      <c r="X312" s="77">
        <f t="shared" si="47"/>
        <v>452.46388594299123</v>
      </c>
      <c r="Y312" s="30">
        <f t="shared" si="48"/>
        <v>4552.3960389865606</v>
      </c>
      <c r="Z312" s="30">
        <f t="shared" si="49"/>
        <v>7444.2175292672418</v>
      </c>
      <c r="AA312" s="41">
        <f t="shared" si="50"/>
        <v>4.2195078643231616</v>
      </c>
      <c r="AB312" s="40">
        <f t="shared" si="51"/>
        <v>1782.7872193062994</v>
      </c>
      <c r="AC312" s="42">
        <f t="shared" si="52"/>
        <v>8</v>
      </c>
      <c r="AD312" s="43">
        <v>4552.3960389865597</v>
      </c>
      <c r="AE312" s="79">
        <f t="shared" si="53"/>
        <v>0</v>
      </c>
      <c r="AF312" s="29">
        <f t="shared" si="54"/>
        <v>2</v>
      </c>
    </row>
    <row r="313" spans="1:32" ht="15" customHeight="1" x14ac:dyDescent="0.35">
      <c r="A313" s="37" t="s">
        <v>109</v>
      </c>
      <c r="B313" s="37" t="s">
        <v>114</v>
      </c>
      <c r="C313" s="37" t="s">
        <v>118</v>
      </c>
      <c r="D313" s="37" t="s">
        <v>123</v>
      </c>
      <c r="E313" s="37" t="s">
        <v>99</v>
      </c>
      <c r="F313" s="37">
        <v>3</v>
      </c>
      <c r="G313" s="37" t="s">
        <v>211</v>
      </c>
      <c r="H313" s="38">
        <v>5</v>
      </c>
      <c r="I313" s="39">
        <f>IF($G313="Base",1,INDEX(ModelOutput!$D$16:$D$26,MATCH($G313,ModelOutput!$C$16:$C$26,0)))</f>
        <v>1</v>
      </c>
      <c r="J313" s="39">
        <f>IF($A313="Non-greek",1,INDEX(ModelOutput!$D$16:$D$26,MATCH($A313,ModelOutput!$C$16:$C$26,0)))</f>
        <v>4.3562312213391099</v>
      </c>
      <c r="K313" s="39">
        <f>IF($C313="Yes",1,INDEX(ModelOutput!$D$16:$D$26,MATCH($C313,ModelOutput!$C$16:$C$26,0)))</f>
        <v>1.5400747552012299</v>
      </c>
      <c r="L313" s="39">
        <f>IF($D313="2.0-3.0",1,INDEX(ModelOutput!$D$16:$D$26,MATCH($D313,ModelOutput!$C$16:$C$26,0)))</f>
        <v>1.01762556011242</v>
      </c>
      <c r="M313" s="39">
        <f>IF($B313="On campus",1,INDEX(ModelOutput!$D$16:$D$26,MATCH($B313,ModelOutput!$C$16:$C$26,0)))</f>
        <v>1.7006219753182299</v>
      </c>
      <c r="N313" s="39">
        <f>IF($B313="On campus",1,INDEX(ModelOutput!$E$16:$E$26,MATCH($B313,ModelOutput!$C$16:$C$26,0)))</f>
        <v>1.6738008433039699</v>
      </c>
      <c r="O313" s="39">
        <f>IF($B313="On campus",1,INDEX(ModelOutput!$F$16:$F$26,MATCH($B313,ModelOutput!$C$16:$C$26,0)))</f>
        <v>2.1619836912278898</v>
      </c>
      <c r="P313" s="39">
        <f>IF($B313="On campus",1,INDEX(ModelOutput!$G$16:$G$26,MATCH($B313,ModelOutput!$C$16:$C$26,0)))</f>
        <v>2.7253181394344401</v>
      </c>
      <c r="Q313" s="73">
        <f>INDEX(ModelOutput!$D$9:$D$11,MATCH("Tier "&amp;$F313,ModelOutput!$B$9:$B$11,0))</f>
        <v>40.009437343712797</v>
      </c>
      <c r="R313" s="73">
        <f>INDEX(ModelOutput!$E$9:$E$11,MATCH("Tier "&amp;$F313,ModelOutput!$B$9:$B$11,0))</f>
        <v>117.949723218616</v>
      </c>
      <c r="S313" s="73">
        <f>INDEX(ModelOutput!$F$9:$F$11,MATCH("Tier "&amp;$F313,ModelOutput!$B$9:$B$11,0))</f>
        <v>136.83922529015501</v>
      </c>
      <c r="T313" s="73">
        <f>INDEX(ModelOutput!$G$9:$G$11,MATCH("Tier "&amp;$F313,ModelOutput!$B$9:$B$11,0))</f>
        <v>22.729631592092201</v>
      </c>
      <c r="U313" s="77">
        <f t="shared" si="44"/>
        <v>464.52700091308219</v>
      </c>
      <c r="V313" s="77">
        <f t="shared" si="45"/>
        <v>1347.8496199933361</v>
      </c>
      <c r="W313" s="77">
        <f t="shared" si="46"/>
        <v>2019.77853484094</v>
      </c>
      <c r="X313" s="77">
        <f t="shared" si="47"/>
        <v>422.91231868770251</v>
      </c>
      <c r="Y313" s="30">
        <f t="shared" si="48"/>
        <v>4255.0674744350608</v>
      </c>
      <c r="Z313" s="30">
        <f t="shared" si="49"/>
        <v>6960.7381036752477</v>
      </c>
      <c r="AA313" s="41">
        <f t="shared" si="50"/>
        <v>3.8805166064515966</v>
      </c>
      <c r="AB313" s="40">
        <f t="shared" si="51"/>
        <v>1782.7872193062994</v>
      </c>
      <c r="AC313" s="42">
        <f t="shared" si="52"/>
        <v>8</v>
      </c>
      <c r="AD313" s="43">
        <v>4255.0674744350699</v>
      </c>
      <c r="AE313" s="79">
        <f t="shared" si="53"/>
        <v>-9.0949470177292824E-12</v>
      </c>
      <c r="AF313" s="29">
        <f t="shared" si="54"/>
        <v>1</v>
      </c>
    </row>
    <row r="314" spans="1:32" ht="15" customHeight="1" x14ac:dyDescent="0.35">
      <c r="A314" s="37" t="s">
        <v>109</v>
      </c>
      <c r="B314" s="37" t="s">
        <v>114</v>
      </c>
      <c r="C314" s="37" t="s">
        <v>118</v>
      </c>
      <c r="D314" s="37" t="s">
        <v>123</v>
      </c>
      <c r="E314" s="37" t="s">
        <v>213</v>
      </c>
      <c r="F314" s="37">
        <v>3</v>
      </c>
      <c r="G314" s="37" t="s">
        <v>107</v>
      </c>
      <c r="H314" s="38">
        <v>0</v>
      </c>
      <c r="I314" s="39">
        <f>IF($G314="Base",1,INDEX(ModelOutput!$D$16:$D$26,MATCH($G314,ModelOutput!$C$16:$C$26,0)))</f>
        <v>1.1906804269762199</v>
      </c>
      <c r="J314" s="39">
        <f>IF($A314="Non-greek",1,INDEX(ModelOutput!$D$16:$D$26,MATCH($A314,ModelOutput!$C$16:$C$26,0)))</f>
        <v>4.3562312213391099</v>
      </c>
      <c r="K314" s="39">
        <f>IF($C314="Yes",1,INDEX(ModelOutput!$D$16:$D$26,MATCH($C314,ModelOutput!$C$16:$C$26,0)))</f>
        <v>1.5400747552012299</v>
      </c>
      <c r="L314" s="39">
        <f>IF($D314="2.0-3.0",1,INDEX(ModelOutput!$D$16:$D$26,MATCH($D314,ModelOutput!$C$16:$C$26,0)))</f>
        <v>1.01762556011242</v>
      </c>
      <c r="M314" s="39">
        <f>IF($B314="On campus",1,INDEX(ModelOutput!$D$16:$D$26,MATCH($B314,ModelOutput!$C$16:$C$26,0)))</f>
        <v>1.7006219753182299</v>
      </c>
      <c r="N314" s="39">
        <f>IF($B314="On campus",1,INDEX(ModelOutput!$E$16:$E$26,MATCH($B314,ModelOutput!$C$16:$C$26,0)))</f>
        <v>1.6738008433039699</v>
      </c>
      <c r="O314" s="39">
        <f>IF($B314="On campus",1,INDEX(ModelOutput!$F$16:$F$26,MATCH($B314,ModelOutput!$C$16:$C$26,0)))</f>
        <v>2.1619836912278898</v>
      </c>
      <c r="P314" s="39">
        <f>IF($B314="On campus",1,INDEX(ModelOutput!$G$16:$G$26,MATCH($B314,ModelOutput!$C$16:$C$26,0)))</f>
        <v>2.7253181394344401</v>
      </c>
      <c r="Q314" s="73">
        <f>INDEX(ModelOutput!$D$9:$D$11,MATCH("Tier "&amp;$F314,ModelOutput!$B$9:$B$11,0))</f>
        <v>40.009437343712797</v>
      </c>
      <c r="R314" s="73">
        <f>INDEX(ModelOutput!$E$9:$E$11,MATCH("Tier "&amp;$F314,ModelOutput!$B$9:$B$11,0))</f>
        <v>117.949723218616</v>
      </c>
      <c r="S314" s="73">
        <f>INDEX(ModelOutput!$F$9:$F$11,MATCH("Tier "&amp;$F314,ModelOutput!$B$9:$B$11,0))</f>
        <v>136.83922529015501</v>
      </c>
      <c r="T314" s="73">
        <f>INDEX(ModelOutput!$G$9:$G$11,MATCH("Tier "&amp;$F314,ModelOutput!$B$9:$B$11,0))</f>
        <v>22.729631592092201</v>
      </c>
      <c r="U314" s="77">
        <f t="shared" si="44"/>
        <v>553.10320778917173</v>
      </c>
      <c r="V314" s="77">
        <f t="shared" si="45"/>
        <v>1604.8581610334013</v>
      </c>
      <c r="W314" s="77">
        <f t="shared" si="46"/>
        <v>2404.9107682618146</v>
      </c>
      <c r="X314" s="77">
        <f t="shared" si="47"/>
        <v>503.55342018857675</v>
      </c>
      <c r="Y314" s="30">
        <f t="shared" si="48"/>
        <v>5066.4255572729644</v>
      </c>
      <c r="Z314" s="30">
        <f t="shared" si="49"/>
        <v>8280.0695995630103</v>
      </c>
      <c r="AA314" s="41">
        <f t="shared" si="50"/>
        <v>4.8055649532203208</v>
      </c>
      <c r="AB314" s="40">
        <f t="shared" si="51"/>
        <v>1782.7872193062994</v>
      </c>
      <c r="AC314" s="42">
        <f t="shared" si="52"/>
        <v>8</v>
      </c>
      <c r="AD314" s="43">
        <v>5066.4255572729799</v>
      </c>
      <c r="AE314" s="79">
        <f t="shared" si="53"/>
        <v>-1.546140993013978E-11</v>
      </c>
      <c r="AF314" s="29">
        <f t="shared" si="54"/>
        <v>2</v>
      </c>
    </row>
    <row r="315" spans="1:32" ht="15" customHeight="1" x14ac:dyDescent="0.35">
      <c r="A315" s="19" t="s">
        <v>109</v>
      </c>
      <c r="B315" s="19" t="s">
        <v>114</v>
      </c>
      <c r="C315" s="19" t="s">
        <v>118</v>
      </c>
      <c r="D315" s="19" t="s">
        <v>122</v>
      </c>
      <c r="E315" s="19" t="s">
        <v>95</v>
      </c>
      <c r="F315" s="19">
        <v>1</v>
      </c>
      <c r="G315" s="19" t="s">
        <v>211</v>
      </c>
      <c r="H315" s="16">
        <v>8</v>
      </c>
      <c r="I315" s="13">
        <f>IF($G315="Base",1,INDEX(ModelOutput!$D$16:$D$26,MATCH($G315,ModelOutput!$C$16:$C$26,0)))</f>
        <v>1</v>
      </c>
      <c r="J315" s="13">
        <f>IF($A315="Non-greek",1,INDEX(ModelOutput!$D$16:$D$26,MATCH($A315,ModelOutput!$C$16:$C$26,0)))</f>
        <v>4.3562312213391099</v>
      </c>
      <c r="K315" s="13">
        <f>IF($C315="Yes",1,INDEX(ModelOutput!$D$16:$D$26,MATCH($C315,ModelOutput!$C$16:$C$26,0)))</f>
        <v>1.5400747552012299</v>
      </c>
      <c r="L315" s="13">
        <f>IF($D315="2.0-3.0",1,INDEX(ModelOutput!$D$16:$D$26,MATCH($D315,ModelOutput!$C$16:$C$26,0)))</f>
        <v>1</v>
      </c>
      <c r="M315" s="13">
        <f>IF($B315="On campus",1,INDEX(ModelOutput!$D$16:$D$26,MATCH($B315,ModelOutput!$C$16:$C$26,0)))</f>
        <v>1.7006219753182299</v>
      </c>
      <c r="N315" s="13">
        <f>IF($B315="On campus",1,INDEX(ModelOutput!$E$16:$E$26,MATCH($B315,ModelOutput!$C$16:$C$26,0)))</f>
        <v>1.6738008433039699</v>
      </c>
      <c r="O315" s="13">
        <f>IF($B315="On campus",1,INDEX(ModelOutput!$F$16:$F$26,MATCH($B315,ModelOutput!$C$16:$C$26,0)))</f>
        <v>2.1619836912278898</v>
      </c>
      <c r="P315" s="13">
        <f>IF($B315="On campus",1,INDEX(ModelOutput!$G$16:$G$26,MATCH($B315,ModelOutput!$C$16:$C$26,0)))</f>
        <v>2.7253181394344401</v>
      </c>
      <c r="Q315" s="72">
        <f>INDEX(ModelOutput!$D$9:$D$11,MATCH("Tier "&amp;$F315,ModelOutput!$B$9:$B$11,0))</f>
        <v>36.175496869914397</v>
      </c>
      <c r="R315" s="72">
        <f>INDEX(ModelOutput!$E$9:$E$11,MATCH("Tier "&amp;$F315,ModelOutput!$B$9:$B$11,0))</f>
        <v>106.647084447761</v>
      </c>
      <c r="S315" s="72">
        <f>INDEX(ModelOutput!$F$9:$F$11,MATCH("Tier "&amp;$F315,ModelOutput!$B$9:$B$11,0))</f>
        <v>123.726482920496</v>
      </c>
      <c r="T315" s="72">
        <f>INDEX(ModelOutput!$G$9:$G$11,MATCH("Tier "&amp;$F315,ModelOutput!$B$9:$B$11,0))</f>
        <v>20.551544113210401</v>
      </c>
      <c r="U315" s="76">
        <f t="shared" si="44"/>
        <v>412.73853361065801</v>
      </c>
      <c r="V315" s="76">
        <f t="shared" si="45"/>
        <v>1197.5826477045348</v>
      </c>
      <c r="W315" s="76">
        <f t="shared" si="46"/>
        <v>1794.6005916769504</v>
      </c>
      <c r="X315" s="76">
        <f t="shared" si="47"/>
        <v>375.76332466776591</v>
      </c>
      <c r="Y315" s="27">
        <f t="shared" si="48"/>
        <v>3780.6850976599094</v>
      </c>
      <c r="Z315" s="27">
        <f t="shared" si="49"/>
        <v>6189.3553763541067</v>
      </c>
      <c r="AA315" s="33">
        <f t="shared" si="50"/>
        <v>3.3396621518596366</v>
      </c>
      <c r="AB315" s="14">
        <f t="shared" si="51"/>
        <v>1782.7872193062994</v>
      </c>
      <c r="AC315" s="29">
        <f t="shared" si="52"/>
        <v>7</v>
      </c>
      <c r="AD315" s="20">
        <v>3780.6850976598998</v>
      </c>
      <c r="AE315" s="78">
        <f t="shared" si="53"/>
        <v>9.5496943686157465E-12</v>
      </c>
      <c r="AF315" s="29">
        <f t="shared" si="54"/>
        <v>4</v>
      </c>
    </row>
    <row r="316" spans="1:32" ht="15" customHeight="1" x14ac:dyDescent="0.35">
      <c r="A316" s="19" t="s">
        <v>109</v>
      </c>
      <c r="B316" s="19" t="s">
        <v>114</v>
      </c>
      <c r="C316" s="19" t="s">
        <v>118</v>
      </c>
      <c r="D316" s="19" t="s">
        <v>122</v>
      </c>
      <c r="E316" s="19" t="s">
        <v>105</v>
      </c>
      <c r="F316" s="19">
        <v>1</v>
      </c>
      <c r="G316" s="19" t="s">
        <v>105</v>
      </c>
      <c r="H316" s="16">
        <v>5</v>
      </c>
      <c r="I316" s="13">
        <f>IF($G316="Base",1,INDEX(ModelOutput!$D$16:$D$26,MATCH($G316,ModelOutput!$C$16:$C$26,0)))</f>
        <v>0.98982624281990295</v>
      </c>
      <c r="J316" s="13">
        <f>IF($A316="Non-greek",1,INDEX(ModelOutput!$D$16:$D$26,MATCH($A316,ModelOutput!$C$16:$C$26,0)))</f>
        <v>4.3562312213391099</v>
      </c>
      <c r="K316" s="13">
        <f>IF($C316="Yes",1,INDEX(ModelOutput!$D$16:$D$26,MATCH($C316,ModelOutput!$C$16:$C$26,0)))</f>
        <v>1.5400747552012299</v>
      </c>
      <c r="L316" s="13">
        <f>IF($D316="2.0-3.0",1,INDEX(ModelOutput!$D$16:$D$26,MATCH($D316,ModelOutput!$C$16:$C$26,0)))</f>
        <v>1</v>
      </c>
      <c r="M316" s="13">
        <f>IF($B316="On campus",1,INDEX(ModelOutput!$D$16:$D$26,MATCH($B316,ModelOutput!$C$16:$C$26,0)))</f>
        <v>1.7006219753182299</v>
      </c>
      <c r="N316" s="13">
        <f>IF($B316="On campus",1,INDEX(ModelOutput!$E$16:$E$26,MATCH($B316,ModelOutput!$C$16:$C$26,0)))</f>
        <v>1.6738008433039699</v>
      </c>
      <c r="O316" s="13">
        <f>IF($B316="On campus",1,INDEX(ModelOutput!$F$16:$F$26,MATCH($B316,ModelOutput!$C$16:$C$26,0)))</f>
        <v>2.1619836912278898</v>
      </c>
      <c r="P316" s="13">
        <f>IF($B316="On campus",1,INDEX(ModelOutput!$G$16:$G$26,MATCH($B316,ModelOutput!$C$16:$C$26,0)))</f>
        <v>2.7253181394344401</v>
      </c>
      <c r="Q316" s="72">
        <f>INDEX(ModelOutput!$D$9:$D$11,MATCH("Tier "&amp;$F316,ModelOutput!$B$9:$B$11,0))</f>
        <v>36.175496869914397</v>
      </c>
      <c r="R316" s="72">
        <f>INDEX(ModelOutput!$E$9:$E$11,MATCH("Tier "&amp;$F316,ModelOutput!$B$9:$B$11,0))</f>
        <v>106.647084447761</v>
      </c>
      <c r="S316" s="72">
        <f>INDEX(ModelOutput!$F$9:$F$11,MATCH("Tier "&amp;$F316,ModelOutput!$B$9:$B$11,0))</f>
        <v>123.726482920496</v>
      </c>
      <c r="T316" s="72">
        <f>INDEX(ModelOutput!$G$9:$G$11,MATCH("Tier "&amp;$F316,ModelOutput!$B$9:$B$11,0))</f>
        <v>20.551544113210401</v>
      </c>
      <c r="U316" s="76">
        <f t="shared" si="44"/>
        <v>408.53943199083386</v>
      </c>
      <c r="V316" s="76">
        <f t="shared" si="45"/>
        <v>1185.3987326436913</v>
      </c>
      <c r="W316" s="76">
        <f t="shared" si="46"/>
        <v>1776.3427610219703</v>
      </c>
      <c r="X316" s="76">
        <f t="shared" si="47"/>
        <v>371.94039984541001</v>
      </c>
      <c r="Y316" s="27">
        <f t="shared" si="48"/>
        <v>3742.2213255019055</v>
      </c>
      <c r="Z316" s="27">
        <f t="shared" si="49"/>
        <v>6126.810284202922</v>
      </c>
      <c r="AA316" s="33">
        <f t="shared" si="50"/>
        <v>3.2958087046605913</v>
      </c>
      <c r="AB316" s="14">
        <f t="shared" si="51"/>
        <v>1782.7872193062994</v>
      </c>
      <c r="AC316" s="29">
        <f t="shared" si="52"/>
        <v>7</v>
      </c>
      <c r="AD316" s="20">
        <v>3742.2213255019001</v>
      </c>
      <c r="AE316" s="78">
        <f t="shared" si="53"/>
        <v>5.4569682106375694E-12</v>
      </c>
      <c r="AF316" s="29">
        <f t="shared" si="54"/>
        <v>3</v>
      </c>
    </row>
    <row r="317" spans="1:32" ht="15" customHeight="1" x14ac:dyDescent="0.35">
      <c r="A317" s="19" t="s">
        <v>109</v>
      </c>
      <c r="B317" s="19" t="s">
        <v>114</v>
      </c>
      <c r="C317" s="19" t="s">
        <v>118</v>
      </c>
      <c r="D317" s="19" t="s">
        <v>122</v>
      </c>
      <c r="E317" s="19" t="s">
        <v>97</v>
      </c>
      <c r="F317" s="19">
        <v>2</v>
      </c>
      <c r="G317" s="19" t="s">
        <v>211</v>
      </c>
      <c r="H317" s="16">
        <v>1</v>
      </c>
      <c r="I317" s="13">
        <f>IF($G317="Base",1,INDEX(ModelOutput!$D$16:$D$26,MATCH($G317,ModelOutput!$C$16:$C$26,0)))</f>
        <v>1</v>
      </c>
      <c r="J317" s="13">
        <f>IF($A317="Non-greek",1,INDEX(ModelOutput!$D$16:$D$26,MATCH($A317,ModelOutput!$C$16:$C$26,0)))</f>
        <v>4.3562312213391099</v>
      </c>
      <c r="K317" s="13">
        <f>IF($C317="Yes",1,INDEX(ModelOutput!$D$16:$D$26,MATCH($C317,ModelOutput!$C$16:$C$26,0)))</f>
        <v>1.5400747552012299</v>
      </c>
      <c r="L317" s="13">
        <f>IF($D317="2.0-3.0",1,INDEX(ModelOutput!$D$16:$D$26,MATCH($D317,ModelOutput!$C$16:$C$26,0)))</f>
        <v>1</v>
      </c>
      <c r="M317" s="13">
        <f>IF($B317="On campus",1,INDEX(ModelOutput!$D$16:$D$26,MATCH($B317,ModelOutput!$C$16:$C$26,0)))</f>
        <v>1.7006219753182299</v>
      </c>
      <c r="N317" s="13">
        <f>IF($B317="On campus",1,INDEX(ModelOutput!$E$16:$E$26,MATCH($B317,ModelOutput!$C$16:$C$26,0)))</f>
        <v>1.6738008433039699</v>
      </c>
      <c r="O317" s="13">
        <f>IF($B317="On campus",1,INDEX(ModelOutput!$F$16:$F$26,MATCH($B317,ModelOutput!$C$16:$C$26,0)))</f>
        <v>2.1619836912278898</v>
      </c>
      <c r="P317" s="13">
        <f>IF($B317="On campus",1,INDEX(ModelOutput!$G$16:$G$26,MATCH($B317,ModelOutput!$C$16:$C$26,0)))</f>
        <v>2.7253181394344401</v>
      </c>
      <c r="Q317" s="72">
        <f>INDEX(ModelOutput!$D$9:$D$11,MATCH("Tier "&amp;$F317,ModelOutput!$B$9:$B$11,0))</f>
        <v>42.8051506068728</v>
      </c>
      <c r="R317" s="72">
        <f>INDEX(ModelOutput!$E$9:$E$11,MATCH("Tier "&amp;$F317,ModelOutput!$B$9:$B$11,0))</f>
        <v>126.191618818284</v>
      </c>
      <c r="S317" s="72">
        <f>INDEX(ModelOutput!$F$9:$F$11,MATCH("Tier "&amp;$F317,ModelOutput!$B$9:$B$11,0))</f>
        <v>146.401050261042</v>
      </c>
      <c r="T317" s="72">
        <f>INDEX(ModelOutput!$G$9:$G$11,MATCH("Tier "&amp;$F317,ModelOutput!$B$9:$B$11,0))</f>
        <v>24.317895180076398</v>
      </c>
      <c r="U317" s="76">
        <f t="shared" si="44"/>
        <v>488.37850537326568</v>
      </c>
      <c r="V317" s="76">
        <f t="shared" si="45"/>
        <v>1417.0560195346693</v>
      </c>
      <c r="W317" s="76">
        <f t="shared" si="46"/>
        <v>2123.4856533456827</v>
      </c>
      <c r="X317" s="76">
        <f t="shared" si="47"/>
        <v>444.62708453687645</v>
      </c>
      <c r="Y317" s="27">
        <f t="shared" si="48"/>
        <v>4473.5472627904937</v>
      </c>
      <c r="Z317" s="27">
        <f t="shared" si="49"/>
        <v>7316.003272149329</v>
      </c>
      <c r="AA317" s="33">
        <f t="shared" si="50"/>
        <v>4.1296105284763449</v>
      </c>
      <c r="AB317" s="14">
        <f t="shared" si="51"/>
        <v>1782.7872193062994</v>
      </c>
      <c r="AC317" s="29">
        <f t="shared" si="52"/>
        <v>8</v>
      </c>
      <c r="AD317" s="20">
        <v>4473.5472627904901</v>
      </c>
      <c r="AE317" s="78">
        <f t="shared" si="53"/>
        <v>0</v>
      </c>
      <c r="AF317" s="29">
        <f t="shared" si="54"/>
        <v>2</v>
      </c>
    </row>
    <row r="318" spans="1:32" ht="15" customHeight="1" x14ac:dyDescent="0.35">
      <c r="A318" s="19" t="s">
        <v>109</v>
      </c>
      <c r="B318" s="19" t="s">
        <v>114</v>
      </c>
      <c r="C318" s="19" t="s">
        <v>118</v>
      </c>
      <c r="D318" s="19" t="s">
        <v>122</v>
      </c>
      <c r="E318" s="19" t="s">
        <v>99</v>
      </c>
      <c r="F318" s="19">
        <v>3</v>
      </c>
      <c r="G318" s="19" t="s">
        <v>211</v>
      </c>
      <c r="H318" s="16">
        <v>9</v>
      </c>
      <c r="I318" s="13">
        <f>IF($G318="Base",1,INDEX(ModelOutput!$D$16:$D$26,MATCH($G318,ModelOutput!$C$16:$C$26,0)))</f>
        <v>1</v>
      </c>
      <c r="J318" s="13">
        <f>IF($A318="Non-greek",1,INDEX(ModelOutput!$D$16:$D$26,MATCH($A318,ModelOutput!$C$16:$C$26,0)))</f>
        <v>4.3562312213391099</v>
      </c>
      <c r="K318" s="13">
        <f>IF($C318="Yes",1,INDEX(ModelOutput!$D$16:$D$26,MATCH($C318,ModelOutput!$C$16:$C$26,0)))</f>
        <v>1.5400747552012299</v>
      </c>
      <c r="L318" s="13">
        <f>IF($D318="2.0-3.0",1,INDEX(ModelOutput!$D$16:$D$26,MATCH($D318,ModelOutput!$C$16:$C$26,0)))</f>
        <v>1</v>
      </c>
      <c r="M318" s="13">
        <f>IF($B318="On campus",1,INDEX(ModelOutput!$D$16:$D$26,MATCH($B318,ModelOutput!$C$16:$C$26,0)))</f>
        <v>1.7006219753182299</v>
      </c>
      <c r="N318" s="13">
        <f>IF($B318="On campus",1,INDEX(ModelOutput!$E$16:$E$26,MATCH($B318,ModelOutput!$C$16:$C$26,0)))</f>
        <v>1.6738008433039699</v>
      </c>
      <c r="O318" s="13">
        <f>IF($B318="On campus",1,INDEX(ModelOutput!$F$16:$F$26,MATCH($B318,ModelOutput!$C$16:$C$26,0)))</f>
        <v>2.1619836912278898</v>
      </c>
      <c r="P318" s="13">
        <f>IF($B318="On campus",1,INDEX(ModelOutput!$G$16:$G$26,MATCH($B318,ModelOutput!$C$16:$C$26,0)))</f>
        <v>2.7253181394344401</v>
      </c>
      <c r="Q318" s="72">
        <f>INDEX(ModelOutput!$D$9:$D$11,MATCH("Tier "&amp;$F318,ModelOutput!$B$9:$B$11,0))</f>
        <v>40.009437343712797</v>
      </c>
      <c r="R318" s="72">
        <f>INDEX(ModelOutput!$E$9:$E$11,MATCH("Tier "&amp;$F318,ModelOutput!$B$9:$B$11,0))</f>
        <v>117.949723218616</v>
      </c>
      <c r="S318" s="72">
        <f>INDEX(ModelOutput!$F$9:$F$11,MATCH("Tier "&amp;$F318,ModelOutput!$B$9:$B$11,0))</f>
        <v>136.83922529015501</v>
      </c>
      <c r="T318" s="72">
        <f>INDEX(ModelOutput!$G$9:$G$11,MATCH("Tier "&amp;$F318,ModelOutput!$B$9:$B$11,0))</f>
        <v>22.729631592092201</v>
      </c>
      <c r="U318" s="76">
        <f t="shared" si="44"/>
        <v>456.48126297236928</v>
      </c>
      <c r="V318" s="76">
        <f t="shared" si="45"/>
        <v>1324.5044865465402</v>
      </c>
      <c r="W318" s="76">
        <f t="shared" si="46"/>
        <v>1984.7954041345122</v>
      </c>
      <c r="X318" s="76">
        <f t="shared" si="47"/>
        <v>415.58735871471441</v>
      </c>
      <c r="Y318" s="27">
        <f t="shared" si="48"/>
        <v>4181.3685123681362</v>
      </c>
      <c r="Z318" s="27">
        <f t="shared" si="49"/>
        <v>6840.8978458090332</v>
      </c>
      <c r="AA318" s="33">
        <f t="shared" si="50"/>
        <v>3.7964906942672716</v>
      </c>
      <c r="AB318" s="14">
        <f t="shared" si="51"/>
        <v>1782.7872193062994</v>
      </c>
      <c r="AC318" s="29">
        <f t="shared" si="52"/>
        <v>8</v>
      </c>
      <c r="AD318" s="20">
        <v>4181.3685123681398</v>
      </c>
      <c r="AE318" s="78">
        <f t="shared" si="53"/>
        <v>0</v>
      </c>
      <c r="AF318" s="29">
        <f t="shared" si="54"/>
        <v>1</v>
      </c>
    </row>
    <row r="319" spans="1:32" ht="15" customHeight="1" x14ac:dyDescent="0.35">
      <c r="A319" s="19" t="s">
        <v>109</v>
      </c>
      <c r="B319" s="19" t="s">
        <v>114</v>
      </c>
      <c r="C319" s="19" t="s">
        <v>118</v>
      </c>
      <c r="D319" s="19" t="s">
        <v>122</v>
      </c>
      <c r="E319" s="19" t="s">
        <v>213</v>
      </c>
      <c r="F319" s="19">
        <v>3</v>
      </c>
      <c r="G319" s="19" t="s">
        <v>107</v>
      </c>
      <c r="H319" s="16">
        <v>2</v>
      </c>
      <c r="I319" s="13">
        <f>IF($G319="Base",1,INDEX(ModelOutput!$D$16:$D$26,MATCH($G319,ModelOutput!$C$16:$C$26,0)))</f>
        <v>1.1906804269762199</v>
      </c>
      <c r="J319" s="13">
        <f>IF($A319="Non-greek",1,INDEX(ModelOutput!$D$16:$D$26,MATCH($A319,ModelOutput!$C$16:$C$26,0)))</f>
        <v>4.3562312213391099</v>
      </c>
      <c r="K319" s="13">
        <f>IF($C319="Yes",1,INDEX(ModelOutput!$D$16:$D$26,MATCH($C319,ModelOutput!$C$16:$C$26,0)))</f>
        <v>1.5400747552012299</v>
      </c>
      <c r="L319" s="13">
        <f>IF($D319="2.0-3.0",1,INDEX(ModelOutput!$D$16:$D$26,MATCH($D319,ModelOutput!$C$16:$C$26,0)))</f>
        <v>1</v>
      </c>
      <c r="M319" s="13">
        <f>IF($B319="On campus",1,INDEX(ModelOutput!$D$16:$D$26,MATCH($B319,ModelOutput!$C$16:$C$26,0)))</f>
        <v>1.7006219753182299</v>
      </c>
      <c r="N319" s="13">
        <f>IF($B319="On campus",1,INDEX(ModelOutput!$E$16:$E$26,MATCH($B319,ModelOutput!$C$16:$C$26,0)))</f>
        <v>1.6738008433039699</v>
      </c>
      <c r="O319" s="13">
        <f>IF($B319="On campus",1,INDEX(ModelOutput!$F$16:$F$26,MATCH($B319,ModelOutput!$C$16:$C$26,0)))</f>
        <v>2.1619836912278898</v>
      </c>
      <c r="P319" s="13">
        <f>IF($B319="On campus",1,INDEX(ModelOutput!$G$16:$G$26,MATCH($B319,ModelOutput!$C$16:$C$26,0)))</f>
        <v>2.7253181394344401</v>
      </c>
      <c r="Q319" s="72">
        <f>INDEX(ModelOutput!$D$9:$D$11,MATCH("Tier "&amp;$F319,ModelOutput!$B$9:$B$11,0))</f>
        <v>40.009437343712797</v>
      </c>
      <c r="R319" s="72">
        <f>INDEX(ModelOutput!$E$9:$E$11,MATCH("Tier "&amp;$F319,ModelOutput!$B$9:$B$11,0))</f>
        <v>117.949723218616</v>
      </c>
      <c r="S319" s="72">
        <f>INDEX(ModelOutput!$F$9:$F$11,MATCH("Tier "&amp;$F319,ModelOutput!$B$9:$B$11,0))</f>
        <v>136.83922529015501</v>
      </c>
      <c r="T319" s="72">
        <f>INDEX(ModelOutput!$G$9:$G$11,MATCH("Tier "&amp;$F319,ModelOutput!$B$9:$B$11,0))</f>
        <v>22.729631592092201</v>
      </c>
      <c r="U319" s="76">
        <f t="shared" si="44"/>
        <v>543.52330510258491</v>
      </c>
      <c r="V319" s="76">
        <f t="shared" si="45"/>
        <v>1577.0615675731533</v>
      </c>
      <c r="W319" s="76">
        <f t="shared" si="46"/>
        <v>2363.2570392553203</v>
      </c>
      <c r="X319" s="76">
        <f t="shared" si="47"/>
        <v>494.83173372035566</v>
      </c>
      <c r="Y319" s="27">
        <f t="shared" si="48"/>
        <v>4978.6736456514136</v>
      </c>
      <c r="Z319" s="27">
        <f t="shared" si="49"/>
        <v>8137.3781501579269</v>
      </c>
      <c r="AA319" s="33">
        <f t="shared" si="50"/>
        <v>4.7055169442236231</v>
      </c>
      <c r="AB319" s="14">
        <f t="shared" si="51"/>
        <v>1782.7872193062994</v>
      </c>
      <c r="AC319" s="29">
        <f t="shared" si="52"/>
        <v>8</v>
      </c>
      <c r="AD319" s="20">
        <v>4978.67364565142</v>
      </c>
      <c r="AE319" s="78">
        <f t="shared" si="53"/>
        <v>0</v>
      </c>
      <c r="AF319" s="29">
        <f t="shared" si="54"/>
        <v>2</v>
      </c>
    </row>
    <row r="320" spans="1:32" ht="15" customHeight="1" x14ac:dyDescent="0.35">
      <c r="A320" s="37" t="s">
        <v>109</v>
      </c>
      <c r="B320" s="37" t="s">
        <v>114</v>
      </c>
      <c r="C320" s="37" t="s">
        <v>118</v>
      </c>
      <c r="D320" s="37" t="s">
        <v>124</v>
      </c>
      <c r="E320" s="37" t="s">
        <v>95</v>
      </c>
      <c r="F320" s="37">
        <v>1</v>
      </c>
      <c r="G320" s="37" t="s">
        <v>211</v>
      </c>
      <c r="H320" s="38">
        <v>5</v>
      </c>
      <c r="I320" s="39">
        <f>IF($G320="Base",1,INDEX(ModelOutput!$D$16:$D$26,MATCH($G320,ModelOutput!$C$16:$C$26,0)))</f>
        <v>1</v>
      </c>
      <c r="J320" s="39">
        <f>IF($A320="Non-greek",1,INDEX(ModelOutput!$D$16:$D$26,MATCH($A320,ModelOutput!$C$16:$C$26,0)))</f>
        <v>4.3562312213391099</v>
      </c>
      <c r="K320" s="39">
        <f>IF($C320="Yes",1,INDEX(ModelOutput!$D$16:$D$26,MATCH($C320,ModelOutput!$C$16:$C$26,0)))</f>
        <v>1.5400747552012299</v>
      </c>
      <c r="L320" s="39">
        <f>IF($D320="2.0-3.0",1,INDEX(ModelOutput!$D$16:$D$26,MATCH($D320,ModelOutput!$C$16:$C$26,0)))</f>
        <v>0.87654761766211098</v>
      </c>
      <c r="M320" s="39">
        <f>IF($B320="On campus",1,INDEX(ModelOutput!$D$16:$D$26,MATCH($B320,ModelOutput!$C$16:$C$26,0)))</f>
        <v>1.7006219753182299</v>
      </c>
      <c r="N320" s="39">
        <f>IF($B320="On campus",1,INDEX(ModelOutput!$E$16:$E$26,MATCH($B320,ModelOutput!$C$16:$C$26,0)))</f>
        <v>1.6738008433039699</v>
      </c>
      <c r="O320" s="39">
        <f>IF($B320="On campus",1,INDEX(ModelOutput!$F$16:$F$26,MATCH($B320,ModelOutput!$C$16:$C$26,0)))</f>
        <v>2.1619836912278898</v>
      </c>
      <c r="P320" s="39">
        <f>IF($B320="On campus",1,INDEX(ModelOutput!$G$16:$G$26,MATCH($B320,ModelOutput!$C$16:$C$26,0)))</f>
        <v>2.7253181394344401</v>
      </c>
      <c r="Q320" s="73">
        <f>INDEX(ModelOutput!$D$9:$D$11,MATCH("Tier "&amp;$F320,ModelOutput!$B$9:$B$11,0))</f>
        <v>36.175496869914397</v>
      </c>
      <c r="R320" s="73">
        <f>INDEX(ModelOutput!$E$9:$E$11,MATCH("Tier "&amp;$F320,ModelOutput!$B$9:$B$11,0))</f>
        <v>106.647084447761</v>
      </c>
      <c r="S320" s="73">
        <f>INDEX(ModelOutput!$F$9:$F$11,MATCH("Tier "&amp;$F320,ModelOutput!$B$9:$B$11,0))</f>
        <v>123.726482920496</v>
      </c>
      <c r="T320" s="73">
        <f>INDEX(ModelOutput!$G$9:$G$11,MATCH("Tier "&amp;$F320,ModelOutput!$B$9:$B$11,0))</f>
        <v>20.551544113210401</v>
      </c>
      <c r="U320" s="77">
        <f t="shared" si="44"/>
        <v>361.78497835377539</v>
      </c>
      <c r="V320" s="77">
        <f t="shared" si="45"/>
        <v>1049.7382167988931</v>
      </c>
      <c r="W320" s="77">
        <f t="shared" si="46"/>
        <v>1573.0528732894454</v>
      </c>
      <c r="X320" s="77">
        <f t="shared" si="47"/>
        <v>329.37444704232456</v>
      </c>
      <c r="Y320" s="30">
        <f t="shared" si="48"/>
        <v>3313.9505154844383</v>
      </c>
      <c r="Z320" s="30">
        <f t="shared" si="49"/>
        <v>5430.4085592714482</v>
      </c>
      <c r="AA320" s="41">
        <f t="shared" si="50"/>
        <v>2.8075271269504576</v>
      </c>
      <c r="AB320" s="40">
        <f t="shared" si="51"/>
        <v>1782.7872193062994</v>
      </c>
      <c r="AC320" s="42">
        <f t="shared" si="52"/>
        <v>6</v>
      </c>
      <c r="AD320" s="43">
        <v>3313.9505154844301</v>
      </c>
      <c r="AE320" s="79">
        <f t="shared" si="53"/>
        <v>8.1854523159563541E-12</v>
      </c>
      <c r="AF320" s="29">
        <f t="shared" si="54"/>
        <v>4</v>
      </c>
    </row>
    <row r="321" spans="1:32" ht="15" customHeight="1" x14ac:dyDescent="0.35">
      <c r="A321" s="37" t="s">
        <v>109</v>
      </c>
      <c r="B321" s="37" t="s">
        <v>114</v>
      </c>
      <c r="C321" s="37" t="s">
        <v>118</v>
      </c>
      <c r="D321" s="37" t="s">
        <v>124</v>
      </c>
      <c r="E321" s="37" t="s">
        <v>105</v>
      </c>
      <c r="F321" s="37">
        <v>1</v>
      </c>
      <c r="G321" s="37" t="s">
        <v>105</v>
      </c>
      <c r="H321" s="38">
        <v>3</v>
      </c>
      <c r="I321" s="39">
        <f>IF($G321="Base",1,INDEX(ModelOutput!$D$16:$D$26,MATCH($G321,ModelOutput!$C$16:$C$26,0)))</f>
        <v>0.98982624281990295</v>
      </c>
      <c r="J321" s="39">
        <f>IF($A321="Non-greek",1,INDEX(ModelOutput!$D$16:$D$26,MATCH($A321,ModelOutput!$C$16:$C$26,0)))</f>
        <v>4.3562312213391099</v>
      </c>
      <c r="K321" s="39">
        <f>IF($C321="Yes",1,INDEX(ModelOutput!$D$16:$D$26,MATCH($C321,ModelOutput!$C$16:$C$26,0)))</f>
        <v>1.5400747552012299</v>
      </c>
      <c r="L321" s="39">
        <f>IF($D321="2.0-3.0",1,INDEX(ModelOutput!$D$16:$D$26,MATCH($D321,ModelOutput!$C$16:$C$26,0)))</f>
        <v>0.87654761766211098</v>
      </c>
      <c r="M321" s="39">
        <f>IF($B321="On campus",1,INDEX(ModelOutput!$D$16:$D$26,MATCH($B321,ModelOutput!$C$16:$C$26,0)))</f>
        <v>1.7006219753182299</v>
      </c>
      <c r="N321" s="39">
        <f>IF($B321="On campus",1,INDEX(ModelOutput!$E$16:$E$26,MATCH($B321,ModelOutput!$C$16:$C$26,0)))</f>
        <v>1.6738008433039699</v>
      </c>
      <c r="O321" s="39">
        <f>IF($B321="On campus",1,INDEX(ModelOutput!$F$16:$F$26,MATCH($B321,ModelOutput!$C$16:$C$26,0)))</f>
        <v>2.1619836912278898</v>
      </c>
      <c r="P321" s="39">
        <f>IF($B321="On campus",1,INDEX(ModelOutput!$G$16:$G$26,MATCH($B321,ModelOutput!$C$16:$C$26,0)))</f>
        <v>2.7253181394344401</v>
      </c>
      <c r="Q321" s="73">
        <f>INDEX(ModelOutput!$D$9:$D$11,MATCH("Tier "&amp;$F321,ModelOutput!$B$9:$B$11,0))</f>
        <v>36.175496869914397</v>
      </c>
      <c r="R321" s="73">
        <f>INDEX(ModelOutput!$E$9:$E$11,MATCH("Tier "&amp;$F321,ModelOutput!$B$9:$B$11,0))</f>
        <v>106.647084447761</v>
      </c>
      <c r="S321" s="73">
        <f>INDEX(ModelOutput!$F$9:$F$11,MATCH("Tier "&amp;$F321,ModelOutput!$B$9:$B$11,0))</f>
        <v>123.726482920496</v>
      </c>
      <c r="T321" s="73">
        <f>INDEX(ModelOutput!$G$9:$G$11,MATCH("Tier "&amp;$F321,ModelOutput!$B$9:$B$11,0))</f>
        <v>20.551544113210401</v>
      </c>
      <c r="U321" s="77">
        <f t="shared" si="44"/>
        <v>358.10426583259743</v>
      </c>
      <c r="V321" s="77">
        <f t="shared" si="45"/>
        <v>1039.0584350785132</v>
      </c>
      <c r="W321" s="77">
        <f t="shared" si="46"/>
        <v>1557.0490153251446</v>
      </c>
      <c r="X321" s="77">
        <f t="shared" si="47"/>
        <v>326.0234713967871</v>
      </c>
      <c r="Y321" s="30">
        <f t="shared" si="48"/>
        <v>3280.2351876330426</v>
      </c>
      <c r="Z321" s="30">
        <f t="shared" si="49"/>
        <v>5375.5848077498713</v>
      </c>
      <c r="AA321" s="41">
        <f t="shared" si="50"/>
        <v>2.7690874922818645</v>
      </c>
      <c r="AB321" s="40">
        <f t="shared" si="51"/>
        <v>1782.7872193062994</v>
      </c>
      <c r="AC321" s="42">
        <f t="shared" si="52"/>
        <v>6</v>
      </c>
      <c r="AD321" s="43">
        <v>3280.2351876330399</v>
      </c>
      <c r="AE321" s="79">
        <f t="shared" si="53"/>
        <v>0</v>
      </c>
      <c r="AF321" s="29">
        <f t="shared" si="54"/>
        <v>3</v>
      </c>
    </row>
    <row r="322" spans="1:32" ht="15" customHeight="1" x14ac:dyDescent="0.35">
      <c r="A322" s="37" t="s">
        <v>109</v>
      </c>
      <c r="B322" s="37" t="s">
        <v>114</v>
      </c>
      <c r="C322" s="37" t="s">
        <v>118</v>
      </c>
      <c r="D322" s="37" t="s">
        <v>124</v>
      </c>
      <c r="E322" s="37" t="s">
        <v>97</v>
      </c>
      <c r="F322" s="37">
        <v>2</v>
      </c>
      <c r="G322" s="37" t="s">
        <v>211</v>
      </c>
      <c r="H322" s="38">
        <v>0</v>
      </c>
      <c r="I322" s="39">
        <f>IF($G322="Base",1,INDEX(ModelOutput!$D$16:$D$26,MATCH($G322,ModelOutput!$C$16:$C$26,0)))</f>
        <v>1</v>
      </c>
      <c r="J322" s="39">
        <f>IF($A322="Non-greek",1,INDEX(ModelOutput!$D$16:$D$26,MATCH($A322,ModelOutput!$C$16:$C$26,0)))</f>
        <v>4.3562312213391099</v>
      </c>
      <c r="K322" s="39">
        <f>IF($C322="Yes",1,INDEX(ModelOutput!$D$16:$D$26,MATCH($C322,ModelOutput!$C$16:$C$26,0)))</f>
        <v>1.5400747552012299</v>
      </c>
      <c r="L322" s="39">
        <f>IF($D322="2.0-3.0",1,INDEX(ModelOutput!$D$16:$D$26,MATCH($D322,ModelOutput!$C$16:$C$26,0)))</f>
        <v>0.87654761766211098</v>
      </c>
      <c r="M322" s="39">
        <f>IF($B322="On campus",1,INDEX(ModelOutput!$D$16:$D$26,MATCH($B322,ModelOutput!$C$16:$C$26,0)))</f>
        <v>1.7006219753182299</v>
      </c>
      <c r="N322" s="39">
        <f>IF($B322="On campus",1,INDEX(ModelOutput!$E$16:$E$26,MATCH($B322,ModelOutput!$C$16:$C$26,0)))</f>
        <v>1.6738008433039699</v>
      </c>
      <c r="O322" s="39">
        <f>IF($B322="On campus",1,INDEX(ModelOutput!$F$16:$F$26,MATCH($B322,ModelOutput!$C$16:$C$26,0)))</f>
        <v>2.1619836912278898</v>
      </c>
      <c r="P322" s="39">
        <f>IF($B322="On campus",1,INDEX(ModelOutput!$G$16:$G$26,MATCH($B322,ModelOutput!$C$16:$C$26,0)))</f>
        <v>2.7253181394344401</v>
      </c>
      <c r="Q322" s="73">
        <f>INDEX(ModelOutput!$D$9:$D$11,MATCH("Tier "&amp;$F322,ModelOutput!$B$9:$B$11,0))</f>
        <v>42.8051506068728</v>
      </c>
      <c r="R322" s="73">
        <f>INDEX(ModelOutput!$E$9:$E$11,MATCH("Tier "&amp;$F322,ModelOutput!$B$9:$B$11,0))</f>
        <v>126.191618818284</v>
      </c>
      <c r="S322" s="73">
        <f>INDEX(ModelOutput!$F$9:$F$11,MATCH("Tier "&amp;$F322,ModelOutput!$B$9:$B$11,0))</f>
        <v>146.401050261042</v>
      </c>
      <c r="T322" s="73">
        <f>INDEX(ModelOutput!$G$9:$G$11,MATCH("Tier "&amp;$F322,ModelOutput!$B$9:$B$11,0))</f>
        <v>24.317895180076398</v>
      </c>
      <c r="U322" s="77">
        <f t="shared" si="44"/>
        <v>428.08701540231851</v>
      </c>
      <c r="V322" s="77">
        <f t="shared" si="45"/>
        <v>1242.1170780168682</v>
      </c>
      <c r="W322" s="77">
        <f t="shared" si="46"/>
        <v>1861.3362905798294</v>
      </c>
      <c r="X322" s="77">
        <f t="shared" si="47"/>
        <v>389.73681169884907</v>
      </c>
      <c r="Y322" s="30">
        <f t="shared" si="48"/>
        <v>3921.277195697865</v>
      </c>
      <c r="Z322" s="30">
        <f t="shared" si="49"/>
        <v>6417.9690882747818</v>
      </c>
      <c r="AA322" s="41">
        <f t="shared" si="50"/>
        <v>3.4999544945498871</v>
      </c>
      <c r="AB322" s="40">
        <f t="shared" si="51"/>
        <v>1782.7872193062994</v>
      </c>
      <c r="AC322" s="42">
        <f t="shared" si="52"/>
        <v>7</v>
      </c>
      <c r="AD322" s="43">
        <v>3921.27719569786</v>
      </c>
      <c r="AE322" s="79">
        <f t="shared" si="53"/>
        <v>5.0022208597511053E-12</v>
      </c>
      <c r="AF322" s="29">
        <f t="shared" si="54"/>
        <v>2</v>
      </c>
    </row>
    <row r="323" spans="1:32" ht="15" customHeight="1" x14ac:dyDescent="0.35">
      <c r="A323" s="37" t="s">
        <v>109</v>
      </c>
      <c r="B323" s="37" t="s">
        <v>114</v>
      </c>
      <c r="C323" s="37" t="s">
        <v>118</v>
      </c>
      <c r="D323" s="37" t="s">
        <v>124</v>
      </c>
      <c r="E323" s="37" t="s">
        <v>99</v>
      </c>
      <c r="F323" s="37">
        <v>3</v>
      </c>
      <c r="G323" s="37" t="s">
        <v>211</v>
      </c>
      <c r="H323" s="38">
        <v>2</v>
      </c>
      <c r="I323" s="39">
        <f>IF($G323="Base",1,INDEX(ModelOutput!$D$16:$D$26,MATCH($G323,ModelOutput!$C$16:$C$26,0)))</f>
        <v>1</v>
      </c>
      <c r="J323" s="39">
        <f>IF($A323="Non-greek",1,INDEX(ModelOutput!$D$16:$D$26,MATCH($A323,ModelOutput!$C$16:$C$26,0)))</f>
        <v>4.3562312213391099</v>
      </c>
      <c r="K323" s="39">
        <f>IF($C323="Yes",1,INDEX(ModelOutput!$D$16:$D$26,MATCH($C323,ModelOutput!$C$16:$C$26,0)))</f>
        <v>1.5400747552012299</v>
      </c>
      <c r="L323" s="39">
        <f>IF($D323="2.0-3.0",1,INDEX(ModelOutput!$D$16:$D$26,MATCH($D323,ModelOutput!$C$16:$C$26,0)))</f>
        <v>0.87654761766211098</v>
      </c>
      <c r="M323" s="39">
        <f>IF($B323="On campus",1,INDEX(ModelOutput!$D$16:$D$26,MATCH($B323,ModelOutput!$C$16:$C$26,0)))</f>
        <v>1.7006219753182299</v>
      </c>
      <c r="N323" s="39">
        <f>IF($B323="On campus",1,INDEX(ModelOutput!$E$16:$E$26,MATCH($B323,ModelOutput!$C$16:$C$26,0)))</f>
        <v>1.6738008433039699</v>
      </c>
      <c r="O323" s="39">
        <f>IF($B323="On campus",1,INDEX(ModelOutput!$F$16:$F$26,MATCH($B323,ModelOutput!$C$16:$C$26,0)))</f>
        <v>2.1619836912278898</v>
      </c>
      <c r="P323" s="39">
        <f>IF($B323="On campus",1,INDEX(ModelOutput!$G$16:$G$26,MATCH($B323,ModelOutput!$C$16:$C$26,0)))</f>
        <v>2.7253181394344401</v>
      </c>
      <c r="Q323" s="73">
        <f>INDEX(ModelOutput!$D$9:$D$11,MATCH("Tier "&amp;$F323,ModelOutput!$B$9:$B$11,0))</f>
        <v>40.009437343712797</v>
      </c>
      <c r="R323" s="73">
        <f>INDEX(ModelOutput!$E$9:$E$11,MATCH("Tier "&amp;$F323,ModelOutput!$B$9:$B$11,0))</f>
        <v>117.949723218616</v>
      </c>
      <c r="S323" s="73">
        <f>INDEX(ModelOutput!$F$9:$F$11,MATCH("Tier "&amp;$F323,ModelOutput!$B$9:$B$11,0))</f>
        <v>136.83922529015501</v>
      </c>
      <c r="T323" s="73">
        <f>INDEX(ModelOutput!$G$9:$G$11,MATCH("Tier "&amp;$F323,ModelOutput!$B$9:$B$11,0))</f>
        <v>22.729631592092201</v>
      </c>
      <c r="U323" s="77">
        <f t="shared" si="44"/>
        <v>400.1275635658219</v>
      </c>
      <c r="V323" s="77">
        <f t="shared" si="45"/>
        <v>1160.9912522651471</v>
      </c>
      <c r="W323" s="77">
        <f t="shared" si="46"/>
        <v>1739.7676830408136</v>
      </c>
      <c r="X323" s="77">
        <f t="shared" si="47"/>
        <v>364.28210921187207</v>
      </c>
      <c r="Y323" s="30">
        <f t="shared" si="48"/>
        <v>3665.1686080836544</v>
      </c>
      <c r="Z323" s="30">
        <f t="shared" si="49"/>
        <v>6001.516558677853</v>
      </c>
      <c r="AA323" s="41">
        <f t="shared" si="50"/>
        <v>3.2079590974779251</v>
      </c>
      <c r="AB323" s="40">
        <f t="shared" si="51"/>
        <v>1782.7872193062994</v>
      </c>
      <c r="AC323" s="42">
        <f t="shared" si="52"/>
        <v>7</v>
      </c>
      <c r="AD323" s="43">
        <v>3665.1686080836598</v>
      </c>
      <c r="AE323" s="79">
        <f t="shared" si="53"/>
        <v>-5.4569682106375694E-12</v>
      </c>
      <c r="AF323" s="29">
        <f t="shared" si="54"/>
        <v>1</v>
      </c>
    </row>
    <row r="324" spans="1:32" ht="15" customHeight="1" x14ac:dyDescent="0.35">
      <c r="A324" s="37" t="s">
        <v>109</v>
      </c>
      <c r="B324" s="37" t="s">
        <v>114</v>
      </c>
      <c r="C324" s="37" t="s">
        <v>118</v>
      </c>
      <c r="D324" s="37" t="s">
        <v>124</v>
      </c>
      <c r="E324" s="37" t="s">
        <v>213</v>
      </c>
      <c r="F324" s="37">
        <v>3</v>
      </c>
      <c r="G324" s="37" t="s">
        <v>107</v>
      </c>
      <c r="H324" s="38">
        <v>3</v>
      </c>
      <c r="I324" s="39">
        <f>IF($G324="Base",1,INDEX(ModelOutput!$D$16:$D$26,MATCH($G324,ModelOutput!$C$16:$C$26,0)))</f>
        <v>1.1906804269762199</v>
      </c>
      <c r="J324" s="39">
        <f>IF($A324="Non-greek",1,INDEX(ModelOutput!$D$16:$D$26,MATCH($A324,ModelOutput!$C$16:$C$26,0)))</f>
        <v>4.3562312213391099</v>
      </c>
      <c r="K324" s="39">
        <f>IF($C324="Yes",1,INDEX(ModelOutput!$D$16:$D$26,MATCH($C324,ModelOutput!$C$16:$C$26,0)))</f>
        <v>1.5400747552012299</v>
      </c>
      <c r="L324" s="39">
        <f>IF($D324="2.0-3.0",1,INDEX(ModelOutput!$D$16:$D$26,MATCH($D324,ModelOutput!$C$16:$C$26,0)))</f>
        <v>0.87654761766211098</v>
      </c>
      <c r="M324" s="39">
        <f>IF($B324="On campus",1,INDEX(ModelOutput!$D$16:$D$26,MATCH($B324,ModelOutput!$C$16:$C$26,0)))</f>
        <v>1.7006219753182299</v>
      </c>
      <c r="N324" s="39">
        <f>IF($B324="On campus",1,INDEX(ModelOutput!$E$16:$E$26,MATCH($B324,ModelOutput!$C$16:$C$26,0)))</f>
        <v>1.6738008433039699</v>
      </c>
      <c r="O324" s="39">
        <f>IF($B324="On campus",1,INDEX(ModelOutput!$F$16:$F$26,MATCH($B324,ModelOutput!$C$16:$C$26,0)))</f>
        <v>2.1619836912278898</v>
      </c>
      <c r="P324" s="39">
        <f>IF($B324="On campus",1,INDEX(ModelOutput!$G$16:$G$26,MATCH($B324,ModelOutput!$C$16:$C$26,0)))</f>
        <v>2.7253181394344401</v>
      </c>
      <c r="Q324" s="73">
        <f>INDEX(ModelOutput!$D$9:$D$11,MATCH("Tier "&amp;$F324,ModelOutput!$B$9:$B$11,0))</f>
        <v>40.009437343712797</v>
      </c>
      <c r="R324" s="73">
        <f>INDEX(ModelOutput!$E$9:$E$11,MATCH("Tier "&amp;$F324,ModelOutput!$B$9:$B$11,0))</f>
        <v>117.949723218616</v>
      </c>
      <c r="S324" s="73">
        <f>INDEX(ModelOutput!$F$9:$F$11,MATCH("Tier "&amp;$F324,ModelOutput!$B$9:$B$11,0))</f>
        <v>136.83922529015501</v>
      </c>
      <c r="T324" s="73">
        <f>INDEX(ModelOutput!$G$9:$G$11,MATCH("Tier "&amp;$F324,ModelOutput!$B$9:$B$11,0))</f>
        <v>22.729631592092201</v>
      </c>
      <c r="U324" s="77">
        <f t="shared" si="44"/>
        <v>476.4240582315075</v>
      </c>
      <c r="V324" s="77">
        <f t="shared" si="45"/>
        <v>1382.3695599627217</v>
      </c>
      <c r="W324" s="77">
        <f t="shared" si="46"/>
        <v>2071.5073276824646</v>
      </c>
      <c r="X324" s="77">
        <f t="shared" si="47"/>
        <v>433.74357733618984</v>
      </c>
      <c r="Y324" s="30">
        <f t="shared" si="48"/>
        <v>4364.0445232128832</v>
      </c>
      <c r="Z324" s="30">
        <f t="shared" si="49"/>
        <v>7137.9432808007241</v>
      </c>
      <c r="AA324" s="41">
        <f t="shared" si="50"/>
        <v>4.0047638912694872</v>
      </c>
      <c r="AB324" s="40">
        <f t="shared" si="51"/>
        <v>1782.7872193062994</v>
      </c>
      <c r="AC324" s="42">
        <f t="shared" si="52"/>
        <v>8</v>
      </c>
      <c r="AD324" s="43">
        <v>4364.0445232128905</v>
      </c>
      <c r="AE324" s="79">
        <f t="shared" si="53"/>
        <v>-7.2759576141834259E-12</v>
      </c>
      <c r="AF324" s="29">
        <f t="shared" si="54"/>
        <v>2</v>
      </c>
    </row>
    <row r="325" spans="1:32" ht="15" customHeight="1" x14ac:dyDescent="0.35">
      <c r="A325" s="19" t="s">
        <v>109</v>
      </c>
      <c r="B325" s="19" t="s">
        <v>115</v>
      </c>
      <c r="C325" s="19" t="s">
        <v>210</v>
      </c>
      <c r="D325" s="19" t="s">
        <v>121</v>
      </c>
      <c r="E325" s="19" t="s">
        <v>95</v>
      </c>
      <c r="F325" s="19">
        <v>1</v>
      </c>
      <c r="G325" s="19" t="s">
        <v>211</v>
      </c>
      <c r="H325" s="16">
        <v>3</v>
      </c>
      <c r="I325" s="13">
        <f>IF($G325="Base",1,INDEX(ModelOutput!$D$16:$D$26,MATCH($G325,ModelOutput!$C$16:$C$26,0)))</f>
        <v>1</v>
      </c>
      <c r="J325" s="13">
        <f>IF($A325="Non-greek",1,INDEX(ModelOutput!$D$16:$D$26,MATCH($A325,ModelOutput!$C$16:$C$26,0)))</f>
        <v>4.3562312213391099</v>
      </c>
      <c r="K325" s="13">
        <f>IF($C325="Yes",1,INDEX(ModelOutput!$D$16:$D$26,MATCH($C325,ModelOutput!$C$16:$C$26,0)))</f>
        <v>1</v>
      </c>
      <c r="L325" s="13">
        <f>IF($D325="2.0-3.0",1,INDEX(ModelOutput!$D$16:$D$26,MATCH($D325,ModelOutput!$C$16:$C$26,0)))</f>
        <v>1.12144800201769</v>
      </c>
      <c r="M325" s="13">
        <f>IF($B325="On campus",1,INDEX(ModelOutput!$D$16:$D$26,MATCH($B325,ModelOutput!$C$16:$C$26,0)))</f>
        <v>1.95077419049637</v>
      </c>
      <c r="N325" s="13">
        <f>IF($B325="On campus",1,INDEX(ModelOutput!$E$16:$E$26,MATCH($B325,ModelOutput!$C$16:$C$26,0)))</f>
        <v>1.9200078162799401</v>
      </c>
      <c r="O325" s="13">
        <f>IF($B325="On campus",1,INDEX(ModelOutput!$F$16:$F$26,MATCH($B325,ModelOutput!$C$16:$C$26,0)))</f>
        <v>2.4799996979530001</v>
      </c>
      <c r="P325" s="13">
        <f>IF($B325="On campus",1,INDEX(ModelOutput!$G$16:$G$26,MATCH($B325,ModelOutput!$C$16:$C$26,0)))</f>
        <v>3.1261975703362501</v>
      </c>
      <c r="Q325" s="72">
        <f>INDEX(ModelOutput!$D$9:$D$11,MATCH("Tier "&amp;$F325,ModelOutput!$B$9:$B$11,0))</f>
        <v>36.175496869914397</v>
      </c>
      <c r="R325" s="72">
        <f>INDEX(ModelOutput!$E$9:$E$11,MATCH("Tier "&amp;$F325,ModelOutput!$B$9:$B$11,0))</f>
        <v>106.647084447761</v>
      </c>
      <c r="S325" s="72">
        <f>INDEX(ModelOutput!$F$9:$F$11,MATCH("Tier "&amp;$F325,ModelOutput!$B$9:$B$11,0))</f>
        <v>123.726482920496</v>
      </c>
      <c r="T325" s="72">
        <f>INDEX(ModelOutput!$G$9:$G$11,MATCH("Tier "&amp;$F325,ModelOutput!$B$9:$B$11,0))</f>
        <v>20.551544113210401</v>
      </c>
      <c r="U325" s="76">
        <f t="shared" ref="U325:U388" si="55">$Q325*$I325*$J325*$K325*$L325*$M325</f>
        <v>344.75579166977184</v>
      </c>
      <c r="V325" s="76">
        <f t="shared" ref="V325:V388" si="56">$R325*$I325*$J325*$K325*$L325*$N325</f>
        <v>1000.3271325008542</v>
      </c>
      <c r="W325" s="76">
        <f t="shared" ref="W325:W388" si="57">$S325*$I325*$J325*$K325*$L325*$O325</f>
        <v>1499.0094147551918</v>
      </c>
      <c r="X325" s="76">
        <f t="shared" ref="X325:X388" si="58">$T325*$I325*$J325*$K325*$L325*$P325</f>
        <v>313.87082117829107</v>
      </c>
      <c r="Y325" s="27">
        <f t="shared" ref="Y325:Y388" si="59">SUM(U325:X325)</f>
        <v>3157.9631601041087</v>
      </c>
      <c r="Z325" s="27">
        <f t="shared" ref="Z325:Z388" si="60">$Y325*GROSS_MULT+POLICY_FEE</f>
        <v>5176.7609587031775</v>
      </c>
      <c r="AA325" s="33">
        <f t="shared" ref="AA325:AA388" si="61">$Z325/CURRENT_FLAT-1</f>
        <v>2.6296822909112416</v>
      </c>
      <c r="AB325" s="14">
        <f t="shared" ref="AB325:AB388" si="62">MEDIAN(CURRENT_FLAT*(1-CAP_DOWN),$Z325,CURRENT_FLAT*(1+CAP_UP))</f>
        <v>1782.7872193062994</v>
      </c>
      <c r="AC325" s="29">
        <f t="shared" ref="AC325:AC388" si="63">IF($Z325&gt;CURRENT_FLAT,ROUNDUP(LN($Z325/CURRENT_FLAT)/LN(1+CAP_UP),0),IF($Z325&lt;CURRENT_FLAT,ROUNDUP(LN($Z325/CURRENT_FLAT)/LN(1-CAP_DOWN),0),0))</f>
        <v>6</v>
      </c>
      <c r="AD325" s="20">
        <v>3157.9631601041101</v>
      </c>
      <c r="AE325" s="78">
        <f t="shared" ref="AE325:AE388" si="64">$Y325-$AD325</f>
        <v>0</v>
      </c>
      <c r="AF325" s="29">
        <f t="shared" ref="AF325:AF388" si="65">IF($E325="Freshman",4,IF($E325="Sophomore",3,IF($E325="Junior",2,IF($E325="Senior",1,2))))</f>
        <v>4</v>
      </c>
    </row>
    <row r="326" spans="1:32" ht="15" customHeight="1" x14ac:dyDescent="0.35">
      <c r="A326" s="19" t="s">
        <v>109</v>
      </c>
      <c r="B326" s="19" t="s">
        <v>115</v>
      </c>
      <c r="C326" s="19" t="s">
        <v>210</v>
      </c>
      <c r="D326" s="19" t="s">
        <v>121</v>
      </c>
      <c r="E326" s="19" t="s">
        <v>105</v>
      </c>
      <c r="F326" s="19">
        <v>1</v>
      </c>
      <c r="G326" s="19" t="s">
        <v>105</v>
      </c>
      <c r="H326" s="16">
        <v>3</v>
      </c>
      <c r="I326" s="13">
        <f>IF($G326="Base",1,INDEX(ModelOutput!$D$16:$D$26,MATCH($G326,ModelOutput!$C$16:$C$26,0)))</f>
        <v>0.98982624281990295</v>
      </c>
      <c r="J326" s="13">
        <f>IF($A326="Non-greek",1,INDEX(ModelOutput!$D$16:$D$26,MATCH($A326,ModelOutput!$C$16:$C$26,0)))</f>
        <v>4.3562312213391099</v>
      </c>
      <c r="K326" s="13">
        <f>IF($C326="Yes",1,INDEX(ModelOutput!$D$16:$D$26,MATCH($C326,ModelOutput!$C$16:$C$26,0)))</f>
        <v>1</v>
      </c>
      <c r="L326" s="13">
        <f>IF($D326="2.0-3.0",1,INDEX(ModelOutput!$D$16:$D$26,MATCH($D326,ModelOutput!$C$16:$C$26,0)))</f>
        <v>1.12144800201769</v>
      </c>
      <c r="M326" s="13">
        <f>IF($B326="On campus",1,INDEX(ModelOutput!$D$16:$D$26,MATCH($B326,ModelOutput!$C$16:$C$26,0)))</f>
        <v>1.95077419049637</v>
      </c>
      <c r="N326" s="13">
        <f>IF($B326="On campus",1,INDEX(ModelOutput!$E$16:$E$26,MATCH($B326,ModelOutput!$C$16:$C$26,0)))</f>
        <v>1.9200078162799401</v>
      </c>
      <c r="O326" s="13">
        <f>IF($B326="On campus",1,INDEX(ModelOutput!$F$16:$F$26,MATCH($B326,ModelOutput!$C$16:$C$26,0)))</f>
        <v>2.4799996979530001</v>
      </c>
      <c r="P326" s="13">
        <f>IF($B326="On campus",1,INDEX(ModelOutput!$G$16:$G$26,MATCH($B326,ModelOutput!$C$16:$C$26,0)))</f>
        <v>3.1261975703362501</v>
      </c>
      <c r="Q326" s="72">
        <f>INDEX(ModelOutput!$D$9:$D$11,MATCH("Tier "&amp;$F326,ModelOutput!$B$9:$B$11,0))</f>
        <v>36.175496869914397</v>
      </c>
      <c r="R326" s="72">
        <f>INDEX(ModelOutput!$E$9:$E$11,MATCH("Tier "&amp;$F326,ModelOutput!$B$9:$B$11,0))</f>
        <v>106.647084447761</v>
      </c>
      <c r="S326" s="72">
        <f>INDEX(ModelOutput!$F$9:$F$11,MATCH("Tier "&amp;$F326,ModelOutput!$B$9:$B$11,0))</f>
        <v>123.726482920496</v>
      </c>
      <c r="T326" s="72">
        <f>INDEX(ModelOutput!$G$9:$G$11,MATCH("Tier "&amp;$F326,ModelOutput!$B$9:$B$11,0))</f>
        <v>20.551544113210401</v>
      </c>
      <c r="U326" s="76">
        <f t="shared" si="55"/>
        <v>341.24832995889147</v>
      </c>
      <c r="V326" s="76">
        <f t="shared" si="56"/>
        <v>990.15004715412772</v>
      </c>
      <c r="W326" s="76">
        <f t="shared" si="57"/>
        <v>1483.7588569587929</v>
      </c>
      <c r="X326" s="76">
        <f t="shared" si="58"/>
        <v>310.67757565770546</v>
      </c>
      <c r="Y326" s="27">
        <f t="shared" si="59"/>
        <v>3125.8348097295175</v>
      </c>
      <c r="Z326" s="27">
        <f t="shared" si="60"/>
        <v>5124.5177562790959</v>
      </c>
      <c r="AA326" s="33">
        <f t="shared" si="61"/>
        <v>2.5930520064202454</v>
      </c>
      <c r="AB326" s="14">
        <f t="shared" si="62"/>
        <v>1782.7872193062994</v>
      </c>
      <c r="AC326" s="29">
        <f t="shared" si="63"/>
        <v>6</v>
      </c>
      <c r="AD326" s="20">
        <v>3125.8348097295302</v>
      </c>
      <c r="AE326" s="78">
        <f t="shared" si="64"/>
        <v>-1.2732925824820995E-11</v>
      </c>
      <c r="AF326" s="29">
        <f t="shared" si="65"/>
        <v>3</v>
      </c>
    </row>
    <row r="327" spans="1:32" ht="15" customHeight="1" x14ac:dyDescent="0.35">
      <c r="A327" s="19" t="s">
        <v>109</v>
      </c>
      <c r="B327" s="19" t="s">
        <v>115</v>
      </c>
      <c r="C327" s="19" t="s">
        <v>210</v>
      </c>
      <c r="D327" s="19" t="s">
        <v>121</v>
      </c>
      <c r="E327" s="19" t="s">
        <v>97</v>
      </c>
      <c r="F327" s="19">
        <v>2</v>
      </c>
      <c r="G327" s="19" t="s">
        <v>211</v>
      </c>
      <c r="H327" s="16">
        <v>4</v>
      </c>
      <c r="I327" s="13">
        <f>IF($G327="Base",1,INDEX(ModelOutput!$D$16:$D$26,MATCH($G327,ModelOutput!$C$16:$C$26,0)))</f>
        <v>1</v>
      </c>
      <c r="J327" s="13">
        <f>IF($A327="Non-greek",1,INDEX(ModelOutput!$D$16:$D$26,MATCH($A327,ModelOutput!$C$16:$C$26,0)))</f>
        <v>4.3562312213391099</v>
      </c>
      <c r="K327" s="13">
        <f>IF($C327="Yes",1,INDEX(ModelOutput!$D$16:$D$26,MATCH($C327,ModelOutput!$C$16:$C$26,0)))</f>
        <v>1</v>
      </c>
      <c r="L327" s="13">
        <f>IF($D327="2.0-3.0",1,INDEX(ModelOutput!$D$16:$D$26,MATCH($D327,ModelOutput!$C$16:$C$26,0)))</f>
        <v>1.12144800201769</v>
      </c>
      <c r="M327" s="13">
        <f>IF($B327="On campus",1,INDEX(ModelOutput!$D$16:$D$26,MATCH($B327,ModelOutput!$C$16:$C$26,0)))</f>
        <v>1.95077419049637</v>
      </c>
      <c r="N327" s="13">
        <f>IF($B327="On campus",1,INDEX(ModelOutput!$E$16:$E$26,MATCH($B327,ModelOutput!$C$16:$C$26,0)))</f>
        <v>1.9200078162799401</v>
      </c>
      <c r="O327" s="13">
        <f>IF($B327="On campus",1,INDEX(ModelOutput!$F$16:$F$26,MATCH($B327,ModelOutput!$C$16:$C$26,0)))</f>
        <v>2.4799996979530001</v>
      </c>
      <c r="P327" s="13">
        <f>IF($B327="On campus",1,INDEX(ModelOutput!$G$16:$G$26,MATCH($B327,ModelOutput!$C$16:$C$26,0)))</f>
        <v>3.1261975703362501</v>
      </c>
      <c r="Q327" s="72">
        <f>INDEX(ModelOutput!$D$9:$D$11,MATCH("Tier "&amp;$F327,ModelOutput!$B$9:$B$11,0))</f>
        <v>42.8051506068728</v>
      </c>
      <c r="R327" s="72">
        <f>INDEX(ModelOutput!$E$9:$E$11,MATCH("Tier "&amp;$F327,ModelOutput!$B$9:$B$11,0))</f>
        <v>126.191618818284</v>
      </c>
      <c r="S327" s="72">
        <f>INDEX(ModelOutput!$F$9:$F$11,MATCH("Tier "&amp;$F327,ModelOutput!$B$9:$B$11,0))</f>
        <v>146.401050261042</v>
      </c>
      <c r="T327" s="72">
        <f>INDEX(ModelOutput!$G$9:$G$11,MATCH("Tier "&amp;$F327,ModelOutput!$B$9:$B$11,0))</f>
        <v>24.317895180076398</v>
      </c>
      <c r="U327" s="76">
        <f t="shared" si="55"/>
        <v>407.93699774416297</v>
      </c>
      <c r="V327" s="76">
        <f t="shared" si="56"/>
        <v>1183.650737868672</v>
      </c>
      <c r="W327" s="76">
        <f t="shared" si="57"/>
        <v>1773.7233572893851</v>
      </c>
      <c r="X327" s="76">
        <f t="shared" si="58"/>
        <v>371.39193471073293</v>
      </c>
      <c r="Y327" s="27">
        <f t="shared" si="59"/>
        <v>3736.7030276129531</v>
      </c>
      <c r="Z327" s="27">
        <f t="shared" si="60"/>
        <v>6117.8371016309056</v>
      </c>
      <c r="AA327" s="33">
        <f t="shared" si="61"/>
        <v>3.2895171640361385</v>
      </c>
      <c r="AB327" s="14">
        <f t="shared" si="62"/>
        <v>1782.7872193062994</v>
      </c>
      <c r="AC327" s="29">
        <f t="shared" si="63"/>
        <v>7</v>
      </c>
      <c r="AD327" s="20">
        <v>3736.7030276129699</v>
      </c>
      <c r="AE327" s="78">
        <f t="shared" si="64"/>
        <v>-1.6825651982799172E-11</v>
      </c>
      <c r="AF327" s="29">
        <f t="shared" si="65"/>
        <v>2</v>
      </c>
    </row>
    <row r="328" spans="1:32" ht="15" customHeight="1" x14ac:dyDescent="0.35">
      <c r="A328" s="19" t="s">
        <v>109</v>
      </c>
      <c r="B328" s="19" t="s">
        <v>115</v>
      </c>
      <c r="C328" s="19" t="s">
        <v>210</v>
      </c>
      <c r="D328" s="19" t="s">
        <v>121</v>
      </c>
      <c r="E328" s="19" t="s">
        <v>99</v>
      </c>
      <c r="F328" s="19">
        <v>3</v>
      </c>
      <c r="G328" s="19" t="s">
        <v>211</v>
      </c>
      <c r="H328" s="16">
        <v>0</v>
      </c>
      <c r="I328" s="13">
        <f>IF($G328="Base",1,INDEX(ModelOutput!$D$16:$D$26,MATCH($G328,ModelOutput!$C$16:$C$26,0)))</f>
        <v>1</v>
      </c>
      <c r="J328" s="13">
        <f>IF($A328="Non-greek",1,INDEX(ModelOutput!$D$16:$D$26,MATCH($A328,ModelOutput!$C$16:$C$26,0)))</f>
        <v>4.3562312213391099</v>
      </c>
      <c r="K328" s="13">
        <f>IF($C328="Yes",1,INDEX(ModelOutput!$D$16:$D$26,MATCH($C328,ModelOutput!$C$16:$C$26,0)))</f>
        <v>1</v>
      </c>
      <c r="L328" s="13">
        <f>IF($D328="2.0-3.0",1,INDEX(ModelOutput!$D$16:$D$26,MATCH($D328,ModelOutput!$C$16:$C$26,0)))</f>
        <v>1.12144800201769</v>
      </c>
      <c r="M328" s="13">
        <f>IF($B328="On campus",1,INDEX(ModelOutput!$D$16:$D$26,MATCH($B328,ModelOutput!$C$16:$C$26,0)))</f>
        <v>1.95077419049637</v>
      </c>
      <c r="N328" s="13">
        <f>IF($B328="On campus",1,INDEX(ModelOutput!$E$16:$E$26,MATCH($B328,ModelOutput!$C$16:$C$26,0)))</f>
        <v>1.9200078162799401</v>
      </c>
      <c r="O328" s="13">
        <f>IF($B328="On campus",1,INDEX(ModelOutput!$F$16:$F$26,MATCH($B328,ModelOutput!$C$16:$C$26,0)))</f>
        <v>2.4799996979530001</v>
      </c>
      <c r="P328" s="13">
        <f>IF($B328="On campus",1,INDEX(ModelOutput!$G$16:$G$26,MATCH($B328,ModelOutput!$C$16:$C$26,0)))</f>
        <v>3.1261975703362501</v>
      </c>
      <c r="Q328" s="72">
        <f>INDEX(ModelOutput!$D$9:$D$11,MATCH("Tier "&amp;$F328,ModelOutput!$B$9:$B$11,0))</f>
        <v>40.009437343712797</v>
      </c>
      <c r="R328" s="72">
        <f>INDEX(ModelOutput!$E$9:$E$11,MATCH("Tier "&amp;$F328,ModelOutput!$B$9:$B$11,0))</f>
        <v>117.949723218616</v>
      </c>
      <c r="S328" s="72">
        <f>INDEX(ModelOutput!$F$9:$F$11,MATCH("Tier "&amp;$F328,ModelOutput!$B$9:$B$11,0))</f>
        <v>136.83922529015501</v>
      </c>
      <c r="T328" s="72">
        <f>INDEX(ModelOutput!$G$9:$G$11,MATCH("Tier "&amp;$F328,ModelOutput!$B$9:$B$11,0))</f>
        <v>22.729631592092201</v>
      </c>
      <c r="U328" s="76">
        <f t="shared" si="55"/>
        <v>381.29359481349053</v>
      </c>
      <c r="V328" s="76">
        <f t="shared" si="56"/>
        <v>1106.3434975040677</v>
      </c>
      <c r="W328" s="76">
        <f t="shared" si="57"/>
        <v>1657.8769732714129</v>
      </c>
      <c r="X328" s="76">
        <f t="shared" si="58"/>
        <v>347.13538280095497</v>
      </c>
      <c r="Y328" s="27">
        <f t="shared" si="59"/>
        <v>3492.649448389926</v>
      </c>
      <c r="Z328" s="27">
        <f t="shared" si="60"/>
        <v>5720.9869554822944</v>
      </c>
      <c r="AA328" s="33">
        <f t="shared" si="61"/>
        <v>3.0112659642778263</v>
      </c>
      <c r="AB328" s="14">
        <f t="shared" si="62"/>
        <v>1782.7872193062994</v>
      </c>
      <c r="AC328" s="29">
        <f t="shared" si="63"/>
        <v>7</v>
      </c>
      <c r="AD328" s="20">
        <v>3492.6494483899401</v>
      </c>
      <c r="AE328" s="78">
        <f t="shared" si="64"/>
        <v>-1.4097167877480388E-11</v>
      </c>
      <c r="AF328" s="29">
        <f t="shared" si="65"/>
        <v>1</v>
      </c>
    </row>
    <row r="329" spans="1:32" ht="15" customHeight="1" x14ac:dyDescent="0.35">
      <c r="A329" s="19" t="s">
        <v>109</v>
      </c>
      <c r="B329" s="19" t="s">
        <v>115</v>
      </c>
      <c r="C329" s="19" t="s">
        <v>210</v>
      </c>
      <c r="D329" s="19" t="s">
        <v>121</v>
      </c>
      <c r="E329" s="19" t="s">
        <v>213</v>
      </c>
      <c r="F329" s="19">
        <v>3</v>
      </c>
      <c r="G329" s="19" t="s">
        <v>107</v>
      </c>
      <c r="H329" s="16">
        <v>0</v>
      </c>
      <c r="I329" s="13">
        <f>IF($G329="Base",1,INDEX(ModelOutput!$D$16:$D$26,MATCH($G329,ModelOutput!$C$16:$C$26,0)))</f>
        <v>1.1906804269762199</v>
      </c>
      <c r="J329" s="13">
        <f>IF($A329="Non-greek",1,INDEX(ModelOutput!$D$16:$D$26,MATCH($A329,ModelOutput!$C$16:$C$26,0)))</f>
        <v>4.3562312213391099</v>
      </c>
      <c r="K329" s="13">
        <f>IF($C329="Yes",1,INDEX(ModelOutput!$D$16:$D$26,MATCH($C329,ModelOutput!$C$16:$C$26,0)))</f>
        <v>1</v>
      </c>
      <c r="L329" s="13">
        <f>IF($D329="2.0-3.0",1,INDEX(ModelOutput!$D$16:$D$26,MATCH($D329,ModelOutput!$C$16:$C$26,0)))</f>
        <v>1.12144800201769</v>
      </c>
      <c r="M329" s="13">
        <f>IF($B329="On campus",1,INDEX(ModelOutput!$D$16:$D$26,MATCH($B329,ModelOutput!$C$16:$C$26,0)))</f>
        <v>1.95077419049637</v>
      </c>
      <c r="N329" s="13">
        <f>IF($B329="On campus",1,INDEX(ModelOutput!$E$16:$E$26,MATCH($B329,ModelOutput!$C$16:$C$26,0)))</f>
        <v>1.9200078162799401</v>
      </c>
      <c r="O329" s="13">
        <f>IF($B329="On campus",1,INDEX(ModelOutput!$F$16:$F$26,MATCH($B329,ModelOutput!$C$16:$C$26,0)))</f>
        <v>2.4799996979530001</v>
      </c>
      <c r="P329" s="13">
        <f>IF($B329="On campus",1,INDEX(ModelOutput!$G$16:$G$26,MATCH($B329,ModelOutput!$C$16:$C$26,0)))</f>
        <v>3.1261975703362501</v>
      </c>
      <c r="Q329" s="72">
        <f>INDEX(ModelOutput!$D$9:$D$11,MATCH("Tier "&amp;$F329,ModelOutput!$B$9:$B$11,0))</f>
        <v>40.009437343712797</v>
      </c>
      <c r="R329" s="72">
        <f>INDEX(ModelOutput!$E$9:$E$11,MATCH("Tier "&amp;$F329,ModelOutput!$B$9:$B$11,0))</f>
        <v>117.949723218616</v>
      </c>
      <c r="S329" s="72">
        <f>INDEX(ModelOutput!$F$9:$F$11,MATCH("Tier "&amp;$F329,ModelOutput!$B$9:$B$11,0))</f>
        <v>136.83922529015501</v>
      </c>
      <c r="T329" s="72">
        <f>INDEX(ModelOutput!$G$9:$G$11,MATCH("Tier "&amp;$F329,ModelOutput!$B$9:$B$11,0))</f>
        <v>22.729631592092201</v>
      </c>
      <c r="U329" s="76">
        <f t="shared" si="55"/>
        <v>453.9988202758247</v>
      </c>
      <c r="V329" s="76">
        <f t="shared" si="56"/>
        <v>1317.301547990508</v>
      </c>
      <c r="W329" s="76">
        <f t="shared" si="57"/>
        <v>1974.0016624088496</v>
      </c>
      <c r="X329" s="76">
        <f t="shared" si="58"/>
        <v>413.32730581199462</v>
      </c>
      <c r="Y329" s="27">
        <f t="shared" si="59"/>
        <v>4158.6293364871772</v>
      </c>
      <c r="Z329" s="27">
        <f t="shared" si="60"/>
        <v>6803.9221730883683</v>
      </c>
      <c r="AA329" s="33">
        <f t="shared" si="61"/>
        <v>3.7705652274475039</v>
      </c>
      <c r="AB329" s="14">
        <f t="shared" si="62"/>
        <v>1782.7872193062994</v>
      </c>
      <c r="AC329" s="29">
        <f t="shared" si="63"/>
        <v>8</v>
      </c>
      <c r="AD329" s="20">
        <v>4158.6293364871999</v>
      </c>
      <c r="AE329" s="78">
        <f t="shared" si="64"/>
        <v>-2.2737367544323206E-11</v>
      </c>
      <c r="AF329" s="29">
        <f t="shared" si="65"/>
        <v>2</v>
      </c>
    </row>
    <row r="330" spans="1:32" ht="15" customHeight="1" x14ac:dyDescent="0.35">
      <c r="A330" s="37" t="s">
        <v>109</v>
      </c>
      <c r="B330" s="37" t="s">
        <v>115</v>
      </c>
      <c r="C330" s="37" t="s">
        <v>210</v>
      </c>
      <c r="D330" s="37" t="s">
        <v>123</v>
      </c>
      <c r="E330" s="37" t="s">
        <v>95</v>
      </c>
      <c r="F330" s="37">
        <v>1</v>
      </c>
      <c r="G330" s="37" t="s">
        <v>211</v>
      </c>
      <c r="H330" s="38">
        <v>8</v>
      </c>
      <c r="I330" s="39">
        <f>IF($G330="Base",1,INDEX(ModelOutput!$D$16:$D$26,MATCH($G330,ModelOutput!$C$16:$C$26,0)))</f>
        <v>1</v>
      </c>
      <c r="J330" s="39">
        <f>IF($A330="Non-greek",1,INDEX(ModelOutput!$D$16:$D$26,MATCH($A330,ModelOutput!$C$16:$C$26,0)))</f>
        <v>4.3562312213391099</v>
      </c>
      <c r="K330" s="39">
        <f>IF($C330="Yes",1,INDEX(ModelOutput!$D$16:$D$26,MATCH($C330,ModelOutput!$C$16:$C$26,0)))</f>
        <v>1</v>
      </c>
      <c r="L330" s="39">
        <f>IF($D330="2.0-3.0",1,INDEX(ModelOutput!$D$16:$D$26,MATCH($D330,ModelOutput!$C$16:$C$26,0)))</f>
        <v>1.01762556011242</v>
      </c>
      <c r="M330" s="39">
        <f>IF($B330="On campus",1,INDEX(ModelOutput!$D$16:$D$26,MATCH($B330,ModelOutput!$C$16:$C$26,0)))</f>
        <v>1.95077419049637</v>
      </c>
      <c r="N330" s="39">
        <f>IF($B330="On campus",1,INDEX(ModelOutput!$E$16:$E$26,MATCH($B330,ModelOutput!$C$16:$C$26,0)))</f>
        <v>1.9200078162799401</v>
      </c>
      <c r="O330" s="39">
        <f>IF($B330="On campus",1,INDEX(ModelOutput!$F$16:$F$26,MATCH($B330,ModelOutput!$C$16:$C$26,0)))</f>
        <v>2.4799996979530001</v>
      </c>
      <c r="P330" s="39">
        <f>IF($B330="On campus",1,INDEX(ModelOutput!$G$16:$G$26,MATCH($B330,ModelOutput!$C$16:$C$26,0)))</f>
        <v>3.1261975703362501</v>
      </c>
      <c r="Q330" s="73">
        <f>INDEX(ModelOutput!$D$9:$D$11,MATCH("Tier "&amp;$F330,ModelOutput!$B$9:$B$11,0))</f>
        <v>36.175496869914397</v>
      </c>
      <c r="R330" s="73">
        <f>INDEX(ModelOutput!$E$9:$E$11,MATCH("Tier "&amp;$F330,ModelOutput!$B$9:$B$11,0))</f>
        <v>106.647084447761</v>
      </c>
      <c r="S330" s="73">
        <f>INDEX(ModelOutput!$F$9:$F$11,MATCH("Tier "&amp;$F330,ModelOutput!$B$9:$B$11,0))</f>
        <v>123.726482920496</v>
      </c>
      <c r="T330" s="73">
        <f>INDEX(ModelOutput!$G$9:$G$11,MATCH("Tier "&amp;$F330,ModelOutput!$B$9:$B$11,0))</f>
        <v>20.551544113210401</v>
      </c>
      <c r="U330" s="77">
        <f t="shared" si="55"/>
        <v>312.83867372249165</v>
      </c>
      <c r="V330" s="77">
        <f t="shared" si="56"/>
        <v>907.71792956547188</v>
      </c>
      <c r="W330" s="77">
        <f t="shared" si="57"/>
        <v>1360.2327460207828</v>
      </c>
      <c r="X330" s="77">
        <f t="shared" si="58"/>
        <v>284.81300036188867</v>
      </c>
      <c r="Y330" s="30">
        <f t="shared" si="59"/>
        <v>2865.6023496706348</v>
      </c>
      <c r="Z330" s="30">
        <f t="shared" si="60"/>
        <v>4701.3594885914727</v>
      </c>
      <c r="AA330" s="41">
        <f t="shared" si="61"/>
        <v>2.2963548858208798</v>
      </c>
      <c r="AB330" s="40">
        <f t="shared" si="62"/>
        <v>1782.7872193062994</v>
      </c>
      <c r="AC330" s="42">
        <f t="shared" si="63"/>
        <v>6</v>
      </c>
      <c r="AD330" s="43">
        <v>2865.6023496706298</v>
      </c>
      <c r="AE330" s="79">
        <f t="shared" si="64"/>
        <v>5.0022208597511053E-12</v>
      </c>
      <c r="AF330" s="29">
        <f t="shared" si="65"/>
        <v>4</v>
      </c>
    </row>
    <row r="331" spans="1:32" ht="15" customHeight="1" x14ac:dyDescent="0.35">
      <c r="A331" s="37" t="s">
        <v>109</v>
      </c>
      <c r="B331" s="37" t="s">
        <v>115</v>
      </c>
      <c r="C331" s="37" t="s">
        <v>210</v>
      </c>
      <c r="D331" s="37" t="s">
        <v>123</v>
      </c>
      <c r="E331" s="37" t="s">
        <v>105</v>
      </c>
      <c r="F331" s="37">
        <v>1</v>
      </c>
      <c r="G331" s="37" t="s">
        <v>105</v>
      </c>
      <c r="H331" s="38">
        <v>8</v>
      </c>
      <c r="I331" s="39">
        <f>IF($G331="Base",1,INDEX(ModelOutput!$D$16:$D$26,MATCH($G331,ModelOutput!$C$16:$C$26,0)))</f>
        <v>0.98982624281990295</v>
      </c>
      <c r="J331" s="39">
        <f>IF($A331="Non-greek",1,INDEX(ModelOutput!$D$16:$D$26,MATCH($A331,ModelOutput!$C$16:$C$26,0)))</f>
        <v>4.3562312213391099</v>
      </c>
      <c r="K331" s="39">
        <f>IF($C331="Yes",1,INDEX(ModelOutput!$D$16:$D$26,MATCH($C331,ModelOutput!$C$16:$C$26,0)))</f>
        <v>1</v>
      </c>
      <c r="L331" s="39">
        <f>IF($D331="2.0-3.0",1,INDEX(ModelOutput!$D$16:$D$26,MATCH($D331,ModelOutput!$C$16:$C$26,0)))</f>
        <v>1.01762556011242</v>
      </c>
      <c r="M331" s="39">
        <f>IF($B331="On campus",1,INDEX(ModelOutput!$D$16:$D$26,MATCH($B331,ModelOutput!$C$16:$C$26,0)))</f>
        <v>1.95077419049637</v>
      </c>
      <c r="N331" s="39">
        <f>IF($B331="On campus",1,INDEX(ModelOutput!$E$16:$E$26,MATCH($B331,ModelOutput!$C$16:$C$26,0)))</f>
        <v>1.9200078162799401</v>
      </c>
      <c r="O331" s="39">
        <f>IF($B331="On campus",1,INDEX(ModelOutput!$F$16:$F$26,MATCH($B331,ModelOutput!$C$16:$C$26,0)))</f>
        <v>2.4799996979530001</v>
      </c>
      <c r="P331" s="39">
        <f>IF($B331="On campus",1,INDEX(ModelOutput!$G$16:$G$26,MATCH($B331,ModelOutput!$C$16:$C$26,0)))</f>
        <v>3.1261975703362501</v>
      </c>
      <c r="Q331" s="73">
        <f>INDEX(ModelOutput!$D$9:$D$11,MATCH("Tier "&amp;$F331,ModelOutput!$B$9:$B$11,0))</f>
        <v>36.175496869914397</v>
      </c>
      <c r="R331" s="73">
        <f>INDEX(ModelOutput!$E$9:$E$11,MATCH("Tier "&amp;$F331,ModelOutput!$B$9:$B$11,0))</f>
        <v>106.647084447761</v>
      </c>
      <c r="S331" s="73">
        <f>INDEX(ModelOutput!$F$9:$F$11,MATCH("Tier "&amp;$F331,ModelOutput!$B$9:$B$11,0))</f>
        <v>123.726482920496</v>
      </c>
      <c r="T331" s="73">
        <f>INDEX(ModelOutput!$G$9:$G$11,MATCH("Tier "&amp;$F331,ModelOutput!$B$9:$B$11,0))</f>
        <v>20.551544113210401</v>
      </c>
      <c r="U331" s="77">
        <f t="shared" si="55"/>
        <v>309.65592901949549</v>
      </c>
      <c r="V331" s="77">
        <f t="shared" si="56"/>
        <v>898.48302776205242</v>
      </c>
      <c r="W331" s="77">
        <f t="shared" si="57"/>
        <v>1346.3940683543508</v>
      </c>
      <c r="X331" s="77">
        <f t="shared" si="58"/>
        <v>281.91538205447188</v>
      </c>
      <c r="Y331" s="30">
        <f t="shared" si="59"/>
        <v>2836.4484071903707</v>
      </c>
      <c r="Z331" s="30">
        <f t="shared" si="60"/>
        <v>4653.9529052873695</v>
      </c>
      <c r="AA331" s="41">
        <f t="shared" si="61"/>
        <v>2.2631157934107451</v>
      </c>
      <c r="AB331" s="40">
        <f t="shared" si="62"/>
        <v>1782.7872193062994</v>
      </c>
      <c r="AC331" s="42">
        <f t="shared" si="63"/>
        <v>6</v>
      </c>
      <c r="AD331" s="43">
        <v>2836.4484071903698</v>
      </c>
      <c r="AE331" s="79">
        <f t="shared" si="64"/>
        <v>0</v>
      </c>
      <c r="AF331" s="29">
        <f t="shared" si="65"/>
        <v>3</v>
      </c>
    </row>
    <row r="332" spans="1:32" ht="15" customHeight="1" x14ac:dyDescent="0.35">
      <c r="A332" s="37" t="s">
        <v>109</v>
      </c>
      <c r="B332" s="37" t="s">
        <v>115</v>
      </c>
      <c r="C332" s="37" t="s">
        <v>210</v>
      </c>
      <c r="D332" s="37" t="s">
        <v>123</v>
      </c>
      <c r="E332" s="37" t="s">
        <v>97</v>
      </c>
      <c r="F332" s="37">
        <v>2</v>
      </c>
      <c r="G332" s="37" t="s">
        <v>211</v>
      </c>
      <c r="H332" s="38">
        <v>6</v>
      </c>
      <c r="I332" s="39">
        <f>IF($G332="Base",1,INDEX(ModelOutput!$D$16:$D$26,MATCH($G332,ModelOutput!$C$16:$C$26,0)))</f>
        <v>1</v>
      </c>
      <c r="J332" s="39">
        <f>IF($A332="Non-greek",1,INDEX(ModelOutput!$D$16:$D$26,MATCH($A332,ModelOutput!$C$16:$C$26,0)))</f>
        <v>4.3562312213391099</v>
      </c>
      <c r="K332" s="39">
        <f>IF($C332="Yes",1,INDEX(ModelOutput!$D$16:$D$26,MATCH($C332,ModelOutput!$C$16:$C$26,0)))</f>
        <v>1</v>
      </c>
      <c r="L332" s="39">
        <f>IF($D332="2.0-3.0",1,INDEX(ModelOutput!$D$16:$D$26,MATCH($D332,ModelOutput!$C$16:$C$26,0)))</f>
        <v>1.01762556011242</v>
      </c>
      <c r="M332" s="39">
        <f>IF($B332="On campus",1,INDEX(ModelOutput!$D$16:$D$26,MATCH($B332,ModelOutput!$C$16:$C$26,0)))</f>
        <v>1.95077419049637</v>
      </c>
      <c r="N332" s="39">
        <f>IF($B332="On campus",1,INDEX(ModelOutput!$E$16:$E$26,MATCH($B332,ModelOutput!$C$16:$C$26,0)))</f>
        <v>1.9200078162799401</v>
      </c>
      <c r="O332" s="39">
        <f>IF($B332="On campus",1,INDEX(ModelOutput!$F$16:$F$26,MATCH($B332,ModelOutput!$C$16:$C$26,0)))</f>
        <v>2.4799996979530001</v>
      </c>
      <c r="P332" s="39">
        <f>IF($B332="On campus",1,INDEX(ModelOutput!$G$16:$G$26,MATCH($B332,ModelOutput!$C$16:$C$26,0)))</f>
        <v>3.1261975703362501</v>
      </c>
      <c r="Q332" s="73">
        <f>INDEX(ModelOutput!$D$9:$D$11,MATCH("Tier "&amp;$F332,ModelOutput!$B$9:$B$11,0))</f>
        <v>42.8051506068728</v>
      </c>
      <c r="R332" s="73">
        <f>INDEX(ModelOutput!$E$9:$E$11,MATCH("Tier "&amp;$F332,ModelOutput!$B$9:$B$11,0))</f>
        <v>126.191618818284</v>
      </c>
      <c r="S332" s="73">
        <f>INDEX(ModelOutput!$F$9:$F$11,MATCH("Tier "&amp;$F332,ModelOutput!$B$9:$B$11,0))</f>
        <v>146.401050261042</v>
      </c>
      <c r="T332" s="73">
        <f>INDEX(ModelOutput!$G$9:$G$11,MATCH("Tier "&amp;$F332,ModelOutput!$B$9:$B$11,0))</f>
        <v>24.317895180076398</v>
      </c>
      <c r="U332" s="77">
        <f t="shared" si="55"/>
        <v>370.17063214085118</v>
      </c>
      <c r="V332" s="77">
        <f t="shared" si="56"/>
        <v>1074.0696340213251</v>
      </c>
      <c r="W332" s="77">
        <f t="shared" si="57"/>
        <v>1609.5139691707441</v>
      </c>
      <c r="X332" s="77">
        <f t="shared" si="58"/>
        <v>337.00887147800478</v>
      </c>
      <c r="Y332" s="30">
        <f t="shared" si="59"/>
        <v>3390.7631068109254</v>
      </c>
      <c r="Z332" s="30">
        <f t="shared" si="60"/>
        <v>5555.311821051163</v>
      </c>
      <c r="AA332" s="41">
        <f t="shared" si="61"/>
        <v>2.895102960753773</v>
      </c>
      <c r="AB332" s="40">
        <f t="shared" si="62"/>
        <v>1782.7872193062994</v>
      </c>
      <c r="AC332" s="42">
        <f t="shared" si="63"/>
        <v>7</v>
      </c>
      <c r="AD332" s="43">
        <v>3390.7631068109299</v>
      </c>
      <c r="AE332" s="79">
        <f t="shared" si="64"/>
        <v>-4.5474735088646412E-12</v>
      </c>
      <c r="AF332" s="29">
        <f t="shared" si="65"/>
        <v>2</v>
      </c>
    </row>
    <row r="333" spans="1:32" ht="15" customHeight="1" x14ac:dyDescent="0.35">
      <c r="A333" s="37" t="s">
        <v>109</v>
      </c>
      <c r="B333" s="37" t="s">
        <v>115</v>
      </c>
      <c r="C333" s="37" t="s">
        <v>210</v>
      </c>
      <c r="D333" s="37" t="s">
        <v>123</v>
      </c>
      <c r="E333" s="37" t="s">
        <v>99</v>
      </c>
      <c r="F333" s="37">
        <v>3</v>
      </c>
      <c r="G333" s="37" t="s">
        <v>211</v>
      </c>
      <c r="H333" s="38">
        <v>5</v>
      </c>
      <c r="I333" s="39">
        <f>IF($G333="Base",1,INDEX(ModelOutput!$D$16:$D$26,MATCH($G333,ModelOutput!$C$16:$C$26,0)))</f>
        <v>1</v>
      </c>
      <c r="J333" s="39">
        <f>IF($A333="Non-greek",1,INDEX(ModelOutput!$D$16:$D$26,MATCH($A333,ModelOutput!$C$16:$C$26,0)))</f>
        <v>4.3562312213391099</v>
      </c>
      <c r="K333" s="39">
        <f>IF($C333="Yes",1,INDEX(ModelOutput!$D$16:$D$26,MATCH($C333,ModelOutput!$C$16:$C$26,0)))</f>
        <v>1</v>
      </c>
      <c r="L333" s="39">
        <f>IF($D333="2.0-3.0",1,INDEX(ModelOutput!$D$16:$D$26,MATCH($D333,ModelOutput!$C$16:$C$26,0)))</f>
        <v>1.01762556011242</v>
      </c>
      <c r="M333" s="39">
        <f>IF($B333="On campus",1,INDEX(ModelOutput!$D$16:$D$26,MATCH($B333,ModelOutput!$C$16:$C$26,0)))</f>
        <v>1.95077419049637</v>
      </c>
      <c r="N333" s="39">
        <f>IF($B333="On campus",1,INDEX(ModelOutput!$E$16:$E$26,MATCH($B333,ModelOutput!$C$16:$C$26,0)))</f>
        <v>1.9200078162799401</v>
      </c>
      <c r="O333" s="39">
        <f>IF($B333="On campus",1,INDEX(ModelOutput!$F$16:$F$26,MATCH($B333,ModelOutput!$C$16:$C$26,0)))</f>
        <v>2.4799996979530001</v>
      </c>
      <c r="P333" s="39">
        <f>IF($B333="On campus",1,INDEX(ModelOutput!$G$16:$G$26,MATCH($B333,ModelOutput!$C$16:$C$26,0)))</f>
        <v>3.1261975703362501</v>
      </c>
      <c r="Q333" s="73">
        <f>INDEX(ModelOutput!$D$9:$D$11,MATCH("Tier "&amp;$F333,ModelOutput!$B$9:$B$11,0))</f>
        <v>40.009437343712797</v>
      </c>
      <c r="R333" s="73">
        <f>INDEX(ModelOutput!$E$9:$E$11,MATCH("Tier "&amp;$F333,ModelOutput!$B$9:$B$11,0))</f>
        <v>117.949723218616</v>
      </c>
      <c r="S333" s="73">
        <f>INDEX(ModelOutput!$F$9:$F$11,MATCH("Tier "&amp;$F333,ModelOutput!$B$9:$B$11,0))</f>
        <v>136.83922529015501</v>
      </c>
      <c r="T333" s="73">
        <f>INDEX(ModelOutput!$G$9:$G$11,MATCH("Tier "&amp;$F333,ModelOutput!$B$9:$B$11,0))</f>
        <v>22.729631592092201</v>
      </c>
      <c r="U333" s="77">
        <f t="shared" si="55"/>
        <v>345.99384660835642</v>
      </c>
      <c r="V333" s="77">
        <f t="shared" si="56"/>
        <v>1003.9194142739675</v>
      </c>
      <c r="W333" s="77">
        <f t="shared" si="57"/>
        <v>1504.39251796553</v>
      </c>
      <c r="X333" s="77">
        <f t="shared" si="58"/>
        <v>314.99796488298421</v>
      </c>
      <c r="Y333" s="30">
        <f t="shared" si="59"/>
        <v>3169.3037437308376</v>
      </c>
      <c r="Z333" s="30">
        <f t="shared" si="60"/>
        <v>5195.2016317881853</v>
      </c>
      <c r="AA333" s="41">
        <f t="shared" si="61"/>
        <v>2.6426119558239334</v>
      </c>
      <c r="AB333" s="40">
        <f t="shared" si="62"/>
        <v>1782.7872193062994</v>
      </c>
      <c r="AC333" s="42">
        <f t="shared" si="63"/>
        <v>6</v>
      </c>
      <c r="AD333" s="43">
        <v>3169.3037437308499</v>
      </c>
      <c r="AE333" s="79">
        <f t="shared" si="64"/>
        <v>-1.2278178473934531E-11</v>
      </c>
      <c r="AF333" s="29">
        <f t="shared" si="65"/>
        <v>1</v>
      </c>
    </row>
    <row r="334" spans="1:32" ht="15" customHeight="1" x14ac:dyDescent="0.35">
      <c r="A334" s="37" t="s">
        <v>109</v>
      </c>
      <c r="B334" s="37" t="s">
        <v>115</v>
      </c>
      <c r="C334" s="37" t="s">
        <v>210</v>
      </c>
      <c r="D334" s="37" t="s">
        <v>123</v>
      </c>
      <c r="E334" s="37" t="s">
        <v>213</v>
      </c>
      <c r="F334" s="37">
        <v>3</v>
      </c>
      <c r="G334" s="37" t="s">
        <v>107</v>
      </c>
      <c r="H334" s="38">
        <v>3</v>
      </c>
      <c r="I334" s="39">
        <f>IF($G334="Base",1,INDEX(ModelOutput!$D$16:$D$26,MATCH($G334,ModelOutput!$C$16:$C$26,0)))</f>
        <v>1.1906804269762199</v>
      </c>
      <c r="J334" s="39">
        <f>IF($A334="Non-greek",1,INDEX(ModelOutput!$D$16:$D$26,MATCH($A334,ModelOutput!$C$16:$C$26,0)))</f>
        <v>4.3562312213391099</v>
      </c>
      <c r="K334" s="39">
        <f>IF($C334="Yes",1,INDEX(ModelOutput!$D$16:$D$26,MATCH($C334,ModelOutput!$C$16:$C$26,0)))</f>
        <v>1</v>
      </c>
      <c r="L334" s="39">
        <f>IF($D334="2.0-3.0",1,INDEX(ModelOutput!$D$16:$D$26,MATCH($D334,ModelOutput!$C$16:$C$26,0)))</f>
        <v>1.01762556011242</v>
      </c>
      <c r="M334" s="39">
        <f>IF($B334="On campus",1,INDEX(ModelOutput!$D$16:$D$26,MATCH($B334,ModelOutput!$C$16:$C$26,0)))</f>
        <v>1.95077419049637</v>
      </c>
      <c r="N334" s="39">
        <f>IF($B334="On campus",1,INDEX(ModelOutput!$E$16:$E$26,MATCH($B334,ModelOutput!$C$16:$C$26,0)))</f>
        <v>1.9200078162799401</v>
      </c>
      <c r="O334" s="39">
        <f>IF($B334="On campus",1,INDEX(ModelOutput!$F$16:$F$26,MATCH($B334,ModelOutput!$C$16:$C$26,0)))</f>
        <v>2.4799996979530001</v>
      </c>
      <c r="P334" s="39">
        <f>IF($B334="On campus",1,INDEX(ModelOutput!$G$16:$G$26,MATCH($B334,ModelOutput!$C$16:$C$26,0)))</f>
        <v>3.1261975703362501</v>
      </c>
      <c r="Q334" s="73">
        <f>INDEX(ModelOutput!$D$9:$D$11,MATCH("Tier "&amp;$F334,ModelOutput!$B$9:$B$11,0))</f>
        <v>40.009437343712797</v>
      </c>
      <c r="R334" s="73">
        <f>INDEX(ModelOutput!$E$9:$E$11,MATCH("Tier "&amp;$F334,ModelOutput!$B$9:$B$11,0))</f>
        <v>117.949723218616</v>
      </c>
      <c r="S334" s="73">
        <f>INDEX(ModelOutput!$F$9:$F$11,MATCH("Tier "&amp;$F334,ModelOutput!$B$9:$B$11,0))</f>
        <v>136.83922529015501</v>
      </c>
      <c r="T334" s="73">
        <f>INDEX(ModelOutput!$G$9:$G$11,MATCH("Tier "&amp;$F334,ModelOutput!$B$9:$B$11,0))</f>
        <v>22.729631592092201</v>
      </c>
      <c r="U334" s="77">
        <f t="shared" si="55"/>
        <v>411.96810101078262</v>
      </c>
      <c r="V334" s="77">
        <f t="shared" si="56"/>
        <v>1195.3471968374445</v>
      </c>
      <c r="W334" s="77">
        <f t="shared" si="57"/>
        <v>1791.250725631028</v>
      </c>
      <c r="X334" s="77">
        <f t="shared" si="58"/>
        <v>375.06191132351199</v>
      </c>
      <c r="Y334" s="30">
        <f t="shared" si="59"/>
        <v>3773.627934802767</v>
      </c>
      <c r="Z334" s="30">
        <f t="shared" si="60"/>
        <v>6177.8798793744372</v>
      </c>
      <c r="AA334" s="41">
        <f t="shared" si="61"/>
        <v>3.3316161152551285</v>
      </c>
      <c r="AB334" s="40">
        <f t="shared" si="62"/>
        <v>1782.7872193062994</v>
      </c>
      <c r="AC334" s="42">
        <f t="shared" si="63"/>
        <v>7</v>
      </c>
      <c r="AD334" s="43">
        <v>3773.6279348027801</v>
      </c>
      <c r="AE334" s="79">
        <f t="shared" si="64"/>
        <v>-1.3187673175707459E-11</v>
      </c>
      <c r="AF334" s="29">
        <f t="shared" si="65"/>
        <v>2</v>
      </c>
    </row>
    <row r="335" spans="1:32" ht="15" customHeight="1" x14ac:dyDescent="0.35">
      <c r="A335" s="19" t="s">
        <v>109</v>
      </c>
      <c r="B335" s="19" t="s">
        <v>115</v>
      </c>
      <c r="C335" s="19" t="s">
        <v>210</v>
      </c>
      <c r="D335" s="19" t="s">
        <v>122</v>
      </c>
      <c r="E335" s="19" t="s">
        <v>95</v>
      </c>
      <c r="F335" s="19">
        <v>1</v>
      </c>
      <c r="G335" s="19" t="s">
        <v>211</v>
      </c>
      <c r="H335" s="16">
        <v>12</v>
      </c>
      <c r="I335" s="13">
        <f>IF($G335="Base",1,INDEX(ModelOutput!$D$16:$D$26,MATCH($G335,ModelOutput!$C$16:$C$26,0)))</f>
        <v>1</v>
      </c>
      <c r="J335" s="13">
        <f>IF($A335="Non-greek",1,INDEX(ModelOutput!$D$16:$D$26,MATCH($A335,ModelOutput!$C$16:$C$26,0)))</f>
        <v>4.3562312213391099</v>
      </c>
      <c r="K335" s="13">
        <f>IF($C335="Yes",1,INDEX(ModelOutput!$D$16:$D$26,MATCH($C335,ModelOutput!$C$16:$C$26,0)))</f>
        <v>1</v>
      </c>
      <c r="L335" s="13">
        <f>IF($D335="2.0-3.0",1,INDEX(ModelOutput!$D$16:$D$26,MATCH($D335,ModelOutput!$C$16:$C$26,0)))</f>
        <v>1</v>
      </c>
      <c r="M335" s="13">
        <f>IF($B335="On campus",1,INDEX(ModelOutput!$D$16:$D$26,MATCH($B335,ModelOutput!$C$16:$C$26,0)))</f>
        <v>1.95077419049637</v>
      </c>
      <c r="N335" s="13">
        <f>IF($B335="On campus",1,INDEX(ModelOutput!$E$16:$E$26,MATCH($B335,ModelOutput!$C$16:$C$26,0)))</f>
        <v>1.9200078162799401</v>
      </c>
      <c r="O335" s="13">
        <f>IF($B335="On campus",1,INDEX(ModelOutput!$F$16:$F$26,MATCH($B335,ModelOutput!$C$16:$C$26,0)))</f>
        <v>2.4799996979530001</v>
      </c>
      <c r="P335" s="13">
        <f>IF($B335="On campus",1,INDEX(ModelOutput!$G$16:$G$26,MATCH($B335,ModelOutput!$C$16:$C$26,0)))</f>
        <v>3.1261975703362501</v>
      </c>
      <c r="Q335" s="72">
        <f>INDEX(ModelOutput!$D$9:$D$11,MATCH("Tier "&amp;$F335,ModelOutput!$B$9:$B$11,0))</f>
        <v>36.175496869914397</v>
      </c>
      <c r="R335" s="72">
        <f>INDEX(ModelOutput!$E$9:$E$11,MATCH("Tier "&amp;$F335,ModelOutput!$B$9:$B$11,0))</f>
        <v>106.647084447761</v>
      </c>
      <c r="S335" s="72">
        <f>INDEX(ModelOutput!$F$9:$F$11,MATCH("Tier "&amp;$F335,ModelOutput!$B$9:$B$11,0))</f>
        <v>123.726482920496</v>
      </c>
      <c r="T335" s="72">
        <f>INDEX(ModelOutput!$G$9:$G$11,MATCH("Tier "&amp;$F335,ModelOutput!$B$9:$B$11,0))</f>
        <v>20.551544113210401</v>
      </c>
      <c r="U335" s="76">
        <f t="shared" si="55"/>
        <v>307.42022015242179</v>
      </c>
      <c r="V335" s="76">
        <f t="shared" si="56"/>
        <v>891.99600043968405</v>
      </c>
      <c r="W335" s="76">
        <f t="shared" si="57"/>
        <v>1336.6731333581224</v>
      </c>
      <c r="X335" s="76">
        <f t="shared" si="58"/>
        <v>279.87995931472528</v>
      </c>
      <c r="Y335" s="27">
        <f t="shared" si="59"/>
        <v>2815.9693132649536</v>
      </c>
      <c r="Z335" s="27">
        <f t="shared" si="60"/>
        <v>4620.6523020216164</v>
      </c>
      <c r="AA335" s="33">
        <f t="shared" si="61"/>
        <v>2.2397670989443421</v>
      </c>
      <c r="AB335" s="14">
        <f t="shared" si="62"/>
        <v>1782.7872193062994</v>
      </c>
      <c r="AC335" s="29">
        <f t="shared" si="63"/>
        <v>6</v>
      </c>
      <c r="AD335" s="20">
        <v>2815.96931326495</v>
      </c>
      <c r="AE335" s="78">
        <f t="shared" si="64"/>
        <v>3.637978807091713E-12</v>
      </c>
      <c r="AF335" s="29">
        <f t="shared" si="65"/>
        <v>4</v>
      </c>
    </row>
    <row r="336" spans="1:32" ht="15" customHeight="1" x14ac:dyDescent="0.35">
      <c r="A336" s="19" t="s">
        <v>109</v>
      </c>
      <c r="B336" s="19" t="s">
        <v>115</v>
      </c>
      <c r="C336" s="19" t="s">
        <v>210</v>
      </c>
      <c r="D336" s="19" t="s">
        <v>122</v>
      </c>
      <c r="E336" s="19" t="s">
        <v>105</v>
      </c>
      <c r="F336" s="19">
        <v>1</v>
      </c>
      <c r="G336" s="19" t="s">
        <v>105</v>
      </c>
      <c r="H336" s="16">
        <v>8</v>
      </c>
      <c r="I336" s="13">
        <f>IF($G336="Base",1,INDEX(ModelOutput!$D$16:$D$26,MATCH($G336,ModelOutput!$C$16:$C$26,0)))</f>
        <v>0.98982624281990295</v>
      </c>
      <c r="J336" s="13">
        <f>IF($A336="Non-greek",1,INDEX(ModelOutput!$D$16:$D$26,MATCH($A336,ModelOutput!$C$16:$C$26,0)))</f>
        <v>4.3562312213391099</v>
      </c>
      <c r="K336" s="13">
        <f>IF($C336="Yes",1,INDEX(ModelOutput!$D$16:$D$26,MATCH($C336,ModelOutput!$C$16:$C$26,0)))</f>
        <v>1</v>
      </c>
      <c r="L336" s="13">
        <f>IF($D336="2.0-3.0",1,INDEX(ModelOutput!$D$16:$D$26,MATCH($D336,ModelOutput!$C$16:$C$26,0)))</f>
        <v>1</v>
      </c>
      <c r="M336" s="13">
        <f>IF($B336="On campus",1,INDEX(ModelOutput!$D$16:$D$26,MATCH($B336,ModelOutput!$C$16:$C$26,0)))</f>
        <v>1.95077419049637</v>
      </c>
      <c r="N336" s="13">
        <f>IF($B336="On campus",1,INDEX(ModelOutput!$E$16:$E$26,MATCH($B336,ModelOutput!$C$16:$C$26,0)))</f>
        <v>1.9200078162799401</v>
      </c>
      <c r="O336" s="13">
        <f>IF($B336="On campus",1,INDEX(ModelOutput!$F$16:$F$26,MATCH($B336,ModelOutput!$C$16:$C$26,0)))</f>
        <v>2.4799996979530001</v>
      </c>
      <c r="P336" s="13">
        <f>IF($B336="On campus",1,INDEX(ModelOutput!$G$16:$G$26,MATCH($B336,ModelOutput!$C$16:$C$26,0)))</f>
        <v>3.1261975703362501</v>
      </c>
      <c r="Q336" s="72">
        <f>INDEX(ModelOutput!$D$9:$D$11,MATCH("Tier "&amp;$F336,ModelOutput!$B$9:$B$11,0))</f>
        <v>36.175496869914397</v>
      </c>
      <c r="R336" s="72">
        <f>INDEX(ModelOutput!$E$9:$E$11,MATCH("Tier "&amp;$F336,ModelOutput!$B$9:$B$11,0))</f>
        <v>106.647084447761</v>
      </c>
      <c r="S336" s="72">
        <f>INDEX(ModelOutput!$F$9:$F$11,MATCH("Tier "&amp;$F336,ModelOutput!$B$9:$B$11,0))</f>
        <v>123.726482920496</v>
      </c>
      <c r="T336" s="72">
        <f>INDEX(ModelOutput!$G$9:$G$11,MATCH("Tier "&amp;$F336,ModelOutput!$B$9:$B$11,0))</f>
        <v>20.551544113210401</v>
      </c>
      <c r="U336" s="76">
        <f t="shared" si="55"/>
        <v>304.2926014803391</v>
      </c>
      <c r="V336" s="76">
        <f t="shared" si="56"/>
        <v>882.92104972559309</v>
      </c>
      <c r="W336" s="76">
        <f t="shared" si="57"/>
        <v>1323.0741454701772</v>
      </c>
      <c r="X336" s="76">
        <f t="shared" si="58"/>
        <v>277.03252856908182</v>
      </c>
      <c r="Y336" s="27">
        <f t="shared" si="59"/>
        <v>2787.3203252451913</v>
      </c>
      <c r="Z336" s="27">
        <f t="shared" si="60"/>
        <v>4574.0668140363632</v>
      </c>
      <c r="AA336" s="33">
        <f t="shared" si="61"/>
        <v>2.2071037169372478</v>
      </c>
      <c r="AB336" s="14">
        <f t="shared" si="62"/>
        <v>1782.7872193062994</v>
      </c>
      <c r="AC336" s="29">
        <f t="shared" si="63"/>
        <v>6</v>
      </c>
      <c r="AD336" s="20">
        <v>2787.3203252451899</v>
      </c>
      <c r="AE336" s="78">
        <f t="shared" si="64"/>
        <v>0</v>
      </c>
      <c r="AF336" s="29">
        <f t="shared" si="65"/>
        <v>3</v>
      </c>
    </row>
    <row r="337" spans="1:32" ht="15" customHeight="1" x14ac:dyDescent="0.35">
      <c r="A337" s="19" t="s">
        <v>109</v>
      </c>
      <c r="B337" s="19" t="s">
        <v>115</v>
      </c>
      <c r="C337" s="19" t="s">
        <v>210</v>
      </c>
      <c r="D337" s="19" t="s">
        <v>122</v>
      </c>
      <c r="E337" s="19" t="s">
        <v>97</v>
      </c>
      <c r="F337" s="19">
        <v>2</v>
      </c>
      <c r="G337" s="19" t="s">
        <v>211</v>
      </c>
      <c r="H337" s="16">
        <v>8</v>
      </c>
      <c r="I337" s="13">
        <f>IF($G337="Base",1,INDEX(ModelOutput!$D$16:$D$26,MATCH($G337,ModelOutput!$C$16:$C$26,0)))</f>
        <v>1</v>
      </c>
      <c r="J337" s="13">
        <f>IF($A337="Non-greek",1,INDEX(ModelOutput!$D$16:$D$26,MATCH($A337,ModelOutput!$C$16:$C$26,0)))</f>
        <v>4.3562312213391099</v>
      </c>
      <c r="K337" s="13">
        <f>IF($C337="Yes",1,INDEX(ModelOutput!$D$16:$D$26,MATCH($C337,ModelOutput!$C$16:$C$26,0)))</f>
        <v>1</v>
      </c>
      <c r="L337" s="13">
        <f>IF($D337="2.0-3.0",1,INDEX(ModelOutput!$D$16:$D$26,MATCH($D337,ModelOutput!$C$16:$C$26,0)))</f>
        <v>1</v>
      </c>
      <c r="M337" s="13">
        <f>IF($B337="On campus",1,INDEX(ModelOutput!$D$16:$D$26,MATCH($B337,ModelOutput!$C$16:$C$26,0)))</f>
        <v>1.95077419049637</v>
      </c>
      <c r="N337" s="13">
        <f>IF($B337="On campus",1,INDEX(ModelOutput!$E$16:$E$26,MATCH($B337,ModelOutput!$C$16:$C$26,0)))</f>
        <v>1.9200078162799401</v>
      </c>
      <c r="O337" s="13">
        <f>IF($B337="On campus",1,INDEX(ModelOutput!$F$16:$F$26,MATCH($B337,ModelOutput!$C$16:$C$26,0)))</f>
        <v>2.4799996979530001</v>
      </c>
      <c r="P337" s="13">
        <f>IF($B337="On campus",1,INDEX(ModelOutput!$G$16:$G$26,MATCH($B337,ModelOutput!$C$16:$C$26,0)))</f>
        <v>3.1261975703362501</v>
      </c>
      <c r="Q337" s="72">
        <f>INDEX(ModelOutput!$D$9:$D$11,MATCH("Tier "&amp;$F337,ModelOutput!$B$9:$B$11,0))</f>
        <v>42.8051506068728</v>
      </c>
      <c r="R337" s="72">
        <f>INDEX(ModelOutput!$E$9:$E$11,MATCH("Tier "&amp;$F337,ModelOutput!$B$9:$B$11,0))</f>
        <v>126.191618818284</v>
      </c>
      <c r="S337" s="72">
        <f>INDEX(ModelOutput!$F$9:$F$11,MATCH("Tier "&amp;$F337,ModelOutput!$B$9:$B$11,0))</f>
        <v>146.401050261042</v>
      </c>
      <c r="T337" s="72">
        <f>INDEX(ModelOutput!$G$9:$G$11,MATCH("Tier "&amp;$F337,ModelOutput!$B$9:$B$11,0))</f>
        <v>24.317895180076398</v>
      </c>
      <c r="U337" s="76">
        <f t="shared" si="55"/>
        <v>363.75917297120304</v>
      </c>
      <c r="V337" s="76">
        <f t="shared" si="56"/>
        <v>1055.4664467180535</v>
      </c>
      <c r="W337" s="76">
        <f t="shared" si="57"/>
        <v>1581.6367358077528</v>
      </c>
      <c r="X337" s="76">
        <f t="shared" si="58"/>
        <v>331.17178330384547</v>
      </c>
      <c r="Y337" s="27">
        <f t="shared" si="59"/>
        <v>3332.0341388008546</v>
      </c>
      <c r="Z337" s="27">
        <f t="shared" si="60"/>
        <v>5459.8139405769125</v>
      </c>
      <c r="AA337" s="33">
        <f t="shared" si="61"/>
        <v>2.8281446892897999</v>
      </c>
      <c r="AB337" s="14">
        <f t="shared" si="62"/>
        <v>1782.7872193062994</v>
      </c>
      <c r="AC337" s="29">
        <f t="shared" si="63"/>
        <v>7</v>
      </c>
      <c r="AD337" s="20">
        <v>3332.0341388008601</v>
      </c>
      <c r="AE337" s="78">
        <f t="shared" si="64"/>
        <v>-5.4569682106375694E-12</v>
      </c>
      <c r="AF337" s="29">
        <f t="shared" si="65"/>
        <v>2</v>
      </c>
    </row>
    <row r="338" spans="1:32" ht="15" customHeight="1" x14ac:dyDescent="0.35">
      <c r="A338" s="19" t="s">
        <v>109</v>
      </c>
      <c r="B338" s="19" t="s">
        <v>115</v>
      </c>
      <c r="C338" s="19" t="s">
        <v>210</v>
      </c>
      <c r="D338" s="19" t="s">
        <v>122</v>
      </c>
      <c r="E338" s="19" t="s">
        <v>99</v>
      </c>
      <c r="F338" s="19">
        <v>3</v>
      </c>
      <c r="G338" s="19" t="s">
        <v>211</v>
      </c>
      <c r="H338" s="16">
        <v>6</v>
      </c>
      <c r="I338" s="13">
        <f>IF($G338="Base",1,INDEX(ModelOutput!$D$16:$D$26,MATCH($G338,ModelOutput!$C$16:$C$26,0)))</f>
        <v>1</v>
      </c>
      <c r="J338" s="13">
        <f>IF($A338="Non-greek",1,INDEX(ModelOutput!$D$16:$D$26,MATCH($A338,ModelOutput!$C$16:$C$26,0)))</f>
        <v>4.3562312213391099</v>
      </c>
      <c r="K338" s="13">
        <f>IF($C338="Yes",1,INDEX(ModelOutput!$D$16:$D$26,MATCH($C338,ModelOutput!$C$16:$C$26,0)))</f>
        <v>1</v>
      </c>
      <c r="L338" s="13">
        <f>IF($D338="2.0-3.0",1,INDEX(ModelOutput!$D$16:$D$26,MATCH($D338,ModelOutput!$C$16:$C$26,0)))</f>
        <v>1</v>
      </c>
      <c r="M338" s="13">
        <f>IF($B338="On campus",1,INDEX(ModelOutput!$D$16:$D$26,MATCH($B338,ModelOutput!$C$16:$C$26,0)))</f>
        <v>1.95077419049637</v>
      </c>
      <c r="N338" s="13">
        <f>IF($B338="On campus",1,INDEX(ModelOutput!$E$16:$E$26,MATCH($B338,ModelOutput!$C$16:$C$26,0)))</f>
        <v>1.9200078162799401</v>
      </c>
      <c r="O338" s="13">
        <f>IF($B338="On campus",1,INDEX(ModelOutput!$F$16:$F$26,MATCH($B338,ModelOutput!$C$16:$C$26,0)))</f>
        <v>2.4799996979530001</v>
      </c>
      <c r="P338" s="13">
        <f>IF($B338="On campus",1,INDEX(ModelOutput!$G$16:$G$26,MATCH($B338,ModelOutput!$C$16:$C$26,0)))</f>
        <v>3.1261975703362501</v>
      </c>
      <c r="Q338" s="72">
        <f>INDEX(ModelOutput!$D$9:$D$11,MATCH("Tier "&amp;$F338,ModelOutput!$B$9:$B$11,0))</f>
        <v>40.009437343712797</v>
      </c>
      <c r="R338" s="72">
        <f>INDEX(ModelOutput!$E$9:$E$11,MATCH("Tier "&amp;$F338,ModelOutput!$B$9:$B$11,0))</f>
        <v>117.949723218616</v>
      </c>
      <c r="S338" s="72">
        <f>INDEX(ModelOutput!$F$9:$F$11,MATCH("Tier "&amp;$F338,ModelOutput!$B$9:$B$11,0))</f>
        <v>136.83922529015501</v>
      </c>
      <c r="T338" s="72">
        <f>INDEX(ModelOutput!$G$9:$G$11,MATCH("Tier "&amp;$F338,ModelOutput!$B$9:$B$11,0))</f>
        <v>22.729631592092201</v>
      </c>
      <c r="U338" s="76">
        <f t="shared" si="55"/>
        <v>340.00113614494268</v>
      </c>
      <c r="V338" s="76">
        <f t="shared" si="56"/>
        <v>986.53124845160312</v>
      </c>
      <c r="W338" s="76">
        <f t="shared" si="57"/>
        <v>1478.3360176206024</v>
      </c>
      <c r="X338" s="76">
        <f t="shared" si="58"/>
        <v>309.54211178440283</v>
      </c>
      <c r="Y338" s="27">
        <f t="shared" si="59"/>
        <v>3114.4105140015513</v>
      </c>
      <c r="Z338" s="27">
        <f t="shared" si="60"/>
        <v>5105.9409607913103</v>
      </c>
      <c r="AA338" s="33">
        <f t="shared" si="61"/>
        <v>2.5800268993809614</v>
      </c>
      <c r="AB338" s="14">
        <f t="shared" si="62"/>
        <v>1782.7872193062994</v>
      </c>
      <c r="AC338" s="29">
        <f t="shared" si="63"/>
        <v>6</v>
      </c>
      <c r="AD338" s="20">
        <v>3114.4105140015599</v>
      </c>
      <c r="AE338" s="78">
        <f t="shared" si="64"/>
        <v>-8.6401996668428183E-12</v>
      </c>
      <c r="AF338" s="29">
        <f t="shared" si="65"/>
        <v>1</v>
      </c>
    </row>
    <row r="339" spans="1:32" ht="15" customHeight="1" x14ac:dyDescent="0.35">
      <c r="A339" s="19" t="s">
        <v>109</v>
      </c>
      <c r="B339" s="19" t="s">
        <v>115</v>
      </c>
      <c r="C339" s="19" t="s">
        <v>210</v>
      </c>
      <c r="D339" s="19" t="s">
        <v>122</v>
      </c>
      <c r="E339" s="19" t="s">
        <v>213</v>
      </c>
      <c r="F339" s="19">
        <v>3</v>
      </c>
      <c r="G339" s="19" t="s">
        <v>107</v>
      </c>
      <c r="H339" s="16">
        <v>7</v>
      </c>
      <c r="I339" s="13">
        <f>IF($G339="Base",1,INDEX(ModelOutput!$D$16:$D$26,MATCH($G339,ModelOutput!$C$16:$C$26,0)))</f>
        <v>1.1906804269762199</v>
      </c>
      <c r="J339" s="13">
        <f>IF($A339="Non-greek",1,INDEX(ModelOutput!$D$16:$D$26,MATCH($A339,ModelOutput!$C$16:$C$26,0)))</f>
        <v>4.3562312213391099</v>
      </c>
      <c r="K339" s="13">
        <f>IF($C339="Yes",1,INDEX(ModelOutput!$D$16:$D$26,MATCH($C339,ModelOutput!$C$16:$C$26,0)))</f>
        <v>1</v>
      </c>
      <c r="L339" s="13">
        <f>IF($D339="2.0-3.0",1,INDEX(ModelOutput!$D$16:$D$26,MATCH($D339,ModelOutput!$C$16:$C$26,0)))</f>
        <v>1</v>
      </c>
      <c r="M339" s="13">
        <f>IF($B339="On campus",1,INDEX(ModelOutput!$D$16:$D$26,MATCH($B339,ModelOutput!$C$16:$C$26,0)))</f>
        <v>1.95077419049637</v>
      </c>
      <c r="N339" s="13">
        <f>IF($B339="On campus",1,INDEX(ModelOutput!$E$16:$E$26,MATCH($B339,ModelOutput!$C$16:$C$26,0)))</f>
        <v>1.9200078162799401</v>
      </c>
      <c r="O339" s="13">
        <f>IF($B339="On campus",1,INDEX(ModelOutput!$F$16:$F$26,MATCH($B339,ModelOutput!$C$16:$C$26,0)))</f>
        <v>2.4799996979530001</v>
      </c>
      <c r="P339" s="13">
        <f>IF($B339="On campus",1,INDEX(ModelOutput!$G$16:$G$26,MATCH($B339,ModelOutput!$C$16:$C$26,0)))</f>
        <v>3.1261975703362501</v>
      </c>
      <c r="Q339" s="72">
        <f>INDEX(ModelOutput!$D$9:$D$11,MATCH("Tier "&amp;$F339,ModelOutput!$B$9:$B$11,0))</f>
        <v>40.009437343712797</v>
      </c>
      <c r="R339" s="72">
        <f>INDEX(ModelOutput!$E$9:$E$11,MATCH("Tier "&amp;$F339,ModelOutput!$B$9:$B$11,0))</f>
        <v>117.949723218616</v>
      </c>
      <c r="S339" s="72">
        <f>INDEX(ModelOutput!$F$9:$F$11,MATCH("Tier "&amp;$F339,ModelOutput!$B$9:$B$11,0))</f>
        <v>136.83922529015501</v>
      </c>
      <c r="T339" s="72">
        <f>INDEX(ModelOutput!$G$9:$G$11,MATCH("Tier "&amp;$F339,ModelOutput!$B$9:$B$11,0))</f>
        <v>22.729631592092201</v>
      </c>
      <c r="U339" s="76">
        <f t="shared" si="55"/>
        <v>404.8326979574602</v>
      </c>
      <c r="V339" s="76">
        <f t="shared" si="56"/>
        <v>1174.6434481317381</v>
      </c>
      <c r="W339" s="76">
        <f t="shared" si="57"/>
        <v>1760.2257606748235</v>
      </c>
      <c r="X339" s="76">
        <f t="shared" si="58"/>
        <v>368.56573382657353</v>
      </c>
      <c r="Y339" s="27">
        <f t="shared" si="59"/>
        <v>3708.2676405905954</v>
      </c>
      <c r="Z339" s="27">
        <f t="shared" si="60"/>
        <v>6071.5989455196914</v>
      </c>
      <c r="AA339" s="33">
        <f t="shared" si="61"/>
        <v>3.2570973135272778</v>
      </c>
      <c r="AB339" s="14">
        <f t="shared" si="62"/>
        <v>1782.7872193062994</v>
      </c>
      <c r="AC339" s="29">
        <f t="shared" si="63"/>
        <v>7</v>
      </c>
      <c r="AD339" s="20">
        <v>3708.26764059061</v>
      </c>
      <c r="AE339" s="78">
        <f t="shared" si="64"/>
        <v>-1.4551915228366852E-11</v>
      </c>
      <c r="AF339" s="29">
        <f t="shared" si="65"/>
        <v>2</v>
      </c>
    </row>
    <row r="340" spans="1:32" ht="15" customHeight="1" x14ac:dyDescent="0.35">
      <c r="A340" s="37" t="s">
        <v>109</v>
      </c>
      <c r="B340" s="37" t="s">
        <v>115</v>
      </c>
      <c r="C340" s="37" t="s">
        <v>210</v>
      </c>
      <c r="D340" s="37" t="s">
        <v>124</v>
      </c>
      <c r="E340" s="37" t="s">
        <v>95</v>
      </c>
      <c r="F340" s="37">
        <v>1</v>
      </c>
      <c r="G340" s="37" t="s">
        <v>211</v>
      </c>
      <c r="H340" s="38">
        <v>9</v>
      </c>
      <c r="I340" s="39">
        <f>IF($G340="Base",1,INDEX(ModelOutput!$D$16:$D$26,MATCH($G340,ModelOutput!$C$16:$C$26,0)))</f>
        <v>1</v>
      </c>
      <c r="J340" s="39">
        <f>IF($A340="Non-greek",1,INDEX(ModelOutput!$D$16:$D$26,MATCH($A340,ModelOutput!$C$16:$C$26,0)))</f>
        <v>4.3562312213391099</v>
      </c>
      <c r="K340" s="39">
        <f>IF($C340="Yes",1,INDEX(ModelOutput!$D$16:$D$26,MATCH($C340,ModelOutput!$C$16:$C$26,0)))</f>
        <v>1</v>
      </c>
      <c r="L340" s="39">
        <f>IF($D340="2.0-3.0",1,INDEX(ModelOutput!$D$16:$D$26,MATCH($D340,ModelOutput!$C$16:$C$26,0)))</f>
        <v>0.87654761766211098</v>
      </c>
      <c r="M340" s="39">
        <f>IF($B340="On campus",1,INDEX(ModelOutput!$D$16:$D$26,MATCH($B340,ModelOutput!$C$16:$C$26,0)))</f>
        <v>1.95077419049637</v>
      </c>
      <c r="N340" s="39">
        <f>IF($B340="On campus",1,INDEX(ModelOutput!$E$16:$E$26,MATCH($B340,ModelOutput!$C$16:$C$26,0)))</f>
        <v>1.9200078162799401</v>
      </c>
      <c r="O340" s="39">
        <f>IF($B340="On campus",1,INDEX(ModelOutput!$F$16:$F$26,MATCH($B340,ModelOutput!$C$16:$C$26,0)))</f>
        <v>2.4799996979530001</v>
      </c>
      <c r="P340" s="39">
        <f>IF($B340="On campus",1,INDEX(ModelOutput!$G$16:$G$26,MATCH($B340,ModelOutput!$C$16:$C$26,0)))</f>
        <v>3.1261975703362501</v>
      </c>
      <c r="Q340" s="73">
        <f>INDEX(ModelOutput!$D$9:$D$11,MATCH("Tier "&amp;$F340,ModelOutput!$B$9:$B$11,0))</f>
        <v>36.175496869914397</v>
      </c>
      <c r="R340" s="73">
        <f>INDEX(ModelOutput!$E$9:$E$11,MATCH("Tier "&amp;$F340,ModelOutput!$B$9:$B$11,0))</f>
        <v>106.647084447761</v>
      </c>
      <c r="S340" s="73">
        <f>INDEX(ModelOutput!$F$9:$F$11,MATCH("Tier "&amp;$F340,ModelOutput!$B$9:$B$11,0))</f>
        <v>123.726482920496</v>
      </c>
      <c r="T340" s="73">
        <f>INDEX(ModelOutput!$G$9:$G$11,MATCH("Tier "&amp;$F340,ModelOutput!$B$9:$B$11,0))</f>
        <v>20.551544113210401</v>
      </c>
      <c r="U340" s="77">
        <f t="shared" si="55"/>
        <v>269.46846159576694</v>
      </c>
      <c r="V340" s="77">
        <f t="shared" si="56"/>
        <v>781.87696914953642</v>
      </c>
      <c r="W340" s="77">
        <f t="shared" si="57"/>
        <v>1171.6576506380113</v>
      </c>
      <c r="X340" s="77">
        <f t="shared" si="58"/>
        <v>245.32811156869101</v>
      </c>
      <c r="Y340" s="30">
        <f t="shared" si="59"/>
        <v>2468.3311929520055</v>
      </c>
      <c r="Z340" s="30">
        <f t="shared" si="60"/>
        <v>4055.3656166460746</v>
      </c>
      <c r="AA340" s="41">
        <f t="shared" si="61"/>
        <v>1.8434167386392151</v>
      </c>
      <c r="AB340" s="40">
        <f t="shared" si="62"/>
        <v>1782.7872193062994</v>
      </c>
      <c r="AC340" s="42">
        <f t="shared" si="63"/>
        <v>5</v>
      </c>
      <c r="AD340" s="43">
        <v>2468.331192952</v>
      </c>
      <c r="AE340" s="79">
        <f t="shared" si="64"/>
        <v>5.4569682106375694E-12</v>
      </c>
      <c r="AF340" s="29">
        <f t="shared" si="65"/>
        <v>4</v>
      </c>
    </row>
    <row r="341" spans="1:32" ht="15" customHeight="1" x14ac:dyDescent="0.35">
      <c r="A341" s="37" t="s">
        <v>109</v>
      </c>
      <c r="B341" s="37" t="s">
        <v>115</v>
      </c>
      <c r="C341" s="37" t="s">
        <v>210</v>
      </c>
      <c r="D341" s="37" t="s">
        <v>124</v>
      </c>
      <c r="E341" s="37" t="s">
        <v>105</v>
      </c>
      <c r="F341" s="37">
        <v>1</v>
      </c>
      <c r="G341" s="37" t="s">
        <v>105</v>
      </c>
      <c r="H341" s="38">
        <v>6</v>
      </c>
      <c r="I341" s="39">
        <f>IF($G341="Base",1,INDEX(ModelOutput!$D$16:$D$26,MATCH($G341,ModelOutput!$C$16:$C$26,0)))</f>
        <v>0.98982624281990295</v>
      </c>
      <c r="J341" s="39">
        <f>IF($A341="Non-greek",1,INDEX(ModelOutput!$D$16:$D$26,MATCH($A341,ModelOutput!$C$16:$C$26,0)))</f>
        <v>4.3562312213391099</v>
      </c>
      <c r="K341" s="39">
        <f>IF($C341="Yes",1,INDEX(ModelOutput!$D$16:$D$26,MATCH($C341,ModelOutput!$C$16:$C$26,0)))</f>
        <v>1</v>
      </c>
      <c r="L341" s="39">
        <f>IF($D341="2.0-3.0",1,INDEX(ModelOutput!$D$16:$D$26,MATCH($D341,ModelOutput!$C$16:$C$26,0)))</f>
        <v>0.87654761766211098</v>
      </c>
      <c r="M341" s="39">
        <f>IF($B341="On campus",1,INDEX(ModelOutput!$D$16:$D$26,MATCH($B341,ModelOutput!$C$16:$C$26,0)))</f>
        <v>1.95077419049637</v>
      </c>
      <c r="N341" s="39">
        <f>IF($B341="On campus",1,INDEX(ModelOutput!$E$16:$E$26,MATCH($B341,ModelOutput!$C$16:$C$26,0)))</f>
        <v>1.9200078162799401</v>
      </c>
      <c r="O341" s="39">
        <f>IF($B341="On campus",1,INDEX(ModelOutput!$F$16:$F$26,MATCH($B341,ModelOutput!$C$16:$C$26,0)))</f>
        <v>2.4799996979530001</v>
      </c>
      <c r="P341" s="39">
        <f>IF($B341="On campus",1,INDEX(ModelOutput!$G$16:$G$26,MATCH($B341,ModelOutput!$C$16:$C$26,0)))</f>
        <v>3.1261975703362501</v>
      </c>
      <c r="Q341" s="73">
        <f>INDEX(ModelOutput!$D$9:$D$11,MATCH("Tier "&amp;$F341,ModelOutput!$B$9:$B$11,0))</f>
        <v>36.175496869914397</v>
      </c>
      <c r="R341" s="73">
        <f>INDEX(ModelOutput!$E$9:$E$11,MATCH("Tier "&amp;$F341,ModelOutput!$B$9:$B$11,0))</f>
        <v>106.647084447761</v>
      </c>
      <c r="S341" s="73">
        <f>INDEX(ModelOutput!$F$9:$F$11,MATCH("Tier "&amp;$F341,ModelOutput!$B$9:$B$11,0))</f>
        <v>123.726482920496</v>
      </c>
      <c r="T341" s="73">
        <f>INDEX(ModelOutput!$G$9:$G$11,MATCH("Tier "&amp;$F341,ModelOutput!$B$9:$B$11,0))</f>
        <v>20.551544113210401</v>
      </c>
      <c r="U341" s="77">
        <f t="shared" si="55"/>
        <v>266.72695489979736</v>
      </c>
      <c r="V341" s="77">
        <f t="shared" si="56"/>
        <v>773.92234272069879</v>
      </c>
      <c r="W341" s="77">
        <f t="shared" si="57"/>
        <v>1159.7374902022173</v>
      </c>
      <c r="X341" s="77">
        <f t="shared" si="58"/>
        <v>242.83220293213935</v>
      </c>
      <c r="Y341" s="30">
        <f t="shared" si="59"/>
        <v>2443.2189907548527</v>
      </c>
      <c r="Z341" s="30">
        <f t="shared" si="60"/>
        <v>4014.5312181349741</v>
      </c>
      <c r="AA341" s="41">
        <f t="shared" si="61"/>
        <v>1.8147857289561093</v>
      </c>
      <c r="AB341" s="40">
        <f t="shared" si="62"/>
        <v>1782.7872193062994</v>
      </c>
      <c r="AC341" s="42">
        <f t="shared" si="63"/>
        <v>5</v>
      </c>
      <c r="AD341" s="43">
        <v>2443.21899075485</v>
      </c>
      <c r="AE341" s="79">
        <f t="shared" si="64"/>
        <v>0</v>
      </c>
      <c r="AF341" s="29">
        <f t="shared" si="65"/>
        <v>3</v>
      </c>
    </row>
    <row r="342" spans="1:32" ht="15" customHeight="1" x14ac:dyDescent="0.35">
      <c r="A342" s="37" t="s">
        <v>109</v>
      </c>
      <c r="B342" s="37" t="s">
        <v>115</v>
      </c>
      <c r="C342" s="37" t="s">
        <v>210</v>
      </c>
      <c r="D342" s="37" t="s">
        <v>124</v>
      </c>
      <c r="E342" s="37" t="s">
        <v>97</v>
      </c>
      <c r="F342" s="37">
        <v>2</v>
      </c>
      <c r="G342" s="37" t="s">
        <v>211</v>
      </c>
      <c r="H342" s="38">
        <v>2</v>
      </c>
      <c r="I342" s="39">
        <f>IF($G342="Base",1,INDEX(ModelOutput!$D$16:$D$26,MATCH($G342,ModelOutput!$C$16:$C$26,0)))</f>
        <v>1</v>
      </c>
      <c r="J342" s="39">
        <f>IF($A342="Non-greek",1,INDEX(ModelOutput!$D$16:$D$26,MATCH($A342,ModelOutput!$C$16:$C$26,0)))</f>
        <v>4.3562312213391099</v>
      </c>
      <c r="K342" s="39">
        <f>IF($C342="Yes",1,INDEX(ModelOutput!$D$16:$D$26,MATCH($C342,ModelOutput!$C$16:$C$26,0)))</f>
        <v>1</v>
      </c>
      <c r="L342" s="39">
        <f>IF($D342="2.0-3.0",1,INDEX(ModelOutput!$D$16:$D$26,MATCH($D342,ModelOutput!$C$16:$C$26,0)))</f>
        <v>0.87654761766211098</v>
      </c>
      <c r="M342" s="39">
        <f>IF($B342="On campus",1,INDEX(ModelOutput!$D$16:$D$26,MATCH($B342,ModelOutput!$C$16:$C$26,0)))</f>
        <v>1.95077419049637</v>
      </c>
      <c r="N342" s="39">
        <f>IF($B342="On campus",1,INDEX(ModelOutput!$E$16:$E$26,MATCH($B342,ModelOutput!$C$16:$C$26,0)))</f>
        <v>1.9200078162799401</v>
      </c>
      <c r="O342" s="39">
        <f>IF($B342="On campus",1,INDEX(ModelOutput!$F$16:$F$26,MATCH($B342,ModelOutput!$C$16:$C$26,0)))</f>
        <v>2.4799996979530001</v>
      </c>
      <c r="P342" s="39">
        <f>IF($B342="On campus",1,INDEX(ModelOutput!$G$16:$G$26,MATCH($B342,ModelOutput!$C$16:$C$26,0)))</f>
        <v>3.1261975703362501</v>
      </c>
      <c r="Q342" s="73">
        <f>INDEX(ModelOutput!$D$9:$D$11,MATCH("Tier "&amp;$F342,ModelOutput!$B$9:$B$11,0))</f>
        <v>42.8051506068728</v>
      </c>
      <c r="R342" s="73">
        <f>INDEX(ModelOutput!$E$9:$E$11,MATCH("Tier "&amp;$F342,ModelOutput!$B$9:$B$11,0))</f>
        <v>126.191618818284</v>
      </c>
      <c r="S342" s="73">
        <f>INDEX(ModelOutput!$F$9:$F$11,MATCH("Tier "&amp;$F342,ModelOutput!$B$9:$B$11,0))</f>
        <v>146.401050261042</v>
      </c>
      <c r="T342" s="73">
        <f>INDEX(ModelOutput!$G$9:$G$11,MATCH("Tier "&amp;$F342,ModelOutput!$B$9:$B$11,0))</f>
        <v>24.317895180076398</v>
      </c>
      <c r="U342" s="77">
        <f t="shared" si="55"/>
        <v>318.85223647064777</v>
      </c>
      <c r="V342" s="77">
        <f t="shared" si="56"/>
        <v>925.16659939300325</v>
      </c>
      <c r="W342" s="77">
        <f t="shared" si="57"/>
        <v>1386.3799127791633</v>
      </c>
      <c r="X342" s="77">
        <f t="shared" si="58"/>
        <v>290.28783769189863</v>
      </c>
      <c r="Y342" s="30">
        <f t="shared" si="59"/>
        <v>2920.686586334713</v>
      </c>
      <c r="Z342" s="30">
        <f t="shared" si="60"/>
        <v>4790.9307517551533</v>
      </c>
      <c r="AA342" s="41">
        <f t="shared" si="61"/>
        <v>2.3591577137423001</v>
      </c>
      <c r="AB342" s="40">
        <f t="shared" si="62"/>
        <v>1782.7872193062994</v>
      </c>
      <c r="AC342" s="42">
        <f t="shared" si="63"/>
        <v>6</v>
      </c>
      <c r="AD342" s="43">
        <v>2920.6865863347098</v>
      </c>
      <c r="AE342" s="79">
        <f t="shared" si="64"/>
        <v>0</v>
      </c>
      <c r="AF342" s="29">
        <f t="shared" si="65"/>
        <v>2</v>
      </c>
    </row>
    <row r="343" spans="1:32" ht="15" customHeight="1" x14ac:dyDescent="0.35">
      <c r="A343" s="37" t="s">
        <v>109</v>
      </c>
      <c r="B343" s="37" t="s">
        <v>115</v>
      </c>
      <c r="C343" s="37" t="s">
        <v>210</v>
      </c>
      <c r="D343" s="37" t="s">
        <v>124</v>
      </c>
      <c r="E343" s="37" t="s">
        <v>99</v>
      </c>
      <c r="F343" s="37">
        <v>3</v>
      </c>
      <c r="G343" s="37" t="s">
        <v>211</v>
      </c>
      <c r="H343" s="38">
        <v>8</v>
      </c>
      <c r="I343" s="39">
        <f>IF($G343="Base",1,INDEX(ModelOutput!$D$16:$D$26,MATCH($G343,ModelOutput!$C$16:$C$26,0)))</f>
        <v>1</v>
      </c>
      <c r="J343" s="39">
        <f>IF($A343="Non-greek",1,INDEX(ModelOutput!$D$16:$D$26,MATCH($A343,ModelOutput!$C$16:$C$26,0)))</f>
        <v>4.3562312213391099</v>
      </c>
      <c r="K343" s="39">
        <f>IF($C343="Yes",1,INDEX(ModelOutput!$D$16:$D$26,MATCH($C343,ModelOutput!$C$16:$C$26,0)))</f>
        <v>1</v>
      </c>
      <c r="L343" s="39">
        <f>IF($D343="2.0-3.0",1,INDEX(ModelOutput!$D$16:$D$26,MATCH($D343,ModelOutput!$C$16:$C$26,0)))</f>
        <v>0.87654761766211098</v>
      </c>
      <c r="M343" s="39">
        <f>IF($B343="On campus",1,INDEX(ModelOutput!$D$16:$D$26,MATCH($B343,ModelOutput!$C$16:$C$26,0)))</f>
        <v>1.95077419049637</v>
      </c>
      <c r="N343" s="39">
        <f>IF($B343="On campus",1,INDEX(ModelOutput!$E$16:$E$26,MATCH($B343,ModelOutput!$C$16:$C$26,0)))</f>
        <v>1.9200078162799401</v>
      </c>
      <c r="O343" s="39">
        <f>IF($B343="On campus",1,INDEX(ModelOutput!$F$16:$F$26,MATCH($B343,ModelOutput!$C$16:$C$26,0)))</f>
        <v>2.4799996979530001</v>
      </c>
      <c r="P343" s="39">
        <f>IF($B343="On campus",1,INDEX(ModelOutput!$G$16:$G$26,MATCH($B343,ModelOutput!$C$16:$C$26,0)))</f>
        <v>3.1261975703362501</v>
      </c>
      <c r="Q343" s="73">
        <f>INDEX(ModelOutput!$D$9:$D$11,MATCH("Tier "&amp;$F343,ModelOutput!$B$9:$B$11,0))</f>
        <v>40.009437343712797</v>
      </c>
      <c r="R343" s="73">
        <f>INDEX(ModelOutput!$E$9:$E$11,MATCH("Tier "&amp;$F343,ModelOutput!$B$9:$B$11,0))</f>
        <v>117.949723218616</v>
      </c>
      <c r="S343" s="73">
        <f>INDEX(ModelOutput!$F$9:$F$11,MATCH("Tier "&amp;$F343,ModelOutput!$B$9:$B$11,0))</f>
        <v>136.83922529015501</v>
      </c>
      <c r="T343" s="73">
        <f>INDEX(ModelOutput!$G$9:$G$11,MATCH("Tier "&amp;$F343,ModelOutput!$B$9:$B$11,0))</f>
        <v>22.729631592092201</v>
      </c>
      <c r="U343" s="77">
        <f t="shared" si="55"/>
        <v>298.02718589026051</v>
      </c>
      <c r="V343" s="77">
        <f t="shared" si="56"/>
        <v>864.74161557948094</v>
      </c>
      <c r="W343" s="77">
        <f t="shared" si="57"/>
        <v>1295.8319143494314</v>
      </c>
      <c r="X343" s="77">
        <f t="shared" si="58"/>
        <v>271.32840065071713</v>
      </c>
      <c r="Y343" s="30">
        <f t="shared" si="59"/>
        <v>2729.9291164698898</v>
      </c>
      <c r="Z343" s="30">
        <f t="shared" si="60"/>
        <v>4480.7442343690909</v>
      </c>
      <c r="AA343" s="41">
        <f t="shared" si="61"/>
        <v>2.1416706560981194</v>
      </c>
      <c r="AB343" s="40">
        <f t="shared" si="62"/>
        <v>1782.7872193062994</v>
      </c>
      <c r="AC343" s="42">
        <f t="shared" si="63"/>
        <v>6</v>
      </c>
      <c r="AD343" s="43">
        <v>2729.9291164698998</v>
      </c>
      <c r="AE343" s="79">
        <f t="shared" si="64"/>
        <v>-1.0004441719502211E-11</v>
      </c>
      <c r="AF343" s="29">
        <f t="shared" si="65"/>
        <v>1</v>
      </c>
    </row>
    <row r="344" spans="1:32" ht="15" customHeight="1" x14ac:dyDescent="0.35">
      <c r="A344" s="37" t="s">
        <v>109</v>
      </c>
      <c r="B344" s="37" t="s">
        <v>115</v>
      </c>
      <c r="C344" s="37" t="s">
        <v>210</v>
      </c>
      <c r="D344" s="37" t="s">
        <v>124</v>
      </c>
      <c r="E344" s="37" t="s">
        <v>213</v>
      </c>
      <c r="F344" s="37">
        <v>3</v>
      </c>
      <c r="G344" s="37" t="s">
        <v>107</v>
      </c>
      <c r="H344" s="38">
        <v>6</v>
      </c>
      <c r="I344" s="39">
        <f>IF($G344="Base",1,INDEX(ModelOutput!$D$16:$D$26,MATCH($G344,ModelOutput!$C$16:$C$26,0)))</f>
        <v>1.1906804269762199</v>
      </c>
      <c r="J344" s="39">
        <f>IF($A344="Non-greek",1,INDEX(ModelOutput!$D$16:$D$26,MATCH($A344,ModelOutput!$C$16:$C$26,0)))</f>
        <v>4.3562312213391099</v>
      </c>
      <c r="K344" s="39">
        <f>IF($C344="Yes",1,INDEX(ModelOutput!$D$16:$D$26,MATCH($C344,ModelOutput!$C$16:$C$26,0)))</f>
        <v>1</v>
      </c>
      <c r="L344" s="39">
        <f>IF($D344="2.0-3.0",1,INDEX(ModelOutput!$D$16:$D$26,MATCH($D344,ModelOutput!$C$16:$C$26,0)))</f>
        <v>0.87654761766211098</v>
      </c>
      <c r="M344" s="39">
        <f>IF($B344="On campus",1,INDEX(ModelOutput!$D$16:$D$26,MATCH($B344,ModelOutput!$C$16:$C$26,0)))</f>
        <v>1.95077419049637</v>
      </c>
      <c r="N344" s="39">
        <f>IF($B344="On campus",1,INDEX(ModelOutput!$E$16:$E$26,MATCH($B344,ModelOutput!$C$16:$C$26,0)))</f>
        <v>1.9200078162799401</v>
      </c>
      <c r="O344" s="39">
        <f>IF($B344="On campus",1,INDEX(ModelOutput!$F$16:$F$26,MATCH($B344,ModelOutput!$C$16:$C$26,0)))</f>
        <v>2.4799996979530001</v>
      </c>
      <c r="P344" s="39">
        <f>IF($B344="On campus",1,INDEX(ModelOutput!$G$16:$G$26,MATCH($B344,ModelOutput!$C$16:$C$26,0)))</f>
        <v>3.1261975703362501</v>
      </c>
      <c r="Q344" s="73">
        <f>INDEX(ModelOutput!$D$9:$D$11,MATCH("Tier "&amp;$F344,ModelOutput!$B$9:$B$11,0))</f>
        <v>40.009437343712797</v>
      </c>
      <c r="R344" s="73">
        <f>INDEX(ModelOutput!$E$9:$E$11,MATCH("Tier "&amp;$F344,ModelOutput!$B$9:$B$11,0))</f>
        <v>117.949723218616</v>
      </c>
      <c r="S344" s="73">
        <f>INDEX(ModelOutput!$F$9:$F$11,MATCH("Tier "&amp;$F344,ModelOutput!$B$9:$B$11,0))</f>
        <v>136.83922529015501</v>
      </c>
      <c r="T344" s="73">
        <f>INDEX(ModelOutput!$G$9:$G$11,MATCH("Tier "&amp;$F344,ModelOutput!$B$9:$B$11,0))</f>
        <v>22.729631592092201</v>
      </c>
      <c r="U344" s="77">
        <f t="shared" si="55"/>
        <v>354.8551369463367</v>
      </c>
      <c r="V344" s="77">
        <f t="shared" si="56"/>
        <v>1029.6309160622825</v>
      </c>
      <c r="W344" s="77">
        <f t="shared" si="57"/>
        <v>1542.9216970669936</v>
      </c>
      <c r="X344" s="77">
        <f t="shared" si="58"/>
        <v>323.06541593757072</v>
      </c>
      <c r="Y344" s="30">
        <f t="shared" si="59"/>
        <v>3250.4731660131838</v>
      </c>
      <c r="Z344" s="30">
        <f t="shared" si="60"/>
        <v>5327.1894403591496</v>
      </c>
      <c r="AA344" s="41">
        <f t="shared" si="61"/>
        <v>2.7351551146075725</v>
      </c>
      <c r="AB344" s="40">
        <f t="shared" si="62"/>
        <v>1782.7872193062994</v>
      </c>
      <c r="AC344" s="42">
        <f t="shared" si="63"/>
        <v>6</v>
      </c>
      <c r="AD344" s="43">
        <v>3250.4731660131902</v>
      </c>
      <c r="AE344" s="79">
        <f t="shared" si="64"/>
        <v>-6.3664629124104977E-12</v>
      </c>
      <c r="AF344" s="29">
        <f t="shared" si="65"/>
        <v>2</v>
      </c>
    </row>
    <row r="345" spans="1:32" ht="15" customHeight="1" x14ac:dyDescent="0.35">
      <c r="A345" s="19" t="s">
        <v>109</v>
      </c>
      <c r="B345" s="19" t="s">
        <v>115</v>
      </c>
      <c r="C345" s="19" t="s">
        <v>118</v>
      </c>
      <c r="D345" s="19" t="s">
        <v>121</v>
      </c>
      <c r="E345" s="19" t="s">
        <v>95</v>
      </c>
      <c r="F345" s="19">
        <v>1</v>
      </c>
      <c r="G345" s="19" t="s">
        <v>211</v>
      </c>
      <c r="H345" s="16">
        <v>0</v>
      </c>
      <c r="I345" s="13">
        <f>IF($G345="Base",1,INDEX(ModelOutput!$D$16:$D$26,MATCH($G345,ModelOutput!$C$16:$C$26,0)))</f>
        <v>1</v>
      </c>
      <c r="J345" s="13">
        <f>IF($A345="Non-greek",1,INDEX(ModelOutput!$D$16:$D$26,MATCH($A345,ModelOutput!$C$16:$C$26,0)))</f>
        <v>4.3562312213391099</v>
      </c>
      <c r="K345" s="13">
        <f>IF($C345="Yes",1,INDEX(ModelOutput!$D$16:$D$26,MATCH($C345,ModelOutput!$C$16:$C$26,0)))</f>
        <v>1.5400747552012299</v>
      </c>
      <c r="L345" s="13">
        <f>IF($D345="2.0-3.0",1,INDEX(ModelOutput!$D$16:$D$26,MATCH($D345,ModelOutput!$C$16:$C$26,0)))</f>
        <v>1.12144800201769</v>
      </c>
      <c r="M345" s="13">
        <f>IF($B345="On campus",1,INDEX(ModelOutput!$D$16:$D$26,MATCH($B345,ModelOutput!$C$16:$C$26,0)))</f>
        <v>1.95077419049637</v>
      </c>
      <c r="N345" s="13">
        <f>IF($B345="On campus",1,INDEX(ModelOutput!$E$16:$E$26,MATCH($B345,ModelOutput!$C$16:$C$26,0)))</f>
        <v>1.9200078162799401</v>
      </c>
      <c r="O345" s="13">
        <f>IF($B345="On campus",1,INDEX(ModelOutput!$F$16:$F$26,MATCH($B345,ModelOutput!$C$16:$C$26,0)))</f>
        <v>2.4799996979530001</v>
      </c>
      <c r="P345" s="13">
        <f>IF($B345="On campus",1,INDEX(ModelOutput!$G$16:$G$26,MATCH($B345,ModelOutput!$C$16:$C$26,0)))</f>
        <v>3.1261975703362501</v>
      </c>
      <c r="Q345" s="72">
        <f>INDEX(ModelOutput!$D$9:$D$11,MATCH("Tier "&amp;$F345,ModelOutput!$B$9:$B$11,0))</f>
        <v>36.175496869914397</v>
      </c>
      <c r="R345" s="72">
        <f>INDEX(ModelOutput!$E$9:$E$11,MATCH("Tier "&amp;$F345,ModelOutput!$B$9:$B$11,0))</f>
        <v>106.647084447761</v>
      </c>
      <c r="S345" s="72">
        <f>INDEX(ModelOutput!$F$9:$F$11,MATCH("Tier "&amp;$F345,ModelOutput!$B$9:$B$11,0))</f>
        <v>123.726482920496</v>
      </c>
      <c r="T345" s="72">
        <f>INDEX(ModelOutput!$G$9:$G$11,MATCH("Tier "&amp;$F345,ModelOutput!$B$9:$B$11,0))</f>
        <v>20.551544113210401</v>
      </c>
      <c r="U345" s="76">
        <f t="shared" si="55"/>
        <v>530.94969146003007</v>
      </c>
      <c r="V345" s="76">
        <f t="shared" si="56"/>
        <v>1540.5785637074014</v>
      </c>
      <c r="W345" s="76">
        <f t="shared" si="57"/>
        <v>2308.5865574734407</v>
      </c>
      <c r="X345" s="76">
        <f t="shared" si="58"/>
        <v>483.38452809096566</v>
      </c>
      <c r="Y345" s="27">
        <f t="shared" si="59"/>
        <v>4863.499340731837</v>
      </c>
      <c r="Z345" s="27">
        <f t="shared" si="60"/>
        <v>7950.0957514100282</v>
      </c>
      <c r="AA345" s="33">
        <f t="shared" si="61"/>
        <v>4.574204022580644</v>
      </c>
      <c r="AB345" s="14">
        <f t="shared" si="62"/>
        <v>1782.7872193062994</v>
      </c>
      <c r="AC345" s="29">
        <f t="shared" si="63"/>
        <v>8</v>
      </c>
      <c r="AD345" s="20">
        <v>4863.4993407318398</v>
      </c>
      <c r="AE345" s="78">
        <f t="shared" si="64"/>
        <v>0</v>
      </c>
      <c r="AF345" s="29">
        <f t="shared" si="65"/>
        <v>4</v>
      </c>
    </row>
    <row r="346" spans="1:32" ht="15" customHeight="1" x14ac:dyDescent="0.35">
      <c r="A346" s="19" t="s">
        <v>109</v>
      </c>
      <c r="B346" s="19" t="s">
        <v>115</v>
      </c>
      <c r="C346" s="19" t="s">
        <v>118</v>
      </c>
      <c r="D346" s="19" t="s">
        <v>121</v>
      </c>
      <c r="E346" s="19" t="s">
        <v>105</v>
      </c>
      <c r="F346" s="19">
        <v>1</v>
      </c>
      <c r="G346" s="19" t="s">
        <v>105</v>
      </c>
      <c r="H346" s="16">
        <v>1</v>
      </c>
      <c r="I346" s="13">
        <f>IF($G346="Base",1,INDEX(ModelOutput!$D$16:$D$26,MATCH($G346,ModelOutput!$C$16:$C$26,0)))</f>
        <v>0.98982624281990295</v>
      </c>
      <c r="J346" s="13">
        <f>IF($A346="Non-greek",1,INDEX(ModelOutput!$D$16:$D$26,MATCH($A346,ModelOutput!$C$16:$C$26,0)))</f>
        <v>4.3562312213391099</v>
      </c>
      <c r="K346" s="13">
        <f>IF($C346="Yes",1,INDEX(ModelOutput!$D$16:$D$26,MATCH($C346,ModelOutput!$C$16:$C$26,0)))</f>
        <v>1.5400747552012299</v>
      </c>
      <c r="L346" s="13">
        <f>IF($D346="2.0-3.0",1,INDEX(ModelOutput!$D$16:$D$26,MATCH($D346,ModelOutput!$C$16:$C$26,0)))</f>
        <v>1.12144800201769</v>
      </c>
      <c r="M346" s="13">
        <f>IF($B346="On campus",1,INDEX(ModelOutput!$D$16:$D$26,MATCH($B346,ModelOutput!$C$16:$C$26,0)))</f>
        <v>1.95077419049637</v>
      </c>
      <c r="N346" s="13">
        <f>IF($B346="On campus",1,INDEX(ModelOutput!$E$16:$E$26,MATCH($B346,ModelOutput!$C$16:$C$26,0)))</f>
        <v>1.9200078162799401</v>
      </c>
      <c r="O346" s="13">
        <f>IF($B346="On campus",1,INDEX(ModelOutput!$F$16:$F$26,MATCH($B346,ModelOutput!$C$16:$C$26,0)))</f>
        <v>2.4799996979530001</v>
      </c>
      <c r="P346" s="13">
        <f>IF($B346="On campus",1,INDEX(ModelOutput!$G$16:$G$26,MATCH($B346,ModelOutput!$C$16:$C$26,0)))</f>
        <v>3.1261975703362501</v>
      </c>
      <c r="Q346" s="72">
        <f>INDEX(ModelOutput!$D$9:$D$11,MATCH("Tier "&amp;$F346,ModelOutput!$B$9:$B$11,0))</f>
        <v>36.175496869914397</v>
      </c>
      <c r="R346" s="72">
        <f>INDEX(ModelOutput!$E$9:$E$11,MATCH("Tier "&amp;$F346,ModelOutput!$B$9:$B$11,0))</f>
        <v>106.647084447761</v>
      </c>
      <c r="S346" s="72">
        <f>INDEX(ModelOutput!$F$9:$F$11,MATCH("Tier "&amp;$F346,ModelOutput!$B$9:$B$11,0))</f>
        <v>123.726482920496</v>
      </c>
      <c r="T346" s="72">
        <f>INDEX(ModelOutput!$G$9:$G$11,MATCH("Tier "&amp;$F346,ModelOutput!$B$9:$B$11,0))</f>
        <v>20.551544113210401</v>
      </c>
      <c r="U346" s="76">
        <f t="shared" si="55"/>
        <v>525.54793822426825</v>
      </c>
      <c r="V346" s="76">
        <f t="shared" si="56"/>
        <v>1524.9050914833797</v>
      </c>
      <c r="W346" s="76">
        <f t="shared" si="57"/>
        <v>2285.0995584084694</v>
      </c>
      <c r="X346" s="76">
        <f t="shared" si="58"/>
        <v>478.46669127755223</v>
      </c>
      <c r="Y346" s="27">
        <f t="shared" si="59"/>
        <v>4814.0192793936694</v>
      </c>
      <c r="Z346" s="27">
        <f t="shared" si="60"/>
        <v>7869.6373142258326</v>
      </c>
      <c r="AA346" s="33">
        <f t="shared" si="61"/>
        <v>4.5177906461602211</v>
      </c>
      <c r="AB346" s="14">
        <f t="shared" si="62"/>
        <v>1782.7872193062994</v>
      </c>
      <c r="AC346" s="29">
        <f t="shared" si="63"/>
        <v>8</v>
      </c>
      <c r="AD346" s="20">
        <v>4814.0192793936803</v>
      </c>
      <c r="AE346" s="78">
        <f t="shared" si="64"/>
        <v>-1.0913936421275139E-11</v>
      </c>
      <c r="AF346" s="29">
        <f t="shared" si="65"/>
        <v>3</v>
      </c>
    </row>
    <row r="347" spans="1:32" ht="15" customHeight="1" x14ac:dyDescent="0.35">
      <c r="A347" s="19" t="s">
        <v>109</v>
      </c>
      <c r="B347" s="19" t="s">
        <v>115</v>
      </c>
      <c r="C347" s="19" t="s">
        <v>118</v>
      </c>
      <c r="D347" s="19" t="s">
        <v>121</v>
      </c>
      <c r="E347" s="19" t="s">
        <v>97</v>
      </c>
      <c r="F347" s="19">
        <v>2</v>
      </c>
      <c r="G347" s="19" t="s">
        <v>211</v>
      </c>
      <c r="H347" s="16">
        <v>0</v>
      </c>
      <c r="I347" s="13">
        <f>IF($G347="Base",1,INDEX(ModelOutput!$D$16:$D$26,MATCH($G347,ModelOutput!$C$16:$C$26,0)))</f>
        <v>1</v>
      </c>
      <c r="J347" s="13">
        <f>IF($A347="Non-greek",1,INDEX(ModelOutput!$D$16:$D$26,MATCH($A347,ModelOutput!$C$16:$C$26,0)))</f>
        <v>4.3562312213391099</v>
      </c>
      <c r="K347" s="13">
        <f>IF($C347="Yes",1,INDEX(ModelOutput!$D$16:$D$26,MATCH($C347,ModelOutput!$C$16:$C$26,0)))</f>
        <v>1.5400747552012299</v>
      </c>
      <c r="L347" s="13">
        <f>IF($D347="2.0-3.0",1,INDEX(ModelOutput!$D$16:$D$26,MATCH($D347,ModelOutput!$C$16:$C$26,0)))</f>
        <v>1.12144800201769</v>
      </c>
      <c r="M347" s="13">
        <f>IF($B347="On campus",1,INDEX(ModelOutput!$D$16:$D$26,MATCH($B347,ModelOutput!$C$16:$C$26,0)))</f>
        <v>1.95077419049637</v>
      </c>
      <c r="N347" s="13">
        <f>IF($B347="On campus",1,INDEX(ModelOutput!$E$16:$E$26,MATCH($B347,ModelOutput!$C$16:$C$26,0)))</f>
        <v>1.9200078162799401</v>
      </c>
      <c r="O347" s="13">
        <f>IF($B347="On campus",1,INDEX(ModelOutput!$F$16:$F$26,MATCH($B347,ModelOutput!$C$16:$C$26,0)))</f>
        <v>2.4799996979530001</v>
      </c>
      <c r="P347" s="13">
        <f>IF($B347="On campus",1,INDEX(ModelOutput!$G$16:$G$26,MATCH($B347,ModelOutput!$C$16:$C$26,0)))</f>
        <v>3.1261975703362501</v>
      </c>
      <c r="Q347" s="72">
        <f>INDEX(ModelOutput!$D$9:$D$11,MATCH("Tier "&amp;$F347,ModelOutput!$B$9:$B$11,0))</f>
        <v>42.8051506068728</v>
      </c>
      <c r="R347" s="72">
        <f>INDEX(ModelOutput!$E$9:$E$11,MATCH("Tier "&amp;$F347,ModelOutput!$B$9:$B$11,0))</f>
        <v>126.191618818284</v>
      </c>
      <c r="S347" s="72">
        <f>INDEX(ModelOutput!$F$9:$F$11,MATCH("Tier "&amp;$F347,ModelOutput!$B$9:$B$11,0))</f>
        <v>146.401050261042</v>
      </c>
      <c r="T347" s="72">
        <f>INDEX(ModelOutput!$G$9:$G$11,MATCH("Tier "&amp;$F347,ModelOutput!$B$9:$B$11,0))</f>
        <v>24.317895180076398</v>
      </c>
      <c r="U347" s="76">
        <f t="shared" si="55"/>
        <v>628.25347193836649</v>
      </c>
      <c r="V347" s="76">
        <f t="shared" si="56"/>
        <v>1822.9106203668498</v>
      </c>
      <c r="W347" s="76">
        <f t="shared" si="57"/>
        <v>2731.666565272154</v>
      </c>
      <c r="X347" s="76">
        <f t="shared" si="58"/>
        <v>571.97134293334318</v>
      </c>
      <c r="Y347" s="27">
        <f t="shared" si="59"/>
        <v>5754.8020005107137</v>
      </c>
      <c r="Z347" s="27">
        <f t="shared" si="60"/>
        <v>9399.423361855168</v>
      </c>
      <c r="AA347" s="33">
        <f t="shared" si="61"/>
        <v>5.5903990532817049</v>
      </c>
      <c r="AB347" s="14">
        <f t="shared" si="62"/>
        <v>1782.7872193062994</v>
      </c>
      <c r="AC347" s="29">
        <f t="shared" si="63"/>
        <v>9</v>
      </c>
      <c r="AD347" s="20">
        <v>5754.8020005107301</v>
      </c>
      <c r="AE347" s="78">
        <f t="shared" si="64"/>
        <v>-1.6370904631912708E-11</v>
      </c>
      <c r="AF347" s="29">
        <f t="shared" si="65"/>
        <v>2</v>
      </c>
    </row>
    <row r="348" spans="1:32" ht="15" customHeight="1" x14ac:dyDescent="0.35">
      <c r="A348" s="19" t="s">
        <v>109</v>
      </c>
      <c r="B348" s="19" t="s">
        <v>115</v>
      </c>
      <c r="C348" s="19" t="s">
        <v>118</v>
      </c>
      <c r="D348" s="19" t="s">
        <v>121</v>
      </c>
      <c r="E348" s="19" t="s">
        <v>99</v>
      </c>
      <c r="F348" s="19">
        <v>3</v>
      </c>
      <c r="G348" s="19" t="s">
        <v>211</v>
      </c>
      <c r="H348" s="16">
        <v>0</v>
      </c>
      <c r="I348" s="13">
        <f>IF($G348="Base",1,INDEX(ModelOutput!$D$16:$D$26,MATCH($G348,ModelOutput!$C$16:$C$26,0)))</f>
        <v>1</v>
      </c>
      <c r="J348" s="13">
        <f>IF($A348="Non-greek",1,INDEX(ModelOutput!$D$16:$D$26,MATCH($A348,ModelOutput!$C$16:$C$26,0)))</f>
        <v>4.3562312213391099</v>
      </c>
      <c r="K348" s="13">
        <f>IF($C348="Yes",1,INDEX(ModelOutput!$D$16:$D$26,MATCH($C348,ModelOutput!$C$16:$C$26,0)))</f>
        <v>1.5400747552012299</v>
      </c>
      <c r="L348" s="13">
        <f>IF($D348="2.0-3.0",1,INDEX(ModelOutput!$D$16:$D$26,MATCH($D348,ModelOutput!$C$16:$C$26,0)))</f>
        <v>1.12144800201769</v>
      </c>
      <c r="M348" s="13">
        <f>IF($B348="On campus",1,INDEX(ModelOutput!$D$16:$D$26,MATCH($B348,ModelOutput!$C$16:$C$26,0)))</f>
        <v>1.95077419049637</v>
      </c>
      <c r="N348" s="13">
        <f>IF($B348="On campus",1,INDEX(ModelOutput!$E$16:$E$26,MATCH($B348,ModelOutput!$C$16:$C$26,0)))</f>
        <v>1.9200078162799401</v>
      </c>
      <c r="O348" s="13">
        <f>IF($B348="On campus",1,INDEX(ModelOutput!$F$16:$F$26,MATCH($B348,ModelOutput!$C$16:$C$26,0)))</f>
        <v>2.4799996979530001</v>
      </c>
      <c r="P348" s="13">
        <f>IF($B348="On campus",1,INDEX(ModelOutput!$G$16:$G$26,MATCH($B348,ModelOutput!$C$16:$C$26,0)))</f>
        <v>3.1261975703362501</v>
      </c>
      <c r="Q348" s="72">
        <f>INDEX(ModelOutput!$D$9:$D$11,MATCH("Tier "&amp;$F348,ModelOutput!$B$9:$B$11,0))</f>
        <v>40.009437343712797</v>
      </c>
      <c r="R348" s="72">
        <f>INDEX(ModelOutput!$E$9:$E$11,MATCH("Tier "&amp;$F348,ModelOutput!$B$9:$B$11,0))</f>
        <v>117.949723218616</v>
      </c>
      <c r="S348" s="72">
        <f>INDEX(ModelOutput!$F$9:$F$11,MATCH("Tier "&amp;$F348,ModelOutput!$B$9:$B$11,0))</f>
        <v>136.83922529015501</v>
      </c>
      <c r="T348" s="72">
        <f>INDEX(ModelOutput!$G$9:$G$11,MATCH("Tier "&amp;$F348,ModelOutput!$B$9:$B$11,0))</f>
        <v>22.729631592092201</v>
      </c>
      <c r="U348" s="76">
        <f t="shared" si="55"/>
        <v>587.22063969218345</v>
      </c>
      <c r="V348" s="76">
        <f t="shared" si="56"/>
        <v>1703.8516910870496</v>
      </c>
      <c r="W348" s="76">
        <f t="shared" si="57"/>
        <v>2553.2544737647272</v>
      </c>
      <c r="X348" s="76">
        <f t="shared" si="58"/>
        <v>534.6144396888659</v>
      </c>
      <c r="Y348" s="27">
        <f t="shared" si="59"/>
        <v>5378.9412442328257</v>
      </c>
      <c r="Z348" s="27">
        <f t="shared" si="60"/>
        <v>8788.2444701737713</v>
      </c>
      <c r="AA348" s="33">
        <f t="shared" si="61"/>
        <v>5.1618714049294718</v>
      </c>
      <c r="AB348" s="14">
        <f t="shared" si="62"/>
        <v>1782.7872193062994</v>
      </c>
      <c r="AC348" s="29">
        <f t="shared" si="63"/>
        <v>9</v>
      </c>
      <c r="AD348" s="20">
        <v>5378.9412442328503</v>
      </c>
      <c r="AE348" s="78">
        <f t="shared" si="64"/>
        <v>-2.4556356947869062E-11</v>
      </c>
      <c r="AF348" s="29">
        <f t="shared" si="65"/>
        <v>1</v>
      </c>
    </row>
    <row r="349" spans="1:32" ht="15" customHeight="1" x14ac:dyDescent="0.35">
      <c r="A349" s="19" t="s">
        <v>109</v>
      </c>
      <c r="B349" s="19" t="s">
        <v>115</v>
      </c>
      <c r="C349" s="19" t="s">
        <v>118</v>
      </c>
      <c r="D349" s="19" t="s">
        <v>121</v>
      </c>
      <c r="E349" s="19" t="s">
        <v>213</v>
      </c>
      <c r="F349" s="19">
        <v>3</v>
      </c>
      <c r="G349" s="19" t="s">
        <v>107</v>
      </c>
      <c r="H349" s="16">
        <v>0</v>
      </c>
      <c r="I349" s="13">
        <f>IF($G349="Base",1,INDEX(ModelOutput!$D$16:$D$26,MATCH($G349,ModelOutput!$C$16:$C$26,0)))</f>
        <v>1.1906804269762199</v>
      </c>
      <c r="J349" s="13">
        <f>IF($A349="Non-greek",1,INDEX(ModelOutput!$D$16:$D$26,MATCH($A349,ModelOutput!$C$16:$C$26,0)))</f>
        <v>4.3562312213391099</v>
      </c>
      <c r="K349" s="13">
        <f>IF($C349="Yes",1,INDEX(ModelOutput!$D$16:$D$26,MATCH($C349,ModelOutput!$C$16:$C$26,0)))</f>
        <v>1.5400747552012299</v>
      </c>
      <c r="L349" s="13">
        <f>IF($D349="2.0-3.0",1,INDEX(ModelOutput!$D$16:$D$26,MATCH($D349,ModelOutput!$C$16:$C$26,0)))</f>
        <v>1.12144800201769</v>
      </c>
      <c r="M349" s="13">
        <f>IF($B349="On campus",1,INDEX(ModelOutput!$D$16:$D$26,MATCH($B349,ModelOutput!$C$16:$C$26,0)))</f>
        <v>1.95077419049637</v>
      </c>
      <c r="N349" s="13">
        <f>IF($B349="On campus",1,INDEX(ModelOutput!$E$16:$E$26,MATCH($B349,ModelOutput!$C$16:$C$26,0)))</f>
        <v>1.9200078162799401</v>
      </c>
      <c r="O349" s="13">
        <f>IF($B349="On campus",1,INDEX(ModelOutput!$F$16:$F$26,MATCH($B349,ModelOutput!$C$16:$C$26,0)))</f>
        <v>2.4799996979530001</v>
      </c>
      <c r="P349" s="13">
        <f>IF($B349="On campus",1,INDEX(ModelOutput!$G$16:$G$26,MATCH($B349,ModelOutput!$C$16:$C$26,0)))</f>
        <v>3.1261975703362501</v>
      </c>
      <c r="Q349" s="72">
        <f>INDEX(ModelOutput!$D$9:$D$11,MATCH("Tier "&amp;$F349,ModelOutput!$B$9:$B$11,0))</f>
        <v>40.009437343712797</v>
      </c>
      <c r="R349" s="72">
        <f>INDEX(ModelOutput!$E$9:$E$11,MATCH("Tier "&amp;$F349,ModelOutput!$B$9:$B$11,0))</f>
        <v>117.949723218616</v>
      </c>
      <c r="S349" s="72">
        <f>INDEX(ModelOutput!$F$9:$F$11,MATCH("Tier "&amp;$F349,ModelOutput!$B$9:$B$11,0))</f>
        <v>136.83922529015501</v>
      </c>
      <c r="T349" s="72">
        <f>INDEX(ModelOutput!$G$9:$G$11,MATCH("Tier "&amp;$F349,ModelOutput!$B$9:$B$11,0))</f>
        <v>22.729631592092201</v>
      </c>
      <c r="U349" s="76">
        <f t="shared" si="55"/>
        <v>699.19212199793799</v>
      </c>
      <c r="V349" s="76">
        <f t="shared" si="56"/>
        <v>2028.7428590476825</v>
      </c>
      <c r="W349" s="76">
        <f t="shared" si="57"/>
        <v>3040.1101270011295</v>
      </c>
      <c r="X349" s="76">
        <f t="shared" si="58"/>
        <v>636.55494931639146</v>
      </c>
      <c r="Y349" s="27">
        <f t="shared" si="59"/>
        <v>6404.6000573631418</v>
      </c>
      <c r="Z349" s="27">
        <f t="shared" si="60"/>
        <v>10456.045660327236</v>
      </c>
      <c r="AA349" s="33">
        <f t="shared" si="61"/>
        <v>6.3312490317799872</v>
      </c>
      <c r="AB349" s="14">
        <f t="shared" si="62"/>
        <v>1782.7872193062994</v>
      </c>
      <c r="AC349" s="29">
        <f t="shared" si="63"/>
        <v>9</v>
      </c>
      <c r="AD349" s="20">
        <v>6404.60005736317</v>
      </c>
      <c r="AE349" s="78">
        <f t="shared" si="64"/>
        <v>-2.8194335754960775E-11</v>
      </c>
      <c r="AF349" s="29">
        <f t="shared" si="65"/>
        <v>2</v>
      </c>
    </row>
    <row r="350" spans="1:32" ht="15" customHeight="1" x14ac:dyDescent="0.35">
      <c r="A350" s="37" t="s">
        <v>109</v>
      </c>
      <c r="B350" s="37" t="s">
        <v>115</v>
      </c>
      <c r="C350" s="37" t="s">
        <v>118</v>
      </c>
      <c r="D350" s="37" t="s">
        <v>123</v>
      </c>
      <c r="E350" s="37" t="s">
        <v>95</v>
      </c>
      <c r="F350" s="37">
        <v>1</v>
      </c>
      <c r="G350" s="37" t="s">
        <v>211</v>
      </c>
      <c r="H350" s="38">
        <v>4</v>
      </c>
      <c r="I350" s="39">
        <f>IF($G350="Base",1,INDEX(ModelOutput!$D$16:$D$26,MATCH($G350,ModelOutput!$C$16:$C$26,0)))</f>
        <v>1</v>
      </c>
      <c r="J350" s="39">
        <f>IF($A350="Non-greek",1,INDEX(ModelOutput!$D$16:$D$26,MATCH($A350,ModelOutput!$C$16:$C$26,0)))</f>
        <v>4.3562312213391099</v>
      </c>
      <c r="K350" s="39">
        <f>IF($C350="Yes",1,INDEX(ModelOutput!$D$16:$D$26,MATCH($C350,ModelOutput!$C$16:$C$26,0)))</f>
        <v>1.5400747552012299</v>
      </c>
      <c r="L350" s="39">
        <f>IF($D350="2.0-3.0",1,INDEX(ModelOutput!$D$16:$D$26,MATCH($D350,ModelOutput!$C$16:$C$26,0)))</f>
        <v>1.01762556011242</v>
      </c>
      <c r="M350" s="39">
        <f>IF($B350="On campus",1,INDEX(ModelOutput!$D$16:$D$26,MATCH($B350,ModelOutput!$C$16:$C$26,0)))</f>
        <v>1.95077419049637</v>
      </c>
      <c r="N350" s="39">
        <f>IF($B350="On campus",1,INDEX(ModelOutput!$E$16:$E$26,MATCH($B350,ModelOutput!$C$16:$C$26,0)))</f>
        <v>1.9200078162799401</v>
      </c>
      <c r="O350" s="39">
        <f>IF($B350="On campus",1,INDEX(ModelOutput!$F$16:$F$26,MATCH($B350,ModelOutput!$C$16:$C$26,0)))</f>
        <v>2.4799996979530001</v>
      </c>
      <c r="P350" s="39">
        <f>IF($B350="On campus",1,INDEX(ModelOutput!$G$16:$G$26,MATCH($B350,ModelOutput!$C$16:$C$26,0)))</f>
        <v>3.1261975703362501</v>
      </c>
      <c r="Q350" s="73">
        <f>INDEX(ModelOutput!$D$9:$D$11,MATCH("Tier "&amp;$F350,ModelOutput!$B$9:$B$11,0))</f>
        <v>36.175496869914397</v>
      </c>
      <c r="R350" s="73">
        <f>INDEX(ModelOutput!$E$9:$E$11,MATCH("Tier "&amp;$F350,ModelOutput!$B$9:$B$11,0))</f>
        <v>106.647084447761</v>
      </c>
      <c r="S350" s="73">
        <f>INDEX(ModelOutput!$F$9:$F$11,MATCH("Tier "&amp;$F350,ModelOutput!$B$9:$B$11,0))</f>
        <v>123.726482920496</v>
      </c>
      <c r="T350" s="73">
        <f>INDEX(ModelOutput!$G$9:$G$11,MATCH("Tier "&amp;$F350,ModelOutput!$B$9:$B$11,0))</f>
        <v>20.551544113210401</v>
      </c>
      <c r="U350" s="77">
        <f t="shared" si="55"/>
        <v>481.79494385064379</v>
      </c>
      <c r="V350" s="77">
        <f t="shared" si="56"/>
        <v>1397.9534681673113</v>
      </c>
      <c r="W350" s="77">
        <f t="shared" si="57"/>
        <v>2094.8601133446541</v>
      </c>
      <c r="X350" s="77">
        <f t="shared" si="58"/>
        <v>438.63331181046351</v>
      </c>
      <c r="Y350" s="30">
        <f t="shared" si="59"/>
        <v>4413.2418371730728</v>
      </c>
      <c r="Z350" s="30">
        <f t="shared" si="60"/>
        <v>7217.9419487054411</v>
      </c>
      <c r="AA350" s="41">
        <f t="shared" si="61"/>
        <v>4.0608549007842445</v>
      </c>
      <c r="AB350" s="40">
        <f t="shared" si="62"/>
        <v>1782.7872193062994</v>
      </c>
      <c r="AC350" s="42">
        <f t="shared" si="63"/>
        <v>8</v>
      </c>
      <c r="AD350" s="43">
        <v>4413.2418371730701</v>
      </c>
      <c r="AE350" s="79">
        <f t="shared" si="64"/>
        <v>0</v>
      </c>
      <c r="AF350" s="29">
        <f t="shared" si="65"/>
        <v>4</v>
      </c>
    </row>
    <row r="351" spans="1:32" ht="15" customHeight="1" x14ac:dyDescent="0.35">
      <c r="A351" s="37" t="s">
        <v>109</v>
      </c>
      <c r="B351" s="37" t="s">
        <v>115</v>
      </c>
      <c r="C351" s="37" t="s">
        <v>118</v>
      </c>
      <c r="D351" s="37" t="s">
        <v>123</v>
      </c>
      <c r="E351" s="37" t="s">
        <v>105</v>
      </c>
      <c r="F351" s="37">
        <v>1</v>
      </c>
      <c r="G351" s="37" t="s">
        <v>105</v>
      </c>
      <c r="H351" s="38">
        <v>2</v>
      </c>
      <c r="I351" s="39">
        <f>IF($G351="Base",1,INDEX(ModelOutput!$D$16:$D$26,MATCH($G351,ModelOutput!$C$16:$C$26,0)))</f>
        <v>0.98982624281990295</v>
      </c>
      <c r="J351" s="39">
        <f>IF($A351="Non-greek",1,INDEX(ModelOutput!$D$16:$D$26,MATCH($A351,ModelOutput!$C$16:$C$26,0)))</f>
        <v>4.3562312213391099</v>
      </c>
      <c r="K351" s="39">
        <f>IF($C351="Yes",1,INDEX(ModelOutput!$D$16:$D$26,MATCH($C351,ModelOutput!$C$16:$C$26,0)))</f>
        <v>1.5400747552012299</v>
      </c>
      <c r="L351" s="39">
        <f>IF($D351="2.0-3.0",1,INDEX(ModelOutput!$D$16:$D$26,MATCH($D351,ModelOutput!$C$16:$C$26,0)))</f>
        <v>1.01762556011242</v>
      </c>
      <c r="M351" s="39">
        <f>IF($B351="On campus",1,INDEX(ModelOutput!$D$16:$D$26,MATCH($B351,ModelOutput!$C$16:$C$26,0)))</f>
        <v>1.95077419049637</v>
      </c>
      <c r="N351" s="39">
        <f>IF($B351="On campus",1,INDEX(ModelOutput!$E$16:$E$26,MATCH($B351,ModelOutput!$C$16:$C$26,0)))</f>
        <v>1.9200078162799401</v>
      </c>
      <c r="O351" s="39">
        <f>IF($B351="On campus",1,INDEX(ModelOutput!$F$16:$F$26,MATCH($B351,ModelOutput!$C$16:$C$26,0)))</f>
        <v>2.4799996979530001</v>
      </c>
      <c r="P351" s="39">
        <f>IF($B351="On campus",1,INDEX(ModelOutput!$G$16:$G$26,MATCH($B351,ModelOutput!$C$16:$C$26,0)))</f>
        <v>3.1261975703362501</v>
      </c>
      <c r="Q351" s="73">
        <f>INDEX(ModelOutput!$D$9:$D$11,MATCH("Tier "&amp;$F351,ModelOutput!$B$9:$B$11,0))</f>
        <v>36.175496869914397</v>
      </c>
      <c r="R351" s="73">
        <f>INDEX(ModelOutput!$E$9:$E$11,MATCH("Tier "&amp;$F351,ModelOutput!$B$9:$B$11,0))</f>
        <v>106.647084447761</v>
      </c>
      <c r="S351" s="73">
        <f>INDEX(ModelOutput!$F$9:$F$11,MATCH("Tier "&amp;$F351,ModelOutput!$B$9:$B$11,0))</f>
        <v>123.726482920496</v>
      </c>
      <c r="T351" s="73">
        <f>INDEX(ModelOutput!$G$9:$G$11,MATCH("Tier "&amp;$F351,ModelOutput!$B$9:$B$11,0))</f>
        <v>20.551544113210401</v>
      </c>
      <c r="U351" s="77">
        <f t="shared" si="55"/>
        <v>476.89327908130889</v>
      </c>
      <c r="V351" s="77">
        <f t="shared" si="56"/>
        <v>1383.7310290331029</v>
      </c>
      <c r="W351" s="77">
        <f t="shared" si="57"/>
        <v>2073.5475152252143</v>
      </c>
      <c r="X351" s="77">
        <f t="shared" si="58"/>
        <v>434.17076300500196</v>
      </c>
      <c r="Y351" s="30">
        <f t="shared" si="59"/>
        <v>4368.3425863446282</v>
      </c>
      <c r="Z351" s="30">
        <f t="shared" si="60"/>
        <v>7144.9322665284453</v>
      </c>
      <c r="AA351" s="41">
        <f t="shared" si="61"/>
        <v>4.0096642136775937</v>
      </c>
      <c r="AB351" s="40">
        <f t="shared" si="62"/>
        <v>1782.7872193062994</v>
      </c>
      <c r="AC351" s="42">
        <f t="shared" si="63"/>
        <v>8</v>
      </c>
      <c r="AD351" s="43">
        <v>4368.34258634463</v>
      </c>
      <c r="AE351" s="79">
        <f t="shared" si="64"/>
        <v>0</v>
      </c>
      <c r="AF351" s="29">
        <f t="shared" si="65"/>
        <v>3</v>
      </c>
    </row>
    <row r="352" spans="1:32" ht="15" customHeight="1" x14ac:dyDescent="0.35">
      <c r="A352" s="37" t="s">
        <v>109</v>
      </c>
      <c r="B352" s="37" t="s">
        <v>115</v>
      </c>
      <c r="C352" s="37" t="s">
        <v>118</v>
      </c>
      <c r="D352" s="37" t="s">
        <v>123</v>
      </c>
      <c r="E352" s="37" t="s">
        <v>97</v>
      </c>
      <c r="F352" s="37">
        <v>2</v>
      </c>
      <c r="G352" s="37" t="s">
        <v>211</v>
      </c>
      <c r="H352" s="38">
        <v>5</v>
      </c>
      <c r="I352" s="39">
        <f>IF($G352="Base",1,INDEX(ModelOutput!$D$16:$D$26,MATCH($G352,ModelOutput!$C$16:$C$26,0)))</f>
        <v>1</v>
      </c>
      <c r="J352" s="39">
        <f>IF($A352="Non-greek",1,INDEX(ModelOutput!$D$16:$D$26,MATCH($A352,ModelOutput!$C$16:$C$26,0)))</f>
        <v>4.3562312213391099</v>
      </c>
      <c r="K352" s="39">
        <f>IF($C352="Yes",1,INDEX(ModelOutput!$D$16:$D$26,MATCH($C352,ModelOutput!$C$16:$C$26,0)))</f>
        <v>1.5400747552012299</v>
      </c>
      <c r="L352" s="39">
        <f>IF($D352="2.0-3.0",1,INDEX(ModelOutput!$D$16:$D$26,MATCH($D352,ModelOutput!$C$16:$C$26,0)))</f>
        <v>1.01762556011242</v>
      </c>
      <c r="M352" s="39">
        <f>IF($B352="On campus",1,INDEX(ModelOutput!$D$16:$D$26,MATCH($B352,ModelOutput!$C$16:$C$26,0)))</f>
        <v>1.95077419049637</v>
      </c>
      <c r="N352" s="39">
        <f>IF($B352="On campus",1,INDEX(ModelOutput!$E$16:$E$26,MATCH($B352,ModelOutput!$C$16:$C$26,0)))</f>
        <v>1.9200078162799401</v>
      </c>
      <c r="O352" s="39">
        <f>IF($B352="On campus",1,INDEX(ModelOutput!$F$16:$F$26,MATCH($B352,ModelOutput!$C$16:$C$26,0)))</f>
        <v>2.4799996979530001</v>
      </c>
      <c r="P352" s="39">
        <f>IF($B352="On campus",1,INDEX(ModelOutput!$G$16:$G$26,MATCH($B352,ModelOutput!$C$16:$C$26,0)))</f>
        <v>3.1261975703362501</v>
      </c>
      <c r="Q352" s="73">
        <f>INDEX(ModelOutput!$D$9:$D$11,MATCH("Tier "&amp;$F352,ModelOutput!$B$9:$B$11,0))</f>
        <v>42.8051506068728</v>
      </c>
      <c r="R352" s="73">
        <f>INDEX(ModelOutput!$E$9:$E$11,MATCH("Tier "&amp;$F352,ModelOutput!$B$9:$B$11,0))</f>
        <v>126.191618818284</v>
      </c>
      <c r="S352" s="73">
        <f>INDEX(ModelOutput!$F$9:$F$11,MATCH("Tier "&amp;$F352,ModelOutput!$B$9:$B$11,0))</f>
        <v>146.401050261042</v>
      </c>
      <c r="T352" s="73">
        <f>INDEX(ModelOutput!$G$9:$G$11,MATCH("Tier "&amp;$F352,ModelOutput!$B$9:$B$11,0))</f>
        <v>24.317895180076398</v>
      </c>
      <c r="U352" s="77">
        <f t="shared" si="55"/>
        <v>570.09044567700585</v>
      </c>
      <c r="V352" s="77">
        <f t="shared" si="56"/>
        <v>1654.1475286844666</v>
      </c>
      <c r="W352" s="77">
        <f t="shared" si="57"/>
        <v>2478.7718320635936</v>
      </c>
      <c r="X352" s="77">
        <f t="shared" si="58"/>
        <v>519.01885524213094</v>
      </c>
      <c r="Y352" s="30">
        <f t="shared" si="59"/>
        <v>5222.0286616671965</v>
      </c>
      <c r="Z352" s="30">
        <f t="shared" si="60"/>
        <v>8533.0923780718149</v>
      </c>
      <c r="AA352" s="41">
        <f t="shared" si="61"/>
        <v>4.9829716957137258</v>
      </c>
      <c r="AB352" s="40">
        <f t="shared" si="62"/>
        <v>1782.7872193062994</v>
      </c>
      <c r="AC352" s="42">
        <f t="shared" si="63"/>
        <v>9</v>
      </c>
      <c r="AD352" s="43">
        <v>5222.0286616672001</v>
      </c>
      <c r="AE352" s="79">
        <f t="shared" si="64"/>
        <v>0</v>
      </c>
      <c r="AF352" s="29">
        <f t="shared" si="65"/>
        <v>2</v>
      </c>
    </row>
    <row r="353" spans="1:32" ht="15" customHeight="1" x14ac:dyDescent="0.35">
      <c r="A353" s="37" t="s">
        <v>109</v>
      </c>
      <c r="B353" s="37" t="s">
        <v>115</v>
      </c>
      <c r="C353" s="37" t="s">
        <v>118</v>
      </c>
      <c r="D353" s="37" t="s">
        <v>123</v>
      </c>
      <c r="E353" s="37" t="s">
        <v>99</v>
      </c>
      <c r="F353" s="37">
        <v>3</v>
      </c>
      <c r="G353" s="37" t="s">
        <v>211</v>
      </c>
      <c r="H353" s="38">
        <v>5</v>
      </c>
      <c r="I353" s="39">
        <f>IF($G353="Base",1,INDEX(ModelOutput!$D$16:$D$26,MATCH($G353,ModelOutput!$C$16:$C$26,0)))</f>
        <v>1</v>
      </c>
      <c r="J353" s="39">
        <f>IF($A353="Non-greek",1,INDEX(ModelOutput!$D$16:$D$26,MATCH($A353,ModelOutput!$C$16:$C$26,0)))</f>
        <v>4.3562312213391099</v>
      </c>
      <c r="K353" s="39">
        <f>IF($C353="Yes",1,INDEX(ModelOutput!$D$16:$D$26,MATCH($C353,ModelOutput!$C$16:$C$26,0)))</f>
        <v>1.5400747552012299</v>
      </c>
      <c r="L353" s="39">
        <f>IF($D353="2.0-3.0",1,INDEX(ModelOutput!$D$16:$D$26,MATCH($D353,ModelOutput!$C$16:$C$26,0)))</f>
        <v>1.01762556011242</v>
      </c>
      <c r="M353" s="39">
        <f>IF($B353="On campus",1,INDEX(ModelOutput!$D$16:$D$26,MATCH($B353,ModelOutput!$C$16:$C$26,0)))</f>
        <v>1.95077419049637</v>
      </c>
      <c r="N353" s="39">
        <f>IF($B353="On campus",1,INDEX(ModelOutput!$E$16:$E$26,MATCH($B353,ModelOutput!$C$16:$C$26,0)))</f>
        <v>1.9200078162799401</v>
      </c>
      <c r="O353" s="39">
        <f>IF($B353="On campus",1,INDEX(ModelOutput!$F$16:$F$26,MATCH($B353,ModelOutput!$C$16:$C$26,0)))</f>
        <v>2.4799996979530001</v>
      </c>
      <c r="P353" s="39">
        <f>IF($B353="On campus",1,INDEX(ModelOutput!$G$16:$G$26,MATCH($B353,ModelOutput!$C$16:$C$26,0)))</f>
        <v>3.1261975703362501</v>
      </c>
      <c r="Q353" s="73">
        <f>INDEX(ModelOutput!$D$9:$D$11,MATCH("Tier "&amp;$F353,ModelOutput!$B$9:$B$11,0))</f>
        <v>40.009437343712797</v>
      </c>
      <c r="R353" s="73">
        <f>INDEX(ModelOutput!$E$9:$E$11,MATCH("Tier "&amp;$F353,ModelOutput!$B$9:$B$11,0))</f>
        <v>117.949723218616</v>
      </c>
      <c r="S353" s="73">
        <f>INDEX(ModelOutput!$F$9:$F$11,MATCH("Tier "&amp;$F353,ModelOutput!$B$9:$B$11,0))</f>
        <v>136.83922529015501</v>
      </c>
      <c r="T353" s="73">
        <f>INDEX(ModelOutput!$G$9:$G$11,MATCH("Tier "&amp;$F353,ModelOutput!$B$9:$B$11,0))</f>
        <v>22.729631592092201</v>
      </c>
      <c r="U353" s="77">
        <f t="shared" si="55"/>
        <v>532.85638861649647</v>
      </c>
      <c r="V353" s="77">
        <f t="shared" si="56"/>
        <v>1546.1109461797428</v>
      </c>
      <c r="W353" s="77">
        <f t="shared" si="57"/>
        <v>2316.8769388323253</v>
      </c>
      <c r="X353" s="77">
        <f t="shared" si="58"/>
        <v>485.12041365604756</v>
      </c>
      <c r="Y353" s="30">
        <f t="shared" si="59"/>
        <v>4880.9646872846124</v>
      </c>
      <c r="Z353" s="30">
        <f t="shared" si="60"/>
        <v>7978.4957664971707</v>
      </c>
      <c r="AA353" s="41">
        <f t="shared" si="61"/>
        <v>4.5941166731058933</v>
      </c>
      <c r="AB353" s="40">
        <f t="shared" si="62"/>
        <v>1782.7872193062994</v>
      </c>
      <c r="AC353" s="42">
        <f t="shared" si="63"/>
        <v>8</v>
      </c>
      <c r="AD353" s="43">
        <v>4880.9646872846197</v>
      </c>
      <c r="AE353" s="79">
        <f t="shared" si="64"/>
        <v>-7.2759576141834259E-12</v>
      </c>
      <c r="AF353" s="29">
        <f t="shared" si="65"/>
        <v>1</v>
      </c>
    </row>
    <row r="354" spans="1:32" ht="15" customHeight="1" x14ac:dyDescent="0.35">
      <c r="A354" s="37" t="s">
        <v>109</v>
      </c>
      <c r="B354" s="37" t="s">
        <v>115</v>
      </c>
      <c r="C354" s="37" t="s">
        <v>118</v>
      </c>
      <c r="D354" s="37" t="s">
        <v>123</v>
      </c>
      <c r="E354" s="37" t="s">
        <v>213</v>
      </c>
      <c r="F354" s="37">
        <v>3</v>
      </c>
      <c r="G354" s="37" t="s">
        <v>107</v>
      </c>
      <c r="H354" s="38">
        <v>1</v>
      </c>
      <c r="I354" s="39">
        <f>IF($G354="Base",1,INDEX(ModelOutput!$D$16:$D$26,MATCH($G354,ModelOutput!$C$16:$C$26,0)))</f>
        <v>1.1906804269762199</v>
      </c>
      <c r="J354" s="39">
        <f>IF($A354="Non-greek",1,INDEX(ModelOutput!$D$16:$D$26,MATCH($A354,ModelOutput!$C$16:$C$26,0)))</f>
        <v>4.3562312213391099</v>
      </c>
      <c r="K354" s="39">
        <f>IF($C354="Yes",1,INDEX(ModelOutput!$D$16:$D$26,MATCH($C354,ModelOutput!$C$16:$C$26,0)))</f>
        <v>1.5400747552012299</v>
      </c>
      <c r="L354" s="39">
        <f>IF($D354="2.0-3.0",1,INDEX(ModelOutput!$D$16:$D$26,MATCH($D354,ModelOutput!$C$16:$C$26,0)))</f>
        <v>1.01762556011242</v>
      </c>
      <c r="M354" s="39">
        <f>IF($B354="On campus",1,INDEX(ModelOutput!$D$16:$D$26,MATCH($B354,ModelOutput!$C$16:$C$26,0)))</f>
        <v>1.95077419049637</v>
      </c>
      <c r="N354" s="39">
        <f>IF($B354="On campus",1,INDEX(ModelOutput!$E$16:$E$26,MATCH($B354,ModelOutput!$C$16:$C$26,0)))</f>
        <v>1.9200078162799401</v>
      </c>
      <c r="O354" s="39">
        <f>IF($B354="On campus",1,INDEX(ModelOutput!$F$16:$F$26,MATCH($B354,ModelOutput!$C$16:$C$26,0)))</f>
        <v>2.4799996979530001</v>
      </c>
      <c r="P354" s="39">
        <f>IF($B354="On campus",1,INDEX(ModelOutput!$G$16:$G$26,MATCH($B354,ModelOutput!$C$16:$C$26,0)))</f>
        <v>3.1261975703362501</v>
      </c>
      <c r="Q354" s="73">
        <f>INDEX(ModelOutput!$D$9:$D$11,MATCH("Tier "&amp;$F354,ModelOutput!$B$9:$B$11,0))</f>
        <v>40.009437343712797</v>
      </c>
      <c r="R354" s="73">
        <f>INDEX(ModelOutput!$E$9:$E$11,MATCH("Tier "&amp;$F354,ModelOutput!$B$9:$B$11,0))</f>
        <v>117.949723218616</v>
      </c>
      <c r="S354" s="73">
        <f>INDEX(ModelOutput!$F$9:$F$11,MATCH("Tier "&amp;$F354,ModelOutput!$B$9:$B$11,0))</f>
        <v>136.83922529015501</v>
      </c>
      <c r="T354" s="73">
        <f>INDEX(ModelOutput!$G$9:$G$11,MATCH("Tier "&amp;$F354,ModelOutput!$B$9:$B$11,0))</f>
        <v>22.729631592092201</v>
      </c>
      <c r="U354" s="77">
        <f t="shared" si="55"/>
        <v>634.46167231489653</v>
      </c>
      <c r="V354" s="77">
        <f t="shared" si="56"/>
        <v>1840.9240415499037</v>
      </c>
      <c r="W354" s="77">
        <f t="shared" si="57"/>
        <v>2758.660022780231</v>
      </c>
      <c r="X354" s="77">
        <f t="shared" si="58"/>
        <v>577.62338126686313</v>
      </c>
      <c r="Y354" s="30">
        <f t="shared" si="59"/>
        <v>5811.6691179118943</v>
      </c>
      <c r="Z354" s="30">
        <f t="shared" si="60"/>
        <v>9491.8937280901373</v>
      </c>
      <c r="AA354" s="41">
        <f t="shared" si="61"/>
        <v>5.6552345852745178</v>
      </c>
      <c r="AB354" s="40">
        <f t="shared" si="62"/>
        <v>1782.7872193062994</v>
      </c>
      <c r="AC354" s="42">
        <f t="shared" si="63"/>
        <v>9</v>
      </c>
      <c r="AD354" s="43">
        <v>5811.6691179119098</v>
      </c>
      <c r="AE354" s="79">
        <f t="shared" si="64"/>
        <v>-1.546140993013978E-11</v>
      </c>
      <c r="AF354" s="29">
        <f t="shared" si="65"/>
        <v>2</v>
      </c>
    </row>
    <row r="355" spans="1:32" ht="15" customHeight="1" x14ac:dyDescent="0.35">
      <c r="A355" s="19" t="s">
        <v>109</v>
      </c>
      <c r="B355" s="19" t="s">
        <v>115</v>
      </c>
      <c r="C355" s="19" t="s">
        <v>118</v>
      </c>
      <c r="D355" s="19" t="s">
        <v>122</v>
      </c>
      <c r="E355" s="19" t="s">
        <v>95</v>
      </c>
      <c r="F355" s="19">
        <v>1</v>
      </c>
      <c r="G355" s="19" t="s">
        <v>211</v>
      </c>
      <c r="H355" s="16">
        <v>5</v>
      </c>
      <c r="I355" s="13">
        <f>IF($G355="Base",1,INDEX(ModelOutput!$D$16:$D$26,MATCH($G355,ModelOutput!$C$16:$C$26,0)))</f>
        <v>1</v>
      </c>
      <c r="J355" s="13">
        <f>IF($A355="Non-greek",1,INDEX(ModelOutput!$D$16:$D$26,MATCH($A355,ModelOutput!$C$16:$C$26,0)))</f>
        <v>4.3562312213391099</v>
      </c>
      <c r="K355" s="13">
        <f>IF($C355="Yes",1,INDEX(ModelOutput!$D$16:$D$26,MATCH($C355,ModelOutput!$C$16:$C$26,0)))</f>
        <v>1.5400747552012299</v>
      </c>
      <c r="L355" s="13">
        <f>IF($D355="2.0-3.0",1,INDEX(ModelOutput!$D$16:$D$26,MATCH($D355,ModelOutput!$C$16:$C$26,0)))</f>
        <v>1</v>
      </c>
      <c r="M355" s="13">
        <f>IF($B355="On campus",1,INDEX(ModelOutput!$D$16:$D$26,MATCH($B355,ModelOutput!$C$16:$C$26,0)))</f>
        <v>1.95077419049637</v>
      </c>
      <c r="N355" s="13">
        <f>IF($B355="On campus",1,INDEX(ModelOutput!$E$16:$E$26,MATCH($B355,ModelOutput!$C$16:$C$26,0)))</f>
        <v>1.9200078162799401</v>
      </c>
      <c r="O355" s="13">
        <f>IF($B355="On campus",1,INDEX(ModelOutput!$F$16:$F$26,MATCH($B355,ModelOutput!$C$16:$C$26,0)))</f>
        <v>2.4799996979530001</v>
      </c>
      <c r="P355" s="13">
        <f>IF($B355="On campus",1,INDEX(ModelOutput!$G$16:$G$26,MATCH($B355,ModelOutput!$C$16:$C$26,0)))</f>
        <v>3.1261975703362501</v>
      </c>
      <c r="Q355" s="72">
        <f>INDEX(ModelOutput!$D$9:$D$11,MATCH("Tier "&amp;$F355,ModelOutput!$B$9:$B$11,0))</f>
        <v>36.175496869914397</v>
      </c>
      <c r="R355" s="72">
        <f>INDEX(ModelOutput!$E$9:$E$11,MATCH("Tier "&amp;$F355,ModelOutput!$B$9:$B$11,0))</f>
        <v>106.647084447761</v>
      </c>
      <c r="S355" s="72">
        <f>INDEX(ModelOutput!$F$9:$F$11,MATCH("Tier "&amp;$F355,ModelOutput!$B$9:$B$11,0))</f>
        <v>123.726482920496</v>
      </c>
      <c r="T355" s="72">
        <f>INDEX(ModelOutput!$G$9:$G$11,MATCH("Tier "&amp;$F355,ModelOutput!$B$9:$B$11,0))</f>
        <v>20.551544113210401</v>
      </c>
      <c r="U355" s="76">
        <f t="shared" si="55"/>
        <v>473.45012029514919</v>
      </c>
      <c r="V355" s="76">
        <f t="shared" si="56"/>
        <v>1373.7405220176227</v>
      </c>
      <c r="W355" s="76">
        <f t="shared" si="57"/>
        <v>2058.5765486405712</v>
      </c>
      <c r="X355" s="76">
        <f t="shared" si="58"/>
        <v>431.03605982735576</v>
      </c>
      <c r="Y355" s="27">
        <f t="shared" si="59"/>
        <v>4336.8032507806984</v>
      </c>
      <c r="Z355" s="27">
        <f t="shared" si="60"/>
        <v>7093.6468481058882</v>
      </c>
      <c r="AA355" s="33">
        <f t="shared" si="61"/>
        <v>3.9737054787629802</v>
      </c>
      <c r="AB355" s="14">
        <f t="shared" si="62"/>
        <v>1782.7872193062994</v>
      </c>
      <c r="AC355" s="29">
        <f t="shared" si="63"/>
        <v>8</v>
      </c>
      <c r="AD355" s="20">
        <v>4336.8032507806902</v>
      </c>
      <c r="AE355" s="78">
        <f t="shared" si="64"/>
        <v>8.1854523159563541E-12</v>
      </c>
      <c r="AF355" s="29">
        <f t="shared" si="65"/>
        <v>4</v>
      </c>
    </row>
    <row r="356" spans="1:32" ht="15" customHeight="1" x14ac:dyDescent="0.35">
      <c r="A356" s="19" t="s">
        <v>109</v>
      </c>
      <c r="B356" s="19" t="s">
        <v>115</v>
      </c>
      <c r="C356" s="19" t="s">
        <v>118</v>
      </c>
      <c r="D356" s="19" t="s">
        <v>122</v>
      </c>
      <c r="E356" s="19" t="s">
        <v>105</v>
      </c>
      <c r="F356" s="19">
        <v>1</v>
      </c>
      <c r="G356" s="19" t="s">
        <v>105</v>
      </c>
      <c r="H356" s="16">
        <v>7</v>
      </c>
      <c r="I356" s="13">
        <f>IF($G356="Base",1,INDEX(ModelOutput!$D$16:$D$26,MATCH($G356,ModelOutput!$C$16:$C$26,0)))</f>
        <v>0.98982624281990295</v>
      </c>
      <c r="J356" s="13">
        <f>IF($A356="Non-greek",1,INDEX(ModelOutput!$D$16:$D$26,MATCH($A356,ModelOutput!$C$16:$C$26,0)))</f>
        <v>4.3562312213391099</v>
      </c>
      <c r="K356" s="13">
        <f>IF($C356="Yes",1,INDEX(ModelOutput!$D$16:$D$26,MATCH($C356,ModelOutput!$C$16:$C$26,0)))</f>
        <v>1.5400747552012299</v>
      </c>
      <c r="L356" s="13">
        <f>IF($D356="2.0-3.0",1,INDEX(ModelOutput!$D$16:$D$26,MATCH($D356,ModelOutput!$C$16:$C$26,0)))</f>
        <v>1</v>
      </c>
      <c r="M356" s="13">
        <f>IF($B356="On campus",1,INDEX(ModelOutput!$D$16:$D$26,MATCH($B356,ModelOutput!$C$16:$C$26,0)))</f>
        <v>1.95077419049637</v>
      </c>
      <c r="N356" s="13">
        <f>IF($B356="On campus",1,INDEX(ModelOutput!$E$16:$E$26,MATCH($B356,ModelOutput!$C$16:$C$26,0)))</f>
        <v>1.9200078162799401</v>
      </c>
      <c r="O356" s="13">
        <f>IF($B356="On campus",1,INDEX(ModelOutput!$F$16:$F$26,MATCH($B356,ModelOutput!$C$16:$C$26,0)))</f>
        <v>2.4799996979530001</v>
      </c>
      <c r="P356" s="13">
        <f>IF($B356="On campus",1,INDEX(ModelOutput!$G$16:$G$26,MATCH($B356,ModelOutput!$C$16:$C$26,0)))</f>
        <v>3.1261975703362501</v>
      </c>
      <c r="Q356" s="72">
        <f>INDEX(ModelOutput!$D$9:$D$11,MATCH("Tier "&amp;$F356,ModelOutput!$B$9:$B$11,0))</f>
        <v>36.175496869914397</v>
      </c>
      <c r="R356" s="72">
        <f>INDEX(ModelOutput!$E$9:$E$11,MATCH("Tier "&amp;$F356,ModelOutput!$B$9:$B$11,0))</f>
        <v>106.647084447761</v>
      </c>
      <c r="S356" s="72">
        <f>INDEX(ModelOutput!$F$9:$F$11,MATCH("Tier "&amp;$F356,ModelOutput!$B$9:$B$11,0))</f>
        <v>123.726482920496</v>
      </c>
      <c r="T356" s="72">
        <f>INDEX(ModelOutput!$G$9:$G$11,MATCH("Tier "&amp;$F356,ModelOutput!$B$9:$B$11,0))</f>
        <v>20.551544113210401</v>
      </c>
      <c r="U356" s="76">
        <f t="shared" si="55"/>
        <v>468.6333537343786</v>
      </c>
      <c r="V356" s="76">
        <f t="shared" si="56"/>
        <v>1359.7644195181558</v>
      </c>
      <c r="W356" s="76">
        <f t="shared" si="57"/>
        <v>2037.6330906980597</v>
      </c>
      <c r="X356" s="76">
        <f t="shared" si="58"/>
        <v>426.65080361880638</v>
      </c>
      <c r="Y356" s="27">
        <f t="shared" si="59"/>
        <v>4292.6816675694008</v>
      </c>
      <c r="Z356" s="27">
        <f t="shared" si="60"/>
        <v>7021.90171410107</v>
      </c>
      <c r="AA356" s="33">
        <f t="shared" si="61"/>
        <v>3.923401428714361</v>
      </c>
      <c r="AB356" s="14">
        <f t="shared" si="62"/>
        <v>1782.7872193062994</v>
      </c>
      <c r="AC356" s="29">
        <f t="shared" si="63"/>
        <v>8</v>
      </c>
      <c r="AD356" s="20">
        <v>4292.6816675693999</v>
      </c>
      <c r="AE356" s="78">
        <f t="shared" si="64"/>
        <v>0</v>
      </c>
      <c r="AF356" s="29">
        <f t="shared" si="65"/>
        <v>3</v>
      </c>
    </row>
    <row r="357" spans="1:32" ht="15" customHeight="1" x14ac:dyDescent="0.35">
      <c r="A357" s="19" t="s">
        <v>109</v>
      </c>
      <c r="B357" s="19" t="s">
        <v>115</v>
      </c>
      <c r="C357" s="19" t="s">
        <v>118</v>
      </c>
      <c r="D357" s="19" t="s">
        <v>122</v>
      </c>
      <c r="E357" s="19" t="s">
        <v>97</v>
      </c>
      <c r="F357" s="19">
        <v>2</v>
      </c>
      <c r="G357" s="19" t="s">
        <v>211</v>
      </c>
      <c r="H357" s="16">
        <v>2</v>
      </c>
      <c r="I357" s="13">
        <f>IF($G357="Base",1,INDEX(ModelOutput!$D$16:$D$26,MATCH($G357,ModelOutput!$C$16:$C$26,0)))</f>
        <v>1</v>
      </c>
      <c r="J357" s="13">
        <f>IF($A357="Non-greek",1,INDEX(ModelOutput!$D$16:$D$26,MATCH($A357,ModelOutput!$C$16:$C$26,0)))</f>
        <v>4.3562312213391099</v>
      </c>
      <c r="K357" s="13">
        <f>IF($C357="Yes",1,INDEX(ModelOutput!$D$16:$D$26,MATCH($C357,ModelOutput!$C$16:$C$26,0)))</f>
        <v>1.5400747552012299</v>
      </c>
      <c r="L357" s="13">
        <f>IF($D357="2.0-3.0",1,INDEX(ModelOutput!$D$16:$D$26,MATCH($D357,ModelOutput!$C$16:$C$26,0)))</f>
        <v>1</v>
      </c>
      <c r="M357" s="13">
        <f>IF($B357="On campus",1,INDEX(ModelOutput!$D$16:$D$26,MATCH($B357,ModelOutput!$C$16:$C$26,0)))</f>
        <v>1.95077419049637</v>
      </c>
      <c r="N357" s="13">
        <f>IF($B357="On campus",1,INDEX(ModelOutput!$E$16:$E$26,MATCH($B357,ModelOutput!$C$16:$C$26,0)))</f>
        <v>1.9200078162799401</v>
      </c>
      <c r="O357" s="13">
        <f>IF($B357="On campus",1,INDEX(ModelOutput!$F$16:$F$26,MATCH($B357,ModelOutput!$C$16:$C$26,0)))</f>
        <v>2.4799996979530001</v>
      </c>
      <c r="P357" s="13">
        <f>IF($B357="On campus",1,INDEX(ModelOutput!$G$16:$G$26,MATCH($B357,ModelOutput!$C$16:$C$26,0)))</f>
        <v>3.1261975703362501</v>
      </c>
      <c r="Q357" s="72">
        <f>INDEX(ModelOutput!$D$9:$D$11,MATCH("Tier "&amp;$F357,ModelOutput!$B$9:$B$11,0))</f>
        <v>42.8051506068728</v>
      </c>
      <c r="R357" s="72">
        <f>INDEX(ModelOutput!$E$9:$E$11,MATCH("Tier "&amp;$F357,ModelOutput!$B$9:$B$11,0))</f>
        <v>126.191618818284</v>
      </c>
      <c r="S357" s="72">
        <f>INDEX(ModelOutput!$F$9:$F$11,MATCH("Tier "&amp;$F357,ModelOutput!$B$9:$B$11,0))</f>
        <v>146.401050261042</v>
      </c>
      <c r="T357" s="72">
        <f>INDEX(ModelOutput!$G$9:$G$11,MATCH("Tier "&amp;$F357,ModelOutput!$B$9:$B$11,0))</f>
        <v>24.317895180076398</v>
      </c>
      <c r="U357" s="76">
        <f t="shared" si="55"/>
        <v>560.21631926582734</v>
      </c>
      <c r="V357" s="76">
        <f t="shared" si="56"/>
        <v>1625.4972295524183</v>
      </c>
      <c r="W357" s="76">
        <f t="shared" si="57"/>
        <v>2435.8388087163971</v>
      </c>
      <c r="X357" s="76">
        <f t="shared" si="58"/>
        <v>510.02930310122463</v>
      </c>
      <c r="Y357" s="27">
        <f t="shared" si="59"/>
        <v>5131.5816606358676</v>
      </c>
      <c r="Z357" s="27">
        <f t="shared" si="60"/>
        <v>8386.0185031781984</v>
      </c>
      <c r="AA357" s="33">
        <f t="shared" si="61"/>
        <v>4.8798509521801501</v>
      </c>
      <c r="AB357" s="14">
        <f t="shared" si="62"/>
        <v>1782.7872193062994</v>
      </c>
      <c r="AC357" s="29">
        <f t="shared" si="63"/>
        <v>8</v>
      </c>
      <c r="AD357" s="20">
        <v>5131.5816606358703</v>
      </c>
      <c r="AE357" s="78">
        <f t="shared" si="64"/>
        <v>0</v>
      </c>
      <c r="AF357" s="29">
        <f t="shared" si="65"/>
        <v>2</v>
      </c>
    </row>
    <row r="358" spans="1:32" ht="15" customHeight="1" x14ac:dyDescent="0.35">
      <c r="A358" s="19" t="s">
        <v>109</v>
      </c>
      <c r="B358" s="19" t="s">
        <v>115</v>
      </c>
      <c r="C358" s="19" t="s">
        <v>118</v>
      </c>
      <c r="D358" s="19" t="s">
        <v>122</v>
      </c>
      <c r="E358" s="19" t="s">
        <v>99</v>
      </c>
      <c r="F358" s="19">
        <v>3</v>
      </c>
      <c r="G358" s="19" t="s">
        <v>211</v>
      </c>
      <c r="H358" s="16">
        <v>4</v>
      </c>
      <c r="I358" s="13">
        <f>IF($G358="Base",1,INDEX(ModelOutput!$D$16:$D$26,MATCH($G358,ModelOutput!$C$16:$C$26,0)))</f>
        <v>1</v>
      </c>
      <c r="J358" s="13">
        <f>IF($A358="Non-greek",1,INDEX(ModelOutput!$D$16:$D$26,MATCH($A358,ModelOutput!$C$16:$C$26,0)))</f>
        <v>4.3562312213391099</v>
      </c>
      <c r="K358" s="13">
        <f>IF($C358="Yes",1,INDEX(ModelOutput!$D$16:$D$26,MATCH($C358,ModelOutput!$C$16:$C$26,0)))</f>
        <v>1.5400747552012299</v>
      </c>
      <c r="L358" s="13">
        <f>IF($D358="2.0-3.0",1,INDEX(ModelOutput!$D$16:$D$26,MATCH($D358,ModelOutput!$C$16:$C$26,0)))</f>
        <v>1</v>
      </c>
      <c r="M358" s="13">
        <f>IF($B358="On campus",1,INDEX(ModelOutput!$D$16:$D$26,MATCH($B358,ModelOutput!$C$16:$C$26,0)))</f>
        <v>1.95077419049637</v>
      </c>
      <c r="N358" s="13">
        <f>IF($B358="On campus",1,INDEX(ModelOutput!$E$16:$E$26,MATCH($B358,ModelOutput!$C$16:$C$26,0)))</f>
        <v>1.9200078162799401</v>
      </c>
      <c r="O358" s="13">
        <f>IF($B358="On campus",1,INDEX(ModelOutput!$F$16:$F$26,MATCH($B358,ModelOutput!$C$16:$C$26,0)))</f>
        <v>2.4799996979530001</v>
      </c>
      <c r="P358" s="13">
        <f>IF($B358="On campus",1,INDEX(ModelOutput!$G$16:$G$26,MATCH($B358,ModelOutput!$C$16:$C$26,0)))</f>
        <v>3.1261975703362501</v>
      </c>
      <c r="Q358" s="72">
        <f>INDEX(ModelOutput!$D$9:$D$11,MATCH("Tier "&amp;$F358,ModelOutput!$B$9:$B$11,0))</f>
        <v>40.009437343712797</v>
      </c>
      <c r="R358" s="72">
        <f>INDEX(ModelOutput!$E$9:$E$11,MATCH("Tier "&amp;$F358,ModelOutput!$B$9:$B$11,0))</f>
        <v>117.949723218616</v>
      </c>
      <c r="S358" s="72">
        <f>INDEX(ModelOutput!$F$9:$F$11,MATCH("Tier "&amp;$F358,ModelOutput!$B$9:$B$11,0))</f>
        <v>136.83922529015501</v>
      </c>
      <c r="T358" s="72">
        <f>INDEX(ModelOutput!$G$9:$G$11,MATCH("Tier "&amp;$F358,ModelOutput!$B$9:$B$11,0))</f>
        <v>22.729631592092201</v>
      </c>
      <c r="U358" s="76">
        <f t="shared" si="55"/>
        <v>523.62716651656262</v>
      </c>
      <c r="V358" s="76">
        <f t="shared" si="56"/>
        <v>1519.3318709574664</v>
      </c>
      <c r="W358" s="76">
        <f t="shared" si="57"/>
        <v>2276.7479804422101</v>
      </c>
      <c r="X358" s="76">
        <f t="shared" si="58"/>
        <v>476.71799203083589</v>
      </c>
      <c r="Y358" s="27">
        <f t="shared" si="59"/>
        <v>4796.4250099470755</v>
      </c>
      <c r="Z358" s="27">
        <f t="shared" si="60"/>
        <v>7841.0276604625578</v>
      </c>
      <c r="AA358" s="33">
        <f t="shared" si="61"/>
        <v>4.4977310076252257</v>
      </c>
      <c r="AB358" s="14">
        <f t="shared" si="62"/>
        <v>1782.7872193062994</v>
      </c>
      <c r="AC358" s="29">
        <f t="shared" si="63"/>
        <v>8</v>
      </c>
      <c r="AD358" s="20">
        <v>4796.4250099470801</v>
      </c>
      <c r="AE358" s="78">
        <f t="shared" si="64"/>
        <v>0</v>
      </c>
      <c r="AF358" s="29">
        <f t="shared" si="65"/>
        <v>1</v>
      </c>
    </row>
    <row r="359" spans="1:32" ht="15" customHeight="1" x14ac:dyDescent="0.35">
      <c r="A359" s="19" t="s">
        <v>109</v>
      </c>
      <c r="B359" s="19" t="s">
        <v>115</v>
      </c>
      <c r="C359" s="19" t="s">
        <v>118</v>
      </c>
      <c r="D359" s="19" t="s">
        <v>122</v>
      </c>
      <c r="E359" s="19" t="s">
        <v>213</v>
      </c>
      <c r="F359" s="19">
        <v>3</v>
      </c>
      <c r="G359" s="19" t="s">
        <v>107</v>
      </c>
      <c r="H359" s="16">
        <v>0</v>
      </c>
      <c r="I359" s="13">
        <f>IF($G359="Base",1,INDEX(ModelOutput!$D$16:$D$26,MATCH($G359,ModelOutput!$C$16:$C$26,0)))</f>
        <v>1.1906804269762199</v>
      </c>
      <c r="J359" s="13">
        <f>IF($A359="Non-greek",1,INDEX(ModelOutput!$D$16:$D$26,MATCH($A359,ModelOutput!$C$16:$C$26,0)))</f>
        <v>4.3562312213391099</v>
      </c>
      <c r="K359" s="13">
        <f>IF($C359="Yes",1,INDEX(ModelOutput!$D$16:$D$26,MATCH($C359,ModelOutput!$C$16:$C$26,0)))</f>
        <v>1.5400747552012299</v>
      </c>
      <c r="L359" s="13">
        <f>IF($D359="2.0-3.0",1,INDEX(ModelOutput!$D$16:$D$26,MATCH($D359,ModelOutput!$C$16:$C$26,0)))</f>
        <v>1</v>
      </c>
      <c r="M359" s="13">
        <f>IF($B359="On campus",1,INDEX(ModelOutput!$D$16:$D$26,MATCH($B359,ModelOutput!$C$16:$C$26,0)))</f>
        <v>1.95077419049637</v>
      </c>
      <c r="N359" s="13">
        <f>IF($B359="On campus",1,INDEX(ModelOutput!$E$16:$E$26,MATCH($B359,ModelOutput!$C$16:$C$26,0)))</f>
        <v>1.9200078162799401</v>
      </c>
      <c r="O359" s="13">
        <f>IF($B359="On campus",1,INDEX(ModelOutput!$F$16:$F$26,MATCH($B359,ModelOutput!$C$16:$C$26,0)))</f>
        <v>2.4799996979530001</v>
      </c>
      <c r="P359" s="13">
        <f>IF($B359="On campus",1,INDEX(ModelOutput!$G$16:$G$26,MATCH($B359,ModelOutput!$C$16:$C$26,0)))</f>
        <v>3.1261975703362501</v>
      </c>
      <c r="Q359" s="72">
        <f>INDEX(ModelOutput!$D$9:$D$11,MATCH("Tier "&amp;$F359,ModelOutput!$B$9:$B$11,0))</f>
        <v>40.009437343712797</v>
      </c>
      <c r="R359" s="72">
        <f>INDEX(ModelOutput!$E$9:$E$11,MATCH("Tier "&amp;$F359,ModelOutput!$B$9:$B$11,0))</f>
        <v>117.949723218616</v>
      </c>
      <c r="S359" s="72">
        <f>INDEX(ModelOutput!$F$9:$F$11,MATCH("Tier "&amp;$F359,ModelOutput!$B$9:$B$11,0))</f>
        <v>136.83922529015501</v>
      </c>
      <c r="T359" s="72">
        <f>INDEX(ModelOutput!$G$9:$G$11,MATCH("Tier "&amp;$F359,ModelOutput!$B$9:$B$11,0))</f>
        <v>22.729631592092201</v>
      </c>
      <c r="U359" s="76">
        <f t="shared" si="55"/>
        <v>623.47261820428901</v>
      </c>
      <c r="V359" s="76">
        <f t="shared" si="56"/>
        <v>1809.0387208302152</v>
      </c>
      <c r="W359" s="76">
        <f t="shared" si="57"/>
        <v>2710.8792574701774</v>
      </c>
      <c r="X359" s="76">
        <f t="shared" si="58"/>
        <v>567.61878229852186</v>
      </c>
      <c r="Y359" s="27">
        <f t="shared" si="59"/>
        <v>5711.0093788032036</v>
      </c>
      <c r="Z359" s="27">
        <f t="shared" si="60"/>
        <v>9328.2131449012322</v>
      </c>
      <c r="AA359" s="33">
        <f t="shared" si="61"/>
        <v>5.5404700599456103</v>
      </c>
      <c r="AB359" s="14">
        <f t="shared" si="62"/>
        <v>1782.7872193062994</v>
      </c>
      <c r="AC359" s="29">
        <f t="shared" si="63"/>
        <v>9</v>
      </c>
      <c r="AD359" s="20">
        <v>5711.00937880322</v>
      </c>
      <c r="AE359" s="78">
        <f t="shared" si="64"/>
        <v>-1.6370904631912708E-11</v>
      </c>
      <c r="AF359" s="29">
        <f t="shared" si="65"/>
        <v>2</v>
      </c>
    </row>
    <row r="360" spans="1:32" ht="15" customHeight="1" x14ac:dyDescent="0.35">
      <c r="A360" s="37" t="s">
        <v>109</v>
      </c>
      <c r="B360" s="37" t="s">
        <v>115</v>
      </c>
      <c r="C360" s="37" t="s">
        <v>118</v>
      </c>
      <c r="D360" s="37" t="s">
        <v>124</v>
      </c>
      <c r="E360" s="37" t="s">
        <v>95</v>
      </c>
      <c r="F360" s="37">
        <v>1</v>
      </c>
      <c r="G360" s="37" t="s">
        <v>211</v>
      </c>
      <c r="H360" s="38">
        <v>3</v>
      </c>
      <c r="I360" s="39">
        <f>IF($G360="Base",1,INDEX(ModelOutput!$D$16:$D$26,MATCH($G360,ModelOutput!$C$16:$C$26,0)))</f>
        <v>1</v>
      </c>
      <c r="J360" s="39">
        <f>IF($A360="Non-greek",1,INDEX(ModelOutput!$D$16:$D$26,MATCH($A360,ModelOutput!$C$16:$C$26,0)))</f>
        <v>4.3562312213391099</v>
      </c>
      <c r="K360" s="39">
        <f>IF($C360="Yes",1,INDEX(ModelOutput!$D$16:$D$26,MATCH($C360,ModelOutput!$C$16:$C$26,0)))</f>
        <v>1.5400747552012299</v>
      </c>
      <c r="L360" s="39">
        <f>IF($D360="2.0-3.0",1,INDEX(ModelOutput!$D$16:$D$26,MATCH($D360,ModelOutput!$C$16:$C$26,0)))</f>
        <v>0.87654761766211098</v>
      </c>
      <c r="M360" s="39">
        <f>IF($B360="On campus",1,INDEX(ModelOutput!$D$16:$D$26,MATCH($B360,ModelOutput!$C$16:$C$26,0)))</f>
        <v>1.95077419049637</v>
      </c>
      <c r="N360" s="39">
        <f>IF($B360="On campus",1,INDEX(ModelOutput!$E$16:$E$26,MATCH($B360,ModelOutput!$C$16:$C$26,0)))</f>
        <v>1.9200078162799401</v>
      </c>
      <c r="O360" s="39">
        <f>IF($B360="On campus",1,INDEX(ModelOutput!$F$16:$F$26,MATCH($B360,ModelOutput!$C$16:$C$26,0)))</f>
        <v>2.4799996979530001</v>
      </c>
      <c r="P360" s="39">
        <f>IF($B360="On campus",1,INDEX(ModelOutput!$G$16:$G$26,MATCH($B360,ModelOutput!$C$16:$C$26,0)))</f>
        <v>3.1261975703362501</v>
      </c>
      <c r="Q360" s="73">
        <f>INDEX(ModelOutput!$D$9:$D$11,MATCH("Tier "&amp;$F360,ModelOutput!$B$9:$B$11,0))</f>
        <v>36.175496869914397</v>
      </c>
      <c r="R360" s="73">
        <f>INDEX(ModelOutput!$E$9:$E$11,MATCH("Tier "&amp;$F360,ModelOutput!$B$9:$B$11,0))</f>
        <v>106.647084447761</v>
      </c>
      <c r="S360" s="73">
        <f>INDEX(ModelOutput!$F$9:$F$11,MATCH("Tier "&amp;$F360,ModelOutput!$B$9:$B$11,0))</f>
        <v>123.726482920496</v>
      </c>
      <c r="T360" s="73">
        <f>INDEX(ModelOutput!$G$9:$G$11,MATCH("Tier "&amp;$F360,ModelOutput!$B$9:$B$11,0))</f>
        <v>20.551544113210401</v>
      </c>
      <c r="U360" s="77">
        <f t="shared" si="55"/>
        <v>415.00157502655287</v>
      </c>
      <c r="V360" s="77">
        <f t="shared" si="56"/>
        <v>1204.1489818604516</v>
      </c>
      <c r="W360" s="77">
        <f t="shared" si="57"/>
        <v>1804.4403694859834</v>
      </c>
      <c r="X360" s="77">
        <f t="shared" si="58"/>
        <v>377.82363136813188</v>
      </c>
      <c r="Y360" s="30">
        <f t="shared" si="59"/>
        <v>3801.41455774112</v>
      </c>
      <c r="Z360" s="30">
        <f t="shared" si="60"/>
        <v>6223.0630945076382</v>
      </c>
      <c r="AA360" s="41">
        <f t="shared" si="61"/>
        <v>3.3632962946421436</v>
      </c>
      <c r="AB360" s="40">
        <f t="shared" si="62"/>
        <v>1782.7872193062994</v>
      </c>
      <c r="AC360" s="42">
        <f t="shared" si="63"/>
        <v>7</v>
      </c>
      <c r="AD360" s="43">
        <v>3801.41455774111</v>
      </c>
      <c r="AE360" s="79">
        <f t="shared" si="64"/>
        <v>1.0004441719502211E-11</v>
      </c>
      <c r="AF360" s="29">
        <f t="shared" si="65"/>
        <v>4</v>
      </c>
    </row>
    <row r="361" spans="1:32" ht="15" customHeight="1" x14ac:dyDescent="0.35">
      <c r="A361" s="37" t="s">
        <v>109</v>
      </c>
      <c r="B361" s="37" t="s">
        <v>115</v>
      </c>
      <c r="C361" s="37" t="s">
        <v>118</v>
      </c>
      <c r="D361" s="37" t="s">
        <v>124</v>
      </c>
      <c r="E361" s="37" t="s">
        <v>105</v>
      </c>
      <c r="F361" s="37">
        <v>1</v>
      </c>
      <c r="G361" s="37" t="s">
        <v>105</v>
      </c>
      <c r="H361" s="38">
        <v>4</v>
      </c>
      <c r="I361" s="39">
        <f>IF($G361="Base",1,INDEX(ModelOutput!$D$16:$D$26,MATCH($G361,ModelOutput!$C$16:$C$26,0)))</f>
        <v>0.98982624281990295</v>
      </c>
      <c r="J361" s="39">
        <f>IF($A361="Non-greek",1,INDEX(ModelOutput!$D$16:$D$26,MATCH($A361,ModelOutput!$C$16:$C$26,0)))</f>
        <v>4.3562312213391099</v>
      </c>
      <c r="K361" s="39">
        <f>IF($C361="Yes",1,INDEX(ModelOutput!$D$16:$D$26,MATCH($C361,ModelOutput!$C$16:$C$26,0)))</f>
        <v>1.5400747552012299</v>
      </c>
      <c r="L361" s="39">
        <f>IF($D361="2.0-3.0",1,INDEX(ModelOutput!$D$16:$D$26,MATCH($D361,ModelOutput!$C$16:$C$26,0)))</f>
        <v>0.87654761766211098</v>
      </c>
      <c r="M361" s="39">
        <f>IF($B361="On campus",1,INDEX(ModelOutput!$D$16:$D$26,MATCH($B361,ModelOutput!$C$16:$C$26,0)))</f>
        <v>1.95077419049637</v>
      </c>
      <c r="N361" s="39">
        <f>IF($B361="On campus",1,INDEX(ModelOutput!$E$16:$E$26,MATCH($B361,ModelOutput!$C$16:$C$26,0)))</f>
        <v>1.9200078162799401</v>
      </c>
      <c r="O361" s="39">
        <f>IF($B361="On campus",1,INDEX(ModelOutput!$F$16:$F$26,MATCH($B361,ModelOutput!$C$16:$C$26,0)))</f>
        <v>2.4799996979530001</v>
      </c>
      <c r="P361" s="39">
        <f>IF($B361="On campus",1,INDEX(ModelOutput!$G$16:$G$26,MATCH($B361,ModelOutput!$C$16:$C$26,0)))</f>
        <v>3.1261975703362501</v>
      </c>
      <c r="Q361" s="73">
        <f>INDEX(ModelOutput!$D$9:$D$11,MATCH("Tier "&amp;$F361,ModelOutput!$B$9:$B$11,0))</f>
        <v>36.175496869914397</v>
      </c>
      <c r="R361" s="73">
        <f>INDEX(ModelOutput!$E$9:$E$11,MATCH("Tier "&amp;$F361,ModelOutput!$B$9:$B$11,0))</f>
        <v>106.647084447761</v>
      </c>
      <c r="S361" s="73">
        <f>INDEX(ModelOutput!$F$9:$F$11,MATCH("Tier "&amp;$F361,ModelOutput!$B$9:$B$11,0))</f>
        <v>123.726482920496</v>
      </c>
      <c r="T361" s="73">
        <f>INDEX(ModelOutput!$G$9:$G$11,MATCH("Tier "&amp;$F361,ModelOutput!$B$9:$B$11,0))</f>
        <v>20.551544113210401</v>
      </c>
      <c r="U361" s="77">
        <f t="shared" si="55"/>
        <v>410.77944977287495</v>
      </c>
      <c r="V361" s="77">
        <f t="shared" si="56"/>
        <v>1191.8982625103426</v>
      </c>
      <c r="W361" s="77">
        <f t="shared" si="57"/>
        <v>1786.0824313208684</v>
      </c>
      <c r="X361" s="77">
        <f t="shared" si="58"/>
        <v>373.97974548568988</v>
      </c>
      <c r="Y361" s="30">
        <f t="shared" si="59"/>
        <v>3762.7398890897757</v>
      </c>
      <c r="Z361" s="30">
        <f t="shared" si="60"/>
        <v>6160.1750682168649</v>
      </c>
      <c r="AA361" s="41">
        <f t="shared" si="61"/>
        <v>3.3192023994132702</v>
      </c>
      <c r="AB361" s="40">
        <f t="shared" si="62"/>
        <v>1782.7872193062994</v>
      </c>
      <c r="AC361" s="42">
        <f t="shared" si="63"/>
        <v>7</v>
      </c>
      <c r="AD361" s="43">
        <v>3762.7398890897698</v>
      </c>
      <c r="AE361" s="79">
        <f t="shared" si="64"/>
        <v>5.9117155615240335E-12</v>
      </c>
      <c r="AF361" s="29">
        <f t="shared" si="65"/>
        <v>3</v>
      </c>
    </row>
    <row r="362" spans="1:32" ht="15" customHeight="1" x14ac:dyDescent="0.35">
      <c r="A362" s="37" t="s">
        <v>109</v>
      </c>
      <c r="B362" s="37" t="s">
        <v>115</v>
      </c>
      <c r="C362" s="37" t="s">
        <v>118</v>
      </c>
      <c r="D362" s="37" t="s">
        <v>124</v>
      </c>
      <c r="E362" s="37" t="s">
        <v>97</v>
      </c>
      <c r="F362" s="37">
        <v>2</v>
      </c>
      <c r="G362" s="37" t="s">
        <v>211</v>
      </c>
      <c r="H362" s="38">
        <v>3</v>
      </c>
      <c r="I362" s="39">
        <f>IF($G362="Base",1,INDEX(ModelOutput!$D$16:$D$26,MATCH($G362,ModelOutput!$C$16:$C$26,0)))</f>
        <v>1</v>
      </c>
      <c r="J362" s="39">
        <f>IF($A362="Non-greek",1,INDEX(ModelOutput!$D$16:$D$26,MATCH($A362,ModelOutput!$C$16:$C$26,0)))</f>
        <v>4.3562312213391099</v>
      </c>
      <c r="K362" s="39">
        <f>IF($C362="Yes",1,INDEX(ModelOutput!$D$16:$D$26,MATCH($C362,ModelOutput!$C$16:$C$26,0)))</f>
        <v>1.5400747552012299</v>
      </c>
      <c r="L362" s="39">
        <f>IF($D362="2.0-3.0",1,INDEX(ModelOutput!$D$16:$D$26,MATCH($D362,ModelOutput!$C$16:$C$26,0)))</f>
        <v>0.87654761766211098</v>
      </c>
      <c r="M362" s="39">
        <f>IF($B362="On campus",1,INDEX(ModelOutput!$D$16:$D$26,MATCH($B362,ModelOutput!$C$16:$C$26,0)))</f>
        <v>1.95077419049637</v>
      </c>
      <c r="N362" s="39">
        <f>IF($B362="On campus",1,INDEX(ModelOutput!$E$16:$E$26,MATCH($B362,ModelOutput!$C$16:$C$26,0)))</f>
        <v>1.9200078162799401</v>
      </c>
      <c r="O362" s="39">
        <f>IF($B362="On campus",1,INDEX(ModelOutput!$F$16:$F$26,MATCH($B362,ModelOutput!$C$16:$C$26,0)))</f>
        <v>2.4799996979530001</v>
      </c>
      <c r="P362" s="39">
        <f>IF($B362="On campus",1,INDEX(ModelOutput!$G$16:$G$26,MATCH($B362,ModelOutput!$C$16:$C$26,0)))</f>
        <v>3.1261975703362501</v>
      </c>
      <c r="Q362" s="73">
        <f>INDEX(ModelOutput!$D$9:$D$11,MATCH("Tier "&amp;$F362,ModelOutput!$B$9:$B$11,0))</f>
        <v>42.8051506068728</v>
      </c>
      <c r="R362" s="73">
        <f>INDEX(ModelOutput!$E$9:$E$11,MATCH("Tier "&amp;$F362,ModelOutput!$B$9:$B$11,0))</f>
        <v>126.191618818284</v>
      </c>
      <c r="S362" s="73">
        <f>INDEX(ModelOutput!$F$9:$F$11,MATCH("Tier "&amp;$F362,ModelOutput!$B$9:$B$11,0))</f>
        <v>146.401050261042</v>
      </c>
      <c r="T362" s="73">
        <f>INDEX(ModelOutput!$G$9:$G$11,MATCH("Tier "&amp;$F362,ModelOutput!$B$9:$B$11,0))</f>
        <v>24.317895180076398</v>
      </c>
      <c r="U362" s="77">
        <f t="shared" si="55"/>
        <v>491.05628002789757</v>
      </c>
      <c r="V362" s="77">
        <f t="shared" si="56"/>
        <v>1424.8257240805337</v>
      </c>
      <c r="W362" s="77">
        <f t="shared" si="57"/>
        <v>2135.1287047892724</v>
      </c>
      <c r="X362" s="77">
        <f t="shared" si="58"/>
        <v>447.06497057124517</v>
      </c>
      <c r="Y362" s="30">
        <f t="shared" si="59"/>
        <v>4498.0756794689487</v>
      </c>
      <c r="Z362" s="30">
        <f t="shared" si="60"/>
        <v>7355.8883898953109</v>
      </c>
      <c r="AA362" s="41">
        <f t="shared" si="61"/>
        <v>4.1575759506212702</v>
      </c>
      <c r="AB362" s="40">
        <f t="shared" si="62"/>
        <v>1782.7872193062994</v>
      </c>
      <c r="AC362" s="42">
        <f t="shared" si="63"/>
        <v>8</v>
      </c>
      <c r="AD362" s="43">
        <v>4498.0756794689496</v>
      </c>
      <c r="AE362" s="79">
        <f t="shared" si="64"/>
        <v>0</v>
      </c>
      <c r="AF362" s="29">
        <f t="shared" si="65"/>
        <v>2</v>
      </c>
    </row>
    <row r="363" spans="1:32" ht="15" customHeight="1" x14ac:dyDescent="0.35">
      <c r="A363" s="37" t="s">
        <v>109</v>
      </c>
      <c r="B363" s="37" t="s">
        <v>115</v>
      </c>
      <c r="C363" s="37" t="s">
        <v>118</v>
      </c>
      <c r="D363" s="37" t="s">
        <v>124</v>
      </c>
      <c r="E363" s="37" t="s">
        <v>99</v>
      </c>
      <c r="F363" s="37">
        <v>3</v>
      </c>
      <c r="G363" s="37" t="s">
        <v>211</v>
      </c>
      <c r="H363" s="38">
        <v>4</v>
      </c>
      <c r="I363" s="39">
        <f>IF($G363="Base",1,INDEX(ModelOutput!$D$16:$D$26,MATCH($G363,ModelOutput!$C$16:$C$26,0)))</f>
        <v>1</v>
      </c>
      <c r="J363" s="39">
        <f>IF($A363="Non-greek",1,INDEX(ModelOutput!$D$16:$D$26,MATCH($A363,ModelOutput!$C$16:$C$26,0)))</f>
        <v>4.3562312213391099</v>
      </c>
      <c r="K363" s="39">
        <f>IF($C363="Yes",1,INDEX(ModelOutput!$D$16:$D$26,MATCH($C363,ModelOutput!$C$16:$C$26,0)))</f>
        <v>1.5400747552012299</v>
      </c>
      <c r="L363" s="39">
        <f>IF($D363="2.0-3.0",1,INDEX(ModelOutput!$D$16:$D$26,MATCH($D363,ModelOutput!$C$16:$C$26,0)))</f>
        <v>0.87654761766211098</v>
      </c>
      <c r="M363" s="39">
        <f>IF($B363="On campus",1,INDEX(ModelOutput!$D$16:$D$26,MATCH($B363,ModelOutput!$C$16:$C$26,0)))</f>
        <v>1.95077419049637</v>
      </c>
      <c r="N363" s="39">
        <f>IF($B363="On campus",1,INDEX(ModelOutput!$E$16:$E$26,MATCH($B363,ModelOutput!$C$16:$C$26,0)))</f>
        <v>1.9200078162799401</v>
      </c>
      <c r="O363" s="39">
        <f>IF($B363="On campus",1,INDEX(ModelOutput!$F$16:$F$26,MATCH($B363,ModelOutput!$C$16:$C$26,0)))</f>
        <v>2.4799996979530001</v>
      </c>
      <c r="P363" s="39">
        <f>IF($B363="On campus",1,INDEX(ModelOutput!$G$16:$G$26,MATCH($B363,ModelOutput!$C$16:$C$26,0)))</f>
        <v>3.1261975703362501</v>
      </c>
      <c r="Q363" s="73">
        <f>INDEX(ModelOutput!$D$9:$D$11,MATCH("Tier "&amp;$F363,ModelOutput!$B$9:$B$11,0))</f>
        <v>40.009437343712797</v>
      </c>
      <c r="R363" s="73">
        <f>INDEX(ModelOutput!$E$9:$E$11,MATCH("Tier "&amp;$F363,ModelOutput!$B$9:$B$11,0))</f>
        <v>117.949723218616</v>
      </c>
      <c r="S363" s="73">
        <f>INDEX(ModelOutput!$F$9:$F$11,MATCH("Tier "&amp;$F363,ModelOutput!$B$9:$B$11,0))</f>
        <v>136.83922529015501</v>
      </c>
      <c r="T363" s="73">
        <f>INDEX(ModelOutput!$G$9:$G$11,MATCH("Tier "&amp;$F363,ModelOutput!$B$9:$B$11,0))</f>
        <v>22.729631592092201</v>
      </c>
      <c r="U363" s="77">
        <f t="shared" si="55"/>
        <v>458.98414535325441</v>
      </c>
      <c r="V363" s="77">
        <f t="shared" si="56"/>
        <v>1331.7667319258849</v>
      </c>
      <c r="W363" s="77">
        <f t="shared" si="57"/>
        <v>1995.6780182736418</v>
      </c>
      <c r="X363" s="77">
        <f t="shared" si="58"/>
        <v>417.86602021129443</v>
      </c>
      <c r="Y363" s="30">
        <f t="shared" si="59"/>
        <v>4204.2949157640751</v>
      </c>
      <c r="Z363" s="30">
        <f t="shared" si="60"/>
        <v>6878.1779650652479</v>
      </c>
      <c r="AA363" s="41">
        <f t="shared" si="61"/>
        <v>3.8226296235604718</v>
      </c>
      <c r="AB363" s="40">
        <f t="shared" si="62"/>
        <v>1782.7872193062994</v>
      </c>
      <c r="AC363" s="42">
        <f t="shared" si="63"/>
        <v>8</v>
      </c>
      <c r="AD363" s="43">
        <v>4204.2949157640796</v>
      </c>
      <c r="AE363" s="79">
        <f t="shared" si="64"/>
        <v>0</v>
      </c>
      <c r="AF363" s="29">
        <f t="shared" si="65"/>
        <v>1</v>
      </c>
    </row>
    <row r="364" spans="1:32" ht="15" customHeight="1" x14ac:dyDescent="0.35">
      <c r="A364" s="37" t="s">
        <v>109</v>
      </c>
      <c r="B364" s="37" t="s">
        <v>115</v>
      </c>
      <c r="C364" s="37" t="s">
        <v>118</v>
      </c>
      <c r="D364" s="37" t="s">
        <v>124</v>
      </c>
      <c r="E364" s="37" t="s">
        <v>213</v>
      </c>
      <c r="F364" s="37">
        <v>3</v>
      </c>
      <c r="G364" s="37" t="s">
        <v>107</v>
      </c>
      <c r="H364" s="38">
        <v>0</v>
      </c>
      <c r="I364" s="39">
        <f>IF($G364="Base",1,INDEX(ModelOutput!$D$16:$D$26,MATCH($G364,ModelOutput!$C$16:$C$26,0)))</f>
        <v>1.1906804269762199</v>
      </c>
      <c r="J364" s="39">
        <f>IF($A364="Non-greek",1,INDEX(ModelOutput!$D$16:$D$26,MATCH($A364,ModelOutput!$C$16:$C$26,0)))</f>
        <v>4.3562312213391099</v>
      </c>
      <c r="K364" s="39">
        <f>IF($C364="Yes",1,INDEX(ModelOutput!$D$16:$D$26,MATCH($C364,ModelOutput!$C$16:$C$26,0)))</f>
        <v>1.5400747552012299</v>
      </c>
      <c r="L364" s="39">
        <f>IF($D364="2.0-3.0",1,INDEX(ModelOutput!$D$16:$D$26,MATCH($D364,ModelOutput!$C$16:$C$26,0)))</f>
        <v>0.87654761766211098</v>
      </c>
      <c r="M364" s="39">
        <f>IF($B364="On campus",1,INDEX(ModelOutput!$D$16:$D$26,MATCH($B364,ModelOutput!$C$16:$C$26,0)))</f>
        <v>1.95077419049637</v>
      </c>
      <c r="N364" s="39">
        <f>IF($B364="On campus",1,INDEX(ModelOutput!$E$16:$E$26,MATCH($B364,ModelOutput!$C$16:$C$26,0)))</f>
        <v>1.9200078162799401</v>
      </c>
      <c r="O364" s="39">
        <f>IF($B364="On campus",1,INDEX(ModelOutput!$F$16:$F$26,MATCH($B364,ModelOutput!$C$16:$C$26,0)))</f>
        <v>2.4799996979530001</v>
      </c>
      <c r="P364" s="39">
        <f>IF($B364="On campus",1,INDEX(ModelOutput!$G$16:$G$26,MATCH($B364,ModelOutput!$C$16:$C$26,0)))</f>
        <v>3.1261975703362501</v>
      </c>
      <c r="Q364" s="73">
        <f>INDEX(ModelOutput!$D$9:$D$11,MATCH("Tier "&amp;$F364,ModelOutput!$B$9:$B$11,0))</f>
        <v>40.009437343712797</v>
      </c>
      <c r="R364" s="73">
        <f>INDEX(ModelOutput!$E$9:$E$11,MATCH("Tier "&amp;$F364,ModelOutput!$B$9:$B$11,0))</f>
        <v>117.949723218616</v>
      </c>
      <c r="S364" s="73">
        <f>INDEX(ModelOutput!$F$9:$F$11,MATCH("Tier "&amp;$F364,ModelOutput!$B$9:$B$11,0))</f>
        <v>136.83922529015501</v>
      </c>
      <c r="T364" s="73">
        <f>INDEX(ModelOutput!$G$9:$G$11,MATCH("Tier "&amp;$F364,ModelOutput!$B$9:$B$11,0))</f>
        <v>22.729631592092201</v>
      </c>
      <c r="U364" s="77">
        <f t="shared" si="55"/>
        <v>546.50343816452846</v>
      </c>
      <c r="V364" s="77">
        <f t="shared" si="56"/>
        <v>1585.7085810022377</v>
      </c>
      <c r="W364" s="77">
        <f t="shared" si="57"/>
        <v>2376.2147549051165</v>
      </c>
      <c r="X364" s="77">
        <f t="shared" si="58"/>
        <v>497.54489136403777</v>
      </c>
      <c r="Y364" s="30">
        <f t="shared" si="59"/>
        <v>5005.9716654359199</v>
      </c>
      <c r="Z364" s="30">
        <f t="shared" si="60"/>
        <v>8181.7668584716412</v>
      </c>
      <c r="AA364" s="41">
        <f t="shared" si="61"/>
        <v>4.736640055715152</v>
      </c>
      <c r="AB364" s="40">
        <f t="shared" si="62"/>
        <v>1782.7872193062994</v>
      </c>
      <c r="AC364" s="42">
        <f t="shared" si="63"/>
        <v>8</v>
      </c>
      <c r="AD364" s="43">
        <v>5005.9716654359299</v>
      </c>
      <c r="AE364" s="79">
        <f t="shared" si="64"/>
        <v>-1.0004441719502211E-11</v>
      </c>
      <c r="AF364" s="29">
        <f t="shared" si="65"/>
        <v>2</v>
      </c>
    </row>
    <row r="365" spans="1:32" ht="15" customHeight="1" x14ac:dyDescent="0.35">
      <c r="A365" s="19" t="s">
        <v>109</v>
      </c>
      <c r="B365" s="19" t="s">
        <v>116</v>
      </c>
      <c r="C365" s="19" t="s">
        <v>210</v>
      </c>
      <c r="D365" s="19" t="s">
        <v>121</v>
      </c>
      <c r="E365" s="19" t="s">
        <v>95</v>
      </c>
      <c r="F365" s="19">
        <v>1</v>
      </c>
      <c r="G365" s="19" t="s">
        <v>211</v>
      </c>
      <c r="H365" s="16">
        <v>2</v>
      </c>
      <c r="I365" s="13">
        <f>IF($G365="Base",1,INDEX(ModelOutput!$D$16:$D$26,MATCH($G365,ModelOutput!$C$16:$C$26,0)))</f>
        <v>1</v>
      </c>
      <c r="J365" s="13">
        <f>IF($A365="Non-greek",1,INDEX(ModelOutput!$D$16:$D$26,MATCH($A365,ModelOutput!$C$16:$C$26,0)))</f>
        <v>4.3562312213391099</v>
      </c>
      <c r="K365" s="13">
        <f>IF($C365="Yes",1,INDEX(ModelOutput!$D$16:$D$26,MATCH($C365,ModelOutput!$C$16:$C$26,0)))</f>
        <v>1</v>
      </c>
      <c r="L365" s="13">
        <f>IF($D365="2.0-3.0",1,INDEX(ModelOutput!$D$16:$D$26,MATCH($D365,ModelOutput!$C$16:$C$26,0)))</f>
        <v>1.12144800201769</v>
      </c>
      <c r="M365" s="13">
        <f>IF($B365="On campus",1,INDEX(ModelOutput!$D$16:$D$26,MATCH($B365,ModelOutput!$C$16:$C$26,0)))</f>
        <v>2.2239289154388602</v>
      </c>
      <c r="N365" s="13">
        <f>IF($B365="On campus",1,INDEX(ModelOutput!$E$16:$E$26,MATCH($B365,ModelOutput!$C$16:$C$26,0)))</f>
        <v>2.18885451801426</v>
      </c>
      <c r="O365" s="13">
        <f>IF($B365="On campus",1,INDEX(ModelOutput!$F$16:$F$26,MATCH($B365,ModelOutput!$C$16:$C$26,0)))</f>
        <v>2.8272585650489699</v>
      </c>
      <c r="P365" s="13">
        <f>IF($B365="On campus",1,INDEX(ModelOutput!$G$16:$G$26,MATCH($B365,ModelOutput!$C$16:$C$26,0)))</f>
        <v>3.5639394892119598</v>
      </c>
      <c r="Q365" s="72">
        <f>INDEX(ModelOutput!$D$9:$D$11,MATCH("Tier "&amp;$F365,ModelOutput!$B$9:$B$11,0))</f>
        <v>36.175496869914397</v>
      </c>
      <c r="R365" s="72">
        <f>INDEX(ModelOutput!$E$9:$E$11,MATCH("Tier "&amp;$F365,ModelOutput!$B$9:$B$11,0))</f>
        <v>106.647084447761</v>
      </c>
      <c r="S365" s="72">
        <f>INDEX(ModelOutput!$F$9:$F$11,MATCH("Tier "&amp;$F365,ModelOutput!$B$9:$B$11,0))</f>
        <v>123.726482920496</v>
      </c>
      <c r="T365" s="72">
        <f>INDEX(ModelOutput!$G$9:$G$11,MATCH("Tier "&amp;$F365,ModelOutput!$B$9:$B$11,0))</f>
        <v>20.551544113210401</v>
      </c>
      <c r="U365" s="76">
        <f t="shared" si="55"/>
        <v>393.02979175889806</v>
      </c>
      <c r="V365" s="76">
        <f t="shared" si="56"/>
        <v>1140.3966926077874</v>
      </c>
      <c r="W365" s="76">
        <f t="shared" si="57"/>
        <v>1708.9063399700374</v>
      </c>
      <c r="X365" s="76">
        <f t="shared" si="58"/>
        <v>357.82019176362547</v>
      </c>
      <c r="Y365" s="27">
        <f t="shared" si="59"/>
        <v>3600.1530161003484</v>
      </c>
      <c r="Z365" s="27">
        <f t="shared" si="60"/>
        <v>5895.7961375201085</v>
      </c>
      <c r="AA365" s="33">
        <f t="shared" si="61"/>
        <v>3.1338332988318021</v>
      </c>
      <c r="AB365" s="14">
        <f t="shared" si="62"/>
        <v>1782.7872193062994</v>
      </c>
      <c r="AC365" s="29">
        <f t="shared" si="63"/>
        <v>7</v>
      </c>
      <c r="AD365" s="20">
        <v>3600.1530161003502</v>
      </c>
      <c r="AE365" s="78">
        <f t="shared" si="64"/>
        <v>0</v>
      </c>
      <c r="AF365" s="29">
        <f t="shared" si="65"/>
        <v>4</v>
      </c>
    </row>
    <row r="366" spans="1:32" ht="15" customHeight="1" x14ac:dyDescent="0.35">
      <c r="A366" s="19" t="s">
        <v>109</v>
      </c>
      <c r="B366" s="19" t="s">
        <v>116</v>
      </c>
      <c r="C366" s="19" t="s">
        <v>210</v>
      </c>
      <c r="D366" s="19" t="s">
        <v>121</v>
      </c>
      <c r="E366" s="19" t="s">
        <v>105</v>
      </c>
      <c r="F366" s="19">
        <v>1</v>
      </c>
      <c r="G366" s="19" t="s">
        <v>105</v>
      </c>
      <c r="H366" s="16">
        <v>1</v>
      </c>
      <c r="I366" s="13">
        <f>IF($G366="Base",1,INDEX(ModelOutput!$D$16:$D$26,MATCH($G366,ModelOutput!$C$16:$C$26,0)))</f>
        <v>0.98982624281990295</v>
      </c>
      <c r="J366" s="13">
        <f>IF($A366="Non-greek",1,INDEX(ModelOutput!$D$16:$D$26,MATCH($A366,ModelOutput!$C$16:$C$26,0)))</f>
        <v>4.3562312213391099</v>
      </c>
      <c r="K366" s="13">
        <f>IF($C366="Yes",1,INDEX(ModelOutput!$D$16:$D$26,MATCH($C366,ModelOutput!$C$16:$C$26,0)))</f>
        <v>1</v>
      </c>
      <c r="L366" s="13">
        <f>IF($D366="2.0-3.0",1,INDEX(ModelOutput!$D$16:$D$26,MATCH($D366,ModelOutput!$C$16:$C$26,0)))</f>
        <v>1.12144800201769</v>
      </c>
      <c r="M366" s="13">
        <f>IF($B366="On campus",1,INDEX(ModelOutput!$D$16:$D$26,MATCH($B366,ModelOutput!$C$16:$C$26,0)))</f>
        <v>2.2239289154388602</v>
      </c>
      <c r="N366" s="13">
        <f>IF($B366="On campus",1,INDEX(ModelOutput!$E$16:$E$26,MATCH($B366,ModelOutput!$C$16:$C$26,0)))</f>
        <v>2.18885451801426</v>
      </c>
      <c r="O366" s="13">
        <f>IF($B366="On campus",1,INDEX(ModelOutput!$F$16:$F$26,MATCH($B366,ModelOutput!$C$16:$C$26,0)))</f>
        <v>2.8272585650489699</v>
      </c>
      <c r="P366" s="13">
        <f>IF($B366="On campus",1,INDEX(ModelOutput!$G$16:$G$26,MATCH($B366,ModelOutput!$C$16:$C$26,0)))</f>
        <v>3.5639394892119598</v>
      </c>
      <c r="Q366" s="72">
        <f>INDEX(ModelOutput!$D$9:$D$11,MATCH("Tier "&amp;$F366,ModelOutput!$B$9:$B$11,0))</f>
        <v>36.175496869914397</v>
      </c>
      <c r="R366" s="72">
        <f>INDEX(ModelOutput!$E$9:$E$11,MATCH("Tier "&amp;$F366,ModelOutput!$B$9:$B$11,0))</f>
        <v>106.647084447761</v>
      </c>
      <c r="S366" s="72">
        <f>INDEX(ModelOutput!$F$9:$F$11,MATCH("Tier "&amp;$F366,ModelOutput!$B$9:$B$11,0))</f>
        <v>123.726482920496</v>
      </c>
      <c r="T366" s="72">
        <f>INDEX(ModelOutput!$G$9:$G$11,MATCH("Tier "&amp;$F366,ModelOutput!$B$9:$B$11,0))</f>
        <v>20.551544113210401</v>
      </c>
      <c r="U366" s="76">
        <f t="shared" si="55"/>
        <v>389.03120209299897</v>
      </c>
      <c r="V366" s="76">
        <f t="shared" si="56"/>
        <v>1128.7945735682101</v>
      </c>
      <c r="W366" s="76">
        <f t="shared" si="57"/>
        <v>1691.5203418236536</v>
      </c>
      <c r="X366" s="76">
        <f t="shared" si="58"/>
        <v>354.17981601848658</v>
      </c>
      <c r="Y366" s="27">
        <f t="shared" si="59"/>
        <v>3563.5259335033493</v>
      </c>
      <c r="Z366" s="27">
        <f t="shared" si="60"/>
        <v>5836.237645782795</v>
      </c>
      <c r="AA366" s="33">
        <f t="shared" si="61"/>
        <v>3.0920739044041206</v>
      </c>
      <c r="AB366" s="14">
        <f t="shared" si="62"/>
        <v>1782.7872193062994</v>
      </c>
      <c r="AC366" s="29">
        <f t="shared" si="63"/>
        <v>7</v>
      </c>
      <c r="AD366" s="20">
        <v>3563.5259335033602</v>
      </c>
      <c r="AE366" s="78">
        <f t="shared" si="64"/>
        <v>-1.0913936421275139E-11</v>
      </c>
      <c r="AF366" s="29">
        <f t="shared" si="65"/>
        <v>3</v>
      </c>
    </row>
    <row r="367" spans="1:32" ht="15" customHeight="1" x14ac:dyDescent="0.35">
      <c r="A367" s="19" t="s">
        <v>109</v>
      </c>
      <c r="B367" s="19" t="s">
        <v>116</v>
      </c>
      <c r="C367" s="19" t="s">
        <v>210</v>
      </c>
      <c r="D367" s="19" t="s">
        <v>121</v>
      </c>
      <c r="E367" s="19" t="s">
        <v>97</v>
      </c>
      <c r="F367" s="19">
        <v>2</v>
      </c>
      <c r="G367" s="19" t="s">
        <v>211</v>
      </c>
      <c r="H367" s="16">
        <v>4</v>
      </c>
      <c r="I367" s="13">
        <f>IF($G367="Base",1,INDEX(ModelOutput!$D$16:$D$26,MATCH($G367,ModelOutput!$C$16:$C$26,0)))</f>
        <v>1</v>
      </c>
      <c r="J367" s="13">
        <f>IF($A367="Non-greek",1,INDEX(ModelOutput!$D$16:$D$26,MATCH($A367,ModelOutput!$C$16:$C$26,0)))</f>
        <v>4.3562312213391099</v>
      </c>
      <c r="K367" s="13">
        <f>IF($C367="Yes",1,INDEX(ModelOutput!$D$16:$D$26,MATCH($C367,ModelOutput!$C$16:$C$26,0)))</f>
        <v>1</v>
      </c>
      <c r="L367" s="13">
        <f>IF($D367="2.0-3.0",1,INDEX(ModelOutput!$D$16:$D$26,MATCH($D367,ModelOutput!$C$16:$C$26,0)))</f>
        <v>1.12144800201769</v>
      </c>
      <c r="M367" s="13">
        <f>IF($B367="On campus",1,INDEX(ModelOutput!$D$16:$D$26,MATCH($B367,ModelOutput!$C$16:$C$26,0)))</f>
        <v>2.2239289154388602</v>
      </c>
      <c r="N367" s="13">
        <f>IF($B367="On campus",1,INDEX(ModelOutput!$E$16:$E$26,MATCH($B367,ModelOutput!$C$16:$C$26,0)))</f>
        <v>2.18885451801426</v>
      </c>
      <c r="O367" s="13">
        <f>IF($B367="On campus",1,INDEX(ModelOutput!$F$16:$F$26,MATCH($B367,ModelOutput!$C$16:$C$26,0)))</f>
        <v>2.8272585650489699</v>
      </c>
      <c r="P367" s="13">
        <f>IF($B367="On campus",1,INDEX(ModelOutput!$G$16:$G$26,MATCH($B367,ModelOutput!$C$16:$C$26,0)))</f>
        <v>3.5639394892119598</v>
      </c>
      <c r="Q367" s="72">
        <f>INDEX(ModelOutput!$D$9:$D$11,MATCH("Tier "&amp;$F367,ModelOutput!$B$9:$B$11,0))</f>
        <v>42.8051506068728</v>
      </c>
      <c r="R367" s="72">
        <f>INDEX(ModelOutput!$E$9:$E$11,MATCH("Tier "&amp;$F367,ModelOutput!$B$9:$B$11,0))</f>
        <v>126.191618818284</v>
      </c>
      <c r="S367" s="72">
        <f>INDEX(ModelOutput!$F$9:$F$11,MATCH("Tier "&amp;$F367,ModelOutput!$B$9:$B$11,0))</f>
        <v>146.401050261042</v>
      </c>
      <c r="T367" s="72">
        <f>INDEX(ModelOutput!$G$9:$G$11,MATCH("Tier "&amp;$F367,ModelOutput!$B$9:$B$11,0))</f>
        <v>24.317895180076398</v>
      </c>
      <c r="U367" s="76">
        <f t="shared" si="55"/>
        <v>465.05786747656339</v>
      </c>
      <c r="V367" s="76">
        <f t="shared" si="56"/>
        <v>1349.3899573568228</v>
      </c>
      <c r="W367" s="76">
        <f t="shared" si="57"/>
        <v>2022.0867599552694</v>
      </c>
      <c r="X367" s="76">
        <f t="shared" si="58"/>
        <v>423.39562753484068</v>
      </c>
      <c r="Y367" s="27">
        <f t="shared" si="59"/>
        <v>4259.9302123234966</v>
      </c>
      <c r="Z367" s="27">
        <f t="shared" si="60"/>
        <v>6968.6452945791943</v>
      </c>
      <c r="AA367" s="33">
        <f t="shared" si="61"/>
        <v>3.8860607277706736</v>
      </c>
      <c r="AB367" s="14">
        <f t="shared" si="62"/>
        <v>1782.7872193062994</v>
      </c>
      <c r="AC367" s="29">
        <f t="shared" si="63"/>
        <v>8</v>
      </c>
      <c r="AD367" s="20">
        <v>4259.9302123235102</v>
      </c>
      <c r="AE367" s="78">
        <f t="shared" si="64"/>
        <v>-1.3642420526593924E-11</v>
      </c>
      <c r="AF367" s="29">
        <f t="shared" si="65"/>
        <v>2</v>
      </c>
    </row>
    <row r="368" spans="1:32" ht="15" customHeight="1" x14ac:dyDescent="0.35">
      <c r="A368" s="19" t="s">
        <v>109</v>
      </c>
      <c r="B368" s="19" t="s">
        <v>116</v>
      </c>
      <c r="C368" s="19" t="s">
        <v>210</v>
      </c>
      <c r="D368" s="19" t="s">
        <v>121</v>
      </c>
      <c r="E368" s="19" t="s">
        <v>99</v>
      </c>
      <c r="F368" s="19">
        <v>3</v>
      </c>
      <c r="G368" s="19" t="s">
        <v>211</v>
      </c>
      <c r="H368" s="16">
        <v>3</v>
      </c>
      <c r="I368" s="13">
        <f>IF($G368="Base",1,INDEX(ModelOutput!$D$16:$D$26,MATCH($G368,ModelOutput!$C$16:$C$26,0)))</f>
        <v>1</v>
      </c>
      <c r="J368" s="13">
        <f>IF($A368="Non-greek",1,INDEX(ModelOutput!$D$16:$D$26,MATCH($A368,ModelOutput!$C$16:$C$26,0)))</f>
        <v>4.3562312213391099</v>
      </c>
      <c r="K368" s="13">
        <f>IF($C368="Yes",1,INDEX(ModelOutput!$D$16:$D$26,MATCH($C368,ModelOutput!$C$16:$C$26,0)))</f>
        <v>1</v>
      </c>
      <c r="L368" s="13">
        <f>IF($D368="2.0-3.0",1,INDEX(ModelOutput!$D$16:$D$26,MATCH($D368,ModelOutput!$C$16:$C$26,0)))</f>
        <v>1.12144800201769</v>
      </c>
      <c r="M368" s="13">
        <f>IF($B368="On campus",1,INDEX(ModelOutput!$D$16:$D$26,MATCH($B368,ModelOutput!$C$16:$C$26,0)))</f>
        <v>2.2239289154388602</v>
      </c>
      <c r="N368" s="13">
        <f>IF($B368="On campus",1,INDEX(ModelOutput!$E$16:$E$26,MATCH($B368,ModelOutput!$C$16:$C$26,0)))</f>
        <v>2.18885451801426</v>
      </c>
      <c r="O368" s="13">
        <f>IF($B368="On campus",1,INDEX(ModelOutput!$F$16:$F$26,MATCH($B368,ModelOutput!$C$16:$C$26,0)))</f>
        <v>2.8272585650489699</v>
      </c>
      <c r="P368" s="13">
        <f>IF($B368="On campus",1,INDEX(ModelOutput!$G$16:$G$26,MATCH($B368,ModelOutput!$C$16:$C$26,0)))</f>
        <v>3.5639394892119598</v>
      </c>
      <c r="Q368" s="72">
        <f>INDEX(ModelOutput!$D$9:$D$11,MATCH("Tier "&amp;$F368,ModelOutput!$B$9:$B$11,0))</f>
        <v>40.009437343712797</v>
      </c>
      <c r="R368" s="72">
        <f>INDEX(ModelOutput!$E$9:$E$11,MATCH("Tier "&amp;$F368,ModelOutput!$B$9:$B$11,0))</f>
        <v>117.949723218616</v>
      </c>
      <c r="S368" s="72">
        <f>INDEX(ModelOutput!$F$9:$F$11,MATCH("Tier "&amp;$F368,ModelOutput!$B$9:$B$11,0))</f>
        <v>136.83922529015501</v>
      </c>
      <c r="T368" s="72">
        <f>INDEX(ModelOutput!$G$9:$G$11,MATCH("Tier "&amp;$F368,ModelOutput!$B$9:$B$11,0))</f>
        <v>22.729631592092201</v>
      </c>
      <c r="U368" s="76">
        <f t="shared" si="55"/>
        <v>434.68375525390064</v>
      </c>
      <c r="V368" s="76">
        <f t="shared" si="56"/>
        <v>1261.2578670015166</v>
      </c>
      <c r="W368" s="76">
        <f t="shared" si="57"/>
        <v>1890.0191303845454</v>
      </c>
      <c r="X368" s="76">
        <f t="shared" si="58"/>
        <v>395.74258217274644</v>
      </c>
      <c r="Y368" s="27">
        <f t="shared" si="59"/>
        <v>3981.7033348127093</v>
      </c>
      <c r="Z368" s="27">
        <f t="shared" si="60"/>
        <v>6516.2267012762622</v>
      </c>
      <c r="AA368" s="33">
        <f t="shared" si="61"/>
        <v>3.5688477505266949</v>
      </c>
      <c r="AB368" s="14">
        <f t="shared" si="62"/>
        <v>1782.7872193062994</v>
      </c>
      <c r="AC368" s="29">
        <f t="shared" si="63"/>
        <v>7</v>
      </c>
      <c r="AD368" s="20">
        <v>3981.7033348127202</v>
      </c>
      <c r="AE368" s="78">
        <f t="shared" si="64"/>
        <v>-1.0913936421275139E-11</v>
      </c>
      <c r="AF368" s="29">
        <f t="shared" si="65"/>
        <v>1</v>
      </c>
    </row>
    <row r="369" spans="1:32" ht="15" customHeight="1" x14ac:dyDescent="0.35">
      <c r="A369" s="19" t="s">
        <v>109</v>
      </c>
      <c r="B369" s="19" t="s">
        <v>116</v>
      </c>
      <c r="C369" s="19" t="s">
        <v>210</v>
      </c>
      <c r="D369" s="19" t="s">
        <v>121</v>
      </c>
      <c r="E369" s="19" t="s">
        <v>213</v>
      </c>
      <c r="F369" s="19">
        <v>3</v>
      </c>
      <c r="G369" s="19" t="s">
        <v>107</v>
      </c>
      <c r="H369" s="16">
        <v>1</v>
      </c>
      <c r="I369" s="13">
        <f>IF($G369="Base",1,INDEX(ModelOutput!$D$16:$D$26,MATCH($G369,ModelOutput!$C$16:$C$26,0)))</f>
        <v>1.1906804269762199</v>
      </c>
      <c r="J369" s="13">
        <f>IF($A369="Non-greek",1,INDEX(ModelOutput!$D$16:$D$26,MATCH($A369,ModelOutput!$C$16:$C$26,0)))</f>
        <v>4.3562312213391099</v>
      </c>
      <c r="K369" s="13">
        <f>IF($C369="Yes",1,INDEX(ModelOutput!$D$16:$D$26,MATCH($C369,ModelOutput!$C$16:$C$26,0)))</f>
        <v>1</v>
      </c>
      <c r="L369" s="13">
        <f>IF($D369="2.0-3.0",1,INDEX(ModelOutput!$D$16:$D$26,MATCH($D369,ModelOutput!$C$16:$C$26,0)))</f>
        <v>1.12144800201769</v>
      </c>
      <c r="M369" s="13">
        <f>IF($B369="On campus",1,INDEX(ModelOutput!$D$16:$D$26,MATCH($B369,ModelOutput!$C$16:$C$26,0)))</f>
        <v>2.2239289154388602</v>
      </c>
      <c r="N369" s="13">
        <f>IF($B369="On campus",1,INDEX(ModelOutput!$E$16:$E$26,MATCH($B369,ModelOutput!$C$16:$C$26,0)))</f>
        <v>2.18885451801426</v>
      </c>
      <c r="O369" s="13">
        <f>IF($B369="On campus",1,INDEX(ModelOutput!$F$16:$F$26,MATCH($B369,ModelOutput!$C$16:$C$26,0)))</f>
        <v>2.8272585650489699</v>
      </c>
      <c r="P369" s="13">
        <f>IF($B369="On campus",1,INDEX(ModelOutput!$G$16:$G$26,MATCH($B369,ModelOutput!$C$16:$C$26,0)))</f>
        <v>3.5639394892119598</v>
      </c>
      <c r="Q369" s="72">
        <f>INDEX(ModelOutput!$D$9:$D$11,MATCH("Tier "&amp;$F369,ModelOutput!$B$9:$B$11,0))</f>
        <v>40.009437343712797</v>
      </c>
      <c r="R369" s="72">
        <f>INDEX(ModelOutput!$E$9:$E$11,MATCH("Tier "&amp;$F369,ModelOutput!$B$9:$B$11,0))</f>
        <v>117.949723218616</v>
      </c>
      <c r="S369" s="72">
        <f>INDEX(ModelOutput!$F$9:$F$11,MATCH("Tier "&amp;$F369,ModelOutput!$B$9:$B$11,0))</f>
        <v>136.83922529015501</v>
      </c>
      <c r="T369" s="72">
        <f>INDEX(ModelOutput!$G$9:$G$11,MATCH("Tier "&amp;$F369,ModelOutput!$B$9:$B$11,0))</f>
        <v>22.729631592092201</v>
      </c>
      <c r="U369" s="76">
        <f t="shared" si="55"/>
        <v>517.56943930534112</v>
      </c>
      <c r="V369" s="76">
        <f t="shared" si="56"/>
        <v>1501.7550556084821</v>
      </c>
      <c r="W369" s="76">
        <f t="shared" si="57"/>
        <v>2250.4087851594945</v>
      </c>
      <c r="X369" s="76">
        <f t="shared" si="58"/>
        <v>471.2029467141175</v>
      </c>
      <c r="Y369" s="27">
        <f t="shared" si="59"/>
        <v>4740.9362267874349</v>
      </c>
      <c r="Z369" s="27">
        <f t="shared" si="60"/>
        <v>7750.7985731587878</v>
      </c>
      <c r="AA369" s="33">
        <f t="shared" si="61"/>
        <v>4.434466946772468</v>
      </c>
      <c r="AB369" s="14">
        <f t="shared" si="62"/>
        <v>1782.7872193062994</v>
      </c>
      <c r="AC369" s="29">
        <f t="shared" si="63"/>
        <v>8</v>
      </c>
      <c r="AD369" s="20">
        <v>4740.9362267874603</v>
      </c>
      <c r="AE369" s="78">
        <f t="shared" si="64"/>
        <v>-2.5465851649641991E-11</v>
      </c>
      <c r="AF369" s="29">
        <f t="shared" si="65"/>
        <v>2</v>
      </c>
    </row>
    <row r="370" spans="1:32" ht="15" customHeight="1" x14ac:dyDescent="0.35">
      <c r="A370" s="37" t="s">
        <v>109</v>
      </c>
      <c r="B370" s="37" t="s">
        <v>116</v>
      </c>
      <c r="C370" s="37" t="s">
        <v>210</v>
      </c>
      <c r="D370" s="37" t="s">
        <v>123</v>
      </c>
      <c r="E370" s="37" t="s">
        <v>95</v>
      </c>
      <c r="F370" s="37">
        <v>1</v>
      </c>
      <c r="G370" s="37" t="s">
        <v>211</v>
      </c>
      <c r="H370" s="38">
        <v>9</v>
      </c>
      <c r="I370" s="39">
        <f>IF($G370="Base",1,INDEX(ModelOutput!$D$16:$D$26,MATCH($G370,ModelOutput!$C$16:$C$26,0)))</f>
        <v>1</v>
      </c>
      <c r="J370" s="39">
        <f>IF($A370="Non-greek",1,INDEX(ModelOutput!$D$16:$D$26,MATCH($A370,ModelOutput!$C$16:$C$26,0)))</f>
        <v>4.3562312213391099</v>
      </c>
      <c r="K370" s="39">
        <f>IF($C370="Yes",1,INDEX(ModelOutput!$D$16:$D$26,MATCH($C370,ModelOutput!$C$16:$C$26,0)))</f>
        <v>1</v>
      </c>
      <c r="L370" s="39">
        <f>IF($D370="2.0-3.0",1,INDEX(ModelOutput!$D$16:$D$26,MATCH($D370,ModelOutput!$C$16:$C$26,0)))</f>
        <v>1.01762556011242</v>
      </c>
      <c r="M370" s="39">
        <f>IF($B370="On campus",1,INDEX(ModelOutput!$D$16:$D$26,MATCH($B370,ModelOutput!$C$16:$C$26,0)))</f>
        <v>2.2239289154388602</v>
      </c>
      <c r="N370" s="39">
        <f>IF($B370="On campus",1,INDEX(ModelOutput!$E$16:$E$26,MATCH($B370,ModelOutput!$C$16:$C$26,0)))</f>
        <v>2.18885451801426</v>
      </c>
      <c r="O370" s="39">
        <f>IF($B370="On campus",1,INDEX(ModelOutput!$F$16:$F$26,MATCH($B370,ModelOutput!$C$16:$C$26,0)))</f>
        <v>2.8272585650489699</v>
      </c>
      <c r="P370" s="39">
        <f>IF($B370="On campus",1,INDEX(ModelOutput!$G$16:$G$26,MATCH($B370,ModelOutput!$C$16:$C$26,0)))</f>
        <v>3.5639394892119598</v>
      </c>
      <c r="Q370" s="73">
        <f>INDEX(ModelOutput!$D$9:$D$11,MATCH("Tier "&amp;$F370,ModelOutput!$B$9:$B$11,0))</f>
        <v>36.175496869914397</v>
      </c>
      <c r="R370" s="73">
        <f>INDEX(ModelOutput!$E$9:$E$11,MATCH("Tier "&amp;$F370,ModelOutput!$B$9:$B$11,0))</f>
        <v>106.647084447761</v>
      </c>
      <c r="S370" s="73">
        <f>INDEX(ModelOutput!$F$9:$F$11,MATCH("Tier "&amp;$F370,ModelOutput!$B$9:$B$11,0))</f>
        <v>123.726482920496</v>
      </c>
      <c r="T370" s="73">
        <f>INDEX(ModelOutput!$G$9:$G$11,MATCH("Tier "&amp;$F370,ModelOutput!$B$9:$B$11,0))</f>
        <v>20.551544113210401</v>
      </c>
      <c r="U370" s="77">
        <f t="shared" si="55"/>
        <v>356.64351914660364</v>
      </c>
      <c r="V370" s="77">
        <f t="shared" si="56"/>
        <v>1034.8200014422468</v>
      </c>
      <c r="W370" s="77">
        <f t="shared" si="57"/>
        <v>1550.6976411414953</v>
      </c>
      <c r="X370" s="77">
        <f t="shared" si="58"/>
        <v>324.69358579966428</v>
      </c>
      <c r="Y370" s="30">
        <f t="shared" si="59"/>
        <v>3266.8547475300102</v>
      </c>
      <c r="Z370" s="30">
        <f t="shared" si="60"/>
        <v>5353.8271690078946</v>
      </c>
      <c r="AA370" s="41">
        <f t="shared" si="61"/>
        <v>2.7538321392408811</v>
      </c>
      <c r="AB370" s="40">
        <f t="shared" si="62"/>
        <v>1782.7872193062994</v>
      </c>
      <c r="AC370" s="42">
        <f t="shared" si="63"/>
        <v>6</v>
      </c>
      <c r="AD370" s="43">
        <v>3266.8547475300102</v>
      </c>
      <c r="AE370" s="79">
        <f t="shared" si="64"/>
        <v>0</v>
      </c>
      <c r="AF370" s="29">
        <f t="shared" si="65"/>
        <v>4</v>
      </c>
    </row>
    <row r="371" spans="1:32" ht="15" customHeight="1" x14ac:dyDescent="0.35">
      <c r="A371" s="37" t="s">
        <v>109</v>
      </c>
      <c r="B371" s="37" t="s">
        <v>116</v>
      </c>
      <c r="C371" s="37" t="s">
        <v>210</v>
      </c>
      <c r="D371" s="37" t="s">
        <v>123</v>
      </c>
      <c r="E371" s="37" t="s">
        <v>105</v>
      </c>
      <c r="F371" s="37">
        <v>1</v>
      </c>
      <c r="G371" s="37" t="s">
        <v>105</v>
      </c>
      <c r="H371" s="38">
        <v>5</v>
      </c>
      <c r="I371" s="39">
        <f>IF($G371="Base",1,INDEX(ModelOutput!$D$16:$D$26,MATCH($G371,ModelOutput!$C$16:$C$26,0)))</f>
        <v>0.98982624281990295</v>
      </c>
      <c r="J371" s="39">
        <f>IF($A371="Non-greek",1,INDEX(ModelOutput!$D$16:$D$26,MATCH($A371,ModelOutput!$C$16:$C$26,0)))</f>
        <v>4.3562312213391099</v>
      </c>
      <c r="K371" s="39">
        <f>IF($C371="Yes",1,INDEX(ModelOutput!$D$16:$D$26,MATCH($C371,ModelOutput!$C$16:$C$26,0)))</f>
        <v>1</v>
      </c>
      <c r="L371" s="39">
        <f>IF($D371="2.0-3.0",1,INDEX(ModelOutput!$D$16:$D$26,MATCH($D371,ModelOutput!$C$16:$C$26,0)))</f>
        <v>1.01762556011242</v>
      </c>
      <c r="M371" s="39">
        <f>IF($B371="On campus",1,INDEX(ModelOutput!$D$16:$D$26,MATCH($B371,ModelOutput!$C$16:$C$26,0)))</f>
        <v>2.2239289154388602</v>
      </c>
      <c r="N371" s="39">
        <f>IF($B371="On campus",1,INDEX(ModelOutput!$E$16:$E$26,MATCH($B371,ModelOutput!$C$16:$C$26,0)))</f>
        <v>2.18885451801426</v>
      </c>
      <c r="O371" s="39">
        <f>IF($B371="On campus",1,INDEX(ModelOutput!$F$16:$F$26,MATCH($B371,ModelOutput!$C$16:$C$26,0)))</f>
        <v>2.8272585650489699</v>
      </c>
      <c r="P371" s="39">
        <f>IF($B371="On campus",1,INDEX(ModelOutput!$G$16:$G$26,MATCH($B371,ModelOutput!$C$16:$C$26,0)))</f>
        <v>3.5639394892119598</v>
      </c>
      <c r="Q371" s="73">
        <f>INDEX(ModelOutput!$D$9:$D$11,MATCH("Tier "&amp;$F371,ModelOutput!$B$9:$B$11,0))</f>
        <v>36.175496869914397</v>
      </c>
      <c r="R371" s="73">
        <f>INDEX(ModelOutput!$E$9:$E$11,MATCH("Tier "&amp;$F371,ModelOutput!$B$9:$B$11,0))</f>
        <v>106.647084447761</v>
      </c>
      <c r="S371" s="73">
        <f>INDEX(ModelOutput!$F$9:$F$11,MATCH("Tier "&amp;$F371,ModelOutput!$B$9:$B$11,0))</f>
        <v>123.726482920496</v>
      </c>
      <c r="T371" s="73">
        <f>INDEX(ModelOutput!$G$9:$G$11,MATCH("Tier "&amp;$F371,ModelOutput!$B$9:$B$11,0))</f>
        <v>20.551544113210401</v>
      </c>
      <c r="U371" s="77">
        <f t="shared" si="55"/>
        <v>353.01511458295084</v>
      </c>
      <c r="V371" s="77">
        <f t="shared" si="56"/>
        <v>1024.291994022466</v>
      </c>
      <c r="W371" s="77">
        <f t="shared" si="57"/>
        <v>1534.9212198807725</v>
      </c>
      <c r="X371" s="77">
        <f t="shared" si="58"/>
        <v>321.39023209980343</v>
      </c>
      <c r="Y371" s="30">
        <f t="shared" si="59"/>
        <v>3233.6185605859932</v>
      </c>
      <c r="Z371" s="30">
        <f t="shared" si="60"/>
        <v>5299.7825379553733</v>
      </c>
      <c r="AA371" s="41">
        <f t="shared" si="61"/>
        <v>2.7159387843390332</v>
      </c>
      <c r="AB371" s="40">
        <f t="shared" si="62"/>
        <v>1782.7872193062994</v>
      </c>
      <c r="AC371" s="42">
        <f t="shared" si="63"/>
        <v>6</v>
      </c>
      <c r="AD371" s="43">
        <v>3233.6185605859901</v>
      </c>
      <c r="AE371" s="79">
        <f t="shared" si="64"/>
        <v>0</v>
      </c>
      <c r="AF371" s="29">
        <f t="shared" si="65"/>
        <v>3</v>
      </c>
    </row>
    <row r="372" spans="1:32" ht="15" customHeight="1" x14ac:dyDescent="0.35">
      <c r="A372" s="37" t="s">
        <v>109</v>
      </c>
      <c r="B372" s="37" t="s">
        <v>116</v>
      </c>
      <c r="C372" s="37" t="s">
        <v>210</v>
      </c>
      <c r="D372" s="37" t="s">
        <v>123</v>
      </c>
      <c r="E372" s="37" t="s">
        <v>97</v>
      </c>
      <c r="F372" s="37">
        <v>2</v>
      </c>
      <c r="G372" s="37" t="s">
        <v>211</v>
      </c>
      <c r="H372" s="38">
        <v>7</v>
      </c>
      <c r="I372" s="39">
        <f>IF($G372="Base",1,INDEX(ModelOutput!$D$16:$D$26,MATCH($G372,ModelOutput!$C$16:$C$26,0)))</f>
        <v>1</v>
      </c>
      <c r="J372" s="39">
        <f>IF($A372="Non-greek",1,INDEX(ModelOutput!$D$16:$D$26,MATCH($A372,ModelOutput!$C$16:$C$26,0)))</f>
        <v>4.3562312213391099</v>
      </c>
      <c r="K372" s="39">
        <f>IF($C372="Yes",1,INDEX(ModelOutput!$D$16:$D$26,MATCH($C372,ModelOutput!$C$16:$C$26,0)))</f>
        <v>1</v>
      </c>
      <c r="L372" s="39">
        <f>IF($D372="2.0-3.0",1,INDEX(ModelOutput!$D$16:$D$26,MATCH($D372,ModelOutput!$C$16:$C$26,0)))</f>
        <v>1.01762556011242</v>
      </c>
      <c r="M372" s="39">
        <f>IF($B372="On campus",1,INDEX(ModelOutput!$D$16:$D$26,MATCH($B372,ModelOutput!$C$16:$C$26,0)))</f>
        <v>2.2239289154388602</v>
      </c>
      <c r="N372" s="39">
        <f>IF($B372="On campus",1,INDEX(ModelOutput!$E$16:$E$26,MATCH($B372,ModelOutput!$C$16:$C$26,0)))</f>
        <v>2.18885451801426</v>
      </c>
      <c r="O372" s="39">
        <f>IF($B372="On campus",1,INDEX(ModelOutput!$F$16:$F$26,MATCH($B372,ModelOutput!$C$16:$C$26,0)))</f>
        <v>2.8272585650489699</v>
      </c>
      <c r="P372" s="39">
        <f>IF($B372="On campus",1,INDEX(ModelOutput!$G$16:$G$26,MATCH($B372,ModelOutput!$C$16:$C$26,0)))</f>
        <v>3.5639394892119598</v>
      </c>
      <c r="Q372" s="73">
        <f>INDEX(ModelOutput!$D$9:$D$11,MATCH("Tier "&amp;$F372,ModelOutput!$B$9:$B$11,0))</f>
        <v>42.8051506068728</v>
      </c>
      <c r="R372" s="73">
        <f>INDEX(ModelOutput!$E$9:$E$11,MATCH("Tier "&amp;$F372,ModelOutput!$B$9:$B$11,0))</f>
        <v>126.191618818284</v>
      </c>
      <c r="S372" s="73">
        <f>INDEX(ModelOutput!$F$9:$F$11,MATCH("Tier "&amp;$F372,ModelOutput!$B$9:$B$11,0))</f>
        <v>146.401050261042</v>
      </c>
      <c r="T372" s="73">
        <f>INDEX(ModelOutput!$G$9:$G$11,MATCH("Tier "&amp;$F372,ModelOutput!$B$9:$B$11,0))</f>
        <v>24.317895180076398</v>
      </c>
      <c r="U372" s="77">
        <f t="shared" si="55"/>
        <v>422.00331359461478</v>
      </c>
      <c r="V372" s="77">
        <f t="shared" si="56"/>
        <v>1224.4648960047375</v>
      </c>
      <c r="W372" s="77">
        <f t="shared" si="57"/>
        <v>1834.8841569053245</v>
      </c>
      <c r="X372" s="77">
        <f t="shared" si="58"/>
        <v>384.19811872159846</v>
      </c>
      <c r="Y372" s="30">
        <f t="shared" si="59"/>
        <v>3865.5504852262752</v>
      </c>
      <c r="Z372" s="30">
        <f t="shared" si="60"/>
        <v>6327.353112613052</v>
      </c>
      <c r="AA372" s="41">
        <f t="shared" si="61"/>
        <v>3.4364191671981255</v>
      </c>
      <c r="AB372" s="40">
        <f t="shared" si="62"/>
        <v>1782.7872193062994</v>
      </c>
      <c r="AC372" s="42">
        <f t="shared" si="63"/>
        <v>7</v>
      </c>
      <c r="AD372" s="43">
        <v>3865.5504852262702</v>
      </c>
      <c r="AE372" s="79">
        <f t="shared" si="64"/>
        <v>5.0022208597511053E-12</v>
      </c>
      <c r="AF372" s="29">
        <f t="shared" si="65"/>
        <v>2</v>
      </c>
    </row>
    <row r="373" spans="1:32" ht="15" customHeight="1" x14ac:dyDescent="0.35">
      <c r="A373" s="37" t="s">
        <v>109</v>
      </c>
      <c r="B373" s="37" t="s">
        <v>116</v>
      </c>
      <c r="C373" s="37" t="s">
        <v>210</v>
      </c>
      <c r="D373" s="37" t="s">
        <v>123</v>
      </c>
      <c r="E373" s="37" t="s">
        <v>99</v>
      </c>
      <c r="F373" s="37">
        <v>3</v>
      </c>
      <c r="G373" s="37" t="s">
        <v>211</v>
      </c>
      <c r="H373" s="38">
        <v>8</v>
      </c>
      <c r="I373" s="39">
        <f>IF($G373="Base",1,INDEX(ModelOutput!$D$16:$D$26,MATCH($G373,ModelOutput!$C$16:$C$26,0)))</f>
        <v>1</v>
      </c>
      <c r="J373" s="39">
        <f>IF($A373="Non-greek",1,INDEX(ModelOutput!$D$16:$D$26,MATCH($A373,ModelOutput!$C$16:$C$26,0)))</f>
        <v>4.3562312213391099</v>
      </c>
      <c r="K373" s="39">
        <f>IF($C373="Yes",1,INDEX(ModelOutput!$D$16:$D$26,MATCH($C373,ModelOutput!$C$16:$C$26,0)))</f>
        <v>1</v>
      </c>
      <c r="L373" s="39">
        <f>IF($D373="2.0-3.0",1,INDEX(ModelOutput!$D$16:$D$26,MATCH($D373,ModelOutput!$C$16:$C$26,0)))</f>
        <v>1.01762556011242</v>
      </c>
      <c r="M373" s="39">
        <f>IF($B373="On campus",1,INDEX(ModelOutput!$D$16:$D$26,MATCH($B373,ModelOutput!$C$16:$C$26,0)))</f>
        <v>2.2239289154388602</v>
      </c>
      <c r="N373" s="39">
        <f>IF($B373="On campus",1,INDEX(ModelOutput!$E$16:$E$26,MATCH($B373,ModelOutput!$C$16:$C$26,0)))</f>
        <v>2.18885451801426</v>
      </c>
      <c r="O373" s="39">
        <f>IF($B373="On campus",1,INDEX(ModelOutput!$F$16:$F$26,MATCH($B373,ModelOutput!$C$16:$C$26,0)))</f>
        <v>2.8272585650489699</v>
      </c>
      <c r="P373" s="39">
        <f>IF($B373="On campus",1,INDEX(ModelOutput!$G$16:$G$26,MATCH($B373,ModelOutput!$C$16:$C$26,0)))</f>
        <v>3.5639394892119598</v>
      </c>
      <c r="Q373" s="73">
        <f>INDEX(ModelOutput!$D$9:$D$11,MATCH("Tier "&amp;$F373,ModelOutput!$B$9:$B$11,0))</f>
        <v>40.009437343712797</v>
      </c>
      <c r="R373" s="73">
        <f>INDEX(ModelOutput!$E$9:$E$11,MATCH("Tier "&amp;$F373,ModelOutput!$B$9:$B$11,0))</f>
        <v>117.949723218616</v>
      </c>
      <c r="S373" s="73">
        <f>INDEX(ModelOutput!$F$9:$F$11,MATCH("Tier "&amp;$F373,ModelOutput!$B$9:$B$11,0))</f>
        <v>136.83922529015501</v>
      </c>
      <c r="T373" s="73">
        <f>INDEX(ModelOutput!$G$9:$G$11,MATCH("Tier "&amp;$F373,ModelOutput!$B$9:$B$11,0))</f>
        <v>22.729631592092201</v>
      </c>
      <c r="U373" s="77">
        <f t="shared" si="55"/>
        <v>394.44120379737683</v>
      </c>
      <c r="V373" s="77">
        <f t="shared" si="56"/>
        <v>1144.4919791594298</v>
      </c>
      <c r="W373" s="77">
        <f t="shared" si="57"/>
        <v>1715.0432054989055</v>
      </c>
      <c r="X373" s="77">
        <f t="shared" si="58"/>
        <v>359.10516236090621</v>
      </c>
      <c r="Y373" s="30">
        <f t="shared" si="59"/>
        <v>3613.0815508166188</v>
      </c>
      <c r="Z373" s="30">
        <f t="shared" si="60"/>
        <v>5916.8189428728247</v>
      </c>
      <c r="AA373" s="41">
        <f t="shared" si="61"/>
        <v>3.1485734239607677</v>
      </c>
      <c r="AB373" s="40">
        <f t="shared" si="62"/>
        <v>1782.7872193062994</v>
      </c>
      <c r="AC373" s="42">
        <f t="shared" si="63"/>
        <v>7</v>
      </c>
      <c r="AD373" s="43">
        <v>3613.0815508166302</v>
      </c>
      <c r="AE373" s="79">
        <f t="shared" si="64"/>
        <v>-1.1368683772161603E-11</v>
      </c>
      <c r="AF373" s="29">
        <f t="shared" si="65"/>
        <v>1</v>
      </c>
    </row>
    <row r="374" spans="1:32" ht="15" customHeight="1" x14ac:dyDescent="0.35">
      <c r="A374" s="37" t="s">
        <v>109</v>
      </c>
      <c r="B374" s="37" t="s">
        <v>116</v>
      </c>
      <c r="C374" s="37" t="s">
        <v>210</v>
      </c>
      <c r="D374" s="37" t="s">
        <v>123</v>
      </c>
      <c r="E374" s="37" t="s">
        <v>213</v>
      </c>
      <c r="F374" s="37">
        <v>3</v>
      </c>
      <c r="G374" s="37" t="s">
        <v>107</v>
      </c>
      <c r="H374" s="38">
        <v>1</v>
      </c>
      <c r="I374" s="39">
        <f>IF($G374="Base",1,INDEX(ModelOutput!$D$16:$D$26,MATCH($G374,ModelOutput!$C$16:$C$26,0)))</f>
        <v>1.1906804269762199</v>
      </c>
      <c r="J374" s="39">
        <f>IF($A374="Non-greek",1,INDEX(ModelOutput!$D$16:$D$26,MATCH($A374,ModelOutput!$C$16:$C$26,0)))</f>
        <v>4.3562312213391099</v>
      </c>
      <c r="K374" s="39">
        <f>IF($C374="Yes",1,INDEX(ModelOutput!$D$16:$D$26,MATCH($C374,ModelOutput!$C$16:$C$26,0)))</f>
        <v>1</v>
      </c>
      <c r="L374" s="39">
        <f>IF($D374="2.0-3.0",1,INDEX(ModelOutput!$D$16:$D$26,MATCH($D374,ModelOutput!$C$16:$C$26,0)))</f>
        <v>1.01762556011242</v>
      </c>
      <c r="M374" s="39">
        <f>IF($B374="On campus",1,INDEX(ModelOutput!$D$16:$D$26,MATCH($B374,ModelOutput!$C$16:$C$26,0)))</f>
        <v>2.2239289154388602</v>
      </c>
      <c r="N374" s="39">
        <f>IF($B374="On campus",1,INDEX(ModelOutput!$E$16:$E$26,MATCH($B374,ModelOutput!$C$16:$C$26,0)))</f>
        <v>2.18885451801426</v>
      </c>
      <c r="O374" s="39">
        <f>IF($B374="On campus",1,INDEX(ModelOutput!$F$16:$F$26,MATCH($B374,ModelOutput!$C$16:$C$26,0)))</f>
        <v>2.8272585650489699</v>
      </c>
      <c r="P374" s="39">
        <f>IF($B374="On campus",1,INDEX(ModelOutput!$G$16:$G$26,MATCH($B374,ModelOutput!$C$16:$C$26,0)))</f>
        <v>3.5639394892119598</v>
      </c>
      <c r="Q374" s="73">
        <f>INDEX(ModelOutput!$D$9:$D$11,MATCH("Tier "&amp;$F374,ModelOutput!$B$9:$B$11,0))</f>
        <v>40.009437343712797</v>
      </c>
      <c r="R374" s="73">
        <f>INDEX(ModelOutput!$E$9:$E$11,MATCH("Tier "&amp;$F374,ModelOutput!$B$9:$B$11,0))</f>
        <v>117.949723218616</v>
      </c>
      <c r="S374" s="73">
        <f>INDEX(ModelOutput!$F$9:$F$11,MATCH("Tier "&amp;$F374,ModelOutput!$B$9:$B$11,0))</f>
        <v>136.83922529015501</v>
      </c>
      <c r="T374" s="73">
        <f>INDEX(ModelOutput!$G$9:$G$11,MATCH("Tier "&amp;$F374,ModelOutput!$B$9:$B$11,0))</f>
        <v>22.729631592092201</v>
      </c>
      <c r="U374" s="77">
        <f t="shared" si="55"/>
        <v>469.65342095447488</v>
      </c>
      <c r="V374" s="77">
        <f t="shared" si="56"/>
        <v>1362.7241984164089</v>
      </c>
      <c r="W374" s="77">
        <f t="shared" si="57"/>
        <v>2042.0683762061019</v>
      </c>
      <c r="X374" s="77">
        <f t="shared" si="58"/>
        <v>427.5794880492486</v>
      </c>
      <c r="Y374" s="30">
        <f t="shared" si="59"/>
        <v>4302.0254836262338</v>
      </c>
      <c r="Z374" s="30">
        <f t="shared" si="60"/>
        <v>7037.095487450124</v>
      </c>
      <c r="AA374" s="41">
        <f t="shared" si="61"/>
        <v>3.9340545321698066</v>
      </c>
      <c r="AB374" s="40">
        <f t="shared" si="62"/>
        <v>1782.7872193062994</v>
      </c>
      <c r="AC374" s="42">
        <f t="shared" si="63"/>
        <v>8</v>
      </c>
      <c r="AD374" s="43">
        <v>4302.0254836262502</v>
      </c>
      <c r="AE374" s="79">
        <f t="shared" si="64"/>
        <v>-1.6370904631912708E-11</v>
      </c>
      <c r="AF374" s="29">
        <f t="shared" si="65"/>
        <v>2</v>
      </c>
    </row>
    <row r="375" spans="1:32" ht="15" customHeight="1" x14ac:dyDescent="0.35">
      <c r="A375" s="19" t="s">
        <v>109</v>
      </c>
      <c r="B375" s="19" t="s">
        <v>116</v>
      </c>
      <c r="C375" s="19" t="s">
        <v>210</v>
      </c>
      <c r="D375" s="19" t="s">
        <v>122</v>
      </c>
      <c r="E375" s="19" t="s">
        <v>95</v>
      </c>
      <c r="F375" s="19">
        <v>1</v>
      </c>
      <c r="G375" s="19" t="s">
        <v>211</v>
      </c>
      <c r="H375" s="16">
        <v>12</v>
      </c>
      <c r="I375" s="13">
        <f>IF($G375="Base",1,INDEX(ModelOutput!$D$16:$D$26,MATCH($G375,ModelOutput!$C$16:$C$26,0)))</f>
        <v>1</v>
      </c>
      <c r="J375" s="13">
        <f>IF($A375="Non-greek",1,INDEX(ModelOutput!$D$16:$D$26,MATCH($A375,ModelOutput!$C$16:$C$26,0)))</f>
        <v>4.3562312213391099</v>
      </c>
      <c r="K375" s="13">
        <f>IF($C375="Yes",1,INDEX(ModelOutput!$D$16:$D$26,MATCH($C375,ModelOutput!$C$16:$C$26,0)))</f>
        <v>1</v>
      </c>
      <c r="L375" s="13">
        <f>IF($D375="2.0-3.0",1,INDEX(ModelOutput!$D$16:$D$26,MATCH($D375,ModelOutput!$C$16:$C$26,0)))</f>
        <v>1</v>
      </c>
      <c r="M375" s="13">
        <f>IF($B375="On campus",1,INDEX(ModelOutput!$D$16:$D$26,MATCH($B375,ModelOutput!$C$16:$C$26,0)))</f>
        <v>2.2239289154388602</v>
      </c>
      <c r="N375" s="13">
        <f>IF($B375="On campus",1,INDEX(ModelOutput!$E$16:$E$26,MATCH($B375,ModelOutput!$C$16:$C$26,0)))</f>
        <v>2.18885451801426</v>
      </c>
      <c r="O375" s="13">
        <f>IF($B375="On campus",1,INDEX(ModelOutput!$F$16:$F$26,MATCH($B375,ModelOutput!$C$16:$C$26,0)))</f>
        <v>2.8272585650489699</v>
      </c>
      <c r="P375" s="13">
        <f>IF($B375="On campus",1,INDEX(ModelOutput!$G$16:$G$26,MATCH($B375,ModelOutput!$C$16:$C$26,0)))</f>
        <v>3.5639394892119598</v>
      </c>
      <c r="Q375" s="72">
        <f>INDEX(ModelOutput!$D$9:$D$11,MATCH("Tier "&amp;$F375,ModelOutput!$B$9:$B$11,0))</f>
        <v>36.175496869914397</v>
      </c>
      <c r="R375" s="72">
        <f>INDEX(ModelOutput!$E$9:$E$11,MATCH("Tier "&amp;$F375,ModelOutput!$B$9:$B$11,0))</f>
        <v>106.647084447761</v>
      </c>
      <c r="S375" s="72">
        <f>INDEX(ModelOutput!$F$9:$F$11,MATCH("Tier "&amp;$F375,ModelOutput!$B$9:$B$11,0))</f>
        <v>123.726482920496</v>
      </c>
      <c r="T375" s="72">
        <f>INDEX(ModelOutput!$G$9:$G$11,MATCH("Tier "&amp;$F375,ModelOutput!$B$9:$B$11,0))</f>
        <v>20.551544113210401</v>
      </c>
      <c r="U375" s="76">
        <f t="shared" si="55"/>
        <v>350.46635336793645</v>
      </c>
      <c r="V375" s="76">
        <f t="shared" si="56"/>
        <v>1016.896628783506</v>
      </c>
      <c r="W375" s="76">
        <f t="shared" si="57"/>
        <v>1523.8391230760608</v>
      </c>
      <c r="X375" s="76">
        <f t="shared" si="58"/>
        <v>319.06980182749578</v>
      </c>
      <c r="Y375" s="27">
        <f t="shared" si="59"/>
        <v>3210.2719070549988</v>
      </c>
      <c r="Z375" s="27">
        <f t="shared" si="60"/>
        <v>5261.8190592170049</v>
      </c>
      <c r="AA375" s="33">
        <f t="shared" si="61"/>
        <v>2.6893207180274379</v>
      </c>
      <c r="AB375" s="14">
        <f t="shared" si="62"/>
        <v>1782.7872193062994</v>
      </c>
      <c r="AC375" s="29">
        <f t="shared" si="63"/>
        <v>6</v>
      </c>
      <c r="AD375" s="20">
        <v>3210.2719070549902</v>
      </c>
      <c r="AE375" s="78">
        <f t="shared" si="64"/>
        <v>8.6401996668428183E-12</v>
      </c>
      <c r="AF375" s="29">
        <f t="shared" si="65"/>
        <v>4</v>
      </c>
    </row>
    <row r="376" spans="1:32" ht="15" customHeight="1" x14ac:dyDescent="0.35">
      <c r="A376" s="19" t="s">
        <v>109</v>
      </c>
      <c r="B376" s="19" t="s">
        <v>116</v>
      </c>
      <c r="C376" s="19" t="s">
        <v>210</v>
      </c>
      <c r="D376" s="19" t="s">
        <v>122</v>
      </c>
      <c r="E376" s="19" t="s">
        <v>105</v>
      </c>
      <c r="F376" s="19">
        <v>1</v>
      </c>
      <c r="G376" s="19" t="s">
        <v>105</v>
      </c>
      <c r="H376" s="16">
        <v>11</v>
      </c>
      <c r="I376" s="13">
        <f>IF($G376="Base",1,INDEX(ModelOutput!$D$16:$D$26,MATCH($G376,ModelOutput!$C$16:$C$26,0)))</f>
        <v>0.98982624281990295</v>
      </c>
      <c r="J376" s="13">
        <f>IF($A376="Non-greek",1,INDEX(ModelOutput!$D$16:$D$26,MATCH($A376,ModelOutput!$C$16:$C$26,0)))</f>
        <v>4.3562312213391099</v>
      </c>
      <c r="K376" s="13">
        <f>IF($C376="Yes",1,INDEX(ModelOutput!$D$16:$D$26,MATCH($C376,ModelOutput!$C$16:$C$26,0)))</f>
        <v>1</v>
      </c>
      <c r="L376" s="13">
        <f>IF($D376="2.0-3.0",1,INDEX(ModelOutput!$D$16:$D$26,MATCH($D376,ModelOutput!$C$16:$C$26,0)))</f>
        <v>1</v>
      </c>
      <c r="M376" s="13">
        <f>IF($B376="On campus",1,INDEX(ModelOutput!$D$16:$D$26,MATCH($B376,ModelOutput!$C$16:$C$26,0)))</f>
        <v>2.2239289154388602</v>
      </c>
      <c r="N376" s="13">
        <f>IF($B376="On campus",1,INDEX(ModelOutput!$E$16:$E$26,MATCH($B376,ModelOutput!$C$16:$C$26,0)))</f>
        <v>2.18885451801426</v>
      </c>
      <c r="O376" s="13">
        <f>IF($B376="On campus",1,INDEX(ModelOutput!$F$16:$F$26,MATCH($B376,ModelOutput!$C$16:$C$26,0)))</f>
        <v>2.8272585650489699</v>
      </c>
      <c r="P376" s="13">
        <f>IF($B376="On campus",1,INDEX(ModelOutput!$G$16:$G$26,MATCH($B376,ModelOutput!$C$16:$C$26,0)))</f>
        <v>3.5639394892119598</v>
      </c>
      <c r="Q376" s="72">
        <f>INDEX(ModelOutput!$D$9:$D$11,MATCH("Tier "&amp;$F376,ModelOutput!$B$9:$B$11,0))</f>
        <v>36.175496869914397</v>
      </c>
      <c r="R376" s="72">
        <f>INDEX(ModelOutput!$E$9:$E$11,MATCH("Tier "&amp;$F376,ModelOutput!$B$9:$B$11,0))</f>
        <v>106.647084447761</v>
      </c>
      <c r="S376" s="72">
        <f>INDEX(ModelOutput!$F$9:$F$11,MATCH("Tier "&amp;$F376,ModelOutput!$B$9:$B$11,0))</f>
        <v>123.726482920496</v>
      </c>
      <c r="T376" s="72">
        <f>INDEX(ModelOutput!$G$9:$G$11,MATCH("Tier "&amp;$F376,ModelOutput!$B$9:$B$11,0))</f>
        <v>20.551544113210401</v>
      </c>
      <c r="U376" s="76">
        <f t="shared" si="55"/>
        <v>346.90079378897701</v>
      </c>
      <c r="V376" s="76">
        <f t="shared" si="56"/>
        <v>1006.5509694050035</v>
      </c>
      <c r="W376" s="76">
        <f t="shared" si="57"/>
        <v>1508.3359538563529</v>
      </c>
      <c r="X376" s="76">
        <f t="shared" si="58"/>
        <v>315.82366314020112</v>
      </c>
      <c r="Y376" s="27">
        <f t="shared" si="59"/>
        <v>3177.6113801905344</v>
      </c>
      <c r="Z376" s="27">
        <f t="shared" si="60"/>
        <v>5208.7104963320953</v>
      </c>
      <c r="AA376" s="33">
        <f t="shared" si="61"/>
        <v>2.6520836866603581</v>
      </c>
      <c r="AB376" s="14">
        <f t="shared" si="62"/>
        <v>1782.7872193062994</v>
      </c>
      <c r="AC376" s="29">
        <f t="shared" si="63"/>
        <v>6</v>
      </c>
      <c r="AD376" s="20">
        <v>3177.6113801905299</v>
      </c>
      <c r="AE376" s="78">
        <f t="shared" si="64"/>
        <v>4.5474735088646412E-12</v>
      </c>
      <c r="AF376" s="29">
        <f t="shared" si="65"/>
        <v>3</v>
      </c>
    </row>
    <row r="377" spans="1:32" ht="15" customHeight="1" x14ac:dyDescent="0.35">
      <c r="A377" s="19" t="s">
        <v>109</v>
      </c>
      <c r="B377" s="19" t="s">
        <v>116</v>
      </c>
      <c r="C377" s="19" t="s">
        <v>210</v>
      </c>
      <c r="D377" s="19" t="s">
        <v>122</v>
      </c>
      <c r="E377" s="19" t="s">
        <v>97</v>
      </c>
      <c r="F377" s="19">
        <v>2</v>
      </c>
      <c r="G377" s="19" t="s">
        <v>211</v>
      </c>
      <c r="H377" s="16">
        <v>9</v>
      </c>
      <c r="I377" s="13">
        <f>IF($G377="Base",1,INDEX(ModelOutput!$D$16:$D$26,MATCH($G377,ModelOutput!$C$16:$C$26,0)))</f>
        <v>1</v>
      </c>
      <c r="J377" s="13">
        <f>IF($A377="Non-greek",1,INDEX(ModelOutput!$D$16:$D$26,MATCH($A377,ModelOutput!$C$16:$C$26,0)))</f>
        <v>4.3562312213391099</v>
      </c>
      <c r="K377" s="13">
        <f>IF($C377="Yes",1,INDEX(ModelOutput!$D$16:$D$26,MATCH($C377,ModelOutput!$C$16:$C$26,0)))</f>
        <v>1</v>
      </c>
      <c r="L377" s="13">
        <f>IF($D377="2.0-3.0",1,INDEX(ModelOutput!$D$16:$D$26,MATCH($D377,ModelOutput!$C$16:$C$26,0)))</f>
        <v>1</v>
      </c>
      <c r="M377" s="13">
        <f>IF($B377="On campus",1,INDEX(ModelOutput!$D$16:$D$26,MATCH($B377,ModelOutput!$C$16:$C$26,0)))</f>
        <v>2.2239289154388602</v>
      </c>
      <c r="N377" s="13">
        <f>IF($B377="On campus",1,INDEX(ModelOutput!$E$16:$E$26,MATCH($B377,ModelOutput!$C$16:$C$26,0)))</f>
        <v>2.18885451801426</v>
      </c>
      <c r="O377" s="13">
        <f>IF($B377="On campus",1,INDEX(ModelOutput!$F$16:$F$26,MATCH($B377,ModelOutput!$C$16:$C$26,0)))</f>
        <v>2.8272585650489699</v>
      </c>
      <c r="P377" s="13">
        <f>IF($B377="On campus",1,INDEX(ModelOutput!$G$16:$G$26,MATCH($B377,ModelOutput!$C$16:$C$26,0)))</f>
        <v>3.5639394892119598</v>
      </c>
      <c r="Q377" s="72">
        <f>INDEX(ModelOutput!$D$9:$D$11,MATCH("Tier "&amp;$F377,ModelOutput!$B$9:$B$11,0))</f>
        <v>42.8051506068728</v>
      </c>
      <c r="R377" s="72">
        <f>INDEX(ModelOutput!$E$9:$E$11,MATCH("Tier "&amp;$F377,ModelOutput!$B$9:$B$11,0))</f>
        <v>126.191618818284</v>
      </c>
      <c r="S377" s="72">
        <f>INDEX(ModelOutput!$F$9:$F$11,MATCH("Tier "&amp;$F377,ModelOutput!$B$9:$B$11,0))</f>
        <v>146.401050261042</v>
      </c>
      <c r="T377" s="72">
        <f>INDEX(ModelOutput!$G$9:$G$11,MATCH("Tier "&amp;$F377,ModelOutput!$B$9:$B$11,0))</f>
        <v>24.317895180076398</v>
      </c>
      <c r="U377" s="76">
        <f t="shared" si="55"/>
        <v>414.69409784478574</v>
      </c>
      <c r="V377" s="76">
        <f t="shared" si="56"/>
        <v>1203.2568205828745</v>
      </c>
      <c r="W377" s="76">
        <f t="shared" si="57"/>
        <v>1803.1034486816736</v>
      </c>
      <c r="X377" s="76">
        <f t="shared" si="58"/>
        <v>377.54369955011254</v>
      </c>
      <c r="Y377" s="27">
        <f t="shared" si="59"/>
        <v>3798.5980666594464</v>
      </c>
      <c r="Z377" s="27">
        <f t="shared" si="60"/>
        <v>6218.4832604361736</v>
      </c>
      <c r="AA377" s="33">
        <f t="shared" si="61"/>
        <v>3.3600851472167328</v>
      </c>
      <c r="AB377" s="14">
        <f t="shared" si="62"/>
        <v>1782.7872193062994</v>
      </c>
      <c r="AC377" s="29">
        <f t="shared" si="63"/>
        <v>7</v>
      </c>
      <c r="AD377" s="20">
        <v>3798.5980666594501</v>
      </c>
      <c r="AE377" s="78">
        <f t="shared" si="64"/>
        <v>-3.637978807091713E-12</v>
      </c>
      <c r="AF377" s="29">
        <f t="shared" si="65"/>
        <v>2</v>
      </c>
    </row>
    <row r="378" spans="1:32" ht="15" customHeight="1" x14ac:dyDescent="0.35">
      <c r="A378" s="19" t="s">
        <v>109</v>
      </c>
      <c r="B378" s="19" t="s">
        <v>116</v>
      </c>
      <c r="C378" s="19" t="s">
        <v>210</v>
      </c>
      <c r="D378" s="19" t="s">
        <v>122</v>
      </c>
      <c r="E378" s="19" t="s">
        <v>99</v>
      </c>
      <c r="F378" s="19">
        <v>3</v>
      </c>
      <c r="G378" s="19" t="s">
        <v>211</v>
      </c>
      <c r="H378" s="16">
        <v>8</v>
      </c>
      <c r="I378" s="13">
        <f>IF($G378="Base",1,INDEX(ModelOutput!$D$16:$D$26,MATCH($G378,ModelOutput!$C$16:$C$26,0)))</f>
        <v>1</v>
      </c>
      <c r="J378" s="13">
        <f>IF($A378="Non-greek",1,INDEX(ModelOutput!$D$16:$D$26,MATCH($A378,ModelOutput!$C$16:$C$26,0)))</f>
        <v>4.3562312213391099</v>
      </c>
      <c r="K378" s="13">
        <f>IF($C378="Yes",1,INDEX(ModelOutput!$D$16:$D$26,MATCH($C378,ModelOutput!$C$16:$C$26,0)))</f>
        <v>1</v>
      </c>
      <c r="L378" s="13">
        <f>IF($D378="2.0-3.0",1,INDEX(ModelOutput!$D$16:$D$26,MATCH($D378,ModelOutput!$C$16:$C$26,0)))</f>
        <v>1</v>
      </c>
      <c r="M378" s="13">
        <f>IF($B378="On campus",1,INDEX(ModelOutput!$D$16:$D$26,MATCH($B378,ModelOutput!$C$16:$C$26,0)))</f>
        <v>2.2239289154388602</v>
      </c>
      <c r="N378" s="13">
        <f>IF($B378="On campus",1,INDEX(ModelOutput!$E$16:$E$26,MATCH($B378,ModelOutput!$C$16:$C$26,0)))</f>
        <v>2.18885451801426</v>
      </c>
      <c r="O378" s="13">
        <f>IF($B378="On campus",1,INDEX(ModelOutput!$F$16:$F$26,MATCH($B378,ModelOutput!$C$16:$C$26,0)))</f>
        <v>2.8272585650489699</v>
      </c>
      <c r="P378" s="13">
        <f>IF($B378="On campus",1,INDEX(ModelOutput!$G$16:$G$26,MATCH($B378,ModelOutput!$C$16:$C$26,0)))</f>
        <v>3.5639394892119598</v>
      </c>
      <c r="Q378" s="72">
        <f>INDEX(ModelOutput!$D$9:$D$11,MATCH("Tier "&amp;$F378,ModelOutput!$B$9:$B$11,0))</f>
        <v>40.009437343712797</v>
      </c>
      <c r="R378" s="72">
        <f>INDEX(ModelOutput!$E$9:$E$11,MATCH("Tier "&amp;$F378,ModelOutput!$B$9:$B$11,0))</f>
        <v>117.949723218616</v>
      </c>
      <c r="S378" s="72">
        <f>INDEX(ModelOutput!$F$9:$F$11,MATCH("Tier "&amp;$F378,ModelOutput!$B$9:$B$11,0))</f>
        <v>136.83922529015501</v>
      </c>
      <c r="T378" s="72">
        <f>INDEX(ModelOutput!$G$9:$G$11,MATCH("Tier "&amp;$F378,ModelOutput!$B$9:$B$11,0))</f>
        <v>22.729631592092201</v>
      </c>
      <c r="U378" s="76">
        <f t="shared" si="55"/>
        <v>387.60937151952214</v>
      </c>
      <c r="V378" s="76">
        <f t="shared" si="56"/>
        <v>1124.6690570871615</v>
      </c>
      <c r="W378" s="76">
        <f t="shared" si="57"/>
        <v>1685.3381761651503</v>
      </c>
      <c r="X378" s="76">
        <f t="shared" si="58"/>
        <v>352.88536023135549</v>
      </c>
      <c r="Y378" s="27">
        <f t="shared" si="59"/>
        <v>3550.5019650031895</v>
      </c>
      <c r="Z378" s="27">
        <f t="shared" si="60"/>
        <v>5815.0596576574908</v>
      </c>
      <c r="AA378" s="33">
        <f t="shared" si="61"/>
        <v>3.0772249729837284</v>
      </c>
      <c r="AB378" s="14">
        <f t="shared" si="62"/>
        <v>1782.7872193062994</v>
      </c>
      <c r="AC378" s="29">
        <f t="shared" si="63"/>
        <v>7</v>
      </c>
      <c r="AD378" s="20">
        <v>3550.50196500319</v>
      </c>
      <c r="AE378" s="78">
        <f t="shared" si="64"/>
        <v>0</v>
      </c>
      <c r="AF378" s="29">
        <f t="shared" si="65"/>
        <v>1</v>
      </c>
    </row>
    <row r="379" spans="1:32" ht="15" customHeight="1" x14ac:dyDescent="0.35">
      <c r="A379" s="19" t="s">
        <v>109</v>
      </c>
      <c r="B379" s="19" t="s">
        <v>116</v>
      </c>
      <c r="C379" s="19" t="s">
        <v>210</v>
      </c>
      <c r="D379" s="19" t="s">
        <v>122</v>
      </c>
      <c r="E379" s="19" t="s">
        <v>213</v>
      </c>
      <c r="F379" s="19">
        <v>3</v>
      </c>
      <c r="G379" s="19" t="s">
        <v>107</v>
      </c>
      <c r="H379" s="16">
        <v>7</v>
      </c>
      <c r="I379" s="13">
        <f>IF($G379="Base",1,INDEX(ModelOutput!$D$16:$D$26,MATCH($G379,ModelOutput!$C$16:$C$26,0)))</f>
        <v>1.1906804269762199</v>
      </c>
      <c r="J379" s="13">
        <f>IF($A379="Non-greek",1,INDEX(ModelOutput!$D$16:$D$26,MATCH($A379,ModelOutput!$C$16:$C$26,0)))</f>
        <v>4.3562312213391099</v>
      </c>
      <c r="K379" s="13">
        <f>IF($C379="Yes",1,INDEX(ModelOutput!$D$16:$D$26,MATCH($C379,ModelOutput!$C$16:$C$26,0)))</f>
        <v>1</v>
      </c>
      <c r="L379" s="13">
        <f>IF($D379="2.0-3.0",1,INDEX(ModelOutput!$D$16:$D$26,MATCH($D379,ModelOutput!$C$16:$C$26,0)))</f>
        <v>1</v>
      </c>
      <c r="M379" s="13">
        <f>IF($B379="On campus",1,INDEX(ModelOutput!$D$16:$D$26,MATCH($B379,ModelOutput!$C$16:$C$26,0)))</f>
        <v>2.2239289154388602</v>
      </c>
      <c r="N379" s="13">
        <f>IF($B379="On campus",1,INDEX(ModelOutput!$E$16:$E$26,MATCH($B379,ModelOutput!$C$16:$C$26,0)))</f>
        <v>2.18885451801426</v>
      </c>
      <c r="O379" s="13">
        <f>IF($B379="On campus",1,INDEX(ModelOutput!$F$16:$F$26,MATCH($B379,ModelOutput!$C$16:$C$26,0)))</f>
        <v>2.8272585650489699</v>
      </c>
      <c r="P379" s="13">
        <f>IF($B379="On campus",1,INDEX(ModelOutput!$G$16:$G$26,MATCH($B379,ModelOutput!$C$16:$C$26,0)))</f>
        <v>3.5639394892119598</v>
      </c>
      <c r="Q379" s="72">
        <f>INDEX(ModelOutput!$D$9:$D$11,MATCH("Tier "&amp;$F379,ModelOutput!$B$9:$B$11,0))</f>
        <v>40.009437343712797</v>
      </c>
      <c r="R379" s="72">
        <f>INDEX(ModelOutput!$E$9:$E$11,MATCH("Tier "&amp;$F379,ModelOutput!$B$9:$B$11,0))</f>
        <v>117.949723218616</v>
      </c>
      <c r="S379" s="72">
        <f>INDEX(ModelOutput!$F$9:$F$11,MATCH("Tier "&amp;$F379,ModelOutput!$B$9:$B$11,0))</f>
        <v>136.83922529015501</v>
      </c>
      <c r="T379" s="72">
        <f>INDEX(ModelOutput!$G$9:$G$11,MATCH("Tier "&amp;$F379,ModelOutput!$B$9:$B$11,0))</f>
        <v>22.729631592092201</v>
      </c>
      <c r="U379" s="76">
        <f t="shared" si="55"/>
        <v>461.51889198084888</v>
      </c>
      <c r="V379" s="76">
        <f t="shared" si="56"/>
        <v>1339.121433099484</v>
      </c>
      <c r="W379" s="76">
        <f t="shared" si="57"/>
        <v>2006.6991791956452</v>
      </c>
      <c r="X379" s="76">
        <f t="shared" si="58"/>
        <v>420.17369139392753</v>
      </c>
      <c r="Y379" s="27">
        <f t="shared" si="59"/>
        <v>4227.5131956699051</v>
      </c>
      <c r="Z379" s="27">
        <f t="shared" si="60"/>
        <v>6915.9326982811363</v>
      </c>
      <c r="AA379" s="33">
        <f t="shared" si="61"/>
        <v>3.8491013280963751</v>
      </c>
      <c r="AB379" s="14">
        <f t="shared" si="62"/>
        <v>1782.7872193062994</v>
      </c>
      <c r="AC379" s="29">
        <f t="shared" si="63"/>
        <v>8</v>
      </c>
      <c r="AD379" s="20">
        <v>4227.5131956699097</v>
      </c>
      <c r="AE379" s="78">
        <f t="shared" si="64"/>
        <v>0</v>
      </c>
      <c r="AF379" s="29">
        <f t="shared" si="65"/>
        <v>2</v>
      </c>
    </row>
    <row r="380" spans="1:32" ht="15" customHeight="1" x14ac:dyDescent="0.35">
      <c r="A380" s="37" t="s">
        <v>109</v>
      </c>
      <c r="B380" s="37" t="s">
        <v>116</v>
      </c>
      <c r="C380" s="37" t="s">
        <v>210</v>
      </c>
      <c r="D380" s="37" t="s">
        <v>124</v>
      </c>
      <c r="E380" s="37" t="s">
        <v>95</v>
      </c>
      <c r="F380" s="37">
        <v>1</v>
      </c>
      <c r="G380" s="37" t="s">
        <v>211</v>
      </c>
      <c r="H380" s="38">
        <v>7</v>
      </c>
      <c r="I380" s="39">
        <f>IF($G380="Base",1,INDEX(ModelOutput!$D$16:$D$26,MATCH($G380,ModelOutput!$C$16:$C$26,0)))</f>
        <v>1</v>
      </c>
      <c r="J380" s="39">
        <f>IF($A380="Non-greek",1,INDEX(ModelOutput!$D$16:$D$26,MATCH($A380,ModelOutput!$C$16:$C$26,0)))</f>
        <v>4.3562312213391099</v>
      </c>
      <c r="K380" s="39">
        <f>IF($C380="Yes",1,INDEX(ModelOutput!$D$16:$D$26,MATCH($C380,ModelOutput!$C$16:$C$26,0)))</f>
        <v>1</v>
      </c>
      <c r="L380" s="39">
        <f>IF($D380="2.0-3.0",1,INDEX(ModelOutput!$D$16:$D$26,MATCH($D380,ModelOutput!$C$16:$C$26,0)))</f>
        <v>0.87654761766211098</v>
      </c>
      <c r="M380" s="39">
        <f>IF($B380="On campus",1,INDEX(ModelOutput!$D$16:$D$26,MATCH($B380,ModelOutput!$C$16:$C$26,0)))</f>
        <v>2.2239289154388602</v>
      </c>
      <c r="N380" s="39">
        <f>IF($B380="On campus",1,INDEX(ModelOutput!$E$16:$E$26,MATCH($B380,ModelOutput!$C$16:$C$26,0)))</f>
        <v>2.18885451801426</v>
      </c>
      <c r="O380" s="39">
        <f>IF($B380="On campus",1,INDEX(ModelOutput!$F$16:$F$26,MATCH($B380,ModelOutput!$C$16:$C$26,0)))</f>
        <v>2.8272585650489699</v>
      </c>
      <c r="P380" s="39">
        <f>IF($B380="On campus",1,INDEX(ModelOutput!$G$16:$G$26,MATCH($B380,ModelOutput!$C$16:$C$26,0)))</f>
        <v>3.5639394892119598</v>
      </c>
      <c r="Q380" s="73">
        <f>INDEX(ModelOutput!$D$9:$D$11,MATCH("Tier "&amp;$F380,ModelOutput!$B$9:$B$11,0))</f>
        <v>36.175496869914397</v>
      </c>
      <c r="R380" s="73">
        <f>INDEX(ModelOutput!$E$9:$E$11,MATCH("Tier "&amp;$F380,ModelOutput!$B$9:$B$11,0))</f>
        <v>106.647084447761</v>
      </c>
      <c r="S380" s="73">
        <f>INDEX(ModelOutput!$F$9:$F$11,MATCH("Tier "&amp;$F380,ModelOutput!$B$9:$B$11,0))</f>
        <v>123.726482920496</v>
      </c>
      <c r="T380" s="73">
        <f>INDEX(ModelOutput!$G$9:$G$11,MATCH("Tier "&amp;$F380,ModelOutput!$B$9:$B$11,0))</f>
        <v>20.551544113210401</v>
      </c>
      <c r="U380" s="77">
        <f t="shared" si="55"/>
        <v>307.20044711539219</v>
      </c>
      <c r="V380" s="77">
        <f t="shared" si="56"/>
        <v>891.35831736881426</v>
      </c>
      <c r="W380" s="77">
        <f t="shared" si="57"/>
        <v>1335.7175530326415</v>
      </c>
      <c r="X380" s="77">
        <f t="shared" si="58"/>
        <v>279.67987465981332</v>
      </c>
      <c r="Y380" s="30">
        <f t="shared" si="59"/>
        <v>2813.9561921766613</v>
      </c>
      <c r="Z380" s="30">
        <f t="shared" si="60"/>
        <v>4617.3788101898344</v>
      </c>
      <c r="AA380" s="41">
        <f t="shared" si="61"/>
        <v>2.2374718924578834</v>
      </c>
      <c r="AB380" s="40">
        <f t="shared" si="62"/>
        <v>1782.7872193062994</v>
      </c>
      <c r="AC380" s="42">
        <f t="shared" si="63"/>
        <v>6</v>
      </c>
      <c r="AD380" s="43">
        <v>2813.9561921766599</v>
      </c>
      <c r="AE380" s="79">
        <f t="shared" si="64"/>
        <v>0</v>
      </c>
      <c r="AF380" s="29">
        <f t="shared" si="65"/>
        <v>4</v>
      </c>
    </row>
    <row r="381" spans="1:32" ht="15" customHeight="1" x14ac:dyDescent="0.35">
      <c r="A381" s="37" t="s">
        <v>109</v>
      </c>
      <c r="B381" s="37" t="s">
        <v>116</v>
      </c>
      <c r="C381" s="37" t="s">
        <v>210</v>
      </c>
      <c r="D381" s="37" t="s">
        <v>124</v>
      </c>
      <c r="E381" s="37" t="s">
        <v>105</v>
      </c>
      <c r="F381" s="37">
        <v>1</v>
      </c>
      <c r="G381" s="37" t="s">
        <v>105</v>
      </c>
      <c r="H381" s="38">
        <v>4</v>
      </c>
      <c r="I381" s="39">
        <f>IF($G381="Base",1,INDEX(ModelOutput!$D$16:$D$26,MATCH($G381,ModelOutput!$C$16:$C$26,0)))</f>
        <v>0.98982624281990295</v>
      </c>
      <c r="J381" s="39">
        <f>IF($A381="Non-greek",1,INDEX(ModelOutput!$D$16:$D$26,MATCH($A381,ModelOutput!$C$16:$C$26,0)))</f>
        <v>4.3562312213391099</v>
      </c>
      <c r="K381" s="39">
        <f>IF($C381="Yes",1,INDEX(ModelOutput!$D$16:$D$26,MATCH($C381,ModelOutput!$C$16:$C$26,0)))</f>
        <v>1</v>
      </c>
      <c r="L381" s="39">
        <f>IF($D381="2.0-3.0",1,INDEX(ModelOutput!$D$16:$D$26,MATCH($D381,ModelOutput!$C$16:$C$26,0)))</f>
        <v>0.87654761766211098</v>
      </c>
      <c r="M381" s="39">
        <f>IF($B381="On campus",1,INDEX(ModelOutput!$D$16:$D$26,MATCH($B381,ModelOutput!$C$16:$C$26,0)))</f>
        <v>2.2239289154388602</v>
      </c>
      <c r="N381" s="39">
        <f>IF($B381="On campus",1,INDEX(ModelOutput!$E$16:$E$26,MATCH($B381,ModelOutput!$C$16:$C$26,0)))</f>
        <v>2.18885451801426</v>
      </c>
      <c r="O381" s="39">
        <f>IF($B381="On campus",1,INDEX(ModelOutput!$F$16:$F$26,MATCH($B381,ModelOutput!$C$16:$C$26,0)))</f>
        <v>2.8272585650489699</v>
      </c>
      <c r="P381" s="39">
        <f>IF($B381="On campus",1,INDEX(ModelOutput!$G$16:$G$26,MATCH($B381,ModelOutput!$C$16:$C$26,0)))</f>
        <v>3.5639394892119598</v>
      </c>
      <c r="Q381" s="73">
        <f>INDEX(ModelOutput!$D$9:$D$11,MATCH("Tier "&amp;$F381,ModelOutput!$B$9:$B$11,0))</f>
        <v>36.175496869914397</v>
      </c>
      <c r="R381" s="73">
        <f>INDEX(ModelOutput!$E$9:$E$11,MATCH("Tier "&amp;$F381,ModelOutput!$B$9:$B$11,0))</f>
        <v>106.647084447761</v>
      </c>
      <c r="S381" s="73">
        <f>INDEX(ModelOutput!$F$9:$F$11,MATCH("Tier "&amp;$F381,ModelOutput!$B$9:$B$11,0))</f>
        <v>123.726482920496</v>
      </c>
      <c r="T381" s="73">
        <f>INDEX(ModelOutput!$G$9:$G$11,MATCH("Tier "&amp;$F381,ModelOutput!$B$9:$B$11,0))</f>
        <v>20.551544113210401</v>
      </c>
      <c r="U381" s="77">
        <f t="shared" si="55"/>
        <v>304.07506436082303</v>
      </c>
      <c r="V381" s="77">
        <f t="shared" si="56"/>
        <v>882.28985428744409</v>
      </c>
      <c r="W381" s="77">
        <f t="shared" si="57"/>
        <v>1322.128286986894</v>
      </c>
      <c r="X381" s="77">
        <f t="shared" si="58"/>
        <v>276.83447952686436</v>
      </c>
      <c r="Y381" s="30">
        <f t="shared" si="59"/>
        <v>2785.3276851620253</v>
      </c>
      <c r="Z381" s="30">
        <f t="shared" si="60"/>
        <v>4570.8266259156089</v>
      </c>
      <c r="AA381" s="41">
        <f t="shared" si="61"/>
        <v>2.2048318613242608</v>
      </c>
      <c r="AB381" s="40">
        <f t="shared" si="62"/>
        <v>1782.7872193062994</v>
      </c>
      <c r="AC381" s="42">
        <f t="shared" si="63"/>
        <v>6</v>
      </c>
      <c r="AD381" s="43">
        <v>2785.3276851620199</v>
      </c>
      <c r="AE381" s="79">
        <f t="shared" si="64"/>
        <v>5.4569682106375694E-12</v>
      </c>
      <c r="AF381" s="29">
        <f t="shared" si="65"/>
        <v>3</v>
      </c>
    </row>
    <row r="382" spans="1:32" ht="15" customHeight="1" x14ac:dyDescent="0.35">
      <c r="A382" s="37" t="s">
        <v>109</v>
      </c>
      <c r="B382" s="37" t="s">
        <v>116</v>
      </c>
      <c r="C382" s="37" t="s">
        <v>210</v>
      </c>
      <c r="D382" s="37" t="s">
        <v>124</v>
      </c>
      <c r="E382" s="37" t="s">
        <v>97</v>
      </c>
      <c r="F382" s="37">
        <v>2</v>
      </c>
      <c r="G382" s="37" t="s">
        <v>211</v>
      </c>
      <c r="H382" s="38">
        <v>3</v>
      </c>
      <c r="I382" s="39">
        <f>IF($G382="Base",1,INDEX(ModelOutput!$D$16:$D$26,MATCH($G382,ModelOutput!$C$16:$C$26,0)))</f>
        <v>1</v>
      </c>
      <c r="J382" s="39">
        <f>IF($A382="Non-greek",1,INDEX(ModelOutput!$D$16:$D$26,MATCH($A382,ModelOutput!$C$16:$C$26,0)))</f>
        <v>4.3562312213391099</v>
      </c>
      <c r="K382" s="39">
        <f>IF($C382="Yes",1,INDEX(ModelOutput!$D$16:$D$26,MATCH($C382,ModelOutput!$C$16:$C$26,0)))</f>
        <v>1</v>
      </c>
      <c r="L382" s="39">
        <f>IF($D382="2.0-3.0",1,INDEX(ModelOutput!$D$16:$D$26,MATCH($D382,ModelOutput!$C$16:$C$26,0)))</f>
        <v>0.87654761766211098</v>
      </c>
      <c r="M382" s="39">
        <f>IF($B382="On campus",1,INDEX(ModelOutput!$D$16:$D$26,MATCH($B382,ModelOutput!$C$16:$C$26,0)))</f>
        <v>2.2239289154388602</v>
      </c>
      <c r="N382" s="39">
        <f>IF($B382="On campus",1,INDEX(ModelOutput!$E$16:$E$26,MATCH($B382,ModelOutput!$C$16:$C$26,0)))</f>
        <v>2.18885451801426</v>
      </c>
      <c r="O382" s="39">
        <f>IF($B382="On campus",1,INDEX(ModelOutput!$F$16:$F$26,MATCH($B382,ModelOutput!$C$16:$C$26,0)))</f>
        <v>2.8272585650489699</v>
      </c>
      <c r="P382" s="39">
        <f>IF($B382="On campus",1,INDEX(ModelOutput!$G$16:$G$26,MATCH($B382,ModelOutput!$C$16:$C$26,0)))</f>
        <v>3.5639394892119598</v>
      </c>
      <c r="Q382" s="73">
        <f>INDEX(ModelOutput!$D$9:$D$11,MATCH("Tier "&amp;$F382,ModelOutput!$B$9:$B$11,0))</f>
        <v>42.8051506068728</v>
      </c>
      <c r="R382" s="73">
        <f>INDEX(ModelOutput!$E$9:$E$11,MATCH("Tier "&amp;$F382,ModelOutput!$B$9:$B$11,0))</f>
        <v>126.191618818284</v>
      </c>
      <c r="S382" s="73">
        <f>INDEX(ModelOutput!$F$9:$F$11,MATCH("Tier "&amp;$F382,ModelOutput!$B$9:$B$11,0))</f>
        <v>146.401050261042</v>
      </c>
      <c r="T382" s="73">
        <f>INDEX(ModelOutput!$G$9:$G$11,MATCH("Tier "&amp;$F382,ModelOutput!$B$9:$B$11,0))</f>
        <v>24.317895180076398</v>
      </c>
      <c r="U382" s="77">
        <f t="shared" si="55"/>
        <v>363.49912352438525</v>
      </c>
      <c r="V382" s="77">
        <f t="shared" si="56"/>
        <v>1054.7118995176047</v>
      </c>
      <c r="W382" s="77">
        <f t="shared" si="57"/>
        <v>1580.5060323402574</v>
      </c>
      <c r="X382" s="77">
        <f t="shared" si="58"/>
        <v>330.93503040399094</v>
      </c>
      <c r="Y382" s="30">
        <f t="shared" si="59"/>
        <v>3329.6520857862379</v>
      </c>
      <c r="Z382" s="30">
        <f t="shared" si="60"/>
        <v>5455.9405366711226</v>
      </c>
      <c r="AA382" s="41">
        <f t="shared" si="61"/>
        <v>2.8254288548762454</v>
      </c>
      <c r="AB382" s="40">
        <f t="shared" si="62"/>
        <v>1782.7872193062994</v>
      </c>
      <c r="AC382" s="42">
        <f t="shared" si="63"/>
        <v>7</v>
      </c>
      <c r="AD382" s="43">
        <v>3329.6520857862401</v>
      </c>
      <c r="AE382" s="79">
        <f t="shared" si="64"/>
        <v>0</v>
      </c>
      <c r="AF382" s="29">
        <f t="shared" si="65"/>
        <v>2</v>
      </c>
    </row>
    <row r="383" spans="1:32" ht="15" customHeight="1" x14ac:dyDescent="0.35">
      <c r="A383" s="37" t="s">
        <v>109</v>
      </c>
      <c r="B383" s="37" t="s">
        <v>116</v>
      </c>
      <c r="C383" s="37" t="s">
        <v>210</v>
      </c>
      <c r="D383" s="37" t="s">
        <v>124</v>
      </c>
      <c r="E383" s="37" t="s">
        <v>99</v>
      </c>
      <c r="F383" s="37">
        <v>3</v>
      </c>
      <c r="G383" s="37" t="s">
        <v>211</v>
      </c>
      <c r="H383" s="38">
        <v>6</v>
      </c>
      <c r="I383" s="39">
        <f>IF($G383="Base",1,INDEX(ModelOutput!$D$16:$D$26,MATCH($G383,ModelOutput!$C$16:$C$26,0)))</f>
        <v>1</v>
      </c>
      <c r="J383" s="39">
        <f>IF($A383="Non-greek",1,INDEX(ModelOutput!$D$16:$D$26,MATCH($A383,ModelOutput!$C$16:$C$26,0)))</f>
        <v>4.3562312213391099</v>
      </c>
      <c r="K383" s="39">
        <f>IF($C383="Yes",1,INDEX(ModelOutput!$D$16:$D$26,MATCH($C383,ModelOutput!$C$16:$C$26,0)))</f>
        <v>1</v>
      </c>
      <c r="L383" s="39">
        <f>IF($D383="2.0-3.0",1,INDEX(ModelOutput!$D$16:$D$26,MATCH($D383,ModelOutput!$C$16:$C$26,0)))</f>
        <v>0.87654761766211098</v>
      </c>
      <c r="M383" s="39">
        <f>IF($B383="On campus",1,INDEX(ModelOutput!$D$16:$D$26,MATCH($B383,ModelOutput!$C$16:$C$26,0)))</f>
        <v>2.2239289154388602</v>
      </c>
      <c r="N383" s="39">
        <f>IF($B383="On campus",1,INDEX(ModelOutput!$E$16:$E$26,MATCH($B383,ModelOutput!$C$16:$C$26,0)))</f>
        <v>2.18885451801426</v>
      </c>
      <c r="O383" s="39">
        <f>IF($B383="On campus",1,INDEX(ModelOutput!$F$16:$F$26,MATCH($B383,ModelOutput!$C$16:$C$26,0)))</f>
        <v>2.8272585650489699</v>
      </c>
      <c r="P383" s="39">
        <f>IF($B383="On campus",1,INDEX(ModelOutput!$G$16:$G$26,MATCH($B383,ModelOutput!$C$16:$C$26,0)))</f>
        <v>3.5639394892119598</v>
      </c>
      <c r="Q383" s="73">
        <f>INDEX(ModelOutput!$D$9:$D$11,MATCH("Tier "&amp;$F383,ModelOutput!$B$9:$B$11,0))</f>
        <v>40.009437343712797</v>
      </c>
      <c r="R383" s="73">
        <f>INDEX(ModelOutput!$E$9:$E$11,MATCH("Tier "&amp;$F383,ModelOutput!$B$9:$B$11,0))</f>
        <v>117.949723218616</v>
      </c>
      <c r="S383" s="73">
        <f>INDEX(ModelOutput!$F$9:$F$11,MATCH("Tier "&amp;$F383,ModelOutput!$B$9:$B$11,0))</f>
        <v>136.83922529015501</v>
      </c>
      <c r="T383" s="73">
        <f>INDEX(ModelOutput!$G$9:$G$11,MATCH("Tier "&amp;$F383,ModelOutput!$B$9:$B$11,0))</f>
        <v>22.729631592092201</v>
      </c>
      <c r="U383" s="77">
        <f t="shared" si="55"/>
        <v>339.75807118894522</v>
      </c>
      <c r="V383" s="77">
        <f t="shared" si="56"/>
        <v>985.82598264804403</v>
      </c>
      <c r="W383" s="77">
        <f t="shared" si="57"/>
        <v>1477.2791632725696</v>
      </c>
      <c r="X383" s="77">
        <f t="shared" si="58"/>
        <v>309.32082181863046</v>
      </c>
      <c r="Y383" s="30">
        <f t="shared" si="59"/>
        <v>3112.1840389281892</v>
      </c>
      <c r="Z383" s="30">
        <f t="shared" si="60"/>
        <v>5102.3205387468024</v>
      </c>
      <c r="AA383" s="41">
        <f t="shared" si="61"/>
        <v>2.5774884430208158</v>
      </c>
      <c r="AB383" s="40">
        <f t="shared" si="62"/>
        <v>1782.7872193062994</v>
      </c>
      <c r="AC383" s="42">
        <f t="shared" si="63"/>
        <v>6</v>
      </c>
      <c r="AD383" s="43">
        <v>3112.1840389281901</v>
      </c>
      <c r="AE383" s="79">
        <f t="shared" si="64"/>
        <v>0</v>
      </c>
      <c r="AF383" s="29">
        <f t="shared" si="65"/>
        <v>1</v>
      </c>
    </row>
    <row r="384" spans="1:32" ht="15" customHeight="1" x14ac:dyDescent="0.35">
      <c r="A384" s="37" t="s">
        <v>109</v>
      </c>
      <c r="B384" s="37" t="s">
        <v>116</v>
      </c>
      <c r="C384" s="37" t="s">
        <v>210</v>
      </c>
      <c r="D384" s="37" t="s">
        <v>124</v>
      </c>
      <c r="E384" s="37" t="s">
        <v>213</v>
      </c>
      <c r="F384" s="37">
        <v>3</v>
      </c>
      <c r="G384" s="37" t="s">
        <v>107</v>
      </c>
      <c r="H384" s="38">
        <v>3</v>
      </c>
      <c r="I384" s="39">
        <f>IF($G384="Base",1,INDEX(ModelOutput!$D$16:$D$26,MATCH($G384,ModelOutput!$C$16:$C$26,0)))</f>
        <v>1.1906804269762199</v>
      </c>
      <c r="J384" s="39">
        <f>IF($A384="Non-greek",1,INDEX(ModelOutput!$D$16:$D$26,MATCH($A384,ModelOutput!$C$16:$C$26,0)))</f>
        <v>4.3562312213391099</v>
      </c>
      <c r="K384" s="39">
        <f>IF($C384="Yes",1,INDEX(ModelOutput!$D$16:$D$26,MATCH($C384,ModelOutput!$C$16:$C$26,0)))</f>
        <v>1</v>
      </c>
      <c r="L384" s="39">
        <f>IF($D384="2.0-3.0",1,INDEX(ModelOutput!$D$16:$D$26,MATCH($D384,ModelOutput!$C$16:$C$26,0)))</f>
        <v>0.87654761766211098</v>
      </c>
      <c r="M384" s="39">
        <f>IF($B384="On campus",1,INDEX(ModelOutput!$D$16:$D$26,MATCH($B384,ModelOutput!$C$16:$C$26,0)))</f>
        <v>2.2239289154388602</v>
      </c>
      <c r="N384" s="39">
        <f>IF($B384="On campus",1,INDEX(ModelOutput!$E$16:$E$26,MATCH($B384,ModelOutput!$C$16:$C$26,0)))</f>
        <v>2.18885451801426</v>
      </c>
      <c r="O384" s="39">
        <f>IF($B384="On campus",1,INDEX(ModelOutput!$F$16:$F$26,MATCH($B384,ModelOutput!$C$16:$C$26,0)))</f>
        <v>2.8272585650489699</v>
      </c>
      <c r="P384" s="39">
        <f>IF($B384="On campus",1,INDEX(ModelOutput!$G$16:$G$26,MATCH($B384,ModelOutput!$C$16:$C$26,0)))</f>
        <v>3.5639394892119598</v>
      </c>
      <c r="Q384" s="73">
        <f>INDEX(ModelOutput!$D$9:$D$11,MATCH("Tier "&amp;$F384,ModelOutput!$B$9:$B$11,0))</f>
        <v>40.009437343712797</v>
      </c>
      <c r="R384" s="73">
        <f>INDEX(ModelOutput!$E$9:$E$11,MATCH("Tier "&amp;$F384,ModelOutput!$B$9:$B$11,0))</f>
        <v>117.949723218616</v>
      </c>
      <c r="S384" s="73">
        <f>INDEX(ModelOutput!$F$9:$F$11,MATCH("Tier "&amp;$F384,ModelOutput!$B$9:$B$11,0))</f>
        <v>136.83922529015501</v>
      </c>
      <c r="T384" s="73">
        <f>INDEX(ModelOutput!$G$9:$G$11,MATCH("Tier "&amp;$F384,ModelOutput!$B$9:$B$11,0))</f>
        <v>22.729631592092201</v>
      </c>
      <c r="U384" s="77">
        <f t="shared" si="55"/>
        <v>404.54328527187027</v>
      </c>
      <c r="V384" s="77">
        <f t="shared" si="56"/>
        <v>1173.8037019436244</v>
      </c>
      <c r="W384" s="77">
        <f t="shared" si="57"/>
        <v>1758.9673848884563</v>
      </c>
      <c r="X384" s="77">
        <f t="shared" si="58"/>
        <v>368.30224819564216</v>
      </c>
      <c r="Y384" s="30">
        <f t="shared" si="59"/>
        <v>3705.6166202995933</v>
      </c>
      <c r="Z384" s="30">
        <f t="shared" si="60"/>
        <v>6067.2881798539038</v>
      </c>
      <c r="AA384" s="41">
        <f t="shared" si="61"/>
        <v>3.2540748232245198</v>
      </c>
      <c r="AB384" s="40">
        <f t="shared" si="62"/>
        <v>1782.7872193062994</v>
      </c>
      <c r="AC384" s="42">
        <f t="shared" si="63"/>
        <v>7</v>
      </c>
      <c r="AD384" s="43">
        <v>3705.6166202996001</v>
      </c>
      <c r="AE384" s="79">
        <f t="shared" si="64"/>
        <v>-6.8212102632969618E-12</v>
      </c>
      <c r="AF384" s="29">
        <f t="shared" si="65"/>
        <v>2</v>
      </c>
    </row>
    <row r="385" spans="1:32" ht="15" customHeight="1" x14ac:dyDescent="0.35">
      <c r="A385" s="19" t="s">
        <v>109</v>
      </c>
      <c r="B385" s="19" t="s">
        <v>116</v>
      </c>
      <c r="C385" s="19" t="s">
        <v>118</v>
      </c>
      <c r="D385" s="19" t="s">
        <v>121</v>
      </c>
      <c r="E385" s="19" t="s">
        <v>95</v>
      </c>
      <c r="F385" s="19">
        <v>1</v>
      </c>
      <c r="G385" s="19" t="s">
        <v>211</v>
      </c>
      <c r="H385" s="16">
        <v>0</v>
      </c>
      <c r="I385" s="13">
        <f>IF($G385="Base",1,INDEX(ModelOutput!$D$16:$D$26,MATCH($G385,ModelOutput!$C$16:$C$26,0)))</f>
        <v>1</v>
      </c>
      <c r="J385" s="13">
        <f>IF($A385="Non-greek",1,INDEX(ModelOutput!$D$16:$D$26,MATCH($A385,ModelOutput!$C$16:$C$26,0)))</f>
        <v>4.3562312213391099</v>
      </c>
      <c r="K385" s="13">
        <f>IF($C385="Yes",1,INDEX(ModelOutput!$D$16:$D$26,MATCH($C385,ModelOutput!$C$16:$C$26,0)))</f>
        <v>1.5400747552012299</v>
      </c>
      <c r="L385" s="13">
        <f>IF($D385="2.0-3.0",1,INDEX(ModelOutput!$D$16:$D$26,MATCH($D385,ModelOutput!$C$16:$C$26,0)))</f>
        <v>1.12144800201769</v>
      </c>
      <c r="M385" s="13">
        <f>IF($B385="On campus",1,INDEX(ModelOutput!$D$16:$D$26,MATCH($B385,ModelOutput!$C$16:$C$26,0)))</f>
        <v>2.2239289154388602</v>
      </c>
      <c r="N385" s="13">
        <f>IF($B385="On campus",1,INDEX(ModelOutput!$E$16:$E$26,MATCH($B385,ModelOutput!$C$16:$C$26,0)))</f>
        <v>2.18885451801426</v>
      </c>
      <c r="O385" s="13">
        <f>IF($B385="On campus",1,INDEX(ModelOutput!$F$16:$F$26,MATCH($B385,ModelOutput!$C$16:$C$26,0)))</f>
        <v>2.8272585650489699</v>
      </c>
      <c r="P385" s="13">
        <f>IF($B385="On campus",1,INDEX(ModelOutput!$G$16:$G$26,MATCH($B385,ModelOutput!$C$16:$C$26,0)))</f>
        <v>3.5639394892119598</v>
      </c>
      <c r="Q385" s="72">
        <f>INDEX(ModelOutput!$D$9:$D$11,MATCH("Tier "&amp;$F385,ModelOutput!$B$9:$B$11,0))</f>
        <v>36.175496869914397</v>
      </c>
      <c r="R385" s="72">
        <f>INDEX(ModelOutput!$E$9:$E$11,MATCH("Tier "&amp;$F385,ModelOutput!$B$9:$B$11,0))</f>
        <v>106.647084447761</v>
      </c>
      <c r="S385" s="72">
        <f>INDEX(ModelOutput!$F$9:$F$11,MATCH("Tier "&amp;$F385,ModelOutput!$B$9:$B$11,0))</f>
        <v>123.726482920496</v>
      </c>
      <c r="T385" s="72">
        <f>INDEX(ModelOutput!$G$9:$G$11,MATCH("Tier "&amp;$F385,ModelOutput!$B$9:$B$11,0))</f>
        <v>20.551544113210401</v>
      </c>
      <c r="U385" s="76">
        <f t="shared" si="55"/>
        <v>605.2952603298753</v>
      </c>
      <c r="V385" s="76">
        <f t="shared" si="56"/>
        <v>1756.2961572002305</v>
      </c>
      <c r="W385" s="76">
        <f t="shared" si="57"/>
        <v>2631.8435131911851</v>
      </c>
      <c r="X385" s="76">
        <f t="shared" si="58"/>
        <v>551.06984423642268</v>
      </c>
      <c r="Y385" s="27">
        <f t="shared" si="59"/>
        <v>5544.5047749577134</v>
      </c>
      <c r="Z385" s="27">
        <f t="shared" si="60"/>
        <v>9057.4636784075847</v>
      </c>
      <c r="AA385" s="33">
        <f t="shared" si="61"/>
        <v>5.3506342626883532</v>
      </c>
      <c r="AB385" s="14">
        <f t="shared" si="62"/>
        <v>1782.7872193062994</v>
      </c>
      <c r="AC385" s="29">
        <f t="shared" si="63"/>
        <v>9</v>
      </c>
      <c r="AD385" s="20">
        <v>5544.5047749577097</v>
      </c>
      <c r="AE385" s="78">
        <f t="shared" si="64"/>
        <v>0</v>
      </c>
      <c r="AF385" s="29">
        <f t="shared" si="65"/>
        <v>4</v>
      </c>
    </row>
    <row r="386" spans="1:32" ht="15" customHeight="1" x14ac:dyDescent="0.35">
      <c r="A386" s="19" t="s">
        <v>109</v>
      </c>
      <c r="B386" s="19" t="s">
        <v>116</v>
      </c>
      <c r="C386" s="19" t="s">
        <v>118</v>
      </c>
      <c r="D386" s="19" t="s">
        <v>121</v>
      </c>
      <c r="E386" s="19" t="s">
        <v>105</v>
      </c>
      <c r="F386" s="19">
        <v>1</v>
      </c>
      <c r="G386" s="19" t="s">
        <v>105</v>
      </c>
      <c r="H386" s="16">
        <v>0</v>
      </c>
      <c r="I386" s="13">
        <f>IF($G386="Base",1,INDEX(ModelOutput!$D$16:$D$26,MATCH($G386,ModelOutput!$C$16:$C$26,0)))</f>
        <v>0.98982624281990295</v>
      </c>
      <c r="J386" s="13">
        <f>IF($A386="Non-greek",1,INDEX(ModelOutput!$D$16:$D$26,MATCH($A386,ModelOutput!$C$16:$C$26,0)))</f>
        <v>4.3562312213391099</v>
      </c>
      <c r="K386" s="13">
        <f>IF($C386="Yes",1,INDEX(ModelOutput!$D$16:$D$26,MATCH($C386,ModelOutput!$C$16:$C$26,0)))</f>
        <v>1.5400747552012299</v>
      </c>
      <c r="L386" s="13">
        <f>IF($D386="2.0-3.0",1,INDEX(ModelOutput!$D$16:$D$26,MATCH($D386,ModelOutput!$C$16:$C$26,0)))</f>
        <v>1.12144800201769</v>
      </c>
      <c r="M386" s="13">
        <f>IF($B386="On campus",1,INDEX(ModelOutput!$D$16:$D$26,MATCH($B386,ModelOutput!$C$16:$C$26,0)))</f>
        <v>2.2239289154388602</v>
      </c>
      <c r="N386" s="13">
        <f>IF($B386="On campus",1,INDEX(ModelOutput!$E$16:$E$26,MATCH($B386,ModelOutput!$C$16:$C$26,0)))</f>
        <v>2.18885451801426</v>
      </c>
      <c r="O386" s="13">
        <f>IF($B386="On campus",1,INDEX(ModelOutput!$F$16:$F$26,MATCH($B386,ModelOutput!$C$16:$C$26,0)))</f>
        <v>2.8272585650489699</v>
      </c>
      <c r="P386" s="13">
        <f>IF($B386="On campus",1,INDEX(ModelOutput!$G$16:$G$26,MATCH($B386,ModelOutput!$C$16:$C$26,0)))</f>
        <v>3.5639394892119598</v>
      </c>
      <c r="Q386" s="72">
        <f>INDEX(ModelOutput!$D$9:$D$11,MATCH("Tier "&amp;$F386,ModelOutput!$B$9:$B$11,0))</f>
        <v>36.175496869914397</v>
      </c>
      <c r="R386" s="72">
        <f>INDEX(ModelOutput!$E$9:$E$11,MATCH("Tier "&amp;$F386,ModelOutput!$B$9:$B$11,0))</f>
        <v>106.647084447761</v>
      </c>
      <c r="S386" s="72">
        <f>INDEX(ModelOutput!$F$9:$F$11,MATCH("Tier "&amp;$F386,ModelOutput!$B$9:$B$11,0))</f>
        <v>123.726482920496</v>
      </c>
      <c r="T386" s="72">
        <f>INDEX(ModelOutput!$G$9:$G$11,MATCH("Tier "&amp;$F386,ModelOutput!$B$9:$B$11,0))</f>
        <v>20.551544113210401</v>
      </c>
      <c r="U386" s="76">
        <f t="shared" si="55"/>
        <v>599.13713332901557</v>
      </c>
      <c r="V386" s="76">
        <f t="shared" si="56"/>
        <v>1738.428026560538</v>
      </c>
      <c r="W386" s="76">
        <f t="shared" si="57"/>
        <v>2605.0677763519639</v>
      </c>
      <c r="X386" s="76">
        <f t="shared" si="58"/>
        <v>545.46339345188721</v>
      </c>
      <c r="Y386" s="27">
        <f t="shared" si="59"/>
        <v>5488.0963296934051</v>
      </c>
      <c r="Z386" s="27">
        <f t="shared" si="60"/>
        <v>8965.7391488250887</v>
      </c>
      <c r="AA386" s="33">
        <f t="shared" si="61"/>
        <v>5.28632167353779</v>
      </c>
      <c r="AB386" s="14">
        <f t="shared" si="62"/>
        <v>1782.7872193062994</v>
      </c>
      <c r="AC386" s="29">
        <f t="shared" si="63"/>
        <v>9</v>
      </c>
      <c r="AD386" s="20">
        <v>5488.0963296934096</v>
      </c>
      <c r="AE386" s="78">
        <f t="shared" si="64"/>
        <v>0</v>
      </c>
      <c r="AF386" s="29">
        <f t="shared" si="65"/>
        <v>3</v>
      </c>
    </row>
    <row r="387" spans="1:32" ht="15" customHeight="1" x14ac:dyDescent="0.35">
      <c r="A387" s="19" t="s">
        <v>109</v>
      </c>
      <c r="B387" s="19" t="s">
        <v>116</v>
      </c>
      <c r="C387" s="19" t="s">
        <v>118</v>
      </c>
      <c r="D387" s="19" t="s">
        <v>121</v>
      </c>
      <c r="E387" s="19" t="s">
        <v>97</v>
      </c>
      <c r="F387" s="19">
        <v>2</v>
      </c>
      <c r="G387" s="19" t="s">
        <v>211</v>
      </c>
      <c r="H387" s="16">
        <v>1</v>
      </c>
      <c r="I387" s="13">
        <f>IF($G387="Base",1,INDEX(ModelOutput!$D$16:$D$26,MATCH($G387,ModelOutput!$C$16:$C$26,0)))</f>
        <v>1</v>
      </c>
      <c r="J387" s="13">
        <f>IF($A387="Non-greek",1,INDEX(ModelOutput!$D$16:$D$26,MATCH($A387,ModelOutput!$C$16:$C$26,0)))</f>
        <v>4.3562312213391099</v>
      </c>
      <c r="K387" s="13">
        <f>IF($C387="Yes",1,INDEX(ModelOutput!$D$16:$D$26,MATCH($C387,ModelOutput!$C$16:$C$26,0)))</f>
        <v>1.5400747552012299</v>
      </c>
      <c r="L387" s="13">
        <f>IF($D387="2.0-3.0",1,INDEX(ModelOutput!$D$16:$D$26,MATCH($D387,ModelOutput!$C$16:$C$26,0)))</f>
        <v>1.12144800201769</v>
      </c>
      <c r="M387" s="13">
        <f>IF($B387="On campus",1,INDEX(ModelOutput!$D$16:$D$26,MATCH($B387,ModelOutput!$C$16:$C$26,0)))</f>
        <v>2.2239289154388602</v>
      </c>
      <c r="N387" s="13">
        <f>IF($B387="On campus",1,INDEX(ModelOutput!$E$16:$E$26,MATCH($B387,ModelOutput!$C$16:$C$26,0)))</f>
        <v>2.18885451801426</v>
      </c>
      <c r="O387" s="13">
        <f>IF($B387="On campus",1,INDEX(ModelOutput!$F$16:$F$26,MATCH($B387,ModelOutput!$C$16:$C$26,0)))</f>
        <v>2.8272585650489699</v>
      </c>
      <c r="P387" s="13">
        <f>IF($B387="On campus",1,INDEX(ModelOutput!$G$16:$G$26,MATCH($B387,ModelOutput!$C$16:$C$26,0)))</f>
        <v>3.5639394892119598</v>
      </c>
      <c r="Q387" s="72">
        <f>INDEX(ModelOutput!$D$9:$D$11,MATCH("Tier "&amp;$F387,ModelOutput!$B$9:$B$11,0))</f>
        <v>42.8051506068728</v>
      </c>
      <c r="R387" s="72">
        <f>INDEX(ModelOutput!$E$9:$E$11,MATCH("Tier "&amp;$F387,ModelOutput!$B$9:$B$11,0))</f>
        <v>126.191618818284</v>
      </c>
      <c r="S387" s="72">
        <f>INDEX(ModelOutput!$F$9:$F$11,MATCH("Tier "&amp;$F387,ModelOutput!$B$9:$B$11,0))</f>
        <v>146.401050261042</v>
      </c>
      <c r="T387" s="72">
        <f>INDEX(ModelOutput!$G$9:$G$11,MATCH("Tier "&amp;$F387,ModelOutput!$B$9:$B$11,0))</f>
        <v>24.317895180076398</v>
      </c>
      <c r="U387" s="76">
        <f t="shared" si="55"/>
        <v>716.22388140837438</v>
      </c>
      <c r="V387" s="76">
        <f t="shared" si="56"/>
        <v>2078.161408247307</v>
      </c>
      <c r="W387" s="76">
        <f t="shared" si="57"/>
        <v>3114.1647718337599</v>
      </c>
      <c r="X387" s="76">
        <f t="shared" si="58"/>
        <v>652.06091742899105</v>
      </c>
      <c r="Y387" s="27">
        <f t="shared" si="59"/>
        <v>6560.610978918432</v>
      </c>
      <c r="Z387" s="27">
        <f t="shared" si="60"/>
        <v>10709.731581333202</v>
      </c>
      <c r="AA387" s="33">
        <f t="shared" si="61"/>
        <v>6.509120736167036</v>
      </c>
      <c r="AB387" s="14">
        <f t="shared" si="62"/>
        <v>1782.7872193062994</v>
      </c>
      <c r="AC387" s="29">
        <f t="shared" si="63"/>
        <v>10</v>
      </c>
      <c r="AD387" s="20">
        <v>6560.6109789184402</v>
      </c>
      <c r="AE387" s="78">
        <f t="shared" si="64"/>
        <v>-8.1854523159563541E-12</v>
      </c>
      <c r="AF387" s="29">
        <f t="shared" si="65"/>
        <v>2</v>
      </c>
    </row>
    <row r="388" spans="1:32" ht="15" customHeight="1" x14ac:dyDescent="0.35">
      <c r="A388" s="19" t="s">
        <v>109</v>
      </c>
      <c r="B388" s="19" t="s">
        <v>116</v>
      </c>
      <c r="C388" s="19" t="s">
        <v>118</v>
      </c>
      <c r="D388" s="19" t="s">
        <v>121</v>
      </c>
      <c r="E388" s="19" t="s">
        <v>99</v>
      </c>
      <c r="F388" s="19">
        <v>3</v>
      </c>
      <c r="G388" s="19" t="s">
        <v>211</v>
      </c>
      <c r="H388" s="16">
        <v>2</v>
      </c>
      <c r="I388" s="13">
        <f>IF($G388="Base",1,INDEX(ModelOutput!$D$16:$D$26,MATCH($G388,ModelOutput!$C$16:$C$26,0)))</f>
        <v>1</v>
      </c>
      <c r="J388" s="13">
        <f>IF($A388="Non-greek",1,INDEX(ModelOutput!$D$16:$D$26,MATCH($A388,ModelOutput!$C$16:$C$26,0)))</f>
        <v>4.3562312213391099</v>
      </c>
      <c r="K388" s="13">
        <f>IF($C388="Yes",1,INDEX(ModelOutput!$D$16:$D$26,MATCH($C388,ModelOutput!$C$16:$C$26,0)))</f>
        <v>1.5400747552012299</v>
      </c>
      <c r="L388" s="13">
        <f>IF($D388="2.0-3.0",1,INDEX(ModelOutput!$D$16:$D$26,MATCH($D388,ModelOutput!$C$16:$C$26,0)))</f>
        <v>1.12144800201769</v>
      </c>
      <c r="M388" s="13">
        <f>IF($B388="On campus",1,INDEX(ModelOutput!$D$16:$D$26,MATCH($B388,ModelOutput!$C$16:$C$26,0)))</f>
        <v>2.2239289154388602</v>
      </c>
      <c r="N388" s="13">
        <f>IF($B388="On campus",1,INDEX(ModelOutput!$E$16:$E$26,MATCH($B388,ModelOutput!$C$16:$C$26,0)))</f>
        <v>2.18885451801426</v>
      </c>
      <c r="O388" s="13">
        <f>IF($B388="On campus",1,INDEX(ModelOutput!$F$16:$F$26,MATCH($B388,ModelOutput!$C$16:$C$26,0)))</f>
        <v>2.8272585650489699</v>
      </c>
      <c r="P388" s="13">
        <f>IF($B388="On campus",1,INDEX(ModelOutput!$G$16:$G$26,MATCH($B388,ModelOutput!$C$16:$C$26,0)))</f>
        <v>3.5639394892119598</v>
      </c>
      <c r="Q388" s="72">
        <f>INDEX(ModelOutput!$D$9:$D$11,MATCH("Tier "&amp;$F388,ModelOutput!$B$9:$B$11,0))</f>
        <v>40.009437343712797</v>
      </c>
      <c r="R388" s="72">
        <f>INDEX(ModelOutput!$E$9:$E$11,MATCH("Tier "&amp;$F388,ModelOutput!$B$9:$B$11,0))</f>
        <v>117.949723218616</v>
      </c>
      <c r="S388" s="72">
        <f>INDEX(ModelOutput!$F$9:$F$11,MATCH("Tier "&amp;$F388,ModelOutput!$B$9:$B$11,0))</f>
        <v>136.83922529015501</v>
      </c>
      <c r="T388" s="72">
        <f>INDEX(ModelOutput!$G$9:$G$11,MATCH("Tier "&amp;$F388,ModelOutput!$B$9:$B$11,0))</f>
        <v>22.729631592092201</v>
      </c>
      <c r="U388" s="76">
        <f t="shared" si="55"/>
        <v>669.44547796260235</v>
      </c>
      <c r="V388" s="76">
        <f t="shared" si="56"/>
        <v>1942.4314007679859</v>
      </c>
      <c r="W388" s="76">
        <f t="shared" si="57"/>
        <v>2910.7707495526201</v>
      </c>
      <c r="X388" s="76">
        <f t="shared" si="58"/>
        <v>609.47316036239499</v>
      </c>
      <c r="Y388" s="27">
        <f t="shared" si="59"/>
        <v>6132.1207886456032</v>
      </c>
      <c r="Z388" s="27">
        <f t="shared" si="60"/>
        <v>10012.973127003703</v>
      </c>
      <c r="AA388" s="33">
        <f t="shared" si="61"/>
        <v>6.0205890378913614</v>
      </c>
      <c r="AB388" s="14">
        <f t="shared" si="62"/>
        <v>1782.7872193062994</v>
      </c>
      <c r="AC388" s="29">
        <f t="shared" si="63"/>
        <v>9</v>
      </c>
      <c r="AD388" s="20">
        <v>6132.1207886456205</v>
      </c>
      <c r="AE388" s="78">
        <f t="shared" si="64"/>
        <v>-1.7280399333685637E-11</v>
      </c>
      <c r="AF388" s="29">
        <f t="shared" si="65"/>
        <v>1</v>
      </c>
    </row>
    <row r="389" spans="1:32" ht="15" customHeight="1" x14ac:dyDescent="0.35">
      <c r="A389" s="19" t="s">
        <v>109</v>
      </c>
      <c r="B389" s="19" t="s">
        <v>116</v>
      </c>
      <c r="C389" s="19" t="s">
        <v>118</v>
      </c>
      <c r="D389" s="19" t="s">
        <v>121</v>
      </c>
      <c r="E389" s="19" t="s">
        <v>213</v>
      </c>
      <c r="F389" s="19">
        <v>3</v>
      </c>
      <c r="G389" s="19" t="s">
        <v>107</v>
      </c>
      <c r="H389" s="16">
        <v>0</v>
      </c>
      <c r="I389" s="13">
        <f>IF($G389="Base",1,INDEX(ModelOutput!$D$16:$D$26,MATCH($G389,ModelOutput!$C$16:$C$26,0)))</f>
        <v>1.1906804269762199</v>
      </c>
      <c r="J389" s="13">
        <f>IF($A389="Non-greek",1,INDEX(ModelOutput!$D$16:$D$26,MATCH($A389,ModelOutput!$C$16:$C$26,0)))</f>
        <v>4.3562312213391099</v>
      </c>
      <c r="K389" s="13">
        <f>IF($C389="Yes",1,INDEX(ModelOutput!$D$16:$D$26,MATCH($C389,ModelOutput!$C$16:$C$26,0)))</f>
        <v>1.5400747552012299</v>
      </c>
      <c r="L389" s="13">
        <f>IF($D389="2.0-3.0",1,INDEX(ModelOutput!$D$16:$D$26,MATCH($D389,ModelOutput!$C$16:$C$26,0)))</f>
        <v>1.12144800201769</v>
      </c>
      <c r="M389" s="13">
        <f>IF($B389="On campus",1,INDEX(ModelOutput!$D$16:$D$26,MATCH($B389,ModelOutput!$C$16:$C$26,0)))</f>
        <v>2.2239289154388602</v>
      </c>
      <c r="N389" s="13">
        <f>IF($B389="On campus",1,INDEX(ModelOutput!$E$16:$E$26,MATCH($B389,ModelOutput!$C$16:$C$26,0)))</f>
        <v>2.18885451801426</v>
      </c>
      <c r="O389" s="13">
        <f>IF($B389="On campus",1,INDEX(ModelOutput!$F$16:$F$26,MATCH($B389,ModelOutput!$C$16:$C$26,0)))</f>
        <v>2.8272585650489699</v>
      </c>
      <c r="P389" s="13">
        <f>IF($B389="On campus",1,INDEX(ModelOutput!$G$16:$G$26,MATCH($B389,ModelOutput!$C$16:$C$26,0)))</f>
        <v>3.5639394892119598</v>
      </c>
      <c r="Q389" s="72">
        <f>INDEX(ModelOutput!$D$9:$D$11,MATCH("Tier "&amp;$F389,ModelOutput!$B$9:$B$11,0))</f>
        <v>40.009437343712797</v>
      </c>
      <c r="R389" s="72">
        <f>INDEX(ModelOutput!$E$9:$E$11,MATCH("Tier "&amp;$F389,ModelOutput!$B$9:$B$11,0))</f>
        <v>117.949723218616</v>
      </c>
      <c r="S389" s="72">
        <f>INDEX(ModelOutput!$F$9:$F$11,MATCH("Tier "&amp;$F389,ModelOutput!$B$9:$B$11,0))</f>
        <v>136.83922529015501</v>
      </c>
      <c r="T389" s="72">
        <f>INDEX(ModelOutput!$G$9:$G$11,MATCH("Tier "&amp;$F389,ModelOutput!$B$9:$B$11,0))</f>
        <v>22.729631592092201</v>
      </c>
      <c r="U389" s="76">
        <f t="shared" ref="U389:U404" si="66">$Q389*$I389*$J389*$K389*$L389*$M389</f>
        <v>797.09562753781108</v>
      </c>
      <c r="V389" s="76">
        <f t="shared" ref="V389:V404" si="67">$R389*$I389*$J389*$K389*$L389*$N389</f>
        <v>2312.8150496384424</v>
      </c>
      <c r="W389" s="76">
        <f t="shared" ref="W389:W404" si="68">$S389*$I389*$J389*$K389*$L389*$O389</f>
        <v>3465.7977589072057</v>
      </c>
      <c r="X389" s="76">
        <f t="shared" ref="X389:X404" si="69">$T389*$I389*$J389*$K389*$L389*$P389</f>
        <v>725.68776281084263</v>
      </c>
      <c r="Y389" s="27">
        <f t="shared" ref="Y389:Y404" si="70">SUM(U389:X389)</f>
        <v>7301.396198894302</v>
      </c>
      <c r="Z389" s="27">
        <f t="shared" ref="Z389:Z404" si="71">$Y389*GROSS_MULT+POLICY_FEE</f>
        <v>11914.30610037151</v>
      </c>
      <c r="AA389" s="33">
        <f t="shared" ref="AA389:AA404" si="72">$Z389/CURRENT_FLAT-1</f>
        <v>7.3537073096470582</v>
      </c>
      <c r="AB389" s="14">
        <f t="shared" ref="AB389:AB404" si="73">MEDIAN(CURRENT_FLAT*(1-CAP_DOWN),$Z389,CURRENT_FLAT*(1+CAP_UP))</f>
        <v>1782.7872193062994</v>
      </c>
      <c r="AC389" s="29">
        <f t="shared" ref="AC389:AC404" si="74">IF($Z389&gt;CURRENT_FLAT,ROUNDUP(LN($Z389/CURRENT_FLAT)/LN(1+CAP_UP),0),IF($Z389&lt;CURRENT_FLAT,ROUNDUP(LN($Z389/CURRENT_FLAT)/LN(1-CAP_DOWN),0),0))</f>
        <v>10</v>
      </c>
      <c r="AD389" s="20">
        <v>7301.3961988943302</v>
      </c>
      <c r="AE389" s="78">
        <f t="shared" ref="AE389:AE404" si="75">$Y389-$AD389</f>
        <v>-2.8194335754960775E-11</v>
      </c>
      <c r="AF389" s="29">
        <f t="shared" ref="AF389:AF404" si="76">IF($E389="Freshman",4,IF($E389="Sophomore",3,IF($E389="Junior",2,IF($E389="Senior",1,2))))</f>
        <v>2</v>
      </c>
    </row>
    <row r="390" spans="1:32" ht="15" customHeight="1" x14ac:dyDescent="0.35">
      <c r="A390" s="37" t="s">
        <v>109</v>
      </c>
      <c r="B390" s="37" t="s">
        <v>116</v>
      </c>
      <c r="C390" s="37" t="s">
        <v>118</v>
      </c>
      <c r="D390" s="37" t="s">
        <v>123</v>
      </c>
      <c r="E390" s="37" t="s">
        <v>95</v>
      </c>
      <c r="F390" s="37">
        <v>1</v>
      </c>
      <c r="G390" s="37" t="s">
        <v>211</v>
      </c>
      <c r="H390" s="38">
        <v>5</v>
      </c>
      <c r="I390" s="39">
        <f>IF($G390="Base",1,INDEX(ModelOutput!$D$16:$D$26,MATCH($G390,ModelOutput!$C$16:$C$26,0)))</f>
        <v>1</v>
      </c>
      <c r="J390" s="39">
        <f>IF($A390="Non-greek",1,INDEX(ModelOutput!$D$16:$D$26,MATCH($A390,ModelOutput!$C$16:$C$26,0)))</f>
        <v>4.3562312213391099</v>
      </c>
      <c r="K390" s="39">
        <f>IF($C390="Yes",1,INDEX(ModelOutput!$D$16:$D$26,MATCH($C390,ModelOutput!$C$16:$C$26,0)))</f>
        <v>1.5400747552012299</v>
      </c>
      <c r="L390" s="39">
        <f>IF($D390="2.0-3.0",1,INDEX(ModelOutput!$D$16:$D$26,MATCH($D390,ModelOutput!$C$16:$C$26,0)))</f>
        <v>1.01762556011242</v>
      </c>
      <c r="M390" s="39">
        <f>IF($B390="On campus",1,INDEX(ModelOutput!$D$16:$D$26,MATCH($B390,ModelOutput!$C$16:$C$26,0)))</f>
        <v>2.2239289154388602</v>
      </c>
      <c r="N390" s="39">
        <f>IF($B390="On campus",1,INDEX(ModelOutput!$E$16:$E$26,MATCH($B390,ModelOutput!$C$16:$C$26,0)))</f>
        <v>2.18885451801426</v>
      </c>
      <c r="O390" s="39">
        <f>IF($B390="On campus",1,INDEX(ModelOutput!$F$16:$F$26,MATCH($B390,ModelOutput!$C$16:$C$26,0)))</f>
        <v>2.8272585650489699</v>
      </c>
      <c r="P390" s="39">
        <f>IF($B390="On campus",1,INDEX(ModelOutput!$G$16:$G$26,MATCH($B390,ModelOutput!$C$16:$C$26,0)))</f>
        <v>3.5639394892119598</v>
      </c>
      <c r="Q390" s="73">
        <f>INDEX(ModelOutput!$D$9:$D$11,MATCH("Tier "&amp;$F390,ModelOutput!$B$9:$B$11,0))</f>
        <v>36.175496869914397</v>
      </c>
      <c r="R390" s="73">
        <f>INDEX(ModelOutput!$E$9:$E$11,MATCH("Tier "&amp;$F390,ModelOutput!$B$9:$B$11,0))</f>
        <v>106.647084447761</v>
      </c>
      <c r="S390" s="73">
        <f>INDEX(ModelOutput!$F$9:$F$11,MATCH("Tier "&amp;$F390,ModelOutput!$B$9:$B$11,0))</f>
        <v>123.726482920496</v>
      </c>
      <c r="T390" s="73">
        <f>INDEX(ModelOutput!$G$9:$G$11,MATCH("Tier "&amp;$F390,ModelOutput!$B$9:$B$11,0))</f>
        <v>20.551544113210401</v>
      </c>
      <c r="U390" s="77">
        <f t="shared" si="66"/>
        <v>549.25768044381073</v>
      </c>
      <c r="V390" s="77">
        <f t="shared" si="67"/>
        <v>1593.7001603985047</v>
      </c>
      <c r="W390" s="77">
        <f t="shared" si="68"/>
        <v>2388.1902900721134</v>
      </c>
      <c r="X390" s="77">
        <f t="shared" si="69"/>
        <v>500.05239466582748</v>
      </c>
      <c r="Y390" s="30">
        <f t="shared" si="70"/>
        <v>5031.2005255802569</v>
      </c>
      <c r="Z390" s="30">
        <f t="shared" si="71"/>
        <v>8222.7909518994766</v>
      </c>
      <c r="AA390" s="41">
        <f t="shared" si="72"/>
        <v>4.7654040698551841</v>
      </c>
      <c r="AB390" s="40">
        <f t="shared" si="73"/>
        <v>1782.7872193062994</v>
      </c>
      <c r="AC390" s="42">
        <f t="shared" si="74"/>
        <v>8</v>
      </c>
      <c r="AD390" s="43">
        <v>5031.2005255802496</v>
      </c>
      <c r="AE390" s="79">
        <f t="shared" si="75"/>
        <v>7.2759576141834259E-12</v>
      </c>
      <c r="AF390" s="29">
        <f t="shared" si="76"/>
        <v>4</v>
      </c>
    </row>
    <row r="391" spans="1:32" ht="15" customHeight="1" x14ac:dyDescent="0.35">
      <c r="A391" s="37" t="s">
        <v>109</v>
      </c>
      <c r="B391" s="37" t="s">
        <v>116</v>
      </c>
      <c r="C391" s="37" t="s">
        <v>118</v>
      </c>
      <c r="D391" s="37" t="s">
        <v>123</v>
      </c>
      <c r="E391" s="37" t="s">
        <v>105</v>
      </c>
      <c r="F391" s="37">
        <v>1</v>
      </c>
      <c r="G391" s="37" t="s">
        <v>105</v>
      </c>
      <c r="H391" s="38">
        <v>0</v>
      </c>
      <c r="I391" s="39">
        <f>IF($G391="Base",1,INDEX(ModelOutput!$D$16:$D$26,MATCH($G391,ModelOutput!$C$16:$C$26,0)))</f>
        <v>0.98982624281990295</v>
      </c>
      <c r="J391" s="39">
        <f>IF($A391="Non-greek",1,INDEX(ModelOutput!$D$16:$D$26,MATCH($A391,ModelOutput!$C$16:$C$26,0)))</f>
        <v>4.3562312213391099</v>
      </c>
      <c r="K391" s="39">
        <f>IF($C391="Yes",1,INDEX(ModelOutput!$D$16:$D$26,MATCH($C391,ModelOutput!$C$16:$C$26,0)))</f>
        <v>1.5400747552012299</v>
      </c>
      <c r="L391" s="39">
        <f>IF($D391="2.0-3.0",1,INDEX(ModelOutput!$D$16:$D$26,MATCH($D391,ModelOutput!$C$16:$C$26,0)))</f>
        <v>1.01762556011242</v>
      </c>
      <c r="M391" s="39">
        <f>IF($B391="On campus",1,INDEX(ModelOutput!$D$16:$D$26,MATCH($B391,ModelOutput!$C$16:$C$26,0)))</f>
        <v>2.2239289154388602</v>
      </c>
      <c r="N391" s="39">
        <f>IF($B391="On campus",1,INDEX(ModelOutput!$E$16:$E$26,MATCH($B391,ModelOutput!$C$16:$C$26,0)))</f>
        <v>2.18885451801426</v>
      </c>
      <c r="O391" s="39">
        <f>IF($B391="On campus",1,INDEX(ModelOutput!$F$16:$F$26,MATCH($B391,ModelOutput!$C$16:$C$26,0)))</f>
        <v>2.8272585650489699</v>
      </c>
      <c r="P391" s="39">
        <f>IF($B391="On campus",1,INDEX(ModelOutput!$G$16:$G$26,MATCH($B391,ModelOutput!$C$16:$C$26,0)))</f>
        <v>3.5639394892119598</v>
      </c>
      <c r="Q391" s="73">
        <f>INDEX(ModelOutput!$D$9:$D$11,MATCH("Tier "&amp;$F391,ModelOutput!$B$9:$B$11,0))</f>
        <v>36.175496869914397</v>
      </c>
      <c r="R391" s="73">
        <f>INDEX(ModelOutput!$E$9:$E$11,MATCH("Tier "&amp;$F391,ModelOutput!$B$9:$B$11,0))</f>
        <v>106.647084447761</v>
      </c>
      <c r="S391" s="73">
        <f>INDEX(ModelOutput!$F$9:$F$11,MATCH("Tier "&amp;$F391,ModelOutput!$B$9:$B$11,0))</f>
        <v>123.726482920496</v>
      </c>
      <c r="T391" s="73">
        <f>INDEX(ModelOutput!$G$9:$G$11,MATCH("Tier "&amp;$F391,ModelOutput!$B$9:$B$11,0))</f>
        <v>20.551544113210401</v>
      </c>
      <c r="U391" s="77">
        <f t="shared" si="66"/>
        <v>543.66966617367211</v>
      </c>
      <c r="V391" s="77">
        <f t="shared" si="67"/>
        <v>1577.486241948729</v>
      </c>
      <c r="W391" s="77">
        <f t="shared" si="68"/>
        <v>2363.8934219610537</v>
      </c>
      <c r="X391" s="77">
        <f t="shared" si="69"/>
        <v>494.96498302517125</v>
      </c>
      <c r="Y391" s="30">
        <f t="shared" si="70"/>
        <v>4980.0143131086261</v>
      </c>
      <c r="Z391" s="30">
        <f t="shared" si="71"/>
        <v>8139.5581799613219</v>
      </c>
      <c r="AA391" s="41">
        <f t="shared" si="72"/>
        <v>4.7070454705809661</v>
      </c>
      <c r="AB391" s="40">
        <f t="shared" si="73"/>
        <v>1782.7872193062994</v>
      </c>
      <c r="AC391" s="42">
        <f t="shared" si="74"/>
        <v>8</v>
      </c>
      <c r="AD391" s="43">
        <v>4980.0143131086197</v>
      </c>
      <c r="AE391" s="79">
        <f t="shared" si="75"/>
        <v>0</v>
      </c>
      <c r="AF391" s="29">
        <f t="shared" si="76"/>
        <v>3</v>
      </c>
    </row>
    <row r="392" spans="1:32" ht="15" customHeight="1" x14ac:dyDescent="0.35">
      <c r="A392" s="37" t="s">
        <v>109</v>
      </c>
      <c r="B392" s="37" t="s">
        <v>116</v>
      </c>
      <c r="C392" s="37" t="s">
        <v>118</v>
      </c>
      <c r="D392" s="37" t="s">
        <v>123</v>
      </c>
      <c r="E392" s="37" t="s">
        <v>97</v>
      </c>
      <c r="F392" s="37">
        <v>2</v>
      </c>
      <c r="G392" s="37" t="s">
        <v>211</v>
      </c>
      <c r="H392" s="38">
        <v>4</v>
      </c>
      <c r="I392" s="39">
        <f>IF($G392="Base",1,INDEX(ModelOutput!$D$16:$D$26,MATCH($G392,ModelOutput!$C$16:$C$26,0)))</f>
        <v>1</v>
      </c>
      <c r="J392" s="39">
        <f>IF($A392="Non-greek",1,INDEX(ModelOutput!$D$16:$D$26,MATCH($A392,ModelOutput!$C$16:$C$26,0)))</f>
        <v>4.3562312213391099</v>
      </c>
      <c r="K392" s="39">
        <f>IF($C392="Yes",1,INDEX(ModelOutput!$D$16:$D$26,MATCH($C392,ModelOutput!$C$16:$C$26,0)))</f>
        <v>1.5400747552012299</v>
      </c>
      <c r="L392" s="39">
        <f>IF($D392="2.0-3.0",1,INDEX(ModelOutput!$D$16:$D$26,MATCH($D392,ModelOutput!$C$16:$C$26,0)))</f>
        <v>1.01762556011242</v>
      </c>
      <c r="M392" s="39">
        <f>IF($B392="On campus",1,INDEX(ModelOutput!$D$16:$D$26,MATCH($B392,ModelOutput!$C$16:$C$26,0)))</f>
        <v>2.2239289154388602</v>
      </c>
      <c r="N392" s="39">
        <f>IF($B392="On campus",1,INDEX(ModelOutput!$E$16:$E$26,MATCH($B392,ModelOutput!$C$16:$C$26,0)))</f>
        <v>2.18885451801426</v>
      </c>
      <c r="O392" s="39">
        <f>IF($B392="On campus",1,INDEX(ModelOutput!$F$16:$F$26,MATCH($B392,ModelOutput!$C$16:$C$26,0)))</f>
        <v>2.8272585650489699</v>
      </c>
      <c r="P392" s="39">
        <f>IF($B392="On campus",1,INDEX(ModelOutput!$G$16:$G$26,MATCH($B392,ModelOutput!$C$16:$C$26,0)))</f>
        <v>3.5639394892119598</v>
      </c>
      <c r="Q392" s="73">
        <f>INDEX(ModelOutput!$D$9:$D$11,MATCH("Tier "&amp;$F392,ModelOutput!$B$9:$B$11,0))</f>
        <v>42.8051506068728</v>
      </c>
      <c r="R392" s="73">
        <f>INDEX(ModelOutput!$E$9:$E$11,MATCH("Tier "&amp;$F392,ModelOutput!$B$9:$B$11,0))</f>
        <v>126.191618818284</v>
      </c>
      <c r="S392" s="73">
        <f>INDEX(ModelOutput!$F$9:$F$11,MATCH("Tier "&amp;$F392,ModelOutput!$B$9:$B$11,0))</f>
        <v>146.401050261042</v>
      </c>
      <c r="T392" s="73">
        <f>INDEX(ModelOutput!$G$9:$G$11,MATCH("Tier "&amp;$F392,ModelOutput!$B$9:$B$11,0))</f>
        <v>24.317895180076398</v>
      </c>
      <c r="U392" s="77">
        <f t="shared" si="66"/>
        <v>649.91664987833417</v>
      </c>
      <c r="V392" s="77">
        <f t="shared" si="67"/>
        <v>1885.7674749669955</v>
      </c>
      <c r="W392" s="77">
        <f t="shared" si="68"/>
        <v>2825.8587687685826</v>
      </c>
      <c r="X392" s="77">
        <f t="shared" si="69"/>
        <v>591.69382363893885</v>
      </c>
      <c r="Y392" s="30">
        <f t="shared" si="70"/>
        <v>5953.2367172528511</v>
      </c>
      <c r="Z392" s="30">
        <f t="shared" si="71"/>
        <v>9722.0936811792344</v>
      </c>
      <c r="AA392" s="41">
        <f t="shared" si="72"/>
        <v>5.8166391198399712</v>
      </c>
      <c r="AB392" s="40">
        <f t="shared" si="73"/>
        <v>1782.7872193062994</v>
      </c>
      <c r="AC392" s="42">
        <f t="shared" si="74"/>
        <v>9</v>
      </c>
      <c r="AD392" s="43">
        <v>5953.2367172528502</v>
      </c>
      <c r="AE392" s="79">
        <f t="shared" si="75"/>
        <v>0</v>
      </c>
      <c r="AF392" s="29">
        <f t="shared" si="76"/>
        <v>2</v>
      </c>
    </row>
    <row r="393" spans="1:32" ht="15" customHeight="1" x14ac:dyDescent="0.35">
      <c r="A393" s="37" t="s">
        <v>109</v>
      </c>
      <c r="B393" s="37" t="s">
        <v>116</v>
      </c>
      <c r="C393" s="37" t="s">
        <v>118</v>
      </c>
      <c r="D393" s="37" t="s">
        <v>123</v>
      </c>
      <c r="E393" s="37" t="s">
        <v>99</v>
      </c>
      <c r="F393" s="37">
        <v>3</v>
      </c>
      <c r="G393" s="37" t="s">
        <v>211</v>
      </c>
      <c r="H393" s="38">
        <v>0</v>
      </c>
      <c r="I393" s="39">
        <f>IF($G393="Base",1,INDEX(ModelOutput!$D$16:$D$26,MATCH($G393,ModelOutput!$C$16:$C$26,0)))</f>
        <v>1</v>
      </c>
      <c r="J393" s="39">
        <f>IF($A393="Non-greek",1,INDEX(ModelOutput!$D$16:$D$26,MATCH($A393,ModelOutput!$C$16:$C$26,0)))</f>
        <v>4.3562312213391099</v>
      </c>
      <c r="K393" s="39">
        <f>IF($C393="Yes",1,INDEX(ModelOutput!$D$16:$D$26,MATCH($C393,ModelOutput!$C$16:$C$26,0)))</f>
        <v>1.5400747552012299</v>
      </c>
      <c r="L393" s="39">
        <f>IF($D393="2.0-3.0",1,INDEX(ModelOutput!$D$16:$D$26,MATCH($D393,ModelOutput!$C$16:$C$26,0)))</f>
        <v>1.01762556011242</v>
      </c>
      <c r="M393" s="39">
        <f>IF($B393="On campus",1,INDEX(ModelOutput!$D$16:$D$26,MATCH($B393,ModelOutput!$C$16:$C$26,0)))</f>
        <v>2.2239289154388602</v>
      </c>
      <c r="N393" s="39">
        <f>IF($B393="On campus",1,INDEX(ModelOutput!$E$16:$E$26,MATCH($B393,ModelOutput!$C$16:$C$26,0)))</f>
        <v>2.18885451801426</v>
      </c>
      <c r="O393" s="39">
        <f>IF($B393="On campus",1,INDEX(ModelOutput!$F$16:$F$26,MATCH($B393,ModelOutput!$C$16:$C$26,0)))</f>
        <v>2.8272585650489699</v>
      </c>
      <c r="P393" s="39">
        <f>IF($B393="On campus",1,INDEX(ModelOutput!$G$16:$G$26,MATCH($B393,ModelOutput!$C$16:$C$26,0)))</f>
        <v>3.5639394892119598</v>
      </c>
      <c r="Q393" s="73">
        <f>INDEX(ModelOutput!$D$9:$D$11,MATCH("Tier "&amp;$F393,ModelOutput!$B$9:$B$11,0))</f>
        <v>40.009437343712797</v>
      </c>
      <c r="R393" s="73">
        <f>INDEX(ModelOutput!$E$9:$E$11,MATCH("Tier "&amp;$F393,ModelOutput!$B$9:$B$11,0))</f>
        <v>117.949723218616</v>
      </c>
      <c r="S393" s="73">
        <f>INDEX(ModelOutput!$F$9:$F$11,MATCH("Tier "&amp;$F393,ModelOutput!$B$9:$B$11,0))</f>
        <v>136.83922529015501</v>
      </c>
      <c r="T393" s="73">
        <f>INDEX(ModelOutput!$G$9:$G$11,MATCH("Tier "&amp;$F393,ModelOutput!$B$9:$B$11,0))</f>
        <v>22.729631592092201</v>
      </c>
      <c r="U393" s="77">
        <f t="shared" si="66"/>
        <v>607.46894037952347</v>
      </c>
      <c r="V393" s="77">
        <f t="shared" si="67"/>
        <v>1762.6032046337302</v>
      </c>
      <c r="W393" s="77">
        <f t="shared" si="68"/>
        <v>2641.2947448682594</v>
      </c>
      <c r="X393" s="77">
        <f t="shared" si="69"/>
        <v>553.04879501447056</v>
      </c>
      <c r="Y393" s="30">
        <f t="shared" si="70"/>
        <v>5564.4156848959838</v>
      </c>
      <c r="Z393" s="30">
        <f t="shared" si="71"/>
        <v>9089.8403702148116</v>
      </c>
      <c r="AA393" s="41">
        <f t="shared" si="72"/>
        <v>5.3733351572879799</v>
      </c>
      <c r="AB393" s="40">
        <f t="shared" si="73"/>
        <v>1782.7872193062994</v>
      </c>
      <c r="AC393" s="42">
        <f t="shared" si="74"/>
        <v>9</v>
      </c>
      <c r="AD393" s="43">
        <v>5564.4156848959901</v>
      </c>
      <c r="AE393" s="79">
        <f t="shared" si="75"/>
        <v>0</v>
      </c>
      <c r="AF393" s="29">
        <f t="shared" si="76"/>
        <v>1</v>
      </c>
    </row>
    <row r="394" spans="1:32" ht="15" customHeight="1" x14ac:dyDescent="0.35">
      <c r="A394" s="37" t="s">
        <v>109</v>
      </c>
      <c r="B394" s="37" t="s">
        <v>116</v>
      </c>
      <c r="C394" s="37" t="s">
        <v>118</v>
      </c>
      <c r="D394" s="37" t="s">
        <v>123</v>
      </c>
      <c r="E394" s="37" t="s">
        <v>213</v>
      </c>
      <c r="F394" s="37">
        <v>3</v>
      </c>
      <c r="G394" s="37" t="s">
        <v>107</v>
      </c>
      <c r="H394" s="38">
        <v>4</v>
      </c>
      <c r="I394" s="39">
        <f>IF($G394="Base",1,INDEX(ModelOutput!$D$16:$D$26,MATCH($G394,ModelOutput!$C$16:$C$26,0)))</f>
        <v>1.1906804269762199</v>
      </c>
      <c r="J394" s="39">
        <f>IF($A394="Non-greek",1,INDEX(ModelOutput!$D$16:$D$26,MATCH($A394,ModelOutput!$C$16:$C$26,0)))</f>
        <v>4.3562312213391099</v>
      </c>
      <c r="K394" s="39">
        <f>IF($C394="Yes",1,INDEX(ModelOutput!$D$16:$D$26,MATCH($C394,ModelOutput!$C$16:$C$26,0)))</f>
        <v>1.5400747552012299</v>
      </c>
      <c r="L394" s="39">
        <f>IF($D394="2.0-3.0",1,INDEX(ModelOutput!$D$16:$D$26,MATCH($D394,ModelOutput!$C$16:$C$26,0)))</f>
        <v>1.01762556011242</v>
      </c>
      <c r="M394" s="39">
        <f>IF($B394="On campus",1,INDEX(ModelOutput!$D$16:$D$26,MATCH($B394,ModelOutput!$C$16:$C$26,0)))</f>
        <v>2.2239289154388602</v>
      </c>
      <c r="N394" s="39">
        <f>IF($B394="On campus",1,INDEX(ModelOutput!$E$16:$E$26,MATCH($B394,ModelOutput!$C$16:$C$26,0)))</f>
        <v>2.18885451801426</v>
      </c>
      <c r="O394" s="39">
        <f>IF($B394="On campus",1,INDEX(ModelOutput!$F$16:$F$26,MATCH($B394,ModelOutput!$C$16:$C$26,0)))</f>
        <v>2.8272585650489699</v>
      </c>
      <c r="P394" s="39">
        <f>IF($B394="On campus",1,INDEX(ModelOutput!$G$16:$G$26,MATCH($B394,ModelOutput!$C$16:$C$26,0)))</f>
        <v>3.5639394892119598</v>
      </c>
      <c r="Q394" s="73">
        <f>INDEX(ModelOutput!$D$9:$D$11,MATCH("Tier "&amp;$F394,ModelOutput!$B$9:$B$11,0))</f>
        <v>40.009437343712797</v>
      </c>
      <c r="R394" s="73">
        <f>INDEX(ModelOutput!$E$9:$E$11,MATCH("Tier "&amp;$F394,ModelOutput!$B$9:$B$11,0))</f>
        <v>117.949723218616</v>
      </c>
      <c r="S394" s="73">
        <f>INDEX(ModelOutput!$F$9:$F$11,MATCH("Tier "&amp;$F394,ModelOutput!$B$9:$B$11,0))</f>
        <v>136.83922529015501</v>
      </c>
      <c r="T394" s="73">
        <f>INDEX(ModelOutput!$G$9:$G$11,MATCH("Tier "&amp;$F394,ModelOutput!$B$9:$B$11,0))</f>
        <v>22.729631592092201</v>
      </c>
      <c r="U394" s="77">
        <f t="shared" si="66"/>
        <v>723.30137730588308</v>
      </c>
      <c r="V394" s="77">
        <f t="shared" si="67"/>
        <v>2098.6971362829431</v>
      </c>
      <c r="W394" s="77">
        <f t="shared" si="68"/>
        <v>3144.9379545897855</v>
      </c>
      <c r="X394" s="77">
        <f t="shared" si="69"/>
        <v>658.50437538651374</v>
      </c>
      <c r="Y394" s="30">
        <f t="shared" si="70"/>
        <v>6625.4408435651258</v>
      </c>
      <c r="Z394" s="30">
        <f t="shared" si="71"/>
        <v>10815.149995362379</v>
      </c>
      <c r="AA394" s="41">
        <f t="shared" si="72"/>
        <v>6.583034782728209</v>
      </c>
      <c r="AB394" s="40">
        <f t="shared" si="73"/>
        <v>1782.7872193062994</v>
      </c>
      <c r="AC394" s="42">
        <f t="shared" si="74"/>
        <v>10</v>
      </c>
      <c r="AD394" s="43">
        <v>6625.4408435651403</v>
      </c>
      <c r="AE394" s="79">
        <f t="shared" si="75"/>
        <v>-1.4551915228366852E-11</v>
      </c>
      <c r="AF394" s="29">
        <f t="shared" si="76"/>
        <v>2</v>
      </c>
    </row>
    <row r="395" spans="1:32" ht="15" customHeight="1" x14ac:dyDescent="0.35">
      <c r="A395" s="19" t="s">
        <v>109</v>
      </c>
      <c r="B395" s="19" t="s">
        <v>116</v>
      </c>
      <c r="C395" s="19" t="s">
        <v>118</v>
      </c>
      <c r="D395" s="19" t="s">
        <v>122</v>
      </c>
      <c r="E395" s="19" t="s">
        <v>95</v>
      </c>
      <c r="F395" s="19">
        <v>1</v>
      </c>
      <c r="G395" s="19" t="s">
        <v>211</v>
      </c>
      <c r="H395" s="16">
        <v>4</v>
      </c>
      <c r="I395" s="13">
        <f>IF($G395="Base",1,INDEX(ModelOutput!$D$16:$D$26,MATCH($G395,ModelOutput!$C$16:$C$26,0)))</f>
        <v>1</v>
      </c>
      <c r="J395" s="13">
        <f>IF($A395="Non-greek",1,INDEX(ModelOutput!$D$16:$D$26,MATCH($A395,ModelOutput!$C$16:$C$26,0)))</f>
        <v>4.3562312213391099</v>
      </c>
      <c r="K395" s="13">
        <f>IF($C395="Yes",1,INDEX(ModelOutput!$D$16:$D$26,MATCH($C395,ModelOutput!$C$16:$C$26,0)))</f>
        <v>1.5400747552012299</v>
      </c>
      <c r="L395" s="13">
        <f>IF($D395="2.0-3.0",1,INDEX(ModelOutput!$D$16:$D$26,MATCH($D395,ModelOutput!$C$16:$C$26,0)))</f>
        <v>1</v>
      </c>
      <c r="M395" s="13">
        <f>IF($B395="On campus",1,INDEX(ModelOutput!$D$16:$D$26,MATCH($B395,ModelOutput!$C$16:$C$26,0)))</f>
        <v>2.2239289154388602</v>
      </c>
      <c r="N395" s="13">
        <f>IF($B395="On campus",1,INDEX(ModelOutput!$E$16:$E$26,MATCH($B395,ModelOutput!$C$16:$C$26,0)))</f>
        <v>2.18885451801426</v>
      </c>
      <c r="O395" s="13">
        <f>IF($B395="On campus",1,INDEX(ModelOutput!$F$16:$F$26,MATCH($B395,ModelOutput!$C$16:$C$26,0)))</f>
        <v>2.8272585650489699</v>
      </c>
      <c r="P395" s="13">
        <f>IF($B395="On campus",1,INDEX(ModelOutput!$G$16:$G$26,MATCH($B395,ModelOutput!$C$16:$C$26,0)))</f>
        <v>3.5639394892119598</v>
      </c>
      <c r="Q395" s="72">
        <f>INDEX(ModelOutput!$D$9:$D$11,MATCH("Tier "&amp;$F395,ModelOutput!$B$9:$B$11,0))</f>
        <v>36.175496869914397</v>
      </c>
      <c r="R395" s="72">
        <f>INDEX(ModelOutput!$E$9:$E$11,MATCH("Tier "&amp;$F395,ModelOutput!$B$9:$B$11,0))</f>
        <v>106.647084447761</v>
      </c>
      <c r="S395" s="72">
        <f>INDEX(ModelOutput!$F$9:$F$11,MATCH("Tier "&amp;$F395,ModelOutput!$B$9:$B$11,0))</f>
        <v>123.726482920496</v>
      </c>
      <c r="T395" s="72">
        <f>INDEX(ModelOutput!$G$9:$G$11,MATCH("Tier "&amp;$F395,ModelOutput!$B$9:$B$11,0))</f>
        <v>20.551544113210401</v>
      </c>
      <c r="U395" s="76">
        <f t="shared" si="66"/>
        <v>539.74438336939249</v>
      </c>
      <c r="V395" s="76">
        <f t="shared" si="67"/>
        <v>1566.096826638714</v>
      </c>
      <c r="W395" s="76">
        <f t="shared" si="68"/>
        <v>2346.8261644374215</v>
      </c>
      <c r="X395" s="76">
        <f t="shared" si="69"/>
        <v>491.39134694158554</v>
      </c>
      <c r="Y395" s="27">
        <f t="shared" si="70"/>
        <v>4944.0587213871131</v>
      </c>
      <c r="Z395" s="27">
        <f t="shared" si="71"/>
        <v>8081.0915847367432</v>
      </c>
      <c r="AA395" s="33">
        <f t="shared" si="72"/>
        <v>4.6660516586222061</v>
      </c>
      <c r="AB395" s="14">
        <f t="shared" si="73"/>
        <v>1782.7872193062994</v>
      </c>
      <c r="AC395" s="29">
        <f t="shared" si="74"/>
        <v>8</v>
      </c>
      <c r="AD395" s="20">
        <v>4944.0587213871004</v>
      </c>
      <c r="AE395" s="78">
        <f t="shared" si="75"/>
        <v>1.2732925824820995E-11</v>
      </c>
      <c r="AF395" s="29">
        <f t="shared" si="76"/>
        <v>4</v>
      </c>
    </row>
    <row r="396" spans="1:32" ht="15" customHeight="1" x14ac:dyDescent="0.35">
      <c r="A396" s="19" t="s">
        <v>109</v>
      </c>
      <c r="B396" s="19" t="s">
        <v>116</v>
      </c>
      <c r="C396" s="19" t="s">
        <v>118</v>
      </c>
      <c r="D396" s="19" t="s">
        <v>122</v>
      </c>
      <c r="E396" s="19" t="s">
        <v>105</v>
      </c>
      <c r="F396" s="19">
        <v>1</v>
      </c>
      <c r="G396" s="19" t="s">
        <v>105</v>
      </c>
      <c r="H396" s="16">
        <v>5</v>
      </c>
      <c r="I396" s="13">
        <f>IF($G396="Base",1,INDEX(ModelOutput!$D$16:$D$26,MATCH($G396,ModelOutput!$C$16:$C$26,0)))</f>
        <v>0.98982624281990295</v>
      </c>
      <c r="J396" s="13">
        <f>IF($A396="Non-greek",1,INDEX(ModelOutput!$D$16:$D$26,MATCH($A396,ModelOutput!$C$16:$C$26,0)))</f>
        <v>4.3562312213391099</v>
      </c>
      <c r="K396" s="13">
        <f>IF($C396="Yes",1,INDEX(ModelOutput!$D$16:$D$26,MATCH($C396,ModelOutput!$C$16:$C$26,0)))</f>
        <v>1.5400747552012299</v>
      </c>
      <c r="L396" s="13">
        <f>IF($D396="2.0-3.0",1,INDEX(ModelOutput!$D$16:$D$26,MATCH($D396,ModelOutput!$C$16:$C$26,0)))</f>
        <v>1</v>
      </c>
      <c r="M396" s="13">
        <f>IF($B396="On campus",1,INDEX(ModelOutput!$D$16:$D$26,MATCH($B396,ModelOutput!$C$16:$C$26,0)))</f>
        <v>2.2239289154388602</v>
      </c>
      <c r="N396" s="13">
        <f>IF($B396="On campus",1,INDEX(ModelOutput!$E$16:$E$26,MATCH($B396,ModelOutput!$C$16:$C$26,0)))</f>
        <v>2.18885451801426</v>
      </c>
      <c r="O396" s="13">
        <f>IF($B396="On campus",1,INDEX(ModelOutput!$F$16:$F$26,MATCH($B396,ModelOutput!$C$16:$C$26,0)))</f>
        <v>2.8272585650489699</v>
      </c>
      <c r="P396" s="13">
        <f>IF($B396="On campus",1,INDEX(ModelOutput!$G$16:$G$26,MATCH($B396,ModelOutput!$C$16:$C$26,0)))</f>
        <v>3.5639394892119598</v>
      </c>
      <c r="Q396" s="72">
        <f>INDEX(ModelOutput!$D$9:$D$11,MATCH("Tier "&amp;$F396,ModelOutput!$B$9:$B$11,0))</f>
        <v>36.175496869914397</v>
      </c>
      <c r="R396" s="72">
        <f>INDEX(ModelOutput!$E$9:$E$11,MATCH("Tier "&amp;$F396,ModelOutput!$B$9:$B$11,0))</f>
        <v>106.647084447761</v>
      </c>
      <c r="S396" s="72">
        <f>INDEX(ModelOutput!$F$9:$F$11,MATCH("Tier "&amp;$F396,ModelOutput!$B$9:$B$11,0))</f>
        <v>123.726482920496</v>
      </c>
      <c r="T396" s="72">
        <f>INDEX(ModelOutput!$G$9:$G$11,MATCH("Tier "&amp;$F396,ModelOutput!$B$9:$B$11,0))</f>
        <v>20.551544113210401</v>
      </c>
      <c r="U396" s="76">
        <f t="shared" si="66"/>
        <v>534.25315507367111</v>
      </c>
      <c r="V396" s="76">
        <f t="shared" si="67"/>
        <v>1550.1637378039713</v>
      </c>
      <c r="W396" s="76">
        <f t="shared" si="68"/>
        <v>2322.9501248965362</v>
      </c>
      <c r="X396" s="76">
        <f t="shared" si="69"/>
        <v>486.39205069740098</v>
      </c>
      <c r="Y396" s="27">
        <f t="shared" si="70"/>
        <v>4893.7590684715797</v>
      </c>
      <c r="Z396" s="27">
        <f t="shared" si="71"/>
        <v>7999.300427752677</v>
      </c>
      <c r="AA396" s="33">
        <f t="shared" si="72"/>
        <v>4.6087038466551302</v>
      </c>
      <c r="AB396" s="14">
        <f t="shared" si="73"/>
        <v>1782.7872193062994</v>
      </c>
      <c r="AC396" s="29">
        <f t="shared" si="74"/>
        <v>8</v>
      </c>
      <c r="AD396" s="20">
        <v>4893.7590684715697</v>
      </c>
      <c r="AE396" s="78">
        <f t="shared" si="75"/>
        <v>1.0004441719502211E-11</v>
      </c>
      <c r="AF396" s="29">
        <f t="shared" si="76"/>
        <v>3</v>
      </c>
    </row>
    <row r="397" spans="1:32" ht="15" customHeight="1" x14ac:dyDescent="0.35">
      <c r="A397" s="19" t="s">
        <v>109</v>
      </c>
      <c r="B397" s="19" t="s">
        <v>116</v>
      </c>
      <c r="C397" s="19" t="s">
        <v>118</v>
      </c>
      <c r="D397" s="19" t="s">
        <v>122</v>
      </c>
      <c r="E397" s="19" t="s">
        <v>97</v>
      </c>
      <c r="F397" s="19">
        <v>2</v>
      </c>
      <c r="G397" s="19" t="s">
        <v>211</v>
      </c>
      <c r="H397" s="16">
        <v>8</v>
      </c>
      <c r="I397" s="13">
        <f>IF($G397="Base",1,INDEX(ModelOutput!$D$16:$D$26,MATCH($G397,ModelOutput!$C$16:$C$26,0)))</f>
        <v>1</v>
      </c>
      <c r="J397" s="13">
        <f>IF($A397="Non-greek",1,INDEX(ModelOutput!$D$16:$D$26,MATCH($A397,ModelOutput!$C$16:$C$26,0)))</f>
        <v>4.3562312213391099</v>
      </c>
      <c r="K397" s="13">
        <f>IF($C397="Yes",1,INDEX(ModelOutput!$D$16:$D$26,MATCH($C397,ModelOutput!$C$16:$C$26,0)))</f>
        <v>1.5400747552012299</v>
      </c>
      <c r="L397" s="13">
        <f>IF($D397="2.0-3.0",1,INDEX(ModelOutput!$D$16:$D$26,MATCH($D397,ModelOutput!$C$16:$C$26,0)))</f>
        <v>1</v>
      </c>
      <c r="M397" s="13">
        <f>IF($B397="On campus",1,INDEX(ModelOutput!$D$16:$D$26,MATCH($B397,ModelOutput!$C$16:$C$26,0)))</f>
        <v>2.2239289154388602</v>
      </c>
      <c r="N397" s="13">
        <f>IF($B397="On campus",1,INDEX(ModelOutput!$E$16:$E$26,MATCH($B397,ModelOutput!$C$16:$C$26,0)))</f>
        <v>2.18885451801426</v>
      </c>
      <c r="O397" s="13">
        <f>IF($B397="On campus",1,INDEX(ModelOutput!$F$16:$F$26,MATCH($B397,ModelOutput!$C$16:$C$26,0)))</f>
        <v>2.8272585650489699</v>
      </c>
      <c r="P397" s="13">
        <f>IF($B397="On campus",1,INDEX(ModelOutput!$G$16:$G$26,MATCH($B397,ModelOutput!$C$16:$C$26,0)))</f>
        <v>3.5639394892119598</v>
      </c>
      <c r="Q397" s="72">
        <f>INDEX(ModelOutput!$D$9:$D$11,MATCH("Tier "&amp;$F397,ModelOutput!$B$9:$B$11,0))</f>
        <v>42.8051506068728</v>
      </c>
      <c r="R397" s="72">
        <f>INDEX(ModelOutput!$E$9:$E$11,MATCH("Tier "&amp;$F397,ModelOutput!$B$9:$B$11,0))</f>
        <v>126.191618818284</v>
      </c>
      <c r="S397" s="72">
        <f>INDEX(ModelOutput!$F$9:$F$11,MATCH("Tier "&amp;$F397,ModelOutput!$B$9:$B$11,0))</f>
        <v>146.401050261042</v>
      </c>
      <c r="T397" s="72">
        <f>INDEX(ModelOutput!$G$9:$G$11,MATCH("Tier "&amp;$F397,ModelOutput!$B$9:$B$11,0))</f>
        <v>24.317895180076398</v>
      </c>
      <c r="U397" s="76">
        <f t="shared" si="66"/>
        <v>638.65991122170328</v>
      </c>
      <c r="V397" s="76">
        <f t="shared" si="67"/>
        <v>1853.1054534033808</v>
      </c>
      <c r="W397" s="76">
        <f t="shared" si="68"/>
        <v>2776.9141023309221</v>
      </c>
      <c r="X397" s="76">
        <f t="shared" si="69"/>
        <v>581.44552066240624</v>
      </c>
      <c r="Y397" s="27">
        <f t="shared" si="70"/>
        <v>5850.124987618412</v>
      </c>
      <c r="Z397" s="27">
        <f t="shared" si="71"/>
        <v>9554.4259702391337</v>
      </c>
      <c r="AA397" s="33">
        <f t="shared" si="72"/>
        <v>5.6990790227036019</v>
      </c>
      <c r="AB397" s="14">
        <f t="shared" si="73"/>
        <v>1782.7872193062994</v>
      </c>
      <c r="AC397" s="29">
        <f t="shared" si="74"/>
        <v>9</v>
      </c>
      <c r="AD397" s="20">
        <v>5850.1249876184002</v>
      </c>
      <c r="AE397" s="78">
        <f t="shared" si="75"/>
        <v>1.1823431123048067E-11</v>
      </c>
      <c r="AF397" s="29">
        <f t="shared" si="76"/>
        <v>2</v>
      </c>
    </row>
    <row r="398" spans="1:32" ht="15" customHeight="1" x14ac:dyDescent="0.35">
      <c r="A398" s="19" t="s">
        <v>109</v>
      </c>
      <c r="B398" s="19" t="s">
        <v>116</v>
      </c>
      <c r="C398" s="19" t="s">
        <v>118</v>
      </c>
      <c r="D398" s="19" t="s">
        <v>122</v>
      </c>
      <c r="E398" s="19" t="s">
        <v>99</v>
      </c>
      <c r="F398" s="19">
        <v>3</v>
      </c>
      <c r="G398" s="19" t="s">
        <v>211</v>
      </c>
      <c r="H398" s="16">
        <v>2</v>
      </c>
      <c r="I398" s="13">
        <f>IF($G398="Base",1,INDEX(ModelOutput!$D$16:$D$26,MATCH($G398,ModelOutput!$C$16:$C$26,0)))</f>
        <v>1</v>
      </c>
      <c r="J398" s="13">
        <f>IF($A398="Non-greek",1,INDEX(ModelOutput!$D$16:$D$26,MATCH($A398,ModelOutput!$C$16:$C$26,0)))</f>
        <v>4.3562312213391099</v>
      </c>
      <c r="K398" s="13">
        <f>IF($C398="Yes",1,INDEX(ModelOutput!$D$16:$D$26,MATCH($C398,ModelOutput!$C$16:$C$26,0)))</f>
        <v>1.5400747552012299</v>
      </c>
      <c r="L398" s="13">
        <f>IF($D398="2.0-3.0",1,INDEX(ModelOutput!$D$16:$D$26,MATCH($D398,ModelOutput!$C$16:$C$26,0)))</f>
        <v>1</v>
      </c>
      <c r="M398" s="13">
        <f>IF($B398="On campus",1,INDEX(ModelOutput!$D$16:$D$26,MATCH($B398,ModelOutput!$C$16:$C$26,0)))</f>
        <v>2.2239289154388602</v>
      </c>
      <c r="N398" s="13">
        <f>IF($B398="On campus",1,INDEX(ModelOutput!$E$16:$E$26,MATCH($B398,ModelOutput!$C$16:$C$26,0)))</f>
        <v>2.18885451801426</v>
      </c>
      <c r="O398" s="13">
        <f>IF($B398="On campus",1,INDEX(ModelOutput!$F$16:$F$26,MATCH($B398,ModelOutput!$C$16:$C$26,0)))</f>
        <v>2.8272585650489699</v>
      </c>
      <c r="P398" s="13">
        <f>IF($B398="On campus",1,INDEX(ModelOutput!$G$16:$G$26,MATCH($B398,ModelOutput!$C$16:$C$26,0)))</f>
        <v>3.5639394892119598</v>
      </c>
      <c r="Q398" s="72">
        <f>INDEX(ModelOutput!$D$9:$D$11,MATCH("Tier "&amp;$F398,ModelOutput!$B$9:$B$11,0))</f>
        <v>40.009437343712797</v>
      </c>
      <c r="R398" s="72">
        <f>INDEX(ModelOutput!$E$9:$E$11,MATCH("Tier "&amp;$F398,ModelOutput!$B$9:$B$11,0))</f>
        <v>117.949723218616</v>
      </c>
      <c r="S398" s="72">
        <f>INDEX(ModelOutput!$F$9:$F$11,MATCH("Tier "&amp;$F398,ModelOutput!$B$9:$B$11,0))</f>
        <v>136.83922529015501</v>
      </c>
      <c r="T398" s="72">
        <f>INDEX(ModelOutput!$G$9:$G$11,MATCH("Tier "&amp;$F398,ModelOutput!$B$9:$B$11,0))</f>
        <v>22.729631592092201</v>
      </c>
      <c r="U398" s="76">
        <f t="shared" si="66"/>
        <v>596.94740795663063</v>
      </c>
      <c r="V398" s="76">
        <f t="shared" si="67"/>
        <v>1732.074422775908</v>
      </c>
      <c r="W398" s="76">
        <f t="shared" si="68"/>
        <v>2595.546779088831</v>
      </c>
      <c r="X398" s="76">
        <f t="shared" si="69"/>
        <v>543.46983477240258</v>
      </c>
      <c r="Y398" s="27">
        <f t="shared" si="70"/>
        <v>5468.0384445937725</v>
      </c>
      <c r="Z398" s="27">
        <f t="shared" si="71"/>
        <v>8933.123463947355</v>
      </c>
      <c r="AA398" s="33">
        <f t="shared" si="72"/>
        <v>5.2634532091155295</v>
      </c>
      <c r="AB398" s="14">
        <f t="shared" si="73"/>
        <v>1782.7872193062994</v>
      </c>
      <c r="AC398" s="29">
        <f t="shared" si="74"/>
        <v>9</v>
      </c>
      <c r="AD398" s="20">
        <v>5468.0384445937698</v>
      </c>
      <c r="AE398" s="78">
        <f t="shared" si="75"/>
        <v>0</v>
      </c>
      <c r="AF398" s="29">
        <f t="shared" si="76"/>
        <v>1</v>
      </c>
    </row>
    <row r="399" spans="1:32" ht="15" customHeight="1" x14ac:dyDescent="0.35">
      <c r="A399" s="19" t="s">
        <v>109</v>
      </c>
      <c r="B399" s="19" t="s">
        <v>116</v>
      </c>
      <c r="C399" s="19" t="s">
        <v>118</v>
      </c>
      <c r="D399" s="19" t="s">
        <v>122</v>
      </c>
      <c r="E399" s="19" t="s">
        <v>213</v>
      </c>
      <c r="F399" s="19">
        <v>3</v>
      </c>
      <c r="G399" s="19" t="s">
        <v>107</v>
      </c>
      <c r="H399" s="16">
        <v>6</v>
      </c>
      <c r="I399" s="13">
        <f>IF($G399="Base",1,INDEX(ModelOutput!$D$16:$D$26,MATCH($G399,ModelOutput!$C$16:$C$26,0)))</f>
        <v>1.1906804269762199</v>
      </c>
      <c r="J399" s="13">
        <f>IF($A399="Non-greek",1,INDEX(ModelOutput!$D$16:$D$26,MATCH($A399,ModelOutput!$C$16:$C$26,0)))</f>
        <v>4.3562312213391099</v>
      </c>
      <c r="K399" s="13">
        <f>IF($C399="Yes",1,INDEX(ModelOutput!$D$16:$D$26,MATCH($C399,ModelOutput!$C$16:$C$26,0)))</f>
        <v>1.5400747552012299</v>
      </c>
      <c r="L399" s="13">
        <f>IF($D399="2.0-3.0",1,INDEX(ModelOutput!$D$16:$D$26,MATCH($D399,ModelOutput!$C$16:$C$26,0)))</f>
        <v>1</v>
      </c>
      <c r="M399" s="13">
        <f>IF($B399="On campus",1,INDEX(ModelOutput!$D$16:$D$26,MATCH($B399,ModelOutput!$C$16:$C$26,0)))</f>
        <v>2.2239289154388602</v>
      </c>
      <c r="N399" s="13">
        <f>IF($B399="On campus",1,INDEX(ModelOutput!$E$16:$E$26,MATCH($B399,ModelOutput!$C$16:$C$26,0)))</f>
        <v>2.18885451801426</v>
      </c>
      <c r="O399" s="13">
        <f>IF($B399="On campus",1,INDEX(ModelOutput!$F$16:$F$26,MATCH($B399,ModelOutput!$C$16:$C$26,0)))</f>
        <v>2.8272585650489699</v>
      </c>
      <c r="P399" s="13">
        <f>IF($B399="On campus",1,INDEX(ModelOutput!$G$16:$G$26,MATCH($B399,ModelOutput!$C$16:$C$26,0)))</f>
        <v>3.5639394892119598</v>
      </c>
      <c r="Q399" s="72">
        <f>INDEX(ModelOutput!$D$9:$D$11,MATCH("Tier "&amp;$F399,ModelOutput!$B$9:$B$11,0))</f>
        <v>40.009437343712797</v>
      </c>
      <c r="R399" s="72">
        <f>INDEX(ModelOutput!$E$9:$E$11,MATCH("Tier "&amp;$F399,ModelOutput!$B$9:$B$11,0))</f>
        <v>117.949723218616</v>
      </c>
      <c r="S399" s="72">
        <f>INDEX(ModelOutput!$F$9:$F$11,MATCH("Tier "&amp;$F399,ModelOutput!$B$9:$B$11,0))</f>
        <v>136.83922529015501</v>
      </c>
      <c r="T399" s="72">
        <f>INDEX(ModelOutput!$G$9:$G$11,MATCH("Tier "&amp;$F399,ModelOutput!$B$9:$B$11,0))</f>
        <v>22.729631592092201</v>
      </c>
      <c r="U399" s="76">
        <f t="shared" si="66"/>
        <v>710.77359458814885</v>
      </c>
      <c r="V399" s="76">
        <f t="shared" si="67"/>
        <v>2062.3471132654081</v>
      </c>
      <c r="W399" s="76">
        <f t="shared" si="68"/>
        <v>3090.466747162242</v>
      </c>
      <c r="X399" s="76">
        <f t="shared" si="69"/>
        <v>647.09889491550007</v>
      </c>
      <c r="Y399" s="27">
        <f t="shared" si="70"/>
        <v>6510.6863499312985</v>
      </c>
      <c r="Z399" s="27">
        <f t="shared" si="71"/>
        <v>10628.550242493449</v>
      </c>
      <c r="AA399" s="33">
        <f t="shared" si="72"/>
        <v>6.4522004977612566</v>
      </c>
      <c r="AB399" s="14">
        <f t="shared" si="73"/>
        <v>1782.7872193062994</v>
      </c>
      <c r="AC399" s="29">
        <f t="shared" si="74"/>
        <v>10</v>
      </c>
      <c r="AD399" s="20">
        <v>6510.6863499313004</v>
      </c>
      <c r="AE399" s="78">
        <f t="shared" si="75"/>
        <v>0</v>
      </c>
      <c r="AF399" s="29">
        <f t="shared" si="76"/>
        <v>2</v>
      </c>
    </row>
    <row r="400" spans="1:32" ht="15" customHeight="1" x14ac:dyDescent="0.35">
      <c r="A400" s="37" t="s">
        <v>109</v>
      </c>
      <c r="B400" s="37" t="s">
        <v>116</v>
      </c>
      <c r="C400" s="37" t="s">
        <v>118</v>
      </c>
      <c r="D400" s="37" t="s">
        <v>124</v>
      </c>
      <c r="E400" s="37" t="s">
        <v>95</v>
      </c>
      <c r="F400" s="37">
        <v>1</v>
      </c>
      <c r="G400" s="37" t="s">
        <v>211</v>
      </c>
      <c r="H400" s="38">
        <v>3</v>
      </c>
      <c r="I400" s="39">
        <f>IF($G400="Base",1,INDEX(ModelOutput!$D$16:$D$26,MATCH($G400,ModelOutput!$C$16:$C$26,0)))</f>
        <v>1</v>
      </c>
      <c r="J400" s="39">
        <f>IF($A400="Non-greek",1,INDEX(ModelOutput!$D$16:$D$26,MATCH($A400,ModelOutput!$C$16:$C$26,0)))</f>
        <v>4.3562312213391099</v>
      </c>
      <c r="K400" s="39">
        <f>IF($C400="Yes",1,INDEX(ModelOutput!$D$16:$D$26,MATCH($C400,ModelOutput!$C$16:$C$26,0)))</f>
        <v>1.5400747552012299</v>
      </c>
      <c r="L400" s="39">
        <f>IF($D400="2.0-3.0",1,INDEX(ModelOutput!$D$16:$D$26,MATCH($D400,ModelOutput!$C$16:$C$26,0)))</f>
        <v>0.87654761766211098</v>
      </c>
      <c r="M400" s="39">
        <f>IF($B400="On campus",1,INDEX(ModelOutput!$D$16:$D$26,MATCH($B400,ModelOutput!$C$16:$C$26,0)))</f>
        <v>2.2239289154388602</v>
      </c>
      <c r="N400" s="39">
        <f>IF($B400="On campus",1,INDEX(ModelOutput!$E$16:$E$26,MATCH($B400,ModelOutput!$C$16:$C$26,0)))</f>
        <v>2.18885451801426</v>
      </c>
      <c r="O400" s="39">
        <f>IF($B400="On campus",1,INDEX(ModelOutput!$F$16:$F$26,MATCH($B400,ModelOutput!$C$16:$C$26,0)))</f>
        <v>2.8272585650489699</v>
      </c>
      <c r="P400" s="39">
        <f>IF($B400="On campus",1,INDEX(ModelOutput!$G$16:$G$26,MATCH($B400,ModelOutput!$C$16:$C$26,0)))</f>
        <v>3.5639394892119598</v>
      </c>
      <c r="Q400" s="73">
        <f>INDEX(ModelOutput!$D$9:$D$11,MATCH("Tier "&amp;$F400,ModelOutput!$B$9:$B$11,0))</f>
        <v>36.175496869914397</v>
      </c>
      <c r="R400" s="73">
        <f>INDEX(ModelOutput!$E$9:$E$11,MATCH("Tier "&amp;$F400,ModelOutput!$B$9:$B$11,0))</f>
        <v>106.647084447761</v>
      </c>
      <c r="S400" s="73">
        <f>INDEX(ModelOutput!$F$9:$F$11,MATCH("Tier "&amp;$F400,ModelOutput!$B$9:$B$11,0))</f>
        <v>123.726482920496</v>
      </c>
      <c r="T400" s="73">
        <f>INDEX(ModelOutput!$G$9:$G$11,MATCH("Tier "&amp;$F400,ModelOutput!$B$9:$B$11,0))</f>
        <v>20.551544113210401</v>
      </c>
      <c r="U400" s="77">
        <f t="shared" si="66"/>
        <v>473.11165338894608</v>
      </c>
      <c r="V400" s="77">
        <f t="shared" si="67"/>
        <v>1372.7584424183567</v>
      </c>
      <c r="W400" s="77">
        <f t="shared" si="68"/>
        <v>2057.1048835047309</v>
      </c>
      <c r="X400" s="77">
        <f t="shared" si="69"/>
        <v>430.72791450142267</v>
      </c>
      <c r="Y400" s="30">
        <f t="shared" si="70"/>
        <v>4333.7028938134563</v>
      </c>
      <c r="Z400" s="30">
        <f t="shared" si="71"/>
        <v>7088.6054259744042</v>
      </c>
      <c r="AA400" s="41">
        <f t="shared" si="72"/>
        <v>3.9701706891952115</v>
      </c>
      <c r="AB400" s="40">
        <f t="shared" si="73"/>
        <v>1782.7872193062994</v>
      </c>
      <c r="AC400" s="42">
        <f t="shared" si="74"/>
        <v>8</v>
      </c>
      <c r="AD400" s="43">
        <v>4333.7028938134399</v>
      </c>
      <c r="AE400" s="79">
        <f t="shared" si="75"/>
        <v>1.6370904631912708E-11</v>
      </c>
      <c r="AF400" s="29">
        <f t="shared" si="76"/>
        <v>4</v>
      </c>
    </row>
    <row r="401" spans="1:32" ht="15" customHeight="1" x14ac:dyDescent="0.35">
      <c r="A401" s="37" t="s">
        <v>109</v>
      </c>
      <c r="B401" s="37" t="s">
        <v>116</v>
      </c>
      <c r="C401" s="37" t="s">
        <v>118</v>
      </c>
      <c r="D401" s="37" t="s">
        <v>124</v>
      </c>
      <c r="E401" s="37" t="s">
        <v>105</v>
      </c>
      <c r="F401" s="37">
        <v>1</v>
      </c>
      <c r="G401" s="37" t="s">
        <v>105</v>
      </c>
      <c r="H401" s="38">
        <v>1</v>
      </c>
      <c r="I401" s="39">
        <f>IF($G401="Base",1,INDEX(ModelOutput!$D$16:$D$26,MATCH($G401,ModelOutput!$C$16:$C$26,0)))</f>
        <v>0.98982624281990295</v>
      </c>
      <c r="J401" s="39">
        <f>IF($A401="Non-greek",1,INDEX(ModelOutput!$D$16:$D$26,MATCH($A401,ModelOutput!$C$16:$C$26,0)))</f>
        <v>4.3562312213391099</v>
      </c>
      <c r="K401" s="39">
        <f>IF($C401="Yes",1,INDEX(ModelOutput!$D$16:$D$26,MATCH($C401,ModelOutput!$C$16:$C$26,0)))</f>
        <v>1.5400747552012299</v>
      </c>
      <c r="L401" s="39">
        <f>IF($D401="2.0-3.0",1,INDEX(ModelOutput!$D$16:$D$26,MATCH($D401,ModelOutput!$C$16:$C$26,0)))</f>
        <v>0.87654761766211098</v>
      </c>
      <c r="M401" s="39">
        <f>IF($B401="On campus",1,INDEX(ModelOutput!$D$16:$D$26,MATCH($B401,ModelOutput!$C$16:$C$26,0)))</f>
        <v>2.2239289154388602</v>
      </c>
      <c r="N401" s="39">
        <f>IF($B401="On campus",1,INDEX(ModelOutput!$E$16:$E$26,MATCH($B401,ModelOutput!$C$16:$C$26,0)))</f>
        <v>2.18885451801426</v>
      </c>
      <c r="O401" s="39">
        <f>IF($B401="On campus",1,INDEX(ModelOutput!$F$16:$F$26,MATCH($B401,ModelOutput!$C$16:$C$26,0)))</f>
        <v>2.8272585650489699</v>
      </c>
      <c r="P401" s="39">
        <f>IF($B401="On campus",1,INDEX(ModelOutput!$G$16:$G$26,MATCH($B401,ModelOutput!$C$16:$C$26,0)))</f>
        <v>3.5639394892119598</v>
      </c>
      <c r="Q401" s="73">
        <f>INDEX(ModelOutput!$D$9:$D$11,MATCH("Tier "&amp;$F401,ModelOutput!$B$9:$B$11,0))</f>
        <v>36.175496869914397</v>
      </c>
      <c r="R401" s="73">
        <f>INDEX(ModelOutput!$E$9:$E$11,MATCH("Tier "&amp;$F401,ModelOutput!$B$9:$B$11,0))</f>
        <v>106.647084447761</v>
      </c>
      <c r="S401" s="73">
        <f>INDEX(ModelOutput!$F$9:$F$11,MATCH("Tier "&amp;$F401,ModelOutput!$B$9:$B$11,0))</f>
        <v>123.726482920496</v>
      </c>
      <c r="T401" s="73">
        <f>INDEX(ModelOutput!$G$9:$G$11,MATCH("Tier "&amp;$F401,ModelOutput!$B$9:$B$11,0))</f>
        <v>20.551544113210401</v>
      </c>
      <c r="U401" s="77">
        <f t="shared" si="66"/>
        <v>468.29833030829275</v>
      </c>
      <c r="V401" s="77">
        <f t="shared" si="67"/>
        <v>1358.7923313582644</v>
      </c>
      <c r="W401" s="77">
        <f t="shared" si="68"/>
        <v>2036.1763979259622</v>
      </c>
      <c r="X401" s="77">
        <f t="shared" si="69"/>
        <v>426.34579328859547</v>
      </c>
      <c r="Y401" s="30">
        <f t="shared" si="70"/>
        <v>4289.612852881115</v>
      </c>
      <c r="Z401" s="30">
        <f t="shared" si="71"/>
        <v>7016.9115821741943</v>
      </c>
      <c r="AA401" s="41">
        <f t="shared" si="72"/>
        <v>3.9199026012373377</v>
      </c>
      <c r="AB401" s="40">
        <f t="shared" si="73"/>
        <v>1782.7872193062994</v>
      </c>
      <c r="AC401" s="42">
        <f t="shared" si="74"/>
        <v>8</v>
      </c>
      <c r="AD401" s="43">
        <v>4289.6128528811096</v>
      </c>
      <c r="AE401" s="79">
        <f t="shared" si="75"/>
        <v>0</v>
      </c>
      <c r="AF401" s="29">
        <f t="shared" si="76"/>
        <v>3</v>
      </c>
    </row>
    <row r="402" spans="1:32" ht="15" customHeight="1" x14ac:dyDescent="0.35">
      <c r="A402" s="37" t="s">
        <v>109</v>
      </c>
      <c r="B402" s="37" t="s">
        <v>116</v>
      </c>
      <c r="C402" s="37" t="s">
        <v>118</v>
      </c>
      <c r="D402" s="37" t="s">
        <v>124</v>
      </c>
      <c r="E402" s="37" t="s">
        <v>97</v>
      </c>
      <c r="F402" s="37">
        <v>2</v>
      </c>
      <c r="G402" s="37" t="s">
        <v>211</v>
      </c>
      <c r="H402" s="38">
        <v>1</v>
      </c>
      <c r="I402" s="39">
        <f>IF($G402="Base",1,INDEX(ModelOutput!$D$16:$D$26,MATCH($G402,ModelOutput!$C$16:$C$26,0)))</f>
        <v>1</v>
      </c>
      <c r="J402" s="39">
        <f>IF($A402="Non-greek",1,INDEX(ModelOutput!$D$16:$D$26,MATCH($A402,ModelOutput!$C$16:$C$26,0)))</f>
        <v>4.3562312213391099</v>
      </c>
      <c r="K402" s="39">
        <f>IF($C402="Yes",1,INDEX(ModelOutput!$D$16:$D$26,MATCH($C402,ModelOutput!$C$16:$C$26,0)))</f>
        <v>1.5400747552012299</v>
      </c>
      <c r="L402" s="39">
        <f>IF($D402="2.0-3.0",1,INDEX(ModelOutput!$D$16:$D$26,MATCH($D402,ModelOutput!$C$16:$C$26,0)))</f>
        <v>0.87654761766211098</v>
      </c>
      <c r="M402" s="39">
        <f>IF($B402="On campus",1,INDEX(ModelOutput!$D$16:$D$26,MATCH($B402,ModelOutput!$C$16:$C$26,0)))</f>
        <v>2.2239289154388602</v>
      </c>
      <c r="N402" s="39">
        <f>IF($B402="On campus",1,INDEX(ModelOutput!$E$16:$E$26,MATCH($B402,ModelOutput!$C$16:$C$26,0)))</f>
        <v>2.18885451801426</v>
      </c>
      <c r="O402" s="39">
        <f>IF($B402="On campus",1,INDEX(ModelOutput!$F$16:$F$26,MATCH($B402,ModelOutput!$C$16:$C$26,0)))</f>
        <v>2.8272585650489699</v>
      </c>
      <c r="P402" s="39">
        <f>IF($B402="On campus",1,INDEX(ModelOutput!$G$16:$G$26,MATCH($B402,ModelOutput!$C$16:$C$26,0)))</f>
        <v>3.5639394892119598</v>
      </c>
      <c r="Q402" s="73">
        <f>INDEX(ModelOutput!$D$9:$D$11,MATCH("Tier "&amp;$F402,ModelOutput!$B$9:$B$11,0))</f>
        <v>42.8051506068728</v>
      </c>
      <c r="R402" s="73">
        <f>INDEX(ModelOutput!$E$9:$E$11,MATCH("Tier "&amp;$F402,ModelOutput!$B$9:$B$11,0))</f>
        <v>126.191618818284</v>
      </c>
      <c r="S402" s="73">
        <f>INDEX(ModelOutput!$F$9:$F$11,MATCH("Tier "&amp;$F402,ModelOutput!$B$9:$B$11,0))</f>
        <v>146.401050261042</v>
      </c>
      <c r="T402" s="73">
        <f>INDEX(ModelOutput!$G$9:$G$11,MATCH("Tier "&amp;$F402,ModelOutput!$B$9:$B$11,0))</f>
        <v>24.317895180076398</v>
      </c>
      <c r="U402" s="77">
        <f t="shared" si="66"/>
        <v>559.8158236776793</v>
      </c>
      <c r="V402" s="77">
        <f t="shared" si="67"/>
        <v>1624.3351704573995</v>
      </c>
      <c r="W402" s="77">
        <f t="shared" si="68"/>
        <v>2434.0974408504894</v>
      </c>
      <c r="X402" s="77">
        <f t="shared" si="69"/>
        <v>509.66468593693793</v>
      </c>
      <c r="Y402" s="30">
        <f t="shared" si="70"/>
        <v>5127.9131209225052</v>
      </c>
      <c r="Z402" s="30">
        <f t="shared" si="71"/>
        <v>8380.0531716061942</v>
      </c>
      <c r="AA402" s="41">
        <f t="shared" si="72"/>
        <v>4.8756683641605285</v>
      </c>
      <c r="AB402" s="40">
        <f t="shared" si="73"/>
        <v>1782.7872193062994</v>
      </c>
      <c r="AC402" s="42">
        <f t="shared" si="74"/>
        <v>8</v>
      </c>
      <c r="AD402" s="43">
        <v>5127.9131209224997</v>
      </c>
      <c r="AE402" s="79">
        <f t="shared" si="75"/>
        <v>0</v>
      </c>
      <c r="AF402" s="29">
        <f t="shared" si="76"/>
        <v>2</v>
      </c>
    </row>
    <row r="403" spans="1:32" ht="15" customHeight="1" x14ac:dyDescent="0.35">
      <c r="A403" s="37" t="s">
        <v>109</v>
      </c>
      <c r="B403" s="37" t="s">
        <v>116</v>
      </c>
      <c r="C403" s="37" t="s">
        <v>118</v>
      </c>
      <c r="D403" s="37" t="s">
        <v>124</v>
      </c>
      <c r="E403" s="37" t="s">
        <v>99</v>
      </c>
      <c r="F403" s="37">
        <v>3</v>
      </c>
      <c r="G403" s="37" t="s">
        <v>211</v>
      </c>
      <c r="H403" s="38">
        <v>1</v>
      </c>
      <c r="I403" s="39">
        <f>IF($G403="Base",1,INDEX(ModelOutput!$D$16:$D$26,MATCH($G403,ModelOutput!$C$16:$C$26,0)))</f>
        <v>1</v>
      </c>
      <c r="J403" s="39">
        <f>IF($A403="Non-greek",1,INDEX(ModelOutput!$D$16:$D$26,MATCH($A403,ModelOutput!$C$16:$C$26,0)))</f>
        <v>4.3562312213391099</v>
      </c>
      <c r="K403" s="39">
        <f>IF($C403="Yes",1,INDEX(ModelOutput!$D$16:$D$26,MATCH($C403,ModelOutput!$C$16:$C$26,0)))</f>
        <v>1.5400747552012299</v>
      </c>
      <c r="L403" s="39">
        <f>IF($D403="2.0-3.0",1,INDEX(ModelOutput!$D$16:$D$26,MATCH($D403,ModelOutput!$C$16:$C$26,0)))</f>
        <v>0.87654761766211098</v>
      </c>
      <c r="M403" s="39">
        <f>IF($B403="On campus",1,INDEX(ModelOutput!$D$16:$D$26,MATCH($B403,ModelOutput!$C$16:$C$26,0)))</f>
        <v>2.2239289154388602</v>
      </c>
      <c r="N403" s="39">
        <f>IF($B403="On campus",1,INDEX(ModelOutput!$E$16:$E$26,MATCH($B403,ModelOutput!$C$16:$C$26,0)))</f>
        <v>2.18885451801426</v>
      </c>
      <c r="O403" s="39">
        <f>IF($B403="On campus",1,INDEX(ModelOutput!$F$16:$F$26,MATCH($B403,ModelOutput!$C$16:$C$26,0)))</f>
        <v>2.8272585650489699</v>
      </c>
      <c r="P403" s="39">
        <f>IF($B403="On campus",1,INDEX(ModelOutput!$G$16:$G$26,MATCH($B403,ModelOutput!$C$16:$C$26,0)))</f>
        <v>3.5639394892119598</v>
      </c>
      <c r="Q403" s="73">
        <f>INDEX(ModelOutput!$D$9:$D$11,MATCH("Tier "&amp;$F403,ModelOutput!$B$9:$B$11,0))</f>
        <v>40.009437343712797</v>
      </c>
      <c r="R403" s="73">
        <f>INDEX(ModelOutput!$E$9:$E$11,MATCH("Tier "&amp;$F403,ModelOutput!$B$9:$B$11,0))</f>
        <v>117.949723218616</v>
      </c>
      <c r="S403" s="73">
        <f>INDEX(ModelOutput!$F$9:$F$11,MATCH("Tier "&amp;$F403,ModelOutput!$B$9:$B$11,0))</f>
        <v>136.83922529015501</v>
      </c>
      <c r="T403" s="73">
        <f>INDEX(ModelOutput!$G$9:$G$11,MATCH("Tier "&amp;$F403,ModelOutput!$B$9:$B$11,0))</f>
        <v>22.729631592092201</v>
      </c>
      <c r="U403" s="77">
        <f t="shared" si="66"/>
        <v>523.2528283139568</v>
      </c>
      <c r="V403" s="77">
        <f t="shared" si="67"/>
        <v>1518.2457088976983</v>
      </c>
      <c r="W403" s="77">
        <f t="shared" si="68"/>
        <v>2275.1203457408806</v>
      </c>
      <c r="X403" s="77">
        <f t="shared" si="69"/>
        <v>476.3771889409706</v>
      </c>
      <c r="Y403" s="30">
        <f t="shared" si="70"/>
        <v>4792.9960718935063</v>
      </c>
      <c r="Z403" s="30">
        <f t="shared" si="71"/>
        <v>7835.451939868638</v>
      </c>
      <c r="AA403" s="41">
        <f t="shared" si="72"/>
        <v>4.4938215950677858</v>
      </c>
      <c r="AB403" s="40">
        <f t="shared" si="73"/>
        <v>1782.7872193062994</v>
      </c>
      <c r="AC403" s="42">
        <f t="shared" si="74"/>
        <v>8</v>
      </c>
      <c r="AD403" s="43">
        <v>4792.9960718935099</v>
      </c>
      <c r="AE403" s="79">
        <f t="shared" si="75"/>
        <v>0</v>
      </c>
      <c r="AF403" s="29">
        <f t="shared" si="76"/>
        <v>1</v>
      </c>
    </row>
    <row r="404" spans="1:32" ht="15" customHeight="1" x14ac:dyDescent="0.35">
      <c r="A404" s="37" t="s">
        <v>109</v>
      </c>
      <c r="B404" s="37" t="s">
        <v>116</v>
      </c>
      <c r="C404" s="37" t="s">
        <v>118</v>
      </c>
      <c r="D404" s="37" t="s">
        <v>124</v>
      </c>
      <c r="E404" s="37" t="s">
        <v>213</v>
      </c>
      <c r="F404" s="37">
        <v>3</v>
      </c>
      <c r="G404" s="37" t="s">
        <v>107</v>
      </c>
      <c r="H404" s="38">
        <v>0</v>
      </c>
      <c r="I404" s="39">
        <f>IF($G404="Base",1,INDEX(ModelOutput!$D$16:$D$26,MATCH($G404,ModelOutput!$C$16:$C$26,0)))</f>
        <v>1.1906804269762199</v>
      </c>
      <c r="J404" s="39">
        <f>IF($A404="Non-greek",1,INDEX(ModelOutput!$D$16:$D$26,MATCH($A404,ModelOutput!$C$16:$C$26,0)))</f>
        <v>4.3562312213391099</v>
      </c>
      <c r="K404" s="39">
        <f>IF($C404="Yes",1,INDEX(ModelOutput!$D$16:$D$26,MATCH($C404,ModelOutput!$C$16:$C$26,0)))</f>
        <v>1.5400747552012299</v>
      </c>
      <c r="L404" s="39">
        <f>IF($D404="2.0-3.0",1,INDEX(ModelOutput!$D$16:$D$26,MATCH($D404,ModelOutput!$C$16:$C$26,0)))</f>
        <v>0.87654761766211098</v>
      </c>
      <c r="M404" s="39">
        <f>IF($B404="On campus",1,INDEX(ModelOutput!$D$16:$D$26,MATCH($B404,ModelOutput!$C$16:$C$26,0)))</f>
        <v>2.2239289154388602</v>
      </c>
      <c r="N404" s="39">
        <f>IF($B404="On campus",1,INDEX(ModelOutput!$E$16:$E$26,MATCH($B404,ModelOutput!$C$16:$C$26,0)))</f>
        <v>2.18885451801426</v>
      </c>
      <c r="O404" s="39">
        <f>IF($B404="On campus",1,INDEX(ModelOutput!$F$16:$F$26,MATCH($B404,ModelOutput!$C$16:$C$26,0)))</f>
        <v>2.8272585650489699</v>
      </c>
      <c r="P404" s="39">
        <f>IF($B404="On campus",1,INDEX(ModelOutput!$G$16:$G$26,MATCH($B404,ModelOutput!$C$16:$C$26,0)))</f>
        <v>3.5639394892119598</v>
      </c>
      <c r="Q404" s="73">
        <f>INDEX(ModelOutput!$D$9:$D$11,MATCH("Tier "&amp;$F404,ModelOutput!$B$9:$B$11,0))</f>
        <v>40.009437343712797</v>
      </c>
      <c r="R404" s="73">
        <f>INDEX(ModelOutput!$E$9:$E$11,MATCH("Tier "&amp;$F404,ModelOutput!$B$9:$B$11,0))</f>
        <v>117.949723218616</v>
      </c>
      <c r="S404" s="73">
        <f>INDEX(ModelOutput!$F$9:$F$11,MATCH("Tier "&amp;$F404,ModelOutput!$B$9:$B$11,0))</f>
        <v>136.83922529015501</v>
      </c>
      <c r="T404" s="73">
        <f>INDEX(ModelOutput!$G$9:$G$11,MATCH("Tier "&amp;$F404,ModelOutput!$B$9:$B$11,0))</f>
        <v>22.729631592092201</v>
      </c>
      <c r="U404" s="77">
        <f t="shared" si="66"/>
        <v>623.02690103337693</v>
      </c>
      <c r="V404" s="77">
        <f t="shared" si="67"/>
        <v>1807.7454489251249</v>
      </c>
      <c r="W404" s="77">
        <f t="shared" si="68"/>
        <v>2708.9412646890369</v>
      </c>
      <c r="X404" s="77">
        <f t="shared" si="69"/>
        <v>567.21299472996634</v>
      </c>
      <c r="Y404" s="30">
        <f t="shared" si="70"/>
        <v>5706.926609377505</v>
      </c>
      <c r="Z404" s="30">
        <f t="shared" si="71"/>
        <v>9321.5742435237644</v>
      </c>
      <c r="AA404" s="41">
        <f t="shared" si="72"/>
        <v>5.5358151989324913</v>
      </c>
      <c r="AB404" s="40">
        <f t="shared" si="73"/>
        <v>1782.7872193062994</v>
      </c>
      <c r="AC404" s="42">
        <f t="shared" si="74"/>
        <v>9</v>
      </c>
      <c r="AD404" s="43">
        <v>5706.9266093775104</v>
      </c>
      <c r="AE404" s="79">
        <f t="shared" si="75"/>
        <v>0</v>
      </c>
      <c r="AF404" s="29">
        <f t="shared" si="76"/>
        <v>2</v>
      </c>
    </row>
  </sheetData>
  <conditionalFormatting sqref="AE5:AE404">
    <cfRule type="expression" dxfId="0" priority="1">
      <formula>IF(ROUND($AE$5:$AE$404,2)&lt;&gt;0,TRUE,FALSE)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2"/>
  <sheetViews>
    <sheetView showGridLines="0" topLeftCell="B1" zoomScaleNormal="100" workbookViewId="0">
      <selection activeCell="G30" sqref="G30"/>
    </sheetView>
  </sheetViews>
  <sheetFormatPr defaultColWidth="8.6328125" defaultRowHeight="14.5" x14ac:dyDescent="0.35"/>
  <cols>
    <col min="1" max="1" width="3" customWidth="1"/>
    <col min="2" max="2" width="40.54296875" customWidth="1"/>
    <col min="3" max="4" width="13" customWidth="1"/>
    <col min="5" max="7" width="15" customWidth="1"/>
    <col min="8" max="8" width="52" customWidth="1"/>
  </cols>
  <sheetData>
    <row r="2" spans="2:8" ht="17.25" customHeight="1" x14ac:dyDescent="0.4">
      <c r="B2" s="1" t="s">
        <v>214</v>
      </c>
    </row>
    <row r="3" spans="2:8" ht="15" customHeight="1" x14ac:dyDescent="0.35">
      <c r="B3" s="2" t="s">
        <v>215</v>
      </c>
    </row>
    <row r="4" spans="2:8" ht="15" customHeight="1" x14ac:dyDescent="0.35">
      <c r="B4" s="81" t="s">
        <v>315</v>
      </c>
    </row>
    <row r="6" spans="2:8" ht="15" customHeight="1" x14ac:dyDescent="0.35">
      <c r="B6" s="6" t="s">
        <v>216</v>
      </c>
      <c r="C6" s="7"/>
      <c r="D6" s="7"/>
      <c r="E6" s="7"/>
      <c r="F6" s="7"/>
      <c r="G6" s="7"/>
      <c r="H6" s="7"/>
    </row>
    <row r="7" spans="2:8" ht="31.5" customHeight="1" x14ac:dyDescent="0.35">
      <c r="B7" s="17" t="s">
        <v>175</v>
      </c>
      <c r="C7" s="17" t="s">
        <v>185</v>
      </c>
      <c r="D7" s="17" t="s">
        <v>217</v>
      </c>
      <c r="E7" s="17" t="s">
        <v>218</v>
      </c>
      <c r="F7" s="17" t="s">
        <v>219</v>
      </c>
    </row>
    <row r="8" spans="2:8" ht="15" customHeight="1" x14ac:dyDescent="0.35">
      <c r="B8" s="18" t="s">
        <v>220</v>
      </c>
      <c r="C8" s="35">
        <f>SUMIFS(Segments!$H$5:$H$404,Segments!$AA$5:$AA$404,"&lt;-0.5")</f>
        <v>3821</v>
      </c>
      <c r="D8" s="33">
        <f t="shared" ref="D8:D15" si="0">C8/$C$16</f>
        <v>0.3821</v>
      </c>
      <c r="E8" s="44">
        <f>IFERROR(SUMPRODUCT(Segments!$H$5:$H$404,Segments!$Z$5:$Z$404,--(Segments!$AA$5:$AA$404&lt;-0.5))/SUMPRODUCT(Segments!$H$5:$H$404,--(Segments!$AA$5:$AA$404&lt;-0.5)),0)</f>
        <v>548.89173692854081</v>
      </c>
      <c r="F8" s="44">
        <f>SUMPRODUCT(Segments!$H$5:$H$404,Segments!$Z$5:$Z$404,--(Segments!$AA$5:$AA$404&lt;-0.5))</f>
        <v>2097315.3268039543</v>
      </c>
    </row>
    <row r="9" spans="2:8" ht="15" customHeight="1" x14ac:dyDescent="0.35">
      <c r="B9" s="18" t="s">
        <v>221</v>
      </c>
      <c r="C9" s="35">
        <f>SUMIFS(Segments!$H$5:$H$404,Segments!$AA$5:$AA$404,"&gt;=-0.5",Segments!$AA$5:$AA$404,"&lt;-0.25")</f>
        <v>1881</v>
      </c>
      <c r="D9" s="33">
        <f t="shared" si="0"/>
        <v>0.18809999999999999</v>
      </c>
      <c r="E9" s="44">
        <f>IFERROR(SUMPRODUCT(Segments!$H$5:$H$404,Segments!$Z$5:$Z$404,--(Segments!$AA$5:$AA$404&gt;=-0.5)*--(Segments!$AA$5:$AA$404&lt;-0.25))/SUMPRODUCT(Segments!$H$5:$H$404,--(Segments!$AA$5:$AA$404&gt;=-0.5)*--(Segments!$AA$5:$AA$404&lt;-0.25)),0)</f>
        <v>866.10279975173819</v>
      </c>
      <c r="F9" s="44">
        <f>SUMPRODUCT(Segments!$H$5:$H$404,Segments!$Z$5:$Z$404,--(Segments!$AA$5:$AA$404&gt;=-0.5)*--(Segments!$AA$5:$AA$404&lt;-0.25))</f>
        <v>1629139.3663330195</v>
      </c>
    </row>
    <row r="10" spans="2:8" ht="15" customHeight="1" x14ac:dyDescent="0.35">
      <c r="B10" s="18" t="s">
        <v>222</v>
      </c>
      <c r="C10" s="35">
        <f>SUMIFS(Segments!$H$5:$H$404,Segments!$AA$5:$AA$404,"&gt;=-0.25",Segments!$AA$5:$AA$404,"&lt;-0.1")</f>
        <v>1034</v>
      </c>
      <c r="D10" s="33">
        <f t="shared" si="0"/>
        <v>0.10340000000000001</v>
      </c>
      <c r="E10" s="44">
        <f>IFERROR(SUMPRODUCT(Segments!$H$5:$H$404,Segments!$Z$5:$Z$404,--(Segments!$AA$5:$AA$404&gt;=-0.25)*--(Segments!$AA$5:$AA$404&lt;-0.1))/SUMPRODUCT(Segments!$H$5:$H$404,--(Segments!$AA$5:$AA$404&gt;=-0.25)*--(Segments!$AA$5:$AA$404&lt;-0.1)),0)</f>
        <v>1163.0342575519094</v>
      </c>
      <c r="F10" s="44">
        <f>SUMPRODUCT(Segments!$H$5:$H$404,Segments!$Z$5:$Z$404,--(Segments!$AA$5:$AA$404&gt;=-0.25)*--(Segments!$AA$5:$AA$404&lt;-0.1))</f>
        <v>1202577.4223086743</v>
      </c>
    </row>
    <row r="11" spans="2:8" ht="15" customHeight="1" x14ac:dyDescent="0.35">
      <c r="B11" s="18" t="s">
        <v>223</v>
      </c>
      <c r="C11" s="35">
        <f>SUMIFS(Segments!$H$5:$H$404,Segments!$AA$5:$AA$404,"&gt;=-0.1",Segments!$AA$5:$AA$404,"&lt;0.1")</f>
        <v>579</v>
      </c>
      <c r="D11" s="33">
        <f t="shared" si="0"/>
        <v>5.79E-2</v>
      </c>
      <c r="E11" s="44">
        <f>IFERROR(SUMPRODUCT(Segments!$H$5:$H$404,Segments!$Z$5:$Z$404,--(Segments!$AA$5:$AA$404&gt;=-0.1)*--(Segments!$AA$5:$AA$404&lt;0.1))/SUMPRODUCT(Segments!$H$5:$H$404,--(Segments!$AA$5:$AA$404&gt;=-0.1)*--(Segments!$AA$5:$AA$404&lt;0.1)),0)</f>
        <v>1397.626406061449</v>
      </c>
      <c r="F11" s="44">
        <f>SUMPRODUCT(Segments!$H$5:$H$404,Segments!$Z$5:$Z$404,--(Segments!$AA$5:$AA$404&gt;=-0.1)*--(Segments!$AA$5:$AA$404&lt;0.1))</f>
        <v>809225.68910957896</v>
      </c>
    </row>
    <row r="12" spans="2:8" ht="15" customHeight="1" x14ac:dyDescent="0.35">
      <c r="B12" s="18" t="s">
        <v>224</v>
      </c>
      <c r="C12" s="35">
        <f>SUMIFS(Segments!$H$5:$H$404,Segments!$AA$5:$AA$404,"&gt;=0.1",Segments!$AA$5:$AA$404,"&lt;0.25")</f>
        <v>334</v>
      </c>
      <c r="D12" s="33">
        <f t="shared" si="0"/>
        <v>3.3399999999999999E-2</v>
      </c>
      <c r="E12" s="44">
        <f>IFERROR(SUMPRODUCT(Segments!$H$5:$H$404,Segments!$Z$5:$Z$404,--(Segments!$AA$5:$AA$404&gt;=0.1)*--(Segments!$AA$5:$AA$404&lt;0.25))/SUMPRODUCT(Segments!$H$5:$H$404,--(Segments!$AA$5:$AA$404&gt;=0.1)*--(Segments!$AA$5:$AA$404&lt;0.25)),0)</f>
        <v>1665.0976071581158</v>
      </c>
      <c r="F12" s="44">
        <f>SUMPRODUCT(Segments!$H$5:$H$404,Segments!$Z$5:$Z$404,--(Segments!$AA$5:$AA$404&gt;=0.1)*--(Segments!$AA$5:$AA$404&lt;0.25))</f>
        <v>556142.60079081065</v>
      </c>
    </row>
    <row r="13" spans="2:8" ht="15" customHeight="1" x14ac:dyDescent="0.35">
      <c r="B13" s="18" t="s">
        <v>225</v>
      </c>
      <c r="C13" s="35">
        <f>SUMIFS(Segments!$H$5:$H$404,Segments!$AA$5:$AA$404,"&gt;=0.25",Segments!$AA$5:$AA$404,"&lt;0.5")</f>
        <v>712</v>
      </c>
      <c r="D13" s="33">
        <f t="shared" si="0"/>
        <v>7.1199999999999999E-2</v>
      </c>
      <c r="E13" s="44">
        <f>IFERROR(SUMPRODUCT(Segments!$H$5:$H$404,Segments!$Z$5:$Z$404,--(Segments!$AA$5:$AA$404&gt;=0.25)*--(Segments!$AA$5:$AA$404&lt;0.5))/SUMPRODUCT(Segments!$H$5:$H$404,--(Segments!$AA$5:$AA$404&gt;=0.25)*--(Segments!$AA$5:$AA$404&lt;0.5)),0)</f>
        <v>1974.0499833672304</v>
      </c>
      <c r="F13" s="44">
        <f>SUMPRODUCT(Segments!$H$5:$H$404,Segments!$Z$5:$Z$404,--(Segments!$AA$5:$AA$404&gt;=0.25)*--(Segments!$AA$5:$AA$404&lt;0.5))</f>
        <v>1405523.588157468</v>
      </c>
    </row>
    <row r="14" spans="2:8" ht="15" customHeight="1" x14ac:dyDescent="0.35">
      <c r="B14" s="18" t="s">
        <v>226</v>
      </c>
      <c r="C14" s="35">
        <f>SUMIFS(Segments!$H$5:$H$404,Segments!$AA$5:$AA$404,"&gt;=0.5",Segments!$AA$5:$AA$404,"&lt;1.0")</f>
        <v>613</v>
      </c>
      <c r="D14" s="33">
        <f t="shared" si="0"/>
        <v>6.13E-2</v>
      </c>
      <c r="E14" s="44">
        <f>IFERROR(SUMPRODUCT(Segments!$H$5:$H$404,Segments!$Z$5:$Z$404,--(Segments!$AA$5:$AA$404&gt;=0.5)*--(Segments!$AA$5:$AA$404&lt;1))/SUMPRODUCT(Segments!$H$5:$H$404,--(Segments!$AA$5:$AA$404&gt;=0.5)*--(Segments!$AA$5:$AA$404&lt;1)),0)</f>
        <v>2414.4325108701864</v>
      </c>
      <c r="F14" s="44">
        <f>SUMPRODUCT(Segments!$H$5:$H$404,Segments!$Z$5:$Z$404,--(Segments!$AA$5:$AA$404&gt;=0.5)*--(Segments!$AA$5:$AA$404&lt;1))</f>
        <v>1480047.1291634243</v>
      </c>
    </row>
    <row r="15" spans="2:8" ht="15" customHeight="1" x14ac:dyDescent="0.35">
      <c r="B15" s="18" t="s">
        <v>227</v>
      </c>
      <c r="C15" s="35">
        <f>SUMIFS(Segments!$H$5:$H$404,Segments!$AA$5:$AA$404,"&gt;=1.0")</f>
        <v>1026</v>
      </c>
      <c r="D15" s="33">
        <f t="shared" si="0"/>
        <v>0.1026</v>
      </c>
      <c r="E15" s="44">
        <f>IFERROR(SUMPRODUCT(Segments!$H$5:$H$404,Segments!$Z$5:$Z$404,--(Segments!$AA$5:$AA$404&gt;=1))/SUMPRODUCT(Segments!$H$5:$H$404,--(Segments!$AA$5:$AA$404&gt;=1)),0)</f>
        <v>4953.5347288337853</v>
      </c>
      <c r="F15" s="44">
        <f>SUMPRODUCT(Segments!$H$5:$H$404,Segments!$Z$5:$Z$404,--(Segments!$AA$5:$AA$404&gt;=1))</f>
        <v>5082326.631783464</v>
      </c>
    </row>
    <row r="16" spans="2:8" ht="15" customHeight="1" x14ac:dyDescent="0.35">
      <c r="B16" s="45" t="s">
        <v>228</v>
      </c>
      <c r="C16" s="46">
        <f>SUM(C8:C15)</f>
        <v>10000</v>
      </c>
      <c r="D16" s="47">
        <f>SUM(D8:D15)</f>
        <v>1</v>
      </c>
      <c r="E16" s="48">
        <f>SUMPRODUCT(Segments!$H$5:$H$404,Segments!$Z$5:$Z$404)/SUM(Segments!$H$5:$H$404)</f>
        <v>1426.2297754450396</v>
      </c>
      <c r="F16" s="48">
        <f>SUMPRODUCT(Segments!$H$5:$H$404,Segments!$Z$5:$Z$404)</f>
        <v>14262297.754450396</v>
      </c>
    </row>
    <row r="18" spans="2:8" ht="15" customHeight="1" x14ac:dyDescent="0.35">
      <c r="B18" s="6" t="s">
        <v>229</v>
      </c>
      <c r="C18" s="7"/>
      <c r="D18" s="7"/>
      <c r="E18" s="7"/>
      <c r="F18" s="7"/>
      <c r="G18" s="7"/>
      <c r="H18" s="7"/>
    </row>
    <row r="19" spans="2:8" ht="31.5" customHeight="1" x14ac:dyDescent="0.35">
      <c r="B19" s="17" t="s">
        <v>230</v>
      </c>
      <c r="C19" s="17" t="s">
        <v>185</v>
      </c>
      <c r="D19" s="17" t="s">
        <v>217</v>
      </c>
      <c r="E19" s="17" t="s">
        <v>218</v>
      </c>
      <c r="F19" s="17" t="s">
        <v>231</v>
      </c>
    </row>
    <row r="20" spans="2:8" ht="15" customHeight="1" x14ac:dyDescent="0.35">
      <c r="B20" s="18" t="s">
        <v>232</v>
      </c>
      <c r="C20" s="35">
        <f>SUMPRODUCT(Segments!$H$5:$H$404,--(Segments!$A$5:$A$404="Greek")*--(Segments!$B$5:$B$404&lt;&gt;"On campus"))</f>
        <v>656</v>
      </c>
      <c r="D20" s="33">
        <f>C20/SUM(Segments!$H$5:$H$404)</f>
        <v>6.5600000000000006E-2</v>
      </c>
      <c r="E20" s="44">
        <f>IFERROR(SUMPRODUCT(Segments!$H$5:$H$404,Segments!$Z$5:$Z$404,--(Segments!$A$5:$A$404="Greek")*--(Segments!$B$5:$B$404&lt;&gt;"On campus"))/SUMPRODUCT(Segments!$H$5:$H$404,--(Segments!$A$5:$A$404="Greek")*--(Segments!$B$5:$B$404&lt;&gt;"On campus")),0)</f>
        <v>5781.6579409588676</v>
      </c>
      <c r="F20" s="33">
        <f>IFERROR(SUMPRODUCT(Segments!$H$5:$H$404,Segments!$AA$5:$AA$404,--(Segments!$A$5:$A$404="Greek")*--(Segments!$B$5:$B$404&lt;&gt;"On campus"))/SUMPRODUCT(Segments!$H$5:$H$404,--(Segments!$A$5:$A$404="Greek")*--(Segments!$B$5:$B$404&lt;&gt;"On campus")),0)</f>
        <v>3.0538053829052618</v>
      </c>
    </row>
    <row r="21" spans="2:8" ht="15" customHeight="1" x14ac:dyDescent="0.35">
      <c r="B21" s="18" t="s">
        <v>233</v>
      </c>
      <c r="C21" s="35">
        <f>SUMPRODUCT(Segments!$H$5:$H$404,--(Segments!$A$5:$A$404="Greek")*--(Segments!$B$5:$B$404="On campus"))</f>
        <v>1309</v>
      </c>
      <c r="D21" s="33">
        <f>C21/SUM(Segments!$H$5:$H$404)</f>
        <v>0.13089999999999999</v>
      </c>
      <c r="E21" s="44">
        <f>IFERROR(SUMPRODUCT(Segments!$H$5:$H$404,Segments!$Z$5:$Z$404,--(Segments!$A$5:$A$404="Greek")*--(Segments!$B$5:$B$404="On campus"))/SUMPRODUCT(Segments!$H$5:$H$404,--(Segments!$A$5:$A$404="Greek")*--(Segments!$B$5:$B$404="On campus")),0)</f>
        <v>2595.4098180544056</v>
      </c>
      <c r="F21" s="33">
        <f>IFERROR(SUMPRODUCT(Segments!$H$5:$H$404,Segments!$AA$5:$AA$404,--(Segments!$A$5:$A$404="Greek")*--(Segments!$B$5:$B$404="On campus"))/SUMPRODUCT(Segments!$H$5:$H$404,--(Segments!$A$5:$A$404="Greek")*--(Segments!$B$5:$B$404="On campus")),0)</f>
        <v>0.81976976132372226</v>
      </c>
    </row>
    <row r="22" spans="2:8" ht="15" customHeight="1" x14ac:dyDescent="0.35">
      <c r="B22" s="18" t="s">
        <v>234</v>
      </c>
      <c r="C22" s="35">
        <f>SUMPRODUCT(Segments!$H$5:$H$404,--(Segments!$A$5:$A$404="Non-greek")*--(Segments!$B$5:$B$404&lt;&gt;"On campus"))</f>
        <v>2839</v>
      </c>
      <c r="D22" s="33">
        <f>C22/SUM(Segments!$H$5:$H$404)</f>
        <v>0.28389999999999999</v>
      </c>
      <c r="E22" s="44">
        <f>IFERROR(SUMPRODUCT(Segments!$H$5:$H$404,Segments!$Z$5:$Z$404,--(Segments!$A$5:$A$404="Non-greek")*--(Segments!$B$5:$B$404&lt;&gt;"On campus"))/SUMPRODUCT(Segments!$H$5:$H$404,--(Segments!$A$5:$A$404="Non-greek")*--(Segments!$B$5:$B$404&lt;&gt;"On campus")),0)</f>
        <v>1349.7789192582252</v>
      </c>
      <c r="F22" s="33">
        <f>IFERROR(SUMPRODUCT(Segments!$H$5:$H$404,Segments!$AA$5:$AA$404,--(Segments!$A$5:$A$404="Non-greek")*--(Segments!$B$5:$B$404&lt;&gt;"On campus"))/SUMPRODUCT(Segments!$H$5:$H$404,--(Segments!$A$5:$A$404="Non-greek")*--(Segments!$B$5:$B$404&lt;&gt;"On campus")),0)</f>
        <v>-5.3603463833840112E-2</v>
      </c>
    </row>
    <row r="23" spans="2:8" ht="15" customHeight="1" x14ac:dyDescent="0.35">
      <c r="B23" s="18" t="s">
        <v>235</v>
      </c>
      <c r="C23" s="35">
        <f>SUMPRODUCT(Segments!$H$5:$H$404,--(Segments!$A$5:$A$404="Non-greek")*--(Segments!$B$5:$B$404="On campus"))</f>
        <v>5196</v>
      </c>
      <c r="D23" s="33">
        <f>C23/SUM(Segments!$H$5:$H$404)</f>
        <v>0.51959999999999995</v>
      </c>
      <c r="E23" s="44">
        <f>IFERROR(SUMPRODUCT(Segments!$H$5:$H$404,Segments!$Z$5:$Z$404,--(Segments!$A$5:$A$404="Non-greek")*--(Segments!$B$5:$B$404="On campus"))/SUMPRODUCT(Segments!$H$5:$H$404,--(Segments!$A$5:$A$404="Non-greek")*--(Segments!$B$5:$B$404="On campus")),0)</f>
        <v>623.57897258931087</v>
      </c>
      <c r="F23" s="33">
        <f>IFERROR(SUMPRODUCT(Segments!$H$5:$H$404,Segments!$AA$5:$AA$404,--(Segments!$A$5:$A$404="Non-greek")*--(Segments!$B$5:$B$404="On campus"))/SUMPRODUCT(Segments!$H$5:$H$404,--(Segments!$A$5:$A$404="Non-greek")*--(Segments!$B$5:$B$404="On campus")),0)</f>
        <v>-0.56277804367481399</v>
      </c>
    </row>
    <row r="25" spans="2:8" ht="15" customHeight="1" x14ac:dyDescent="0.35">
      <c r="B25" s="6" t="s">
        <v>236</v>
      </c>
      <c r="C25" s="7"/>
      <c r="D25" s="7"/>
      <c r="E25" s="7"/>
      <c r="F25" s="7"/>
      <c r="G25" s="7"/>
      <c r="H25" s="7"/>
    </row>
    <row r="26" spans="2:8" ht="15" customHeight="1" x14ac:dyDescent="0.35">
      <c r="B26" s="3" t="s">
        <v>237</v>
      </c>
      <c r="C26" s="49">
        <f>SUMPRODUCT(Segments!$H$5:$H$404,Segments!$Z$5:$Z$404)</f>
        <v>14262297.754450396</v>
      </c>
      <c r="H26" s="2" t="s">
        <v>238</v>
      </c>
    </row>
    <row r="27" spans="2:8" ht="15" customHeight="1" x14ac:dyDescent="0.35">
      <c r="B27" s="3" t="s">
        <v>239</v>
      </c>
      <c r="C27" s="49">
        <f>SUMPRODUCT(Segments!$H$5:$H$404,Segments!$AB$5:$AB$404)</f>
        <v>12858550.099488931</v>
      </c>
      <c r="H27" s="2" t="s">
        <v>240</v>
      </c>
    </row>
    <row r="28" spans="2:8" ht="15" customHeight="1" x14ac:dyDescent="0.35">
      <c r="B28" s="3" t="s">
        <v>241</v>
      </c>
      <c r="C28" s="50">
        <f>C27/C26-1</f>
        <v>-9.8423667709744755E-2</v>
      </c>
      <c r="H28" s="2" t="s">
        <v>242</v>
      </c>
    </row>
    <row r="29" spans="2:8" ht="15" customHeight="1" x14ac:dyDescent="0.35">
      <c r="B29" s="3" t="s">
        <v>243</v>
      </c>
      <c r="C29" s="35">
        <f>SUMPRODUCT(Segments!$H$5:$H$404,--(Segments!$Z$5:$Z$404&gt;CURRENT_FLAT*(1+CAP_UP)))</f>
        <v>2351</v>
      </c>
      <c r="H29" s="2"/>
    </row>
    <row r="30" spans="2:8" ht="15" customHeight="1" x14ac:dyDescent="0.35">
      <c r="B30" s="3" t="s">
        <v>244</v>
      </c>
      <c r="C30" s="35">
        <f>SUMPRODUCT(Segments!$H$5:$H$404,--(Segments!$Z$5:$Z$404&lt;CURRENT_FLAT*(1-CAP_DOWN)))</f>
        <v>5702</v>
      </c>
      <c r="H30" s="2"/>
    </row>
    <row r="31" spans="2:8" ht="15" customHeight="1" x14ac:dyDescent="0.35">
      <c r="B31" s="3" t="s">
        <v>245</v>
      </c>
      <c r="C31" s="35">
        <f>SUMPRODUCT(Segments!$H$5:$H$404,--(Segments!$AC$5:$AC$404&lt;=Segments!$AF$5:$AF$404))</f>
        <v>4801</v>
      </c>
      <c r="H31" s="2"/>
    </row>
    <row r="32" spans="2:8" ht="15" customHeight="1" x14ac:dyDescent="0.35">
      <c r="B32" s="3" t="s">
        <v>246</v>
      </c>
      <c r="C32" s="35">
        <f>SUM(Segments!$H$5:$H$404)-C31</f>
        <v>5199</v>
      </c>
      <c r="H32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Z424"/>
  <sheetViews>
    <sheetView showGridLines="0" zoomScaleNormal="100" workbookViewId="0">
      <pane ySplit="24" topLeftCell="A36" activePane="bottomLeft" state="frozen"/>
      <selection pane="bottomLeft" activeCell="B22" sqref="B22"/>
    </sheetView>
  </sheetViews>
  <sheetFormatPr defaultColWidth="8.6328125" defaultRowHeight="14.5" x14ac:dyDescent="0.35"/>
  <cols>
    <col min="1" max="1" width="12" customWidth="1"/>
    <col min="2" max="2" width="20.08984375" customWidth="1"/>
    <col min="3" max="52" width="12" customWidth="1"/>
  </cols>
  <sheetData>
    <row r="2" spans="2:6" ht="17.25" customHeight="1" x14ac:dyDescent="0.4">
      <c r="B2" s="1" t="s">
        <v>247</v>
      </c>
    </row>
    <row r="3" spans="2:6" ht="15" customHeight="1" x14ac:dyDescent="0.35">
      <c r="B3" s="2" t="s">
        <v>248</v>
      </c>
    </row>
    <row r="6" spans="2:6" ht="15" customHeight="1" x14ac:dyDescent="0.35">
      <c r="B6" s="6" t="s">
        <v>249</v>
      </c>
      <c r="C6" s="7"/>
      <c r="D6" s="7"/>
      <c r="E6" s="7"/>
      <c r="F6" s="7"/>
    </row>
    <row r="7" spans="2:6" ht="19.5" customHeight="1" x14ac:dyDescent="0.35">
      <c r="B7" s="17" t="s">
        <v>250</v>
      </c>
      <c r="C7" s="17" t="s">
        <v>251</v>
      </c>
      <c r="D7" s="17" t="s">
        <v>252</v>
      </c>
      <c r="E7" s="17" t="s">
        <v>253</v>
      </c>
      <c r="F7" s="17" t="s">
        <v>254</v>
      </c>
    </row>
    <row r="8" spans="2:6" ht="15" customHeight="1" x14ac:dyDescent="0.35">
      <c r="B8" s="3" t="s">
        <v>255</v>
      </c>
      <c r="C8" s="51">
        <f>SUM(T$25:T$424)</f>
        <v>8108.456174703746</v>
      </c>
      <c r="D8" s="51">
        <f>SUM(AH$25:AH$424)</f>
        <v>7223.459226387301</v>
      </c>
      <c r="E8" s="51">
        <f>SUM(AV$25:AV$424)</f>
        <v>6552.1823876194421</v>
      </c>
      <c r="F8" s="52">
        <f>SUM(C8:E8)</f>
        <v>21884.097788710489</v>
      </c>
    </row>
    <row r="9" spans="2:6" ht="15" customHeight="1" x14ac:dyDescent="0.35">
      <c r="B9" s="3" t="s">
        <v>256</v>
      </c>
      <c r="C9" s="51">
        <f>SUM(S$25:S$424)</f>
        <v>2862.1809304647704</v>
      </c>
      <c r="D9" s="51">
        <f>SUM(AG$25:AG$424)</f>
        <v>2858.302388424519</v>
      </c>
      <c r="E9" s="51">
        <f>SUM(AU$25:AU$424)</f>
        <v>2854.5276385894945</v>
      </c>
      <c r="F9" s="52">
        <f>SUM(C9:E9)</f>
        <v>8575.0109574787839</v>
      </c>
    </row>
    <row r="10" spans="2:6" ht="15" customHeight="1" x14ac:dyDescent="0.35">
      <c r="B10" s="23" t="s">
        <v>257</v>
      </c>
      <c r="C10" s="44">
        <f>IFERROR(C11/C8,0)</f>
        <v>1426.229775445039</v>
      </c>
      <c r="D10" s="44">
        <f>IFERROR(D11/D8,0)</f>
        <v>1469.0166687083934</v>
      </c>
      <c r="E10" s="44">
        <f>IFERROR(E11/E8,0)</f>
        <v>1513.0871687696422</v>
      </c>
    </row>
    <row r="11" spans="2:6" ht="15" customHeight="1" x14ac:dyDescent="0.35">
      <c r="B11" s="3" t="s">
        <v>258</v>
      </c>
      <c r="C11" s="44">
        <f>SUM(V$25:V$424)</f>
        <v>11564521.629253663</v>
      </c>
      <c r="D11" s="44">
        <f>SUM(AJ$25:AJ$424)</f>
        <v>10611382.00929838</v>
      </c>
      <c r="E11" s="44">
        <f>SUM(AX$25:AX$424)</f>
        <v>9914023.098145416</v>
      </c>
      <c r="F11" s="53">
        <f>SUM(C11:E11)</f>
        <v>32089926.736697458</v>
      </c>
    </row>
    <row r="12" spans="2:6" ht="15" customHeight="1" x14ac:dyDescent="0.35">
      <c r="B12" s="3" t="s">
        <v>259</v>
      </c>
      <c r="C12" s="44">
        <f>SUM(W$25:W$424)</f>
        <v>10474319.384343294</v>
      </c>
      <c r="D12" s="44">
        <f>SUM(AK$25:AK$424)</f>
        <v>11480710.832053293</v>
      </c>
      <c r="E12" s="44">
        <f>SUM(AY$25:AY$424)</f>
        <v>11663861.060224339</v>
      </c>
      <c r="F12" s="53">
        <f>SUM(C12:E12)</f>
        <v>33618891.276620924</v>
      </c>
    </row>
    <row r="13" spans="2:6" ht="15" customHeight="1" x14ac:dyDescent="0.35">
      <c r="B13" s="3" t="s">
        <v>260</v>
      </c>
      <c r="C13" s="44">
        <f>SUM(X$25:X$424)</f>
        <v>2562292.7029855321</v>
      </c>
      <c r="D13" s="44">
        <f>SUM(AL$25:AL$424)</f>
        <v>2368439.2288439088</v>
      </c>
      <c r="E13" s="44">
        <f>SUM(AZ$25:AZ$424)</f>
        <v>2227327.4242662927</v>
      </c>
      <c r="F13" s="53">
        <f>SUM(C13:E13)</f>
        <v>7158059.3560957341</v>
      </c>
    </row>
    <row r="14" spans="2:6" ht="15" customHeight="1" x14ac:dyDescent="0.35">
      <c r="B14" s="3" t="s">
        <v>261</v>
      </c>
      <c r="C14" s="54">
        <f>C11-C12-C13</f>
        <v>-1472090.4580751634</v>
      </c>
      <c r="D14" s="54">
        <f>D11-D12-D13</f>
        <v>-3237768.0515988208</v>
      </c>
      <c r="E14" s="54">
        <f>E11-E12-E13</f>
        <v>-3977165.3863452161</v>
      </c>
      <c r="F14" s="55">
        <f>SUM(C14:E14)</f>
        <v>-8687023.8960192017</v>
      </c>
    </row>
    <row r="15" spans="2:6" ht="15" customHeight="1" x14ac:dyDescent="0.35">
      <c r="B15" s="23" t="s">
        <v>262</v>
      </c>
      <c r="C15" s="33">
        <f>IFERROR(C12/C11,0)</f>
        <v>0.90572872100886659</v>
      </c>
      <c r="D15" s="33">
        <f>IFERROR(D12/D11,0)</f>
        <v>1.0819241849924119</v>
      </c>
      <c r="E15" s="33">
        <f>IFERROR(E12/E11,0)</f>
        <v>1.1765012997000441</v>
      </c>
    </row>
    <row r="16" spans="2:6" ht="15" customHeight="1" x14ac:dyDescent="0.35">
      <c r="B16" s="23" t="s">
        <v>263</v>
      </c>
      <c r="C16" s="33">
        <f>IFERROR(C13/C11,0)</f>
        <v>0.22156495401452192</v>
      </c>
      <c r="D16" s="33">
        <f>IFERROR(D13/D11,0)</f>
        <v>0.22319799878738969</v>
      </c>
      <c r="E16" s="33">
        <f>IFERROR(E13/E11,0)</f>
        <v>0.22466433679007181</v>
      </c>
    </row>
    <row r="17" spans="1:52" ht="15" customHeight="1" x14ac:dyDescent="0.35">
      <c r="B17" s="82" t="s">
        <v>345</v>
      </c>
      <c r="C17" s="56">
        <f>IFERROR((C12+C13)/C11,0)</f>
        <v>1.1272936750233886</v>
      </c>
      <c r="D17" s="56">
        <f>IFERROR((D12+D13)/D11,0)</f>
        <v>1.3051221837798015</v>
      </c>
      <c r="E17" s="56">
        <f>IFERROR((E12+E13)/E11,0)</f>
        <v>1.4011656364901159</v>
      </c>
      <c r="F17" s="57">
        <f>IFERROR((SUM(C12:E12)+SUM(C13:E13))/SUM(C11:E11),0)</f>
        <v>1.2707087481781276</v>
      </c>
    </row>
    <row r="18" spans="1:52" ht="15" customHeight="1" x14ac:dyDescent="0.35">
      <c r="B18" s="23" t="s">
        <v>264</v>
      </c>
      <c r="C18" s="33">
        <f>IFERROR(SUMPRODUCT(T$25:T$424,--(L$25:L$424&gt;2*Segments!$AH$3))/SUM(T$25:T$424),0)</f>
        <v>0.17654516189534883</v>
      </c>
      <c r="D18" s="33">
        <f>IFERROR(SUMPRODUCT(AH$25:AH$424,--(Z$25:Z$424&gt;2*Segments!$AH$3))/SUM(AH$25:AH$424),0)</f>
        <v>0.24486047478110129</v>
      </c>
      <c r="E18" s="33">
        <f>IFERROR(SUMPRODUCT(AV$25:AV$424,--(AN$25:AN$424&gt;2*Segments!$AH$3))/SUM(AV$25:AV$424),0)</f>
        <v>0.28696251978167447</v>
      </c>
    </row>
    <row r="20" spans="1:52" ht="15" customHeight="1" x14ac:dyDescent="0.35">
      <c r="B20" s="2" t="s">
        <v>265</v>
      </c>
    </row>
    <row r="21" spans="1:52" ht="15" customHeight="1" x14ac:dyDescent="0.35">
      <c r="B21" s="2"/>
    </row>
    <row r="23" spans="1:52" ht="15" customHeight="1" x14ac:dyDescent="0.35">
      <c r="K23" s="58" t="s">
        <v>266</v>
      </c>
      <c r="Y23" s="58" t="s">
        <v>267</v>
      </c>
      <c r="AM23" s="58" t="s">
        <v>268</v>
      </c>
    </row>
    <row r="24" spans="1:52" ht="44.5" customHeight="1" x14ac:dyDescent="0.35">
      <c r="A24" s="17" t="s">
        <v>109</v>
      </c>
      <c r="B24" s="17" t="s">
        <v>151</v>
      </c>
      <c r="C24" s="17" t="s">
        <v>152</v>
      </c>
      <c r="D24" s="17" t="s">
        <v>153</v>
      </c>
      <c r="E24" s="17" t="s">
        <v>149</v>
      </c>
      <c r="F24" s="17" t="s">
        <v>88</v>
      </c>
      <c r="G24" s="17" t="s">
        <v>184</v>
      </c>
      <c r="H24" s="17" t="s">
        <v>269</v>
      </c>
      <c r="I24" s="17" t="s">
        <v>270</v>
      </c>
      <c r="J24" s="17" t="s">
        <v>271</v>
      </c>
      <c r="K24" s="17" t="s">
        <v>272</v>
      </c>
      <c r="L24" s="17" t="s">
        <v>273</v>
      </c>
      <c r="M24" s="17" t="s">
        <v>203</v>
      </c>
      <c r="N24" s="17" t="s">
        <v>274</v>
      </c>
      <c r="O24" s="17" t="s">
        <v>275</v>
      </c>
      <c r="P24" s="17" t="s">
        <v>276</v>
      </c>
      <c r="Q24" s="17" t="s">
        <v>277</v>
      </c>
      <c r="R24" s="17" t="s">
        <v>278</v>
      </c>
      <c r="S24" s="17" t="s">
        <v>279</v>
      </c>
      <c r="T24" s="17" t="s">
        <v>280</v>
      </c>
      <c r="U24" s="17" t="s">
        <v>281</v>
      </c>
      <c r="V24" s="17" t="s">
        <v>258</v>
      </c>
      <c r="W24" s="17" t="s">
        <v>282</v>
      </c>
      <c r="X24" s="17" t="s">
        <v>260</v>
      </c>
      <c r="Y24" s="17" t="s">
        <v>272</v>
      </c>
      <c r="Z24" s="17" t="s">
        <v>273</v>
      </c>
      <c r="AA24" s="17" t="s">
        <v>203</v>
      </c>
      <c r="AB24" s="17" t="s">
        <v>274</v>
      </c>
      <c r="AC24" s="17" t="s">
        <v>275</v>
      </c>
      <c r="AD24" s="17" t="s">
        <v>276</v>
      </c>
      <c r="AE24" s="17" t="s">
        <v>277</v>
      </c>
      <c r="AF24" s="17" t="s">
        <v>278</v>
      </c>
      <c r="AG24" s="17" t="s">
        <v>279</v>
      </c>
      <c r="AH24" s="17" t="s">
        <v>280</v>
      </c>
      <c r="AI24" s="17" t="s">
        <v>281</v>
      </c>
      <c r="AJ24" s="17" t="s">
        <v>258</v>
      </c>
      <c r="AK24" s="17" t="s">
        <v>282</v>
      </c>
      <c r="AL24" s="17" t="s">
        <v>260</v>
      </c>
      <c r="AM24" s="17" t="s">
        <v>272</v>
      </c>
      <c r="AN24" s="17" t="s">
        <v>273</v>
      </c>
      <c r="AO24" s="17" t="s">
        <v>203</v>
      </c>
      <c r="AP24" s="17" t="s">
        <v>274</v>
      </c>
      <c r="AQ24" s="17" t="s">
        <v>275</v>
      </c>
      <c r="AR24" s="17" t="s">
        <v>276</v>
      </c>
      <c r="AS24" s="17" t="s">
        <v>277</v>
      </c>
      <c r="AT24" s="17" t="s">
        <v>278</v>
      </c>
      <c r="AU24" s="17" t="s">
        <v>279</v>
      </c>
      <c r="AV24" s="17" t="s">
        <v>280</v>
      </c>
      <c r="AW24" s="17" t="s">
        <v>281</v>
      </c>
      <c r="AX24" s="17" t="s">
        <v>258</v>
      </c>
      <c r="AY24" s="17" t="s">
        <v>282</v>
      </c>
      <c r="AZ24" s="17" t="s">
        <v>260</v>
      </c>
    </row>
    <row r="25" spans="1:52" ht="15" customHeight="1" x14ac:dyDescent="0.35">
      <c r="A25" s="59" t="str">
        <f>Segments!$A$5</f>
        <v>Non-greek</v>
      </c>
      <c r="B25" s="59" t="str">
        <f>Segments!$B$5</f>
        <v>On campus</v>
      </c>
      <c r="C25" s="59" t="str">
        <f>Segments!$C$5</f>
        <v>Yes</v>
      </c>
      <c r="D25" s="59" t="str">
        <f>Segments!$D$5</f>
        <v>&lt;1.0</v>
      </c>
      <c r="E25" s="59" t="str">
        <f>Segments!$E$5</f>
        <v>Freshman</v>
      </c>
      <c r="F25" s="59">
        <f>Segments!$F$5</f>
        <v>1</v>
      </c>
      <c r="G25" s="59" t="str">
        <f>Segments!$G$5</f>
        <v>Base</v>
      </c>
      <c r="H25" s="60">
        <f>Segments!$H$5</f>
        <v>61</v>
      </c>
      <c r="I25" s="26">
        <f>Segments!$Y$5</f>
        <v>321.9684036137204</v>
      </c>
      <c r="J25" s="29">
        <v>0</v>
      </c>
      <c r="K25" s="14">
        <f t="shared" ref="K25:K88" si="0">IF($J25=0,M25,CURRENT_FLAT)</f>
        <v>565.21239148709719</v>
      </c>
      <c r="L25" s="14">
        <f t="shared" ref="L25:L88" si="1">$I25*(1+LOSS_TREND)^0</f>
        <v>321.9684036137204</v>
      </c>
      <c r="M25" s="14">
        <f t="shared" ref="M25:M88" si="2">L25*GROSS_MULT+POLICY_FEE</f>
        <v>565.21239148709719</v>
      </c>
      <c r="N25" s="14">
        <f t="shared" ref="N25:N88" si="3">M25^MARKET_RISK_WEIGHT*(CURRENT_FLAT*(1+LOSS_TREND)^0)^(1-MARKET_RISK_WEIGHT)</f>
        <v>897.84338399823196</v>
      </c>
      <c r="O25" s="14">
        <f t="shared" ref="O25:O88" si="4">CURRENT_FLAT*(1+LOSS_TREND)^0</f>
        <v>1426.2297754450396</v>
      </c>
      <c r="P25" s="33">
        <f t="shared" ref="P25:P88" si="5">MEDIAN(RET_FLOOR,BASE_RETENTION-ELAST_MARKET*(O25/N25-1)-ELAST_INCREASE*MAX(O25/K25-1,0),RET_CEIL)</f>
        <v>0.3</v>
      </c>
      <c r="Q25" s="33">
        <f t="shared" ref="Q25:Q88" si="6">MEDIAN(CONV_FLOOR,BASE_CONVERSION-ELAST_MARKET*(CURRENT_FLAT*(1+LOSS_TREND)^0/N25-1),CONV_CEIL)</f>
        <v>5.5746903711745621E-2</v>
      </c>
      <c r="R25" s="51">
        <f t="shared" ref="R25:R88" si="7">IF($J25=0,0,IF($J25=4,$H25*GRAD_CONTINUE,$H24)*P25)</f>
        <v>0</v>
      </c>
      <c r="S25" s="51">
        <f>APPLICANTS_PER_YEAR*($H25/Segments!$AH$2)*Q25</f>
        <v>4.0806733516997795</v>
      </c>
      <c r="T25" s="51">
        <f t="shared" ref="T25:T88" si="8">R25+S25</f>
        <v>4.0806733516997795</v>
      </c>
      <c r="U25" s="14">
        <f t="shared" ref="U25:U88" si="9">IFERROR((R25*O25+S25*CURRENT_FLAT*(1+LOSS_TREND)^0)/T25,M25)</f>
        <v>1426.2297754450396</v>
      </c>
      <c r="V25" s="44">
        <f t="shared" ref="V25:V88" si="10">R25*O25+S25*CURRENT_FLAT*(1+LOSS_TREND)^0</f>
        <v>5819.9778380593334</v>
      </c>
      <c r="W25" s="44">
        <f t="shared" ref="W25:W88" si="11">T25*L25*(1+LAE_RATIO)</f>
        <v>1471.5096308817274</v>
      </c>
      <c r="X25" s="44">
        <f t="shared" ref="X25:X88" si="12">R25*O25*(PREMIUM_TAX+OTHER_VARIABLE+COMMISSION_RN)+S25*CURRENT_FLAT*(1+LOSS_TREND)^0*(PREMIUM_TAX+OTHER_VARIABLE+COMMISSION_NB)+T25*FIXED_PER_POLICY+S25*NB_ACQUISITION</f>
        <v>1487.3053365517808</v>
      </c>
      <c r="Y25" s="14">
        <f t="shared" ref="Y25:Y88" si="13">IF($J25=0,AA25,IF($J25=4,U25,U24))</f>
        <v>580.91876323171016</v>
      </c>
      <c r="Z25" s="14">
        <f t="shared" ref="Z25:Z88" si="14">$I25*(1+LOSS_TREND)^1</f>
        <v>331.62745572213203</v>
      </c>
      <c r="AA25" s="14">
        <f t="shared" ref="AA25:AA88" si="15">Z25*GROSS_MULT+POLICY_FEE</f>
        <v>580.91876323171016</v>
      </c>
      <c r="AB25" s="14">
        <f t="shared" ref="AB25:AB88" si="16">AA25^MARKET_RISK_WEIGHT*(CURRENT_FLAT*(1+LOSS_TREND)^1)^(1-MARKET_RISK_WEIGHT)</f>
        <v>923.78533564505403</v>
      </c>
      <c r="AC25" s="14">
        <f t="shared" ref="AC25:AC88" si="17">CURRENT_FLAT*(1+LOSS_TREND)^1</f>
        <v>1469.0166687083909</v>
      </c>
      <c r="AD25" s="33">
        <f t="shared" ref="AD25:AD88" si="18">MEDIAN(RET_FLOOR,BASE_RETENTION-ELAST_MARKET*(AC25/AB25-1)-ELAST_INCREASE*MAX(AC25/Y25-1,0),RET_CEIL)</f>
        <v>0.3</v>
      </c>
      <c r="AE25" s="33">
        <f t="shared" ref="AE25:AE88" si="19">MEDIAN(CONV_FLOOR,BASE_CONVERSION-ELAST_MARKET*(CURRENT_FLAT*(1+LOSS_TREND)^1/AB25-1),CONV_CEIL)</f>
        <v>5.4892840346606797E-2</v>
      </c>
      <c r="AF25" s="51">
        <f t="shared" ref="AF25:AF88" si="20">IF($J25=0,0,IF($J25=4,T25*GRAD_CONTINUE,T24)*AD25)</f>
        <v>0</v>
      </c>
      <c r="AG25" s="51">
        <f>APPLICANTS_PER_YEAR*($H25/Segments!$AH$2)*AE25</f>
        <v>4.0181559133716176</v>
      </c>
      <c r="AH25" s="51">
        <f t="shared" ref="AH25:AH88" si="21">AF25+AG25</f>
        <v>4.0181559133716176</v>
      </c>
      <c r="AI25" s="14">
        <f t="shared" ref="AI25:AI88" si="22">IFERROR((AF25*AC25+AG25*CURRENT_FLAT*(1+LOSS_TREND)^1)/AH25,AA25)</f>
        <v>1469.0166687083906</v>
      </c>
      <c r="AJ25" s="44">
        <f t="shared" ref="AJ25:AJ88" si="23">AF25*AC25+AG25*CURRENT_FLAT*(1+LOSS_TREND)^1</f>
        <v>5902.7380142120946</v>
      </c>
      <c r="AK25" s="44">
        <f t="shared" ref="AK25:AK88" si="24">AH25*Z25*(1+LAE_RATIO)</f>
        <v>1492.4345209158214</v>
      </c>
      <c r="AL25" s="44">
        <f t="shared" ref="AL25:AL88" si="25">AF25*AC25*(PREMIUM_TAX+OTHER_VARIABLE+COMMISSION_RN)+AG25*CURRENT_FLAT*(1+LOSS_TREND)^1*(PREMIUM_TAX+OTHER_VARIABLE+COMMISSION_NB)+AH25*FIXED_PER_POLICY+AG25*NB_ACQUISITION</f>
        <v>1503.030331285232</v>
      </c>
      <c r="AM25" s="14">
        <f t="shared" ref="AM25:AM88" si="26">IF($J25=0,AO25,IF($J25=4,AI25,AI24))</f>
        <v>597.09632612866142</v>
      </c>
      <c r="AN25" s="14">
        <f t="shared" ref="AN25:AN88" si="27">$I25*(1+LOSS_TREND)^2</f>
        <v>341.57627939379597</v>
      </c>
      <c r="AO25" s="14">
        <f t="shared" ref="AO25:AO88" si="28">AN25*GROSS_MULT+POLICY_FEE</f>
        <v>597.09632612866142</v>
      </c>
      <c r="AP25" s="14">
        <f t="shared" ref="AP25:AP88" si="29">AO25^MARKET_RISK_WEIGHT*(CURRENT_FLAT*(1+LOSS_TREND)^2)^(1-MARKET_RISK_WEIGHT)</f>
        <v>950.50449214339403</v>
      </c>
      <c r="AQ25" s="14">
        <f t="shared" ref="AQ25:AQ88" si="30">CURRENT_FLAT*(1+LOSS_TREND)^2</f>
        <v>1513.0871687696424</v>
      </c>
      <c r="AR25" s="33">
        <f t="shared" ref="AR25:AR88" si="31">MEDIAN(RET_FLOOR,BASE_RETENTION-ELAST_MARKET*(AQ25/AP25-1)-ELAST_INCREASE*MAX(AQ25/AM25-1,0),RET_CEIL)</f>
        <v>0.3</v>
      </c>
      <c r="AS25" s="33">
        <f t="shared" ref="AS25:AS88" si="32">MEDIAN(CONV_FLOOR,BASE_CONVERSION-ELAST_MARKET*(CURRENT_FLAT*(1+LOSS_TREND)^2/AP25-1),CONV_CEIL)</f>
        <v>5.4061011138610837E-2</v>
      </c>
      <c r="AT25" s="51">
        <f t="shared" ref="AT25:AT88" si="33">IF($J25=0,0,IF($J25=4,AH25*GRAD_CONTINUE,AH24)*AR25)</f>
        <v>0</v>
      </c>
      <c r="AU25" s="51">
        <f>APPLICANTS_PER_YEAR*($H25/Segments!$AH$2)*AS25</f>
        <v>3.9572660153463133</v>
      </c>
      <c r="AV25" s="51">
        <f t="shared" ref="AV25:AV88" si="34">AT25+AU25</f>
        <v>3.9572660153463133</v>
      </c>
      <c r="AW25" s="14">
        <f t="shared" ref="AW25:AW88" si="35">IFERROR((AT25*AQ25+AU25*CURRENT_FLAT*(1+LOSS_TREND)^2)/AV25,AO25)</f>
        <v>1513.0871687696424</v>
      </c>
      <c r="AX25" s="44">
        <f t="shared" ref="AX25:AX88" si="36">AT25*AQ25+AU25*CURRENT_FLAT*(1+LOSS_TREND)^2</f>
        <v>5987.6884312286775</v>
      </c>
      <c r="AY25" s="44">
        <f t="shared" ref="AY25:AY88" si="37">AV25*AN25*(1+LAE_RATIO)</f>
        <v>1513.9131863447269</v>
      </c>
      <c r="AZ25" s="44">
        <f t="shared" ref="AZ25:AZ88" si="38">AT25*AQ25*(PREMIUM_TAX+OTHER_VARIABLE+COMMISSION_RN)+AU25*CURRENT_FLAT*(1+LOSS_TREND)^2*(PREMIUM_TAX+OTHER_VARIABLE+COMMISSION_NB)+AV25*FIXED_PER_POLICY+AU25*NB_ACQUISITION</f>
        <v>1519.3191792858079</v>
      </c>
    </row>
    <row r="26" spans="1:52" ht="15" customHeight="1" x14ac:dyDescent="0.35">
      <c r="A26" s="59" t="str">
        <f>Segments!$A$6</f>
        <v>Non-greek</v>
      </c>
      <c r="B26" s="59" t="str">
        <f>Segments!$B$6</f>
        <v>On campus</v>
      </c>
      <c r="C26" s="59" t="str">
        <f>Segments!$C$6</f>
        <v>Yes</v>
      </c>
      <c r="D26" s="59" t="str">
        <f>Segments!$D$6</f>
        <v>&lt;1.0</v>
      </c>
      <c r="E26" s="59" t="str">
        <f>Segments!$E$6</f>
        <v>Sophomore</v>
      </c>
      <c r="F26" s="59">
        <f>Segments!$F$6</f>
        <v>1</v>
      </c>
      <c r="G26" s="59" t="str">
        <f>Segments!$G$6</f>
        <v>Sophomore</v>
      </c>
      <c r="H26" s="60">
        <f>Segments!$H$6</f>
        <v>79</v>
      </c>
      <c r="I26" s="26">
        <f>Segments!$Y$6</f>
        <v>318.69277525569095</v>
      </c>
      <c r="J26" s="29">
        <v>1</v>
      </c>
      <c r="K26" s="14">
        <f t="shared" si="0"/>
        <v>1426.2297754450396</v>
      </c>
      <c r="L26" s="14">
        <f t="shared" si="1"/>
        <v>318.69277525569095</v>
      </c>
      <c r="M26" s="14">
        <f t="shared" si="2"/>
        <v>559.88596441009634</v>
      </c>
      <c r="N26" s="14">
        <f t="shared" si="3"/>
        <v>893.60283867915348</v>
      </c>
      <c r="O26" s="14">
        <f t="shared" si="4"/>
        <v>1426.2297754450396</v>
      </c>
      <c r="P26" s="33">
        <f t="shared" si="5"/>
        <v>0.55197781737512752</v>
      </c>
      <c r="Q26" s="33">
        <f t="shared" si="6"/>
        <v>5.1977817375127522E-2</v>
      </c>
      <c r="R26" s="51">
        <f t="shared" si="7"/>
        <v>33.67064685988278</v>
      </c>
      <c r="S26" s="51">
        <f>APPLICANTS_PER_YEAR*($H26/Segments!$AH$2)*Q26</f>
        <v>4.9274970871620898</v>
      </c>
      <c r="T26" s="51">
        <f t="shared" si="8"/>
        <v>38.598143947044868</v>
      </c>
      <c r="U26" s="14">
        <f t="shared" si="9"/>
        <v>1426.2297754450396</v>
      </c>
      <c r="V26" s="44">
        <f t="shared" si="10"/>
        <v>55049.822174189118</v>
      </c>
      <c r="W26" s="44">
        <f t="shared" si="11"/>
        <v>13777.063567906665</v>
      </c>
      <c r="X26" s="44">
        <f t="shared" si="12"/>
        <v>11545.53770428622</v>
      </c>
      <c r="Y26" s="14">
        <f t="shared" si="13"/>
        <v>1426.2297754450396</v>
      </c>
      <c r="Z26" s="14">
        <f t="shared" si="14"/>
        <v>328.25355851336167</v>
      </c>
      <c r="AA26" s="14">
        <f t="shared" si="15"/>
        <v>575.43254334239919</v>
      </c>
      <c r="AB26" s="14">
        <f t="shared" si="16"/>
        <v>919.41285497171941</v>
      </c>
      <c r="AC26" s="14">
        <f t="shared" si="17"/>
        <v>1469.0166687083909</v>
      </c>
      <c r="AD26" s="33">
        <f t="shared" si="18"/>
        <v>0.54211152418378084</v>
      </c>
      <c r="AE26" s="33">
        <f t="shared" si="19"/>
        <v>5.1111524183780843E-2</v>
      </c>
      <c r="AF26" s="51">
        <f t="shared" si="20"/>
        <v>2.2121800503861051</v>
      </c>
      <c r="AG26" s="51">
        <f>APPLICANTS_PER_YEAR*($H26/Segments!$AH$2)*AE26</f>
        <v>4.8453724926224249</v>
      </c>
      <c r="AH26" s="51">
        <f t="shared" si="21"/>
        <v>7.05755254300853</v>
      </c>
      <c r="AI26" s="14">
        <f t="shared" si="22"/>
        <v>1469.0166687083906</v>
      </c>
      <c r="AJ26" s="44">
        <f t="shared" si="23"/>
        <v>10367.662325964822</v>
      </c>
      <c r="AK26" s="44">
        <f t="shared" si="24"/>
        <v>2594.6667450340842</v>
      </c>
      <c r="AL26" s="44">
        <f t="shared" si="25"/>
        <v>2470.9011963048042</v>
      </c>
      <c r="AM26" s="14">
        <f t="shared" si="26"/>
        <v>1469.0166687083906</v>
      </c>
      <c r="AN26" s="14">
        <f t="shared" si="27"/>
        <v>338.10116526876249</v>
      </c>
      <c r="AO26" s="14">
        <f t="shared" si="28"/>
        <v>591.44551964267112</v>
      </c>
      <c r="AP26" s="14">
        <f t="shared" si="29"/>
        <v>945.99610295054561</v>
      </c>
      <c r="AQ26" s="14">
        <f t="shared" si="30"/>
        <v>1513.0871687696424</v>
      </c>
      <c r="AR26" s="33">
        <f t="shared" si="31"/>
        <v>0.54126775794828885</v>
      </c>
      <c r="AS26" s="33">
        <f t="shared" si="32"/>
        <v>5.026775794828886E-2</v>
      </c>
      <c r="AT26" s="51">
        <f t="shared" si="33"/>
        <v>2.1748982423173144</v>
      </c>
      <c r="AU26" s="51">
        <f>APPLICANTS_PER_YEAR*($H26/Segments!$AH$2)*AS26</f>
        <v>4.7653834534977841</v>
      </c>
      <c r="AV26" s="51">
        <f t="shared" si="34"/>
        <v>6.9402816958150986</v>
      </c>
      <c r="AW26" s="14">
        <f t="shared" si="35"/>
        <v>1513.0871687696426</v>
      </c>
      <c r="AX26" s="44">
        <f t="shared" si="36"/>
        <v>10501.251181584641</v>
      </c>
      <c r="AY26" s="44">
        <f t="shared" si="37"/>
        <v>2628.0994080863738</v>
      </c>
      <c r="AZ26" s="44">
        <f t="shared" si="38"/>
        <v>2495.042113094657</v>
      </c>
    </row>
    <row r="27" spans="1:52" ht="15" customHeight="1" x14ac:dyDescent="0.35">
      <c r="A27" s="59" t="str">
        <f>Segments!$A$7</f>
        <v>Non-greek</v>
      </c>
      <c r="B27" s="59" t="str">
        <f>Segments!$B$7</f>
        <v>On campus</v>
      </c>
      <c r="C27" s="59" t="str">
        <f>Segments!$C$7</f>
        <v>Yes</v>
      </c>
      <c r="D27" s="59" t="str">
        <f>Segments!$D$7</f>
        <v>&lt;1.0</v>
      </c>
      <c r="E27" s="59" t="str">
        <f>Segments!$E$7</f>
        <v>Junior</v>
      </c>
      <c r="F27" s="59">
        <f>Segments!$F$7</f>
        <v>2</v>
      </c>
      <c r="G27" s="59" t="str">
        <f>Segments!$G$7</f>
        <v>Base</v>
      </c>
      <c r="H27" s="60">
        <f>Segments!$H$7</f>
        <v>79</v>
      </c>
      <c r="I27" s="26">
        <f>Segments!$Y$7</f>
        <v>380.97350969079559</v>
      </c>
      <c r="J27" s="29">
        <v>2</v>
      </c>
      <c r="K27" s="14">
        <f t="shared" si="0"/>
        <v>1426.2297754450396</v>
      </c>
      <c r="L27" s="14">
        <f t="shared" si="1"/>
        <v>380.97350969079559</v>
      </c>
      <c r="M27" s="14">
        <f t="shared" si="2"/>
        <v>661.15929398592459</v>
      </c>
      <c r="N27" s="14">
        <f t="shared" si="3"/>
        <v>971.06388636121471</v>
      </c>
      <c r="O27" s="14">
        <f t="shared" si="4"/>
        <v>1426.2297754450396</v>
      </c>
      <c r="P27" s="33">
        <f t="shared" si="5"/>
        <v>0.61563545639132489</v>
      </c>
      <c r="Q27" s="33">
        <f t="shared" si="6"/>
        <v>0.11563545639132489</v>
      </c>
      <c r="R27" s="51">
        <f t="shared" si="7"/>
        <v>48.635201054914667</v>
      </c>
      <c r="S27" s="51">
        <f>APPLICANTS_PER_YEAR*($H27/Segments!$AH$2)*Q27</f>
        <v>10.962241265897601</v>
      </c>
      <c r="T27" s="51">
        <f t="shared" si="8"/>
        <v>59.59744232081227</v>
      </c>
      <c r="U27" s="14">
        <f t="shared" si="9"/>
        <v>1426.2297754450396</v>
      </c>
      <c r="V27" s="44">
        <f t="shared" si="10"/>
        <v>84999.64677831078</v>
      </c>
      <c r="W27" s="44">
        <f t="shared" si="11"/>
        <v>25429.652381901156</v>
      </c>
      <c r="X27" s="44">
        <f t="shared" si="12"/>
        <v>18078.151740630667</v>
      </c>
      <c r="Y27" s="14">
        <f t="shared" si="13"/>
        <v>1426.2297754450396</v>
      </c>
      <c r="Z27" s="14">
        <f t="shared" si="14"/>
        <v>392.40271498151947</v>
      </c>
      <c r="AA27" s="14">
        <f t="shared" si="15"/>
        <v>679.74407280550236</v>
      </c>
      <c r="AB27" s="14">
        <f t="shared" si="16"/>
        <v>999.27742564665834</v>
      </c>
      <c r="AC27" s="14">
        <f t="shared" si="17"/>
        <v>1469.0166687083909</v>
      </c>
      <c r="AD27" s="33">
        <f t="shared" si="18"/>
        <v>0.60596054498691787</v>
      </c>
      <c r="AE27" s="33">
        <f t="shared" si="19"/>
        <v>0.11496054498691788</v>
      </c>
      <c r="AF27" s="51">
        <f t="shared" si="20"/>
        <v>23.388952341634813</v>
      </c>
      <c r="AG27" s="51">
        <f>APPLICANTS_PER_YEAR*($H27/Segments!$AH$2)*AE27</f>
        <v>10.898259664759816</v>
      </c>
      <c r="AH27" s="51">
        <f t="shared" si="21"/>
        <v>34.287212006394626</v>
      </c>
      <c r="AI27" s="14">
        <f t="shared" si="22"/>
        <v>1469.0166687083913</v>
      </c>
      <c r="AJ27" s="44">
        <f t="shared" si="23"/>
        <v>50368.485960932187</v>
      </c>
      <c r="AK27" s="44">
        <f t="shared" si="24"/>
        <v>15068.922490110948</v>
      </c>
      <c r="AL27" s="44">
        <f t="shared" si="25"/>
        <v>11038.184957123629</v>
      </c>
      <c r="AM27" s="14">
        <f t="shared" si="26"/>
        <v>1469.0166687083906</v>
      </c>
      <c r="AN27" s="14">
        <f t="shared" si="27"/>
        <v>404.17479643096505</v>
      </c>
      <c r="AO27" s="14">
        <f t="shared" si="28"/>
        <v>698.88639498966745</v>
      </c>
      <c r="AP27" s="14">
        <f t="shared" si="29"/>
        <v>1028.3365386324353</v>
      </c>
      <c r="AQ27" s="14">
        <f t="shared" si="30"/>
        <v>1513.0871687696424</v>
      </c>
      <c r="AR27" s="33">
        <f t="shared" si="31"/>
        <v>0.60530350769123331</v>
      </c>
      <c r="AS27" s="33">
        <f t="shared" si="32"/>
        <v>0.11430350769123332</v>
      </c>
      <c r="AT27" s="51">
        <f t="shared" si="33"/>
        <v>4.2719613099982467</v>
      </c>
      <c r="AU27" s="51">
        <f>APPLICANTS_PER_YEAR*($H27/Segments!$AH$2)*AS27</f>
        <v>10.83597252912892</v>
      </c>
      <c r="AV27" s="51">
        <f t="shared" si="34"/>
        <v>15.107933839127167</v>
      </c>
      <c r="AW27" s="14">
        <f t="shared" si="35"/>
        <v>1513.0871687696426</v>
      </c>
      <c r="AX27" s="44">
        <f t="shared" si="36"/>
        <v>22859.620838604002</v>
      </c>
      <c r="AY27" s="44">
        <f t="shared" si="37"/>
        <v>6838.995613992317</v>
      </c>
      <c r="AZ27" s="44">
        <f t="shared" si="38"/>
        <v>5467.3783133307079</v>
      </c>
    </row>
    <row r="28" spans="1:52" ht="15" customHeight="1" x14ac:dyDescent="0.35">
      <c r="A28" s="59" t="str">
        <f>Segments!$A$8</f>
        <v>Non-greek</v>
      </c>
      <c r="B28" s="59" t="str">
        <f>Segments!$B$8</f>
        <v>On campus</v>
      </c>
      <c r="C28" s="59" t="str">
        <f>Segments!$C$8</f>
        <v>Yes</v>
      </c>
      <c r="D28" s="59" t="str">
        <f>Segments!$D$8</f>
        <v>&lt;1.0</v>
      </c>
      <c r="E28" s="59" t="str">
        <f>Segments!$E$8</f>
        <v>Senior</v>
      </c>
      <c r="F28" s="59">
        <f>Segments!$F$8</f>
        <v>3</v>
      </c>
      <c r="G28" s="59" t="str">
        <f>Segments!$G$8</f>
        <v>Base</v>
      </c>
      <c r="H28" s="60">
        <f>Segments!$H$8</f>
        <v>58</v>
      </c>
      <c r="I28" s="26">
        <f>Segments!$Y$8</f>
        <v>356.09116074785794</v>
      </c>
      <c r="J28" s="29">
        <v>3</v>
      </c>
      <c r="K28" s="14">
        <f t="shared" si="0"/>
        <v>1426.2297754450396</v>
      </c>
      <c r="L28" s="14">
        <f t="shared" si="1"/>
        <v>356.09116074785794</v>
      </c>
      <c r="M28" s="14">
        <f t="shared" si="2"/>
        <v>620.69865478545728</v>
      </c>
      <c r="N28" s="14">
        <f t="shared" si="3"/>
        <v>940.8819814587273</v>
      </c>
      <c r="O28" s="14">
        <f t="shared" si="4"/>
        <v>1426.2297754450396</v>
      </c>
      <c r="P28" s="33">
        <f t="shared" si="5"/>
        <v>0.59207828210620128</v>
      </c>
      <c r="Q28" s="33">
        <f t="shared" si="6"/>
        <v>9.2078282106201281E-2</v>
      </c>
      <c r="R28" s="51">
        <f t="shared" si="7"/>
        <v>46.774184286389904</v>
      </c>
      <c r="S28" s="51">
        <f>APPLICANTS_PER_YEAR*($H28/Segments!$AH$2)*Q28</f>
        <v>6.4086484345916084</v>
      </c>
      <c r="T28" s="51">
        <f t="shared" si="8"/>
        <v>53.182832720981509</v>
      </c>
      <c r="U28" s="14">
        <f t="shared" si="9"/>
        <v>1426.2297754450396</v>
      </c>
      <c r="V28" s="44">
        <f t="shared" si="10"/>
        <v>75850.939569176568</v>
      </c>
      <c r="W28" s="44">
        <f t="shared" si="11"/>
        <v>21210.489031730285</v>
      </c>
      <c r="X28" s="44">
        <f t="shared" si="12"/>
        <v>15879.607626480874</v>
      </c>
      <c r="Y28" s="14">
        <f t="shared" si="13"/>
        <v>1426.2297754450396</v>
      </c>
      <c r="Z28" s="14">
        <f t="shared" si="14"/>
        <v>366.77389557029369</v>
      </c>
      <c r="AA28" s="14">
        <f t="shared" si="15"/>
        <v>638.06961442902104</v>
      </c>
      <c r="AB28" s="14">
        <f t="shared" si="16"/>
        <v>968.16057521083133</v>
      </c>
      <c r="AC28" s="14">
        <f t="shared" si="17"/>
        <v>1469.0166687083909</v>
      </c>
      <c r="AD28" s="33">
        <f t="shared" si="18"/>
        <v>0.58233624817944551</v>
      </c>
      <c r="AE28" s="33">
        <f t="shared" si="19"/>
        <v>9.1336248179445523E-2</v>
      </c>
      <c r="AF28" s="51">
        <f t="shared" si="20"/>
        <v>34.705750962192724</v>
      </c>
      <c r="AG28" s="51">
        <f>APPLICANTS_PER_YEAR*($H28/Segments!$AH$2)*AE28</f>
        <v>6.3570028732894075</v>
      </c>
      <c r="AH28" s="51">
        <f t="shared" si="21"/>
        <v>41.062753835482134</v>
      </c>
      <c r="AI28" s="14">
        <f t="shared" si="22"/>
        <v>1469.0166687083909</v>
      </c>
      <c r="AJ28" s="44">
        <f t="shared" si="23"/>
        <v>60321.869847392663</v>
      </c>
      <c r="AK28" s="44">
        <f t="shared" si="24"/>
        <v>16868.035729533858</v>
      </c>
      <c r="AL28" s="44">
        <f t="shared" si="25"/>
        <v>12707.862561135216</v>
      </c>
      <c r="AM28" s="14">
        <f t="shared" si="26"/>
        <v>1469.0166687083913</v>
      </c>
      <c r="AN28" s="14">
        <f t="shared" si="27"/>
        <v>377.77711243740248</v>
      </c>
      <c r="AO28" s="14">
        <f t="shared" si="28"/>
        <v>655.96170286189169</v>
      </c>
      <c r="AP28" s="14">
        <f t="shared" si="29"/>
        <v>996.25661142328852</v>
      </c>
      <c r="AQ28" s="14">
        <f t="shared" si="30"/>
        <v>1513.0871687696424</v>
      </c>
      <c r="AR28" s="33">
        <f t="shared" si="31"/>
        <v>0.58161373775578229</v>
      </c>
      <c r="AS28" s="33">
        <f t="shared" si="32"/>
        <v>9.0613737755782187E-2</v>
      </c>
      <c r="AT28" s="51">
        <f t="shared" si="33"/>
        <v>19.941913532264113</v>
      </c>
      <c r="AU28" s="51">
        <f>APPLICANTS_PER_YEAR*($H28/Segments!$AH$2)*AS28</f>
        <v>6.3067161478024394</v>
      </c>
      <c r="AV28" s="51">
        <f t="shared" si="34"/>
        <v>26.248629680066554</v>
      </c>
      <c r="AW28" s="14">
        <f t="shared" si="35"/>
        <v>1513.0871687696424</v>
      </c>
      <c r="AX28" s="44">
        <f t="shared" si="36"/>
        <v>39716.464766694706</v>
      </c>
      <c r="AY28" s="44">
        <f t="shared" si="37"/>
        <v>11106.067309091153</v>
      </c>
      <c r="AZ28" s="44">
        <f t="shared" si="38"/>
        <v>8523.0437330126169</v>
      </c>
    </row>
    <row r="29" spans="1:52" ht="15" customHeight="1" x14ac:dyDescent="0.35">
      <c r="A29" s="59" t="str">
        <f>Segments!$A$9</f>
        <v>Non-greek</v>
      </c>
      <c r="B29" s="59" t="str">
        <f>Segments!$B$9</f>
        <v>On campus</v>
      </c>
      <c r="C29" s="59" t="str">
        <f>Segments!$C$9</f>
        <v>Yes</v>
      </c>
      <c r="D29" s="59" t="str">
        <f>Segments!$D$9</f>
        <v>&lt;1.0</v>
      </c>
      <c r="E29" s="59" t="str">
        <f>Segments!$E$9</f>
        <v>Grad student</v>
      </c>
      <c r="F29" s="59">
        <f>Segments!$F$9</f>
        <v>3</v>
      </c>
      <c r="G29" s="59" t="str">
        <f>Segments!$G$9</f>
        <v>Grad</v>
      </c>
      <c r="H29" s="60">
        <f>Segments!$H$9</f>
        <v>48</v>
      </c>
      <c r="I29" s="26">
        <f>Segments!$Y$9</f>
        <v>423.99077532171731</v>
      </c>
      <c r="J29" s="29">
        <v>4</v>
      </c>
      <c r="K29" s="14">
        <f t="shared" si="0"/>
        <v>1426.2297754450396</v>
      </c>
      <c r="L29" s="14">
        <f t="shared" si="1"/>
        <v>423.99077532171731</v>
      </c>
      <c r="M29" s="14">
        <f t="shared" si="2"/>
        <v>731.10872151283786</v>
      </c>
      <c r="N29" s="14">
        <f t="shared" si="3"/>
        <v>1021.1410420256179</v>
      </c>
      <c r="O29" s="14">
        <f t="shared" si="4"/>
        <v>1426.2297754450396</v>
      </c>
      <c r="P29" s="33">
        <f t="shared" si="5"/>
        <v>0.65164898052875486</v>
      </c>
      <c r="Q29" s="33">
        <f t="shared" si="6"/>
        <v>0.15164898052875486</v>
      </c>
      <c r="R29" s="51">
        <f t="shared" si="7"/>
        <v>15.639575532690117</v>
      </c>
      <c r="S29" s="51">
        <f>APPLICANTS_PER_YEAR*($H29/Segments!$AH$2)*Q29</f>
        <v>8.7349812784562797</v>
      </c>
      <c r="T29" s="51">
        <f t="shared" si="8"/>
        <v>24.374556811146398</v>
      </c>
      <c r="U29" s="14">
        <f t="shared" si="9"/>
        <v>1426.2297754450396</v>
      </c>
      <c r="V29" s="44">
        <f t="shared" si="10"/>
        <v>34763.71868733369</v>
      </c>
      <c r="W29" s="44">
        <f t="shared" si="11"/>
        <v>11574.737709338953</v>
      </c>
      <c r="X29" s="44">
        <f t="shared" si="12"/>
        <v>7712.2416636455291</v>
      </c>
      <c r="Y29" s="14">
        <f t="shared" si="13"/>
        <v>1426.2297754450396</v>
      </c>
      <c r="Z29" s="14">
        <f t="shared" si="14"/>
        <v>436.71049858136882</v>
      </c>
      <c r="AA29" s="14">
        <f t="shared" si="15"/>
        <v>751.79198315822305</v>
      </c>
      <c r="AB29" s="14">
        <f t="shared" si="16"/>
        <v>1050.9019719558848</v>
      </c>
      <c r="AC29" s="14">
        <f t="shared" si="17"/>
        <v>1469.0166687083909</v>
      </c>
      <c r="AD29" s="33">
        <f t="shared" si="18"/>
        <v>0.64206864964087351</v>
      </c>
      <c r="AE29" s="33">
        <f t="shared" si="19"/>
        <v>0.15106864964087352</v>
      </c>
      <c r="AF29" s="51">
        <f t="shared" si="20"/>
        <v>7.8250693886637617</v>
      </c>
      <c r="AG29" s="51">
        <f>APPLICANTS_PER_YEAR*($H29/Segments!$AH$2)*AE29</f>
        <v>8.7015542193143141</v>
      </c>
      <c r="AH29" s="51">
        <f t="shared" si="21"/>
        <v>16.526623607978074</v>
      </c>
      <c r="AI29" s="14">
        <f t="shared" si="22"/>
        <v>1469.0166687083909</v>
      </c>
      <c r="AJ29" s="44">
        <f t="shared" si="23"/>
        <v>24277.885557589398</v>
      </c>
      <c r="AK29" s="44">
        <f t="shared" si="24"/>
        <v>8083.4320399915332</v>
      </c>
      <c r="AL29" s="44">
        <f t="shared" si="25"/>
        <v>5583.9871847413051</v>
      </c>
      <c r="AM29" s="14">
        <f t="shared" si="26"/>
        <v>1469.0166687083909</v>
      </c>
      <c r="AN29" s="14">
        <f t="shared" si="27"/>
        <v>449.81181353880987</v>
      </c>
      <c r="AO29" s="14">
        <f t="shared" si="28"/>
        <v>773.09574265296965</v>
      </c>
      <c r="AP29" s="14">
        <f t="shared" si="29"/>
        <v>1081.5550140601476</v>
      </c>
      <c r="AQ29" s="14">
        <f t="shared" si="30"/>
        <v>1513.0871687696424</v>
      </c>
      <c r="AR29" s="33">
        <f t="shared" si="31"/>
        <v>0.6415038351726895</v>
      </c>
      <c r="AS29" s="33">
        <f t="shared" si="32"/>
        <v>0.15050383517268939</v>
      </c>
      <c r="AT29" s="51">
        <f t="shared" si="33"/>
        <v>5.3009462134867222</v>
      </c>
      <c r="AU29" s="51">
        <f>APPLICANTS_PER_YEAR*($H29/Segments!$AH$2)*AS29</f>
        <v>8.6690209059469083</v>
      </c>
      <c r="AV29" s="51">
        <f t="shared" si="34"/>
        <v>13.96996711943363</v>
      </c>
      <c r="AW29" s="14">
        <f t="shared" si="35"/>
        <v>1513.0871687696426</v>
      </c>
      <c r="AX29" s="44">
        <f t="shared" si="36"/>
        <v>21137.77799654883</v>
      </c>
      <c r="AY29" s="44">
        <f t="shared" si="37"/>
        <v>7037.9189944783839</v>
      </c>
      <c r="AZ29" s="44">
        <f t="shared" si="38"/>
        <v>4950.2593568355151</v>
      </c>
    </row>
    <row r="30" spans="1:52" ht="15" customHeight="1" x14ac:dyDescent="0.35">
      <c r="A30" s="61" t="str">
        <f>Segments!$A$10</f>
        <v>Non-greek</v>
      </c>
      <c r="B30" s="61" t="str">
        <f>Segments!$B$10</f>
        <v>On campus</v>
      </c>
      <c r="C30" s="61" t="str">
        <f>Segments!$C$10</f>
        <v>Yes</v>
      </c>
      <c r="D30" s="61" t="str">
        <f>Segments!$D$10</f>
        <v>1.0-2.0</v>
      </c>
      <c r="E30" s="61" t="str">
        <f>Segments!$E$10</f>
        <v>Freshman</v>
      </c>
      <c r="F30" s="61">
        <f>Segments!$F$10</f>
        <v>1</v>
      </c>
      <c r="G30" s="61" t="str">
        <f>Segments!$G$10</f>
        <v>Base</v>
      </c>
      <c r="H30" s="62">
        <f>Segments!$H$10</f>
        <v>188</v>
      </c>
      <c r="I30" s="63">
        <f>Segments!$Y$10</f>
        <v>292.16091738219143</v>
      </c>
      <c r="J30" s="42">
        <v>0</v>
      </c>
      <c r="K30" s="40">
        <f t="shared" si="0"/>
        <v>516.74309509339412</v>
      </c>
      <c r="L30" s="40">
        <f t="shared" si="1"/>
        <v>292.16091738219143</v>
      </c>
      <c r="M30" s="40">
        <f t="shared" si="2"/>
        <v>516.74309509339412</v>
      </c>
      <c r="N30" s="40">
        <f t="shared" si="3"/>
        <v>858.48377298457217</v>
      </c>
      <c r="O30" s="40">
        <f t="shared" si="4"/>
        <v>1426.2297754450396</v>
      </c>
      <c r="P30" s="41">
        <f t="shared" si="5"/>
        <v>0.3</v>
      </c>
      <c r="Q30" s="41">
        <f t="shared" si="6"/>
        <v>0.02</v>
      </c>
      <c r="R30" s="64">
        <f t="shared" si="7"/>
        <v>0</v>
      </c>
      <c r="S30" s="64">
        <f>APPLICANTS_PER_YEAR*($H30/Segments!$AH$2)*Q30</f>
        <v>4.5120000000000005</v>
      </c>
      <c r="T30" s="64">
        <f t="shared" si="8"/>
        <v>4.5120000000000005</v>
      </c>
      <c r="U30" s="40">
        <f t="shared" si="9"/>
        <v>1426.2297754450396</v>
      </c>
      <c r="V30" s="65">
        <f t="shared" si="10"/>
        <v>6435.1487468080195</v>
      </c>
      <c r="W30" s="65">
        <f t="shared" si="11"/>
        <v>1476.4176663358617</v>
      </c>
      <c r="X30" s="65">
        <f t="shared" si="12"/>
        <v>1644.5133192849964</v>
      </c>
      <c r="Y30" s="40">
        <f t="shared" si="13"/>
        <v>530.99538794619605</v>
      </c>
      <c r="Z30" s="40">
        <f t="shared" si="14"/>
        <v>300.92574490365718</v>
      </c>
      <c r="AA30" s="40">
        <f t="shared" si="15"/>
        <v>530.99538794619605</v>
      </c>
      <c r="AB30" s="40">
        <f t="shared" si="16"/>
        <v>883.19934097588657</v>
      </c>
      <c r="AC30" s="40">
        <f t="shared" si="17"/>
        <v>1469.0166687083909</v>
      </c>
      <c r="AD30" s="41">
        <f t="shared" si="18"/>
        <v>0.3</v>
      </c>
      <c r="AE30" s="41">
        <f t="shared" si="19"/>
        <v>0.02</v>
      </c>
      <c r="AF30" s="64">
        <f t="shared" si="20"/>
        <v>0</v>
      </c>
      <c r="AG30" s="64">
        <f>APPLICANTS_PER_YEAR*($H30/Segments!$AH$2)*AE30</f>
        <v>4.5120000000000005</v>
      </c>
      <c r="AH30" s="64">
        <f t="shared" si="21"/>
        <v>4.5120000000000005</v>
      </c>
      <c r="AI30" s="40">
        <f t="shared" si="22"/>
        <v>1469.0166687083909</v>
      </c>
      <c r="AJ30" s="65">
        <f t="shared" si="23"/>
        <v>6628.2032092122599</v>
      </c>
      <c r="AK30" s="65">
        <f t="shared" si="24"/>
        <v>1520.7101963259374</v>
      </c>
      <c r="AL30" s="65">
        <f t="shared" si="25"/>
        <v>1687.7575188635462</v>
      </c>
      <c r="AM30" s="40">
        <f t="shared" si="26"/>
        <v>545.67524958458182</v>
      </c>
      <c r="AN30" s="40">
        <f t="shared" si="27"/>
        <v>309.95351725076688</v>
      </c>
      <c r="AO30" s="40">
        <f t="shared" si="28"/>
        <v>545.67524958458182</v>
      </c>
      <c r="AP30" s="40">
        <f t="shared" si="29"/>
        <v>908.65517027176111</v>
      </c>
      <c r="AQ30" s="40">
        <f t="shared" si="30"/>
        <v>1513.0871687696424</v>
      </c>
      <c r="AR30" s="41">
        <f t="shared" si="31"/>
        <v>0.3</v>
      </c>
      <c r="AS30" s="41">
        <f t="shared" si="32"/>
        <v>0.02</v>
      </c>
      <c r="AT30" s="64">
        <f t="shared" si="33"/>
        <v>0</v>
      </c>
      <c r="AU30" s="64">
        <f>APPLICANTS_PER_YEAR*($H30/Segments!$AH$2)*AS30</f>
        <v>4.5120000000000005</v>
      </c>
      <c r="AV30" s="64">
        <f t="shared" si="34"/>
        <v>4.5120000000000005</v>
      </c>
      <c r="AW30" s="40">
        <f t="shared" si="35"/>
        <v>1513.0871687696424</v>
      </c>
      <c r="AX30" s="65">
        <f t="shared" si="36"/>
        <v>6827.0493054886274</v>
      </c>
      <c r="AY30" s="65">
        <f t="shared" si="37"/>
        <v>1566.3315022157158</v>
      </c>
      <c r="AZ30" s="65">
        <f t="shared" si="38"/>
        <v>1732.2990444294526</v>
      </c>
    </row>
    <row r="31" spans="1:52" ht="15" customHeight="1" x14ac:dyDescent="0.35">
      <c r="A31" s="61" t="str">
        <f>Segments!$A$11</f>
        <v>Non-greek</v>
      </c>
      <c r="B31" s="61" t="str">
        <f>Segments!$B$11</f>
        <v>On campus</v>
      </c>
      <c r="C31" s="61" t="str">
        <f>Segments!$C$11</f>
        <v>Yes</v>
      </c>
      <c r="D31" s="61" t="str">
        <f>Segments!$D$11</f>
        <v>1.0-2.0</v>
      </c>
      <c r="E31" s="61" t="str">
        <f>Segments!$E$11</f>
        <v>Sophomore</v>
      </c>
      <c r="F31" s="61">
        <f>Segments!$F$11</f>
        <v>1</v>
      </c>
      <c r="G31" s="61" t="str">
        <f>Segments!$G$11</f>
        <v>Sophomore</v>
      </c>
      <c r="H31" s="62">
        <f>Segments!$H$11</f>
        <v>216</v>
      </c>
      <c r="I31" s="63">
        <f>Segments!$Y$11</f>
        <v>289.18854315123065</v>
      </c>
      <c r="J31" s="42">
        <v>1</v>
      </c>
      <c r="K31" s="40">
        <f t="shared" si="0"/>
        <v>1426.2297754450396</v>
      </c>
      <c r="L31" s="40">
        <f t="shared" si="1"/>
        <v>289.18854315123065</v>
      </c>
      <c r="M31" s="40">
        <f t="shared" si="2"/>
        <v>511.90978286859297</v>
      </c>
      <c r="N31" s="40">
        <f t="shared" si="3"/>
        <v>854.45946344387357</v>
      </c>
      <c r="O31" s="40">
        <f t="shared" si="4"/>
        <v>1426.2297754450396</v>
      </c>
      <c r="P31" s="41">
        <f t="shared" si="5"/>
        <v>0.51541987275987156</v>
      </c>
      <c r="Q31" s="41">
        <f t="shared" si="6"/>
        <v>0.02</v>
      </c>
      <c r="R31" s="64">
        <f t="shared" si="7"/>
        <v>96.898936078855854</v>
      </c>
      <c r="S31" s="64">
        <f>APPLICANTS_PER_YEAR*($H31/Segments!$AH$2)*Q31</f>
        <v>5.1840000000000002</v>
      </c>
      <c r="T31" s="64">
        <f t="shared" si="8"/>
        <v>102.08293607885585</v>
      </c>
      <c r="U31" s="40">
        <f t="shared" si="9"/>
        <v>1426.2297754450396</v>
      </c>
      <c r="V31" s="65">
        <f t="shared" si="10"/>
        <v>145593.72300051691</v>
      </c>
      <c r="W31" s="65">
        <f t="shared" si="11"/>
        <v>33063.761433073872</v>
      </c>
      <c r="X31" s="65">
        <f t="shared" si="12"/>
        <v>29947.247499131561</v>
      </c>
      <c r="Y31" s="40">
        <f t="shared" si="13"/>
        <v>1426.2297754450396</v>
      </c>
      <c r="Z31" s="40">
        <f t="shared" si="14"/>
        <v>297.86419944576755</v>
      </c>
      <c r="AA31" s="40">
        <f t="shared" si="15"/>
        <v>526.01707635465073</v>
      </c>
      <c r="AB31" s="40">
        <f t="shared" si="16"/>
        <v>879.04940315674867</v>
      </c>
      <c r="AC31" s="40">
        <f t="shared" si="17"/>
        <v>1469.0166687083909</v>
      </c>
      <c r="AD31" s="41">
        <f t="shared" si="18"/>
        <v>0.50542883446993159</v>
      </c>
      <c r="AE31" s="41">
        <f t="shared" si="19"/>
        <v>0.02</v>
      </c>
      <c r="AF31" s="64">
        <f t="shared" si="20"/>
        <v>2.2804949011283315</v>
      </c>
      <c r="AG31" s="64">
        <f>APPLICANTS_PER_YEAR*($H31/Segments!$AH$2)*AE31</f>
        <v>5.1840000000000002</v>
      </c>
      <c r="AH31" s="64">
        <f t="shared" si="21"/>
        <v>7.4644949011283313</v>
      </c>
      <c r="AI31" s="40">
        <f t="shared" si="22"/>
        <v>1469.0166687083909</v>
      </c>
      <c r="AJ31" s="65">
        <f t="shared" si="23"/>
        <v>10965.467433246311</v>
      </c>
      <c r="AK31" s="65">
        <f t="shared" si="24"/>
        <v>2490.2144937505968</v>
      </c>
      <c r="AL31" s="65">
        <f t="shared" si="25"/>
        <v>2617.9016272765703</v>
      </c>
      <c r="AM31" s="40">
        <f t="shared" si="26"/>
        <v>1469.0166687083909</v>
      </c>
      <c r="AN31" s="40">
        <f t="shared" si="27"/>
        <v>306.80012542914056</v>
      </c>
      <c r="AO31" s="40">
        <f t="shared" si="28"/>
        <v>540.54758864529015</v>
      </c>
      <c r="AP31" s="40">
        <f t="shared" si="29"/>
        <v>904.37581816884051</v>
      </c>
      <c r="AQ31" s="40">
        <f t="shared" si="30"/>
        <v>1513.0871687696424</v>
      </c>
      <c r="AR31" s="41">
        <f t="shared" si="31"/>
        <v>0.50446327579097228</v>
      </c>
      <c r="AS31" s="41">
        <f t="shared" si="32"/>
        <v>0.02</v>
      </c>
      <c r="AT31" s="64">
        <f t="shared" si="33"/>
        <v>2.2761383003688671</v>
      </c>
      <c r="AU31" s="64">
        <f>APPLICANTS_PER_YEAR*($H31/Segments!$AH$2)*AS31</f>
        <v>5.1840000000000002</v>
      </c>
      <c r="AV31" s="64">
        <f t="shared" si="34"/>
        <v>7.4601383003688673</v>
      </c>
      <c r="AW31" s="40">
        <f t="shared" si="35"/>
        <v>1513.0871687696424</v>
      </c>
      <c r="AX31" s="65">
        <f t="shared" si="36"/>
        <v>11287.839539535102</v>
      </c>
      <c r="AY31" s="65">
        <f t="shared" si="37"/>
        <v>2563.4239302245323</v>
      </c>
      <c r="AZ31" s="65">
        <f t="shared" si="38"/>
        <v>2686.7389748810756</v>
      </c>
    </row>
    <row r="32" spans="1:52" ht="15" customHeight="1" x14ac:dyDescent="0.35">
      <c r="A32" s="61" t="str">
        <f>Segments!$A$12</f>
        <v>Non-greek</v>
      </c>
      <c r="B32" s="61" t="str">
        <f>Segments!$B$12</f>
        <v>On campus</v>
      </c>
      <c r="C32" s="61" t="str">
        <f>Segments!$C$12</f>
        <v>Yes</v>
      </c>
      <c r="D32" s="61" t="str">
        <f>Segments!$D$12</f>
        <v>1.0-2.0</v>
      </c>
      <c r="E32" s="61" t="str">
        <f>Segments!$E$12</f>
        <v>Junior</v>
      </c>
      <c r="F32" s="61">
        <f>Segments!$F$12</f>
        <v>2</v>
      </c>
      <c r="G32" s="61" t="str">
        <f>Segments!$G$12</f>
        <v>Base</v>
      </c>
      <c r="H32" s="62">
        <f>Segments!$H$12</f>
        <v>194</v>
      </c>
      <c r="I32" s="63">
        <f>Segments!$Y$12</f>
        <v>345.70339461978443</v>
      </c>
      <c r="J32" s="42">
        <v>2</v>
      </c>
      <c r="K32" s="40">
        <f t="shared" si="0"/>
        <v>1426.2297754450396</v>
      </c>
      <c r="L32" s="40">
        <f t="shared" si="1"/>
        <v>345.70339461978443</v>
      </c>
      <c r="M32" s="40">
        <f t="shared" si="2"/>
        <v>603.8073372345832</v>
      </c>
      <c r="N32" s="40">
        <f t="shared" si="3"/>
        <v>927.99138088462166</v>
      </c>
      <c r="O32" s="40">
        <f t="shared" si="4"/>
        <v>1426.2297754450396</v>
      </c>
      <c r="P32" s="41">
        <f t="shared" si="5"/>
        <v>0.58155009581798878</v>
      </c>
      <c r="Q32" s="41">
        <f t="shared" si="6"/>
        <v>8.1550095817988777E-2</v>
      </c>
      <c r="R32" s="64">
        <f t="shared" si="7"/>
        <v>125.61482069668557</v>
      </c>
      <c r="S32" s="64">
        <f>APPLICANTS_PER_YEAR*($H32/Segments!$AH$2)*Q32</f>
        <v>18.984862306427789</v>
      </c>
      <c r="T32" s="64">
        <f t="shared" si="8"/>
        <v>144.59968300311337</v>
      </c>
      <c r="U32" s="40">
        <f t="shared" si="9"/>
        <v>1426.2297754450394</v>
      </c>
      <c r="V32" s="65">
        <f t="shared" si="10"/>
        <v>206232.37341895426</v>
      </c>
      <c r="W32" s="65">
        <f t="shared" si="11"/>
        <v>55987.233428135565</v>
      </c>
      <c r="X32" s="65">
        <f t="shared" si="12"/>
        <v>43292.220950550625</v>
      </c>
      <c r="Y32" s="40">
        <f t="shared" si="13"/>
        <v>1426.2297754450396</v>
      </c>
      <c r="Z32" s="40">
        <f t="shared" si="14"/>
        <v>356.07449645837795</v>
      </c>
      <c r="AA32" s="40">
        <f t="shared" si="15"/>
        <v>620.67155735162066</v>
      </c>
      <c r="AB32" s="40">
        <f t="shared" si="16"/>
        <v>954.87007678674627</v>
      </c>
      <c r="AC32" s="40">
        <f t="shared" si="17"/>
        <v>1469.0166687083909</v>
      </c>
      <c r="AD32" s="41">
        <f t="shared" si="18"/>
        <v>0.57177667610455951</v>
      </c>
      <c r="AE32" s="41">
        <f t="shared" si="19"/>
        <v>8.0776676104559519E-2</v>
      </c>
      <c r="AF32" s="64">
        <f t="shared" si="20"/>
        <v>58.368641878162414</v>
      </c>
      <c r="AG32" s="64">
        <f>APPLICANTS_PER_YEAR*($H32/Segments!$AH$2)*AE32</f>
        <v>18.804810197141457</v>
      </c>
      <c r="AH32" s="64">
        <f t="shared" si="21"/>
        <v>77.173452075303871</v>
      </c>
      <c r="AI32" s="40">
        <f t="shared" si="22"/>
        <v>1469.0166687083909</v>
      </c>
      <c r="AJ32" s="65">
        <f t="shared" si="23"/>
        <v>113369.08748038954</v>
      </c>
      <c r="AK32" s="65">
        <f t="shared" si="24"/>
        <v>30777.037858188822</v>
      </c>
      <c r="AL32" s="65">
        <f t="shared" si="25"/>
        <v>24407.207117330679</v>
      </c>
      <c r="AM32" s="40">
        <f t="shared" si="26"/>
        <v>1469.0166687083909</v>
      </c>
      <c r="AN32" s="40">
        <f t="shared" si="27"/>
        <v>366.75673135212929</v>
      </c>
      <c r="AO32" s="40">
        <f t="shared" si="28"/>
        <v>638.0417040721693</v>
      </c>
      <c r="AP32" s="40">
        <f t="shared" si="29"/>
        <v>982.55417945857664</v>
      </c>
      <c r="AQ32" s="40">
        <f t="shared" si="30"/>
        <v>1513.0871687696424</v>
      </c>
      <c r="AR32" s="41">
        <f t="shared" si="31"/>
        <v>0.5710235445523173</v>
      </c>
      <c r="AS32" s="41">
        <f t="shared" si="32"/>
        <v>8.0023544552317194E-2</v>
      </c>
      <c r="AT32" s="64">
        <f t="shared" si="33"/>
        <v>4.2624023367349988</v>
      </c>
      <c r="AU32" s="64">
        <f>APPLICANTS_PER_YEAR*($H32/Segments!$AH$2)*AS32</f>
        <v>18.629481171779442</v>
      </c>
      <c r="AV32" s="64">
        <f t="shared" si="34"/>
        <v>22.891883508514439</v>
      </c>
      <c r="AW32" s="40">
        <f t="shared" si="35"/>
        <v>1513.0871687696426</v>
      </c>
      <c r="AX32" s="65">
        <f t="shared" si="36"/>
        <v>34637.415205702586</v>
      </c>
      <c r="AY32" s="65">
        <f t="shared" si="37"/>
        <v>9403.2426544856462</v>
      </c>
      <c r="AZ32" s="65">
        <f t="shared" si="38"/>
        <v>8456.6271856074927</v>
      </c>
    </row>
    <row r="33" spans="1:52" ht="15" customHeight="1" x14ac:dyDescent="0.35">
      <c r="A33" s="61" t="str">
        <f>Segments!$A$13</f>
        <v>Non-greek</v>
      </c>
      <c r="B33" s="61" t="str">
        <f>Segments!$B$13</f>
        <v>On campus</v>
      </c>
      <c r="C33" s="61" t="str">
        <f>Segments!$C$13</f>
        <v>Yes</v>
      </c>
      <c r="D33" s="61" t="str">
        <f>Segments!$D$13</f>
        <v>1.0-2.0</v>
      </c>
      <c r="E33" s="61" t="str">
        <f>Segments!$E$13</f>
        <v>Senior</v>
      </c>
      <c r="F33" s="61">
        <f>Segments!$F$13</f>
        <v>3</v>
      </c>
      <c r="G33" s="61" t="str">
        <f>Segments!$G$13</f>
        <v>Base</v>
      </c>
      <c r="H33" s="62">
        <f>Segments!$H$13</f>
        <v>209</v>
      </c>
      <c r="I33" s="63">
        <f>Segments!$Y$13</f>
        <v>323.12462660342288</v>
      </c>
      <c r="J33" s="42">
        <v>3</v>
      </c>
      <c r="K33" s="40">
        <f t="shared" si="0"/>
        <v>1426.2297754450396</v>
      </c>
      <c r="L33" s="40">
        <f t="shared" si="1"/>
        <v>323.12462660342288</v>
      </c>
      <c r="M33" s="40">
        <f t="shared" si="2"/>
        <v>567.09250020709476</v>
      </c>
      <c r="N33" s="40">
        <f t="shared" si="3"/>
        <v>899.33542642716509</v>
      </c>
      <c r="O33" s="40">
        <f t="shared" si="4"/>
        <v>1426.2297754450396</v>
      </c>
      <c r="P33" s="41">
        <f t="shared" si="5"/>
        <v>0.55706460930206314</v>
      </c>
      <c r="Q33" s="41">
        <f t="shared" si="6"/>
        <v>5.7064609302063141E-2</v>
      </c>
      <c r="R33" s="64">
        <f t="shared" si="7"/>
        <v>108.07053420460025</v>
      </c>
      <c r="S33" s="64">
        <f>APPLICANTS_PER_YEAR*($H33/Segments!$AH$2)*Q33</f>
        <v>14.311804012957435</v>
      </c>
      <c r="T33" s="64">
        <f t="shared" si="8"/>
        <v>122.38233821755769</v>
      </c>
      <c r="U33" s="40">
        <f t="shared" si="9"/>
        <v>1426.2297754450396</v>
      </c>
      <c r="V33" s="65">
        <f t="shared" si="10"/>
        <v>174545.3347544662</v>
      </c>
      <c r="W33" s="65">
        <f t="shared" si="11"/>
        <v>44290.117020130398</v>
      </c>
      <c r="X33" s="65">
        <f t="shared" si="12"/>
        <v>36508.927369095683</v>
      </c>
      <c r="Y33" s="40">
        <f t="shared" si="13"/>
        <v>1426.2297754450394</v>
      </c>
      <c r="Z33" s="40">
        <f t="shared" si="14"/>
        <v>332.81836540152557</v>
      </c>
      <c r="AA33" s="40">
        <f t="shared" si="15"/>
        <v>582.85527521330755</v>
      </c>
      <c r="AB33" s="40">
        <f t="shared" si="16"/>
        <v>925.32378913165587</v>
      </c>
      <c r="AC33" s="40">
        <f t="shared" si="17"/>
        <v>1469.0166687083909</v>
      </c>
      <c r="AD33" s="41">
        <f t="shared" si="18"/>
        <v>0.54721479423600006</v>
      </c>
      <c r="AE33" s="41">
        <f t="shared" si="19"/>
        <v>5.6214794236000176E-2</v>
      </c>
      <c r="AF33" s="64">
        <f t="shared" si="20"/>
        <v>79.127085781139513</v>
      </c>
      <c r="AG33" s="64">
        <f>APPLICANTS_PER_YEAR*($H33/Segments!$AH$2)*AE33</f>
        <v>14.098670394388844</v>
      </c>
      <c r="AH33" s="64">
        <f t="shared" si="21"/>
        <v>93.22575617552836</v>
      </c>
      <c r="AI33" s="40">
        <f t="shared" si="22"/>
        <v>1469.0166687083909</v>
      </c>
      <c r="AJ33" s="65">
        <f t="shared" si="23"/>
        <v>136950.18977479538</v>
      </c>
      <c r="AK33" s="65">
        <f t="shared" si="24"/>
        <v>34750.513037699791</v>
      </c>
      <c r="AL33" s="65">
        <f t="shared" si="25"/>
        <v>28825.459114366007</v>
      </c>
      <c r="AM33" s="40">
        <f t="shared" si="26"/>
        <v>1469.0166687083909</v>
      </c>
      <c r="AN33" s="40">
        <f t="shared" si="27"/>
        <v>342.80291636357134</v>
      </c>
      <c r="AO33" s="40">
        <f t="shared" si="28"/>
        <v>599.09093346970678</v>
      </c>
      <c r="AP33" s="40">
        <f t="shared" si="29"/>
        <v>952.09075426623122</v>
      </c>
      <c r="AQ33" s="40">
        <f t="shared" si="30"/>
        <v>1513.0871687696424</v>
      </c>
      <c r="AR33" s="41">
        <f t="shared" si="31"/>
        <v>0.54638711147564578</v>
      </c>
      <c r="AS33" s="41">
        <f t="shared" si="32"/>
        <v>5.5387111475645678E-2</v>
      </c>
      <c r="AT33" s="64">
        <f t="shared" si="33"/>
        <v>42.166579562029462</v>
      </c>
      <c r="AU33" s="64">
        <f>APPLICANTS_PER_YEAR*($H33/Segments!$AH$2)*AS33</f>
        <v>13.891087558091936</v>
      </c>
      <c r="AV33" s="64">
        <f t="shared" si="34"/>
        <v>56.057667120121394</v>
      </c>
      <c r="AW33" s="40">
        <f t="shared" si="35"/>
        <v>1513.0871687696426</v>
      </c>
      <c r="AX33" s="65">
        <f t="shared" si="36"/>
        <v>84820.136830615564</v>
      </c>
      <c r="AY33" s="65">
        <f t="shared" si="37"/>
        <v>21522.739586113807</v>
      </c>
      <c r="AZ33" s="65">
        <f t="shared" si="38"/>
        <v>18235.081314395225</v>
      </c>
    </row>
    <row r="34" spans="1:52" ht="15" customHeight="1" x14ac:dyDescent="0.35">
      <c r="A34" s="61" t="str">
        <f>Segments!$A$14</f>
        <v>Non-greek</v>
      </c>
      <c r="B34" s="61" t="str">
        <f>Segments!$B$14</f>
        <v>On campus</v>
      </c>
      <c r="C34" s="61" t="str">
        <f>Segments!$C$14</f>
        <v>Yes</v>
      </c>
      <c r="D34" s="61" t="str">
        <f>Segments!$D$14</f>
        <v>1.0-2.0</v>
      </c>
      <c r="E34" s="61" t="str">
        <f>Segments!$E$14</f>
        <v>Grad student</v>
      </c>
      <c r="F34" s="61">
        <f>Segments!$F$14</f>
        <v>3</v>
      </c>
      <c r="G34" s="61" t="str">
        <f>Segments!$G$14</f>
        <v>Grad</v>
      </c>
      <c r="H34" s="62">
        <f>Segments!$H$14</f>
        <v>113</v>
      </c>
      <c r="I34" s="63">
        <f>Segments!$Y$14</f>
        <v>384.73816837069523</v>
      </c>
      <c r="J34" s="42">
        <v>4</v>
      </c>
      <c r="K34" s="40">
        <f t="shared" si="0"/>
        <v>1426.2297754450396</v>
      </c>
      <c r="L34" s="40">
        <f t="shared" si="1"/>
        <v>384.73816837069523</v>
      </c>
      <c r="M34" s="40">
        <f t="shared" si="2"/>
        <v>667.28092249091992</v>
      </c>
      <c r="N34" s="40">
        <f t="shared" si="3"/>
        <v>975.54903528371335</v>
      </c>
      <c r="O34" s="40">
        <f t="shared" si="4"/>
        <v>1426.2297754450396</v>
      </c>
      <c r="P34" s="41">
        <f t="shared" si="5"/>
        <v>0.61901174422756855</v>
      </c>
      <c r="Q34" s="41">
        <f t="shared" si="6"/>
        <v>0.11901174422756855</v>
      </c>
      <c r="R34" s="64">
        <f t="shared" si="7"/>
        <v>34.974163548857625</v>
      </c>
      <c r="S34" s="64">
        <f>APPLICANTS_PER_YEAR*($H34/Segments!$AH$2)*Q34</f>
        <v>16.137992517258294</v>
      </c>
      <c r="T34" s="64">
        <f t="shared" si="8"/>
        <v>51.112156066115915</v>
      </c>
      <c r="U34" s="40">
        <f t="shared" si="9"/>
        <v>1426.2297754450396</v>
      </c>
      <c r="V34" s="65">
        <f t="shared" si="10"/>
        <v>72897.678868688323</v>
      </c>
      <c r="W34" s="65">
        <f t="shared" si="11"/>
        <v>22024.572983117108</v>
      </c>
      <c r="X34" s="65">
        <f t="shared" si="12"/>
        <v>16008.931230976679</v>
      </c>
      <c r="Y34" s="40">
        <f t="shared" si="13"/>
        <v>1426.2297754450396</v>
      </c>
      <c r="Z34" s="40">
        <f t="shared" si="14"/>
        <v>396.28031342181612</v>
      </c>
      <c r="AA34" s="40">
        <f t="shared" si="15"/>
        <v>686.04935016564752</v>
      </c>
      <c r="AB34" s="40">
        <f t="shared" si="16"/>
        <v>1003.9013551887933</v>
      </c>
      <c r="AC34" s="40">
        <f t="shared" si="17"/>
        <v>1469.0166687083909</v>
      </c>
      <c r="AD34" s="41">
        <f t="shared" si="18"/>
        <v>0.60934610735627104</v>
      </c>
      <c r="AE34" s="41">
        <f t="shared" si="19"/>
        <v>0.11834610735627105</v>
      </c>
      <c r="AF34" s="64">
        <f t="shared" si="20"/>
        <v>15.572496668736974</v>
      </c>
      <c r="AG34" s="64">
        <f>APPLICANTS_PER_YEAR*($H34/Segments!$AH$2)*AE34</f>
        <v>16.047732157510353</v>
      </c>
      <c r="AH34" s="64">
        <f t="shared" si="21"/>
        <v>31.620228826247327</v>
      </c>
      <c r="AI34" s="40">
        <f t="shared" si="22"/>
        <v>1469.0166687083906</v>
      </c>
      <c r="AJ34" s="65">
        <f t="shared" si="23"/>
        <v>46450.643214130876</v>
      </c>
      <c r="AK34" s="65">
        <f t="shared" si="24"/>
        <v>14034.131092503017</v>
      </c>
      <c r="AL34" s="65">
        <f t="shared" si="25"/>
        <v>10637.872959135704</v>
      </c>
      <c r="AM34" s="40">
        <f t="shared" si="26"/>
        <v>1469.0166687083906</v>
      </c>
      <c r="AN34" s="40">
        <f t="shared" si="27"/>
        <v>408.16872282447054</v>
      </c>
      <c r="AO34" s="40">
        <f t="shared" si="28"/>
        <v>705.38083067061689</v>
      </c>
      <c r="AP34" s="40">
        <f t="shared" si="29"/>
        <v>1033.103423662792</v>
      </c>
      <c r="AQ34" s="40">
        <f t="shared" si="30"/>
        <v>1513.0871687696424</v>
      </c>
      <c r="AR34" s="41">
        <f t="shared" si="31"/>
        <v>0.6086981151581593</v>
      </c>
      <c r="AS34" s="41">
        <f t="shared" si="32"/>
        <v>0.11769811515815931</v>
      </c>
      <c r="AT34" s="64">
        <f t="shared" si="33"/>
        <v>9.6235868437032224</v>
      </c>
      <c r="AU34" s="64">
        <f>APPLICANTS_PER_YEAR*($H34/Segments!$AH$2)*AS34</f>
        <v>15.959864415446402</v>
      </c>
      <c r="AV34" s="64">
        <f t="shared" si="34"/>
        <v>25.583451259149626</v>
      </c>
      <c r="AW34" s="40">
        <f t="shared" si="35"/>
        <v>1513.0871687696424</v>
      </c>
      <c r="AX34" s="65">
        <f t="shared" si="36"/>
        <v>38709.99183306285</v>
      </c>
      <c r="AY34" s="65">
        <f t="shared" si="37"/>
        <v>11695.4483809959</v>
      </c>
      <c r="AZ34" s="65">
        <f t="shared" si="38"/>
        <v>9072.0574041990621</v>
      </c>
    </row>
    <row r="35" spans="1:52" ht="15" customHeight="1" x14ac:dyDescent="0.35">
      <c r="A35" s="59" t="str">
        <f>Segments!$A$15</f>
        <v>Non-greek</v>
      </c>
      <c r="B35" s="59" t="str">
        <f>Segments!$B$15</f>
        <v>On campus</v>
      </c>
      <c r="C35" s="59" t="str">
        <f>Segments!$C$15</f>
        <v>Yes</v>
      </c>
      <c r="D35" s="59" t="str">
        <f>Segments!$D$15</f>
        <v>2.0-3.0</v>
      </c>
      <c r="E35" s="59" t="str">
        <f>Segments!$E$15</f>
        <v>Freshman</v>
      </c>
      <c r="F35" s="59">
        <f>Segments!$F$15</f>
        <v>1</v>
      </c>
      <c r="G35" s="59" t="str">
        <f>Segments!$G$15</f>
        <v>Base</v>
      </c>
      <c r="H35" s="60">
        <f>Segments!$H$15</f>
        <v>348</v>
      </c>
      <c r="I35" s="26">
        <f>Segments!$Y$15</f>
        <v>287.10060835138182</v>
      </c>
      <c r="J35" s="29">
        <v>0</v>
      </c>
      <c r="K35" s="14">
        <f t="shared" si="0"/>
        <v>508.51463810936951</v>
      </c>
      <c r="L35" s="14">
        <f t="shared" si="1"/>
        <v>287.10060835138182</v>
      </c>
      <c r="M35" s="14">
        <f t="shared" si="2"/>
        <v>508.51463810936951</v>
      </c>
      <c r="N35" s="14">
        <f t="shared" si="3"/>
        <v>851.62122925702226</v>
      </c>
      <c r="O35" s="14">
        <f t="shared" si="4"/>
        <v>1426.2297754450396</v>
      </c>
      <c r="P35" s="33">
        <f t="shared" si="5"/>
        <v>0.3</v>
      </c>
      <c r="Q35" s="33">
        <f t="shared" si="6"/>
        <v>0.02</v>
      </c>
      <c r="R35" s="51">
        <f t="shared" si="7"/>
        <v>0</v>
      </c>
      <c r="S35" s="51">
        <f>APPLICANTS_PER_YEAR*($H35/Segments!$AH$2)*Q35</f>
        <v>8.3520000000000003</v>
      </c>
      <c r="T35" s="51">
        <f t="shared" si="8"/>
        <v>8.3520000000000003</v>
      </c>
      <c r="U35" s="14">
        <f t="shared" si="9"/>
        <v>1426.2297754450396</v>
      </c>
      <c r="V35" s="44">
        <f t="shared" si="10"/>
        <v>11911.871084516972</v>
      </c>
      <c r="W35" s="44">
        <f t="shared" si="11"/>
        <v>2685.6079946648301</v>
      </c>
      <c r="X35" s="44">
        <f t="shared" si="12"/>
        <v>3044.099122931802</v>
      </c>
      <c r="Y35" s="14">
        <f t="shared" si="13"/>
        <v>522.52007725265059</v>
      </c>
      <c r="Z35" s="14">
        <f t="shared" si="14"/>
        <v>295.71362660192329</v>
      </c>
      <c r="AA35" s="14">
        <f t="shared" si="15"/>
        <v>522.52007725265059</v>
      </c>
      <c r="AB35" s="14">
        <f t="shared" si="16"/>
        <v>876.122538928739</v>
      </c>
      <c r="AC35" s="14">
        <f t="shared" si="17"/>
        <v>1469.0166687083909</v>
      </c>
      <c r="AD35" s="33">
        <f t="shared" si="18"/>
        <v>0.3</v>
      </c>
      <c r="AE35" s="33">
        <f t="shared" si="19"/>
        <v>0.02</v>
      </c>
      <c r="AF35" s="51">
        <f t="shared" si="20"/>
        <v>0</v>
      </c>
      <c r="AG35" s="51">
        <f>APPLICANTS_PER_YEAR*($H35/Segments!$AH$2)*AE35</f>
        <v>8.3520000000000003</v>
      </c>
      <c r="AH35" s="51">
        <f t="shared" si="21"/>
        <v>8.3520000000000003</v>
      </c>
      <c r="AI35" s="14">
        <f t="shared" si="22"/>
        <v>1469.0166687083909</v>
      </c>
      <c r="AJ35" s="44">
        <f t="shared" si="23"/>
        <v>12269.227217052481</v>
      </c>
      <c r="AK35" s="44">
        <f t="shared" si="24"/>
        <v>2766.176234504775</v>
      </c>
      <c r="AL35" s="44">
        <f t="shared" si="25"/>
        <v>3124.1468966197558</v>
      </c>
      <c r="AM35" s="14">
        <f t="shared" si="26"/>
        <v>536.94567957023003</v>
      </c>
      <c r="AN35" s="14">
        <f t="shared" si="27"/>
        <v>304.58503539998094</v>
      </c>
      <c r="AO35" s="14">
        <f t="shared" si="28"/>
        <v>536.94567957023003</v>
      </c>
      <c r="AP35" s="14">
        <f t="shared" si="29"/>
        <v>901.35765270175136</v>
      </c>
      <c r="AQ35" s="14">
        <f t="shared" si="30"/>
        <v>1513.0871687696424</v>
      </c>
      <c r="AR35" s="33">
        <f t="shared" si="31"/>
        <v>0.3</v>
      </c>
      <c r="AS35" s="33">
        <f t="shared" si="32"/>
        <v>0.02</v>
      </c>
      <c r="AT35" s="51">
        <f t="shared" si="33"/>
        <v>0</v>
      </c>
      <c r="AU35" s="51">
        <f>APPLICANTS_PER_YEAR*($H35/Segments!$AH$2)*AS35</f>
        <v>8.3520000000000003</v>
      </c>
      <c r="AV35" s="51">
        <f t="shared" si="34"/>
        <v>8.3520000000000003</v>
      </c>
      <c r="AW35" s="14">
        <f t="shared" si="35"/>
        <v>1513.0871687696424</v>
      </c>
      <c r="AX35" s="44">
        <f t="shared" si="36"/>
        <v>12637.304033564054</v>
      </c>
      <c r="AY35" s="44">
        <f t="shared" si="37"/>
        <v>2849.1615215399179</v>
      </c>
      <c r="AZ35" s="44">
        <f t="shared" si="38"/>
        <v>3206.5961035183482</v>
      </c>
    </row>
    <row r="36" spans="1:52" ht="15" customHeight="1" x14ac:dyDescent="0.35">
      <c r="A36" s="59" t="str">
        <f>Segments!$A$16</f>
        <v>Non-greek</v>
      </c>
      <c r="B36" s="59" t="str">
        <f>Segments!$B$16</f>
        <v>On campus</v>
      </c>
      <c r="C36" s="59" t="str">
        <f>Segments!$C$16</f>
        <v>Yes</v>
      </c>
      <c r="D36" s="59" t="str">
        <f>Segments!$D$16</f>
        <v>2.0-3.0</v>
      </c>
      <c r="E36" s="59" t="str">
        <f>Segments!$E$16</f>
        <v>Sophomore</v>
      </c>
      <c r="F36" s="59">
        <f>Segments!$F$16</f>
        <v>1</v>
      </c>
      <c r="G36" s="59" t="str">
        <f>Segments!$G$16</f>
        <v>Sophomore</v>
      </c>
      <c r="H36" s="60">
        <f>Segments!$H$16</f>
        <v>328</v>
      </c>
      <c r="I36" s="26">
        <f>Segments!$Y$16</f>
        <v>284.17971647575672</v>
      </c>
      <c r="J36" s="29">
        <v>1</v>
      </c>
      <c r="K36" s="14">
        <f t="shared" si="0"/>
        <v>1426.2297754450396</v>
      </c>
      <c r="L36" s="14">
        <f t="shared" si="1"/>
        <v>284.17971647575672</v>
      </c>
      <c r="M36" s="14">
        <f t="shared" si="2"/>
        <v>503.76504020789059</v>
      </c>
      <c r="N36" s="14">
        <f t="shared" si="3"/>
        <v>847.63476814767409</v>
      </c>
      <c r="O36" s="14">
        <f t="shared" si="4"/>
        <v>1426.2297754450396</v>
      </c>
      <c r="P36" s="33">
        <f t="shared" si="5"/>
        <v>0.50870028634988496</v>
      </c>
      <c r="Q36" s="33">
        <f t="shared" si="6"/>
        <v>0.02</v>
      </c>
      <c r="R36" s="51">
        <f t="shared" si="7"/>
        <v>177.02769964975997</v>
      </c>
      <c r="S36" s="51">
        <f>APPLICANTS_PER_YEAR*($H36/Segments!$AH$2)*Q36</f>
        <v>7.8720000000000008</v>
      </c>
      <c r="T36" s="51">
        <f t="shared" si="8"/>
        <v>184.89969964975998</v>
      </c>
      <c r="U36" s="14">
        <f t="shared" si="9"/>
        <v>1426.2297754450396</v>
      </c>
      <c r="V36" s="44">
        <f t="shared" si="10"/>
        <v>263709.45711133245</v>
      </c>
      <c r="W36" s="44">
        <f t="shared" si="11"/>
        <v>58850.113529671929</v>
      </c>
      <c r="X36" s="44">
        <f t="shared" si="12"/>
        <v>54128.836214767653</v>
      </c>
      <c r="Y36" s="14">
        <f t="shared" si="13"/>
        <v>1426.2297754450396</v>
      </c>
      <c r="Z36" s="14">
        <f t="shared" si="14"/>
        <v>292.70510797002942</v>
      </c>
      <c r="AA36" s="14">
        <f t="shared" si="15"/>
        <v>517.62799141412734</v>
      </c>
      <c r="AB36" s="14">
        <f t="shared" si="16"/>
        <v>872.01155243345079</v>
      </c>
      <c r="AC36" s="14">
        <f t="shared" si="17"/>
        <v>1469.0166687083909</v>
      </c>
      <c r="AD36" s="33">
        <f t="shared" si="18"/>
        <v>0.49868508765226383</v>
      </c>
      <c r="AE36" s="33">
        <f t="shared" si="19"/>
        <v>0.02</v>
      </c>
      <c r="AF36" s="51">
        <f t="shared" si="20"/>
        <v>4.165017852071708</v>
      </c>
      <c r="AG36" s="51">
        <f>APPLICANTS_PER_YEAR*($H36/Segments!$AH$2)*AE36</f>
        <v>7.8720000000000008</v>
      </c>
      <c r="AH36" s="51">
        <f t="shared" si="21"/>
        <v>12.03701785207171</v>
      </c>
      <c r="AI36" s="14">
        <f t="shared" si="22"/>
        <v>1469.0166687083909</v>
      </c>
      <c r="AJ36" s="44">
        <f t="shared" si="23"/>
        <v>17682.579866233813</v>
      </c>
      <c r="AK36" s="44">
        <f t="shared" si="24"/>
        <v>3946.0922032311601</v>
      </c>
      <c r="AL36" s="44">
        <f t="shared" si="25"/>
        <v>4184.2914243221612</v>
      </c>
      <c r="AM36" s="14">
        <f t="shared" si="26"/>
        <v>1469.0166687083909</v>
      </c>
      <c r="AN36" s="14">
        <f t="shared" si="27"/>
        <v>301.4862612091303</v>
      </c>
      <c r="AO36" s="14">
        <f t="shared" si="28"/>
        <v>531.90683115655111</v>
      </c>
      <c r="AP36" s="14">
        <f t="shared" si="29"/>
        <v>897.11838750741151</v>
      </c>
      <c r="AQ36" s="14">
        <f t="shared" si="30"/>
        <v>1513.0871687696424</v>
      </c>
      <c r="AR36" s="33">
        <f t="shared" si="31"/>
        <v>0.49769593342431512</v>
      </c>
      <c r="AS36" s="33">
        <f t="shared" si="32"/>
        <v>0.02</v>
      </c>
      <c r="AT36" s="51">
        <f t="shared" si="33"/>
        <v>4.1567564359598803</v>
      </c>
      <c r="AU36" s="51">
        <f>APPLICANTS_PER_YEAR*($H36/Segments!$AH$2)*AS36</f>
        <v>7.8720000000000008</v>
      </c>
      <c r="AV36" s="51">
        <f t="shared" si="34"/>
        <v>12.028756435959881</v>
      </c>
      <c r="AW36" s="14">
        <f t="shared" si="35"/>
        <v>1513.0871687696424</v>
      </c>
      <c r="AX36" s="44">
        <f t="shared" si="36"/>
        <v>18200.557019506152</v>
      </c>
      <c r="AY36" s="44">
        <f t="shared" si="37"/>
        <v>4061.6853814575456</v>
      </c>
      <c r="AZ36" s="44">
        <f t="shared" si="38"/>
        <v>4294.1661821452726</v>
      </c>
    </row>
    <row r="37" spans="1:52" ht="15" customHeight="1" x14ac:dyDescent="0.35">
      <c r="A37" s="59" t="str">
        <f>Segments!$A$17</f>
        <v>Non-greek</v>
      </c>
      <c r="B37" s="59" t="str">
        <f>Segments!$B$17</f>
        <v>On campus</v>
      </c>
      <c r="C37" s="59" t="str">
        <f>Segments!$C$17</f>
        <v>Yes</v>
      </c>
      <c r="D37" s="59" t="str">
        <f>Segments!$D$17</f>
        <v>2.0-3.0</v>
      </c>
      <c r="E37" s="59" t="str">
        <f>Segments!$E$17</f>
        <v>Junior</v>
      </c>
      <c r="F37" s="59">
        <f>Segments!$F$17</f>
        <v>2</v>
      </c>
      <c r="G37" s="59" t="str">
        <f>Segments!$G$17</f>
        <v>Base</v>
      </c>
      <c r="H37" s="60">
        <f>Segments!$H$17</f>
        <v>358</v>
      </c>
      <c r="I37" s="26">
        <f>Segments!$Y$17</f>
        <v>339.71571486627516</v>
      </c>
      <c r="J37" s="29">
        <v>2</v>
      </c>
      <c r="K37" s="14">
        <f t="shared" si="0"/>
        <v>1426.2297754450396</v>
      </c>
      <c r="L37" s="14">
        <f t="shared" si="1"/>
        <v>339.71571486627516</v>
      </c>
      <c r="M37" s="14">
        <f t="shared" si="2"/>
        <v>594.07090315795062</v>
      </c>
      <c r="N37" s="14">
        <f t="shared" si="3"/>
        <v>920.47901160721528</v>
      </c>
      <c r="O37" s="14">
        <f t="shared" si="4"/>
        <v>1426.2297754450396</v>
      </c>
      <c r="P37" s="33">
        <f t="shared" si="5"/>
        <v>0.57527849225222893</v>
      </c>
      <c r="Q37" s="33">
        <f t="shared" si="6"/>
        <v>7.5278492252228935E-2</v>
      </c>
      <c r="R37" s="51">
        <f t="shared" si="7"/>
        <v>188.69134545873109</v>
      </c>
      <c r="S37" s="51">
        <f>APPLICANTS_PER_YEAR*($H37/Segments!$AH$2)*Q37</f>
        <v>32.339640271557549</v>
      </c>
      <c r="T37" s="51">
        <f t="shared" si="8"/>
        <v>221.03098573028865</v>
      </c>
      <c r="U37" s="14">
        <f t="shared" si="9"/>
        <v>1426.2297754450396</v>
      </c>
      <c r="V37" s="44">
        <f t="shared" si="10"/>
        <v>315240.97314450535</v>
      </c>
      <c r="W37" s="44">
        <f t="shared" si="11"/>
        <v>84098.223243957982</v>
      </c>
      <c r="X37" s="44">
        <f t="shared" si="12"/>
        <v>66423.986171592915</v>
      </c>
      <c r="Y37" s="14">
        <f t="shared" si="13"/>
        <v>1426.2297754450396</v>
      </c>
      <c r="Z37" s="14">
        <f t="shared" si="14"/>
        <v>349.90718631226343</v>
      </c>
      <c r="AA37" s="14">
        <f t="shared" si="15"/>
        <v>610.64303025268907</v>
      </c>
      <c r="AB37" s="14">
        <f t="shared" si="16"/>
        <v>947.12448499223285</v>
      </c>
      <c r="AC37" s="14">
        <f t="shared" si="17"/>
        <v>1469.0166687083909</v>
      </c>
      <c r="AD37" s="33">
        <f t="shared" si="18"/>
        <v>0.56548596146237418</v>
      </c>
      <c r="AE37" s="33">
        <f t="shared" si="19"/>
        <v>7.4485961462374184E-2</v>
      </c>
      <c r="AF37" s="51">
        <f t="shared" si="20"/>
        <v>104.55818443054874</v>
      </c>
      <c r="AG37" s="51">
        <f>APPLICANTS_PER_YEAR*($H37/Segments!$AH$2)*AE37</f>
        <v>31.999169044235948</v>
      </c>
      <c r="AH37" s="51">
        <f t="shared" si="21"/>
        <v>136.55735347478469</v>
      </c>
      <c r="AI37" s="14">
        <f t="shared" si="22"/>
        <v>1469.0166687083906</v>
      </c>
      <c r="AJ37" s="44">
        <f t="shared" si="23"/>
        <v>200605.02848916239</v>
      </c>
      <c r="AK37" s="44">
        <f t="shared" si="24"/>
        <v>53516.287243564439</v>
      </c>
      <c r="AL37" s="44">
        <f t="shared" si="25"/>
        <v>43090.73262493129</v>
      </c>
      <c r="AM37" s="14">
        <f t="shared" si="26"/>
        <v>1469.0166687083909</v>
      </c>
      <c r="AN37" s="14">
        <f t="shared" si="27"/>
        <v>360.40440190163133</v>
      </c>
      <c r="AO37" s="14">
        <f t="shared" si="28"/>
        <v>627.71232116026977</v>
      </c>
      <c r="AP37" s="14">
        <f t="shared" si="29"/>
        <v>974.56834487182743</v>
      </c>
      <c r="AQ37" s="14">
        <f t="shared" si="30"/>
        <v>1513.0871687696424</v>
      </c>
      <c r="AR37" s="33">
        <f t="shared" si="31"/>
        <v>0.5647141824216344</v>
      </c>
      <c r="AS37" s="33">
        <f t="shared" si="32"/>
        <v>7.37141824216343E-2</v>
      </c>
      <c r="AT37" s="51">
        <f t="shared" si="33"/>
        <v>6.7974746951272937</v>
      </c>
      <c r="AU37" s="51">
        <f>APPLICANTS_PER_YEAR*($H37/Segments!$AH$2)*AS37</f>
        <v>31.667612768334092</v>
      </c>
      <c r="AV37" s="51">
        <f t="shared" si="34"/>
        <v>38.465087463461387</v>
      </c>
      <c r="AW37" s="14">
        <f t="shared" si="35"/>
        <v>1513.0871687696424</v>
      </c>
      <c r="AX37" s="44">
        <f t="shared" si="36"/>
        <v>58201.030286565452</v>
      </c>
      <c r="AY37" s="44">
        <f t="shared" si="37"/>
        <v>15526.54526232627</v>
      </c>
      <c r="AZ37" s="44">
        <f t="shared" si="38"/>
        <v>14238.041841725069</v>
      </c>
    </row>
    <row r="38" spans="1:52" ht="15" customHeight="1" x14ac:dyDescent="0.35">
      <c r="A38" s="59" t="str">
        <f>Segments!$A$18</f>
        <v>Non-greek</v>
      </c>
      <c r="B38" s="59" t="str">
        <f>Segments!$B$18</f>
        <v>On campus</v>
      </c>
      <c r="C38" s="59" t="str">
        <f>Segments!$C$18</f>
        <v>Yes</v>
      </c>
      <c r="D38" s="59" t="str">
        <f>Segments!$D$18</f>
        <v>2.0-3.0</v>
      </c>
      <c r="E38" s="59" t="str">
        <f>Segments!$E$18</f>
        <v>Senior</v>
      </c>
      <c r="F38" s="59">
        <f>Segments!$F$18</f>
        <v>3</v>
      </c>
      <c r="G38" s="59" t="str">
        <f>Segments!$G$18</f>
        <v>Base</v>
      </c>
      <c r="H38" s="60">
        <f>Segments!$H$18</f>
        <v>343</v>
      </c>
      <c r="I38" s="26">
        <f>Segments!$Y$18</f>
        <v>317.52801744457599</v>
      </c>
      <c r="J38" s="29">
        <v>3</v>
      </c>
      <c r="K38" s="14">
        <f t="shared" si="0"/>
        <v>1426.2297754450396</v>
      </c>
      <c r="L38" s="14">
        <f t="shared" si="1"/>
        <v>317.52801744457599</v>
      </c>
      <c r="M38" s="14">
        <f t="shared" si="2"/>
        <v>557.99197740511045</v>
      </c>
      <c r="N38" s="14">
        <f t="shared" si="3"/>
        <v>892.09011463787908</v>
      </c>
      <c r="O38" s="14">
        <f t="shared" si="4"/>
        <v>1426.2297754450396</v>
      </c>
      <c r="P38" s="33">
        <f t="shared" si="5"/>
        <v>0.55062460504677779</v>
      </c>
      <c r="Q38" s="33">
        <f t="shared" si="6"/>
        <v>5.0624605046777793E-2</v>
      </c>
      <c r="R38" s="51">
        <f t="shared" si="7"/>
        <v>197.12360860674644</v>
      </c>
      <c r="S38" s="51">
        <f>APPLICANTS_PER_YEAR*($H38/Segments!$AH$2)*Q38</f>
        <v>20.837087437253739</v>
      </c>
      <c r="T38" s="51">
        <f t="shared" si="8"/>
        <v>217.96069604400017</v>
      </c>
      <c r="U38" s="14">
        <f t="shared" si="9"/>
        <v>1426.2297754450396</v>
      </c>
      <c r="V38" s="44">
        <f t="shared" si="10"/>
        <v>310862.03457467892</v>
      </c>
      <c r="W38" s="44">
        <f t="shared" si="11"/>
        <v>77513.663019174171</v>
      </c>
      <c r="X38" s="44">
        <f t="shared" si="12"/>
        <v>64673.212250205383</v>
      </c>
      <c r="Y38" s="14">
        <f t="shared" si="13"/>
        <v>1426.2297754450396</v>
      </c>
      <c r="Z38" s="14">
        <f t="shared" si="14"/>
        <v>327.0538579679133</v>
      </c>
      <c r="AA38" s="14">
        <f t="shared" si="15"/>
        <v>573.48173672726375</v>
      </c>
      <c r="AB38" s="14">
        <f t="shared" si="16"/>
        <v>917.85305493427836</v>
      </c>
      <c r="AC38" s="14">
        <f t="shared" si="17"/>
        <v>1469.0166687083909</v>
      </c>
      <c r="AD38" s="33">
        <f t="shared" si="18"/>
        <v>0.54075389262414242</v>
      </c>
      <c r="AE38" s="33">
        <f t="shared" si="19"/>
        <v>4.9753892624142426E-2</v>
      </c>
      <c r="AF38" s="51">
        <f t="shared" si="20"/>
        <v>119.52336592420487</v>
      </c>
      <c r="AG38" s="51">
        <f>APPLICANTS_PER_YEAR*($H38/Segments!$AH$2)*AE38</f>
        <v>20.478702204097022</v>
      </c>
      <c r="AH38" s="51">
        <f t="shared" si="21"/>
        <v>140.00206812830189</v>
      </c>
      <c r="AI38" s="14">
        <f t="shared" si="22"/>
        <v>1469.0166687083911</v>
      </c>
      <c r="AJ38" s="44">
        <f t="shared" si="23"/>
        <v>205665.37173412324</v>
      </c>
      <c r="AK38" s="44">
        <f t="shared" si="24"/>
        <v>51282.802485429507</v>
      </c>
      <c r="AL38" s="44">
        <f t="shared" si="25"/>
        <v>43235.68859661444</v>
      </c>
      <c r="AM38" s="14">
        <f t="shared" si="26"/>
        <v>1469.0166687083906</v>
      </c>
      <c r="AN38" s="14">
        <f t="shared" si="27"/>
        <v>336.86547370695064</v>
      </c>
      <c r="AO38" s="14">
        <f t="shared" si="28"/>
        <v>589.43618882908163</v>
      </c>
      <c r="AP38" s="14">
        <f t="shared" si="29"/>
        <v>944.38780917892177</v>
      </c>
      <c r="AQ38" s="14">
        <f t="shared" si="30"/>
        <v>1513.0871687696424</v>
      </c>
      <c r="AR38" s="33">
        <f t="shared" si="31"/>
        <v>0.53990581281160099</v>
      </c>
      <c r="AS38" s="33">
        <f t="shared" si="32"/>
        <v>4.8905812811601002E-2</v>
      </c>
      <c r="AT38" s="51">
        <f t="shared" si="33"/>
        <v>73.728108923204729</v>
      </c>
      <c r="AU38" s="51">
        <f>APPLICANTS_PER_YEAR*($H38/Segments!$AH$2)*AS38</f>
        <v>20.129632553254972</v>
      </c>
      <c r="AV38" s="51">
        <f t="shared" si="34"/>
        <v>93.857741476459694</v>
      </c>
      <c r="AW38" s="14">
        <f t="shared" si="35"/>
        <v>1513.0871687696426</v>
      </c>
      <c r="AX38" s="44">
        <f t="shared" si="36"/>
        <v>142014.94431772945</v>
      </c>
      <c r="AY38" s="44">
        <f t="shared" si="37"/>
        <v>35411.524448755961</v>
      </c>
      <c r="AZ38" s="44">
        <f t="shared" si="38"/>
        <v>30287.246224904655</v>
      </c>
    </row>
    <row r="39" spans="1:52" ht="15" customHeight="1" x14ac:dyDescent="0.35">
      <c r="A39" s="59" t="str">
        <f>Segments!$A$19</f>
        <v>Non-greek</v>
      </c>
      <c r="B39" s="59" t="str">
        <f>Segments!$B$19</f>
        <v>On campus</v>
      </c>
      <c r="C39" s="59" t="str">
        <f>Segments!$C$19</f>
        <v>Yes</v>
      </c>
      <c r="D39" s="59" t="str">
        <f>Segments!$D$19</f>
        <v>2.0-3.0</v>
      </c>
      <c r="E39" s="59" t="str">
        <f>Segments!$E$19</f>
        <v>Grad student</v>
      </c>
      <c r="F39" s="59">
        <f>Segments!$F$19</f>
        <v>3</v>
      </c>
      <c r="G39" s="59" t="str">
        <f>Segments!$G$19</f>
        <v>Grad</v>
      </c>
      <c r="H39" s="60">
        <f>Segments!$H$19</f>
        <v>146</v>
      </c>
      <c r="I39" s="26">
        <f>Segments!$Y$19</f>
        <v>378.0743953878204</v>
      </c>
      <c r="J39" s="29">
        <v>4</v>
      </c>
      <c r="K39" s="14">
        <f t="shared" si="0"/>
        <v>1426.2297754450396</v>
      </c>
      <c r="L39" s="14">
        <f t="shared" si="1"/>
        <v>378.0743953878204</v>
      </c>
      <c r="M39" s="14">
        <f t="shared" si="2"/>
        <v>656.44510811534633</v>
      </c>
      <c r="N39" s="14">
        <f t="shared" si="3"/>
        <v>967.5957622578477</v>
      </c>
      <c r="O39" s="14">
        <f t="shared" si="4"/>
        <v>1426.2297754450396</v>
      </c>
      <c r="P39" s="33">
        <f t="shared" si="5"/>
        <v>0.61300329586138991</v>
      </c>
      <c r="Q39" s="33">
        <f t="shared" si="6"/>
        <v>0.11300329586138991</v>
      </c>
      <c r="R39" s="51">
        <f t="shared" si="7"/>
        <v>44.74924059788146</v>
      </c>
      <c r="S39" s="51">
        <f>APPLICANTS_PER_YEAR*($H39/Segments!$AH$2)*Q39</f>
        <v>19.798177434915509</v>
      </c>
      <c r="T39" s="51">
        <f t="shared" si="8"/>
        <v>64.547418032796969</v>
      </c>
      <c r="U39" s="14">
        <f t="shared" si="9"/>
        <v>1426.2297754450396</v>
      </c>
      <c r="V39" s="44">
        <f t="shared" si="10"/>
        <v>92059.449526473123</v>
      </c>
      <c r="W39" s="44">
        <f t="shared" si="11"/>
        <v>27332.173172185965</v>
      </c>
      <c r="X39" s="44">
        <f t="shared" si="12"/>
        <v>20173.425012534972</v>
      </c>
      <c r="Y39" s="14">
        <f t="shared" si="13"/>
        <v>1426.2297754450396</v>
      </c>
      <c r="Z39" s="14">
        <f t="shared" si="14"/>
        <v>389.41662724945502</v>
      </c>
      <c r="AA39" s="14">
        <f t="shared" si="15"/>
        <v>674.88846135880681</v>
      </c>
      <c r="AB39" s="14">
        <f t="shared" si="16"/>
        <v>995.70196306678326</v>
      </c>
      <c r="AC39" s="14">
        <f t="shared" si="17"/>
        <v>1469.0166687083909</v>
      </c>
      <c r="AD39" s="33">
        <f t="shared" si="18"/>
        <v>0.60332109446496007</v>
      </c>
      <c r="AE39" s="33">
        <f t="shared" si="19"/>
        <v>0.11232109446496008</v>
      </c>
      <c r="AF39" s="51">
        <f t="shared" si="20"/>
        <v>19.471409446217184</v>
      </c>
      <c r="AG39" s="51">
        <f>APPLICANTS_PER_YEAR*($H39/Segments!$AH$2)*AE39</f>
        <v>19.678655750261004</v>
      </c>
      <c r="AH39" s="51">
        <f t="shared" si="21"/>
        <v>39.150065196478188</v>
      </c>
      <c r="AI39" s="14">
        <f t="shared" si="22"/>
        <v>1469.0166687083909</v>
      </c>
      <c r="AJ39" s="44">
        <f t="shared" si="23"/>
        <v>57512.098354646703</v>
      </c>
      <c r="AK39" s="44">
        <f t="shared" si="24"/>
        <v>17075.168706857869</v>
      </c>
      <c r="AL39" s="44">
        <f t="shared" si="25"/>
        <v>13156.543852736084</v>
      </c>
      <c r="AM39" s="14">
        <f t="shared" si="26"/>
        <v>1469.0166687083909</v>
      </c>
      <c r="AN39" s="14">
        <f t="shared" si="27"/>
        <v>401.09912606693865</v>
      </c>
      <c r="AO39" s="14">
        <f t="shared" si="28"/>
        <v>693.88511519957092</v>
      </c>
      <c r="AP39" s="14">
        <f t="shared" si="29"/>
        <v>1024.6505084216355</v>
      </c>
      <c r="AQ39" s="14">
        <f t="shared" si="30"/>
        <v>1513.0871687696424</v>
      </c>
      <c r="AR39" s="33">
        <f t="shared" si="31"/>
        <v>0.60265694725492736</v>
      </c>
      <c r="AS39" s="33">
        <f t="shared" si="32"/>
        <v>0.11165694725492725</v>
      </c>
      <c r="AT39" s="51">
        <f t="shared" si="33"/>
        <v>11.797029388070461</v>
      </c>
      <c r="AU39" s="51">
        <f>APPLICANTS_PER_YEAR*($H39/Segments!$AH$2)*AS39</f>
        <v>19.562297159063252</v>
      </c>
      <c r="AV39" s="51">
        <f t="shared" si="34"/>
        <v>31.359326547133712</v>
      </c>
      <c r="AW39" s="14">
        <f t="shared" si="35"/>
        <v>1513.0871687696424</v>
      </c>
      <c r="AX39" s="44">
        <f t="shared" si="36"/>
        <v>47449.394619725237</v>
      </c>
      <c r="AY39" s="44">
        <f t="shared" si="37"/>
        <v>14087.582288755451</v>
      </c>
      <c r="AZ39" s="44">
        <f t="shared" si="38"/>
        <v>11120.160671853635</v>
      </c>
    </row>
    <row r="40" spans="1:52" ht="15" customHeight="1" x14ac:dyDescent="0.35">
      <c r="A40" s="61" t="str">
        <f>Segments!$A$20</f>
        <v>Non-greek</v>
      </c>
      <c r="B40" s="61" t="str">
        <f>Segments!$B$20</f>
        <v>On campus</v>
      </c>
      <c r="C40" s="61" t="str">
        <f>Segments!$C$20</f>
        <v>Yes</v>
      </c>
      <c r="D40" s="61" t="str">
        <f>Segments!$D$20</f>
        <v>3.0+</v>
      </c>
      <c r="E40" s="61" t="str">
        <f>Segments!$E$20</f>
        <v>Freshman</v>
      </c>
      <c r="F40" s="61">
        <f>Segments!$F$20</f>
        <v>1</v>
      </c>
      <c r="G40" s="61" t="str">
        <f>Segments!$G$20</f>
        <v>Base</v>
      </c>
      <c r="H40" s="62">
        <f>Segments!$H$20</f>
        <v>217</v>
      </c>
      <c r="I40" s="63">
        <f>Segments!$Y$20</f>
        <v>251.65735427974647</v>
      </c>
      <c r="J40" s="42">
        <v>0</v>
      </c>
      <c r="K40" s="40">
        <f t="shared" si="0"/>
        <v>450.88114384515706</v>
      </c>
      <c r="L40" s="40">
        <f t="shared" si="1"/>
        <v>251.65735427974647</v>
      </c>
      <c r="M40" s="40">
        <f t="shared" si="2"/>
        <v>450.88114384515706</v>
      </c>
      <c r="N40" s="40">
        <f t="shared" si="3"/>
        <v>801.91028958274444</v>
      </c>
      <c r="O40" s="40">
        <f t="shared" si="4"/>
        <v>1426.2297754450396</v>
      </c>
      <c r="P40" s="41">
        <f t="shared" si="5"/>
        <v>0.3</v>
      </c>
      <c r="Q40" s="41">
        <f t="shared" si="6"/>
        <v>0.02</v>
      </c>
      <c r="R40" s="64">
        <f t="shared" si="7"/>
        <v>0</v>
      </c>
      <c r="S40" s="64">
        <f>APPLICANTS_PER_YEAR*($H40/Segments!$AH$2)*Q40</f>
        <v>5.2080000000000011</v>
      </c>
      <c r="T40" s="64">
        <f t="shared" si="8"/>
        <v>5.2080000000000011</v>
      </c>
      <c r="U40" s="40">
        <f t="shared" si="9"/>
        <v>1426.2297754450396</v>
      </c>
      <c r="V40" s="65">
        <f t="shared" si="10"/>
        <v>7427.8046705177676</v>
      </c>
      <c r="W40" s="65">
        <f t="shared" si="11"/>
        <v>1467.9072812195905</v>
      </c>
      <c r="X40" s="65">
        <f t="shared" si="12"/>
        <v>1898.1882461959801</v>
      </c>
      <c r="Y40" s="40">
        <f t="shared" si="13"/>
        <v>463.15757816051172</v>
      </c>
      <c r="Z40" s="40">
        <f t="shared" si="14"/>
        <v>259.20707490813885</v>
      </c>
      <c r="AA40" s="40">
        <f t="shared" si="15"/>
        <v>463.15757816051172</v>
      </c>
      <c r="AB40" s="40">
        <f t="shared" si="16"/>
        <v>824.85526158011567</v>
      </c>
      <c r="AC40" s="40">
        <f t="shared" si="17"/>
        <v>1469.0166687083909</v>
      </c>
      <c r="AD40" s="41">
        <f t="shared" si="18"/>
        <v>0.3</v>
      </c>
      <c r="AE40" s="41">
        <f t="shared" si="19"/>
        <v>0.02</v>
      </c>
      <c r="AF40" s="64">
        <f t="shared" si="20"/>
        <v>0</v>
      </c>
      <c r="AG40" s="64">
        <f>APPLICANTS_PER_YEAR*($H40/Segments!$AH$2)*AE40</f>
        <v>5.2080000000000011</v>
      </c>
      <c r="AH40" s="64">
        <f t="shared" si="21"/>
        <v>5.2080000000000011</v>
      </c>
      <c r="AI40" s="40">
        <f t="shared" si="22"/>
        <v>1469.0166687083909</v>
      </c>
      <c r="AJ40" s="65">
        <f t="shared" si="23"/>
        <v>7650.6388106333006</v>
      </c>
      <c r="AK40" s="65">
        <f t="shared" si="24"/>
        <v>1511.9444996561781</v>
      </c>
      <c r="AL40" s="65">
        <f t="shared" si="25"/>
        <v>1948.1030935818594</v>
      </c>
      <c r="AM40" s="40">
        <f t="shared" si="26"/>
        <v>475.80230550532713</v>
      </c>
      <c r="AN40" s="40">
        <f t="shared" si="27"/>
        <v>266.98328715538304</v>
      </c>
      <c r="AO40" s="40">
        <f t="shared" si="28"/>
        <v>475.80230550532713</v>
      </c>
      <c r="AP40" s="40">
        <f t="shared" si="29"/>
        <v>848.48710263098519</v>
      </c>
      <c r="AQ40" s="40">
        <f t="shared" si="30"/>
        <v>1513.0871687696424</v>
      </c>
      <c r="AR40" s="41">
        <f t="shared" si="31"/>
        <v>0.3</v>
      </c>
      <c r="AS40" s="41">
        <f t="shared" si="32"/>
        <v>0.02</v>
      </c>
      <c r="AT40" s="64">
        <f t="shared" si="33"/>
        <v>0</v>
      </c>
      <c r="AU40" s="64">
        <f>APPLICANTS_PER_YEAR*($H40/Segments!$AH$2)*AS40</f>
        <v>5.2080000000000011</v>
      </c>
      <c r="AV40" s="64">
        <f t="shared" si="34"/>
        <v>5.2080000000000011</v>
      </c>
      <c r="AW40" s="40">
        <f t="shared" si="35"/>
        <v>1513.0871687696424</v>
      </c>
      <c r="AX40" s="65">
        <f t="shared" si="36"/>
        <v>7880.1579749522989</v>
      </c>
      <c r="AY40" s="65">
        <f t="shared" si="37"/>
        <v>1557.3028346458634</v>
      </c>
      <c r="AZ40" s="65">
        <f t="shared" si="38"/>
        <v>1999.5153863893152</v>
      </c>
    </row>
    <row r="41" spans="1:52" ht="15" customHeight="1" x14ac:dyDescent="0.35">
      <c r="A41" s="61" t="str">
        <f>Segments!$A$21</f>
        <v>Non-greek</v>
      </c>
      <c r="B41" s="61" t="str">
        <f>Segments!$B$21</f>
        <v>On campus</v>
      </c>
      <c r="C41" s="61" t="str">
        <f>Segments!$C$21</f>
        <v>Yes</v>
      </c>
      <c r="D41" s="61" t="str">
        <f>Segments!$D$21</f>
        <v>3.0+</v>
      </c>
      <c r="E41" s="61" t="str">
        <f>Segments!$E$21</f>
        <v>Sophomore</v>
      </c>
      <c r="F41" s="61">
        <f>Segments!$F$21</f>
        <v>1</v>
      </c>
      <c r="G41" s="61" t="str">
        <f>Segments!$G$21</f>
        <v>Sophomore</v>
      </c>
      <c r="H41" s="62">
        <f>Segments!$H$21</f>
        <v>216</v>
      </c>
      <c r="I41" s="63">
        <f>Segments!$Y$21</f>
        <v>249.0970534647187</v>
      </c>
      <c r="J41" s="42">
        <v>1</v>
      </c>
      <c r="K41" s="40">
        <f t="shared" si="0"/>
        <v>1426.2297754450396</v>
      </c>
      <c r="L41" s="40">
        <f t="shared" si="1"/>
        <v>249.0970534647187</v>
      </c>
      <c r="M41" s="40">
        <f t="shared" si="2"/>
        <v>446.71789511976277</v>
      </c>
      <c r="N41" s="40">
        <f t="shared" si="3"/>
        <v>798.19945079155502</v>
      </c>
      <c r="O41" s="40">
        <f t="shared" si="4"/>
        <v>1426.2297754450396</v>
      </c>
      <c r="P41" s="41">
        <f t="shared" si="5"/>
        <v>0.45659561715390673</v>
      </c>
      <c r="Q41" s="41">
        <f t="shared" si="6"/>
        <v>0.02</v>
      </c>
      <c r="R41" s="64">
        <f t="shared" si="7"/>
        <v>99.081248922397762</v>
      </c>
      <c r="S41" s="64">
        <f>APPLICANTS_PER_YEAR*($H41/Segments!$AH$2)*Q41</f>
        <v>5.1840000000000002</v>
      </c>
      <c r="T41" s="64">
        <f t="shared" si="8"/>
        <v>104.26524892239776</v>
      </c>
      <c r="U41" s="40">
        <f t="shared" si="9"/>
        <v>1426.2297754450396</v>
      </c>
      <c r="V41" s="65">
        <f t="shared" si="10"/>
        <v>148706.20255731253</v>
      </c>
      <c r="W41" s="65">
        <f t="shared" si="11"/>
        <v>29088.826239574886</v>
      </c>
      <c r="X41" s="65">
        <f t="shared" si="12"/>
        <v>30579.152392236771</v>
      </c>
      <c r="Y41" s="40">
        <f t="shared" si="13"/>
        <v>1426.2297754450396</v>
      </c>
      <c r="Z41" s="40">
        <f t="shared" si="14"/>
        <v>256.56996506866028</v>
      </c>
      <c r="AA41" s="40">
        <f t="shared" si="15"/>
        <v>458.86943197335569</v>
      </c>
      <c r="AB41" s="40">
        <f t="shared" si="16"/>
        <v>821.02791933624917</v>
      </c>
      <c r="AC41" s="40">
        <f t="shared" si="17"/>
        <v>1469.0166687083909</v>
      </c>
      <c r="AD41" s="41">
        <f t="shared" si="18"/>
        <v>0.44637958934697308</v>
      </c>
      <c r="AE41" s="41">
        <f t="shared" si="19"/>
        <v>0.02</v>
      </c>
      <c r="AF41" s="64">
        <f t="shared" si="20"/>
        <v>2.3247449013190362</v>
      </c>
      <c r="AG41" s="64">
        <f>APPLICANTS_PER_YEAR*($H41/Segments!$AH$2)*AE41</f>
        <v>5.1840000000000002</v>
      </c>
      <c r="AH41" s="64">
        <f t="shared" si="21"/>
        <v>7.5087449013190364</v>
      </c>
      <c r="AI41" s="40">
        <f t="shared" si="22"/>
        <v>1469.0166687083909</v>
      </c>
      <c r="AJ41" s="65">
        <f t="shared" si="23"/>
        <v>11030.471421116807</v>
      </c>
      <c r="AK41" s="65">
        <f t="shared" si="24"/>
        <v>2157.7006270858151</v>
      </c>
      <c r="AL41" s="65">
        <f t="shared" si="25"/>
        <v>2631.0723809879073</v>
      </c>
      <c r="AM41" s="40">
        <f t="shared" si="26"/>
        <v>1469.0166687083909</v>
      </c>
      <c r="AN41" s="40">
        <f t="shared" si="27"/>
        <v>264.26706402072006</v>
      </c>
      <c r="AO41" s="40">
        <f t="shared" si="28"/>
        <v>471.3855149325563</v>
      </c>
      <c r="AP41" s="40">
        <f t="shared" si="29"/>
        <v>844.53974103550729</v>
      </c>
      <c r="AQ41" s="40">
        <f t="shared" si="30"/>
        <v>1513.0871687696424</v>
      </c>
      <c r="AR41" s="41">
        <f t="shared" si="31"/>
        <v>0.44519421653597052</v>
      </c>
      <c r="AS41" s="41">
        <f t="shared" si="32"/>
        <v>0.02</v>
      </c>
      <c r="AT41" s="64">
        <f t="shared" si="33"/>
        <v>2.3185714797193349</v>
      </c>
      <c r="AU41" s="64">
        <f>APPLICANTS_PER_YEAR*($H41/Segments!$AH$2)*AS41</f>
        <v>5.1840000000000002</v>
      </c>
      <c r="AV41" s="64">
        <f t="shared" si="34"/>
        <v>7.502571479719335</v>
      </c>
      <c r="AW41" s="40">
        <f t="shared" si="35"/>
        <v>1513.0871687696424</v>
      </c>
      <c r="AX41" s="65">
        <f t="shared" si="36"/>
        <v>11352.044638740395</v>
      </c>
      <c r="AY41" s="65">
        <f t="shared" si="37"/>
        <v>2220.6044420571402</v>
      </c>
      <c r="AZ41" s="65">
        <f t="shared" si="38"/>
        <v>2699.7224022178857</v>
      </c>
    </row>
    <row r="42" spans="1:52" ht="15" customHeight="1" x14ac:dyDescent="0.35">
      <c r="A42" s="61" t="str">
        <f>Segments!$A$22</f>
        <v>Non-greek</v>
      </c>
      <c r="B42" s="61" t="str">
        <f>Segments!$B$22</f>
        <v>On campus</v>
      </c>
      <c r="C42" s="61" t="str">
        <f>Segments!$C$22</f>
        <v>Yes</v>
      </c>
      <c r="D42" s="61" t="str">
        <f>Segments!$D$22</f>
        <v>3.0+</v>
      </c>
      <c r="E42" s="61" t="str">
        <f>Segments!$E$22</f>
        <v>Junior</v>
      </c>
      <c r="F42" s="61">
        <f>Segments!$F$22</f>
        <v>2</v>
      </c>
      <c r="G42" s="61" t="str">
        <f>Segments!$G$22</f>
        <v>Base</v>
      </c>
      <c r="H42" s="62">
        <f>Segments!$H$22</f>
        <v>207</v>
      </c>
      <c r="I42" s="63">
        <f>Segments!$Y$22</f>
        <v>297.77700054841449</v>
      </c>
      <c r="J42" s="42">
        <v>2</v>
      </c>
      <c r="K42" s="40">
        <f t="shared" si="0"/>
        <v>1426.2297754450396</v>
      </c>
      <c r="L42" s="40">
        <f t="shared" si="1"/>
        <v>297.77700054841449</v>
      </c>
      <c r="M42" s="40">
        <f t="shared" si="2"/>
        <v>525.87528414955898</v>
      </c>
      <c r="N42" s="40">
        <f t="shared" si="3"/>
        <v>866.03636668717445</v>
      </c>
      <c r="O42" s="40">
        <f t="shared" si="4"/>
        <v>1426.2297754450396</v>
      </c>
      <c r="P42" s="41">
        <f t="shared" si="5"/>
        <v>0.52657627883413372</v>
      </c>
      <c r="Q42" s="41">
        <f t="shared" si="6"/>
        <v>2.6576278834133715E-2</v>
      </c>
      <c r="R42" s="64">
        <f t="shared" si="7"/>
        <v>113.74047622817288</v>
      </c>
      <c r="S42" s="64">
        <f>APPLICANTS_PER_YEAR*($H42/Segments!$AH$2)*Q42</f>
        <v>6.601547662398815</v>
      </c>
      <c r="T42" s="64">
        <f t="shared" si="8"/>
        <v>120.3420238905717</v>
      </c>
      <c r="U42" s="40">
        <f t="shared" si="9"/>
        <v>1426.2297754450399</v>
      </c>
      <c r="V42" s="65">
        <f t="shared" si="10"/>
        <v>171635.37771005169</v>
      </c>
      <c r="W42" s="65">
        <f t="shared" si="11"/>
        <v>40135.29734374729</v>
      </c>
      <c r="X42" s="65">
        <f t="shared" si="12"/>
        <v>35340.501890975822</v>
      </c>
      <c r="Y42" s="40">
        <f t="shared" si="13"/>
        <v>1426.2297754450396</v>
      </c>
      <c r="Z42" s="40">
        <f t="shared" si="14"/>
        <v>306.71031056486692</v>
      </c>
      <c r="AA42" s="40">
        <f t="shared" si="15"/>
        <v>540.40154267404569</v>
      </c>
      <c r="AB42" s="40">
        <f t="shared" si="16"/>
        <v>890.98758351836852</v>
      </c>
      <c r="AC42" s="40">
        <f t="shared" si="17"/>
        <v>1469.0166687083909</v>
      </c>
      <c r="AD42" s="41">
        <f t="shared" si="18"/>
        <v>0.51662450033956853</v>
      </c>
      <c r="AE42" s="41">
        <f t="shared" si="19"/>
        <v>2.5624500339568534E-2</v>
      </c>
      <c r="AF42" s="64">
        <f t="shared" si="20"/>
        <v>53.865982127314481</v>
      </c>
      <c r="AG42" s="64">
        <f>APPLICANTS_PER_YEAR*($H42/Segments!$AH$2)*AE42</f>
        <v>6.3651258843488243</v>
      </c>
      <c r="AH42" s="64">
        <f t="shared" si="21"/>
        <v>60.231108011663309</v>
      </c>
      <c r="AI42" s="40">
        <f t="shared" si="22"/>
        <v>1469.0166687083906</v>
      </c>
      <c r="AJ42" s="65">
        <f t="shared" si="23"/>
        <v>88480.501643908894</v>
      </c>
      <c r="AK42" s="65">
        <f t="shared" si="24"/>
        <v>20690.322065194097</v>
      </c>
      <c r="AL42" s="65">
        <f t="shared" si="25"/>
        <v>18413.831778829517</v>
      </c>
      <c r="AM42" s="40">
        <f t="shared" si="26"/>
        <v>1469.0166687083909</v>
      </c>
      <c r="AN42" s="40">
        <f t="shared" si="27"/>
        <v>315.9116198818129</v>
      </c>
      <c r="AO42" s="40">
        <f t="shared" si="28"/>
        <v>555.36358895426702</v>
      </c>
      <c r="AP42" s="40">
        <f t="shared" si="29"/>
        <v>916.68616246159161</v>
      </c>
      <c r="AQ42" s="40">
        <f t="shared" si="30"/>
        <v>1513.0871687696424</v>
      </c>
      <c r="AR42" s="41">
        <f t="shared" si="31"/>
        <v>0.51569727877939942</v>
      </c>
      <c r="AS42" s="41">
        <f t="shared" si="32"/>
        <v>2.4697278779399312E-2</v>
      </c>
      <c r="AT42" s="64">
        <f t="shared" si="33"/>
        <v>3.872239312658917</v>
      </c>
      <c r="AU42" s="64">
        <f>APPLICANTS_PER_YEAR*($H42/Segments!$AH$2)*AS42</f>
        <v>6.1348040488027893</v>
      </c>
      <c r="AV42" s="64">
        <f t="shared" si="34"/>
        <v>10.007043361461706</v>
      </c>
      <c r="AW42" s="40">
        <f t="shared" si="35"/>
        <v>1513.0871687696424</v>
      </c>
      <c r="AX42" s="65">
        <f t="shared" si="36"/>
        <v>15141.528907549138</v>
      </c>
      <c r="AY42" s="65">
        <f t="shared" si="37"/>
        <v>3540.7022319725388</v>
      </c>
      <c r="AZ42" s="65">
        <f t="shared" si="38"/>
        <v>3540.147197096675</v>
      </c>
    </row>
    <row r="43" spans="1:52" ht="15" customHeight="1" x14ac:dyDescent="0.35">
      <c r="A43" s="61" t="str">
        <f>Segments!$A$23</f>
        <v>Non-greek</v>
      </c>
      <c r="B43" s="61" t="str">
        <f>Segments!$B$23</f>
        <v>On campus</v>
      </c>
      <c r="C43" s="61" t="str">
        <f>Segments!$C$23</f>
        <v>Yes</v>
      </c>
      <c r="D43" s="61" t="str">
        <f>Segments!$D$23</f>
        <v>3.0+</v>
      </c>
      <c r="E43" s="61" t="str">
        <f>Segments!$E$23</f>
        <v>Senior</v>
      </c>
      <c r="F43" s="61">
        <f>Segments!$F$23</f>
        <v>3</v>
      </c>
      <c r="G43" s="61" t="str">
        <f>Segments!$G$23</f>
        <v>Base</v>
      </c>
      <c r="H43" s="62">
        <f>Segments!$H$23</f>
        <v>197</v>
      </c>
      <c r="I43" s="63">
        <f>Segments!$Y$23</f>
        <v>278.32842723201634</v>
      </c>
      <c r="J43" s="42">
        <v>3</v>
      </c>
      <c r="K43" s="40">
        <f t="shared" si="0"/>
        <v>1426.2297754450396</v>
      </c>
      <c r="L43" s="40">
        <f t="shared" si="1"/>
        <v>278.32842723201634</v>
      </c>
      <c r="M43" s="40">
        <f t="shared" si="2"/>
        <v>494.25038773309882</v>
      </c>
      <c r="N43" s="40">
        <f t="shared" si="3"/>
        <v>839.59193630608513</v>
      </c>
      <c r="O43" s="40">
        <f t="shared" si="4"/>
        <v>1426.2297754450396</v>
      </c>
      <c r="P43" s="41">
        <f t="shared" si="5"/>
        <v>0.50064109493478548</v>
      </c>
      <c r="Q43" s="41">
        <f t="shared" si="6"/>
        <v>0.02</v>
      </c>
      <c r="R43" s="64">
        <f t="shared" si="7"/>
        <v>103.6327066515006</v>
      </c>
      <c r="S43" s="64">
        <f>APPLICANTS_PER_YEAR*($H43/Segments!$AH$2)*Q43</f>
        <v>4.7279999999999998</v>
      </c>
      <c r="T43" s="64">
        <f t="shared" si="8"/>
        <v>108.36070665150059</v>
      </c>
      <c r="U43" s="40">
        <f t="shared" si="9"/>
        <v>1426.2297754450394</v>
      </c>
      <c r="V43" s="65">
        <f t="shared" si="10"/>
        <v>154547.26631463549</v>
      </c>
      <c r="W43" s="65">
        <f t="shared" si="11"/>
        <v>33779.048862789503</v>
      </c>
      <c r="X43" s="65">
        <f t="shared" si="12"/>
        <v>31730.859969736764</v>
      </c>
      <c r="Y43" s="40">
        <f t="shared" si="13"/>
        <v>1426.2297754450399</v>
      </c>
      <c r="Z43" s="40">
        <f t="shared" si="14"/>
        <v>286.67828004897683</v>
      </c>
      <c r="AA43" s="40">
        <f t="shared" si="15"/>
        <v>507.82789936509175</v>
      </c>
      <c r="AB43" s="40">
        <f t="shared" si="16"/>
        <v>863.7173432335876</v>
      </c>
      <c r="AC43" s="40">
        <f t="shared" si="17"/>
        <v>1469.0166687083909</v>
      </c>
      <c r="AD43" s="41">
        <f t="shared" si="18"/>
        <v>0.49059640430011414</v>
      </c>
      <c r="AE43" s="41">
        <f t="shared" si="19"/>
        <v>0.02</v>
      </c>
      <c r="AF43" s="64">
        <f t="shared" si="20"/>
        <v>59.039364206912907</v>
      </c>
      <c r="AG43" s="64">
        <f>APPLICANTS_PER_YEAR*($H43/Segments!$AH$2)*AE43</f>
        <v>4.7279999999999998</v>
      </c>
      <c r="AH43" s="64">
        <f t="shared" si="21"/>
        <v>63.767364206912909</v>
      </c>
      <c r="AI43" s="40">
        <f t="shared" si="22"/>
        <v>1469.0166687083909</v>
      </c>
      <c r="AJ43" s="65">
        <f t="shared" si="23"/>
        <v>93675.320939553887</v>
      </c>
      <c r="AK43" s="65">
        <f t="shared" si="24"/>
        <v>20474.404489385819</v>
      </c>
      <c r="AL43" s="65">
        <f t="shared" si="25"/>
        <v>19341.275820051807</v>
      </c>
      <c r="AM43" s="40">
        <f t="shared" si="26"/>
        <v>1469.0166687083906</v>
      </c>
      <c r="AN43" s="40">
        <f t="shared" si="27"/>
        <v>295.27862845044609</v>
      </c>
      <c r="AO43" s="40">
        <f t="shared" si="28"/>
        <v>521.8127363460444</v>
      </c>
      <c r="AP43" s="40">
        <f t="shared" si="29"/>
        <v>888.56522319173405</v>
      </c>
      <c r="AQ43" s="40">
        <f t="shared" si="30"/>
        <v>1513.0871687696424</v>
      </c>
      <c r="AR43" s="41">
        <f t="shared" si="31"/>
        <v>0.48957844462187028</v>
      </c>
      <c r="AS43" s="41">
        <f t="shared" si="32"/>
        <v>0.02</v>
      </c>
      <c r="AT43" s="64">
        <f t="shared" si="33"/>
        <v>29.487852178201994</v>
      </c>
      <c r="AU43" s="64">
        <f>APPLICANTS_PER_YEAR*($H43/Segments!$AH$2)*AS43</f>
        <v>4.7279999999999998</v>
      </c>
      <c r="AV43" s="64">
        <f t="shared" si="34"/>
        <v>34.215852178201992</v>
      </c>
      <c r="AW43" s="40">
        <f t="shared" si="35"/>
        <v>1513.0871687696424</v>
      </c>
      <c r="AX43" s="65">
        <f t="shared" si="36"/>
        <v>51771.566899356258</v>
      </c>
      <c r="AY43" s="65">
        <f t="shared" si="37"/>
        <v>11315.595090735818</v>
      </c>
      <c r="AZ43" s="65">
        <f t="shared" si="38"/>
        <v>10837.728852230375</v>
      </c>
    </row>
    <row r="44" spans="1:52" ht="15" customHeight="1" x14ac:dyDescent="0.35">
      <c r="A44" s="61" t="str">
        <f>Segments!$A$24</f>
        <v>Non-greek</v>
      </c>
      <c r="B44" s="61" t="str">
        <f>Segments!$B$24</f>
        <v>On campus</v>
      </c>
      <c r="C44" s="61" t="str">
        <f>Segments!$C$24</f>
        <v>Yes</v>
      </c>
      <c r="D44" s="61" t="str">
        <f>Segments!$D$24</f>
        <v>3.0+</v>
      </c>
      <c r="E44" s="61" t="str">
        <f>Segments!$E$24</f>
        <v>Grad student</v>
      </c>
      <c r="F44" s="61">
        <f>Segments!$F$24</f>
        <v>3</v>
      </c>
      <c r="G44" s="61" t="str">
        <f>Segments!$G$24</f>
        <v>Grad</v>
      </c>
      <c r="H44" s="62">
        <f>Segments!$H$24</f>
        <v>86</v>
      </c>
      <c r="I44" s="63">
        <f>Segments!$Y$24</f>
        <v>331.40021057623693</v>
      </c>
      <c r="J44" s="42">
        <v>4</v>
      </c>
      <c r="K44" s="40">
        <f t="shared" si="0"/>
        <v>1426.2297754450396</v>
      </c>
      <c r="L44" s="40">
        <f t="shared" si="1"/>
        <v>331.40021057623693</v>
      </c>
      <c r="M44" s="40">
        <f t="shared" si="2"/>
        <v>580.54924490853239</v>
      </c>
      <c r="N44" s="40">
        <f t="shared" si="3"/>
        <v>909.94319559007829</v>
      </c>
      <c r="O44" s="40">
        <f t="shared" si="4"/>
        <v>1426.2297754450396</v>
      </c>
      <c r="P44" s="41">
        <f t="shared" si="5"/>
        <v>0.56630834630278171</v>
      </c>
      <c r="Q44" s="41">
        <f t="shared" si="6"/>
        <v>6.6308346302781707E-2</v>
      </c>
      <c r="R44" s="64">
        <f t="shared" si="7"/>
        <v>24.351258891019615</v>
      </c>
      <c r="S44" s="64">
        <f>APPLICANTS_PER_YEAR*($H44/Segments!$AH$2)*Q44</f>
        <v>6.8430213384470724</v>
      </c>
      <c r="T44" s="64">
        <f t="shared" si="8"/>
        <v>31.194280229466688</v>
      </c>
      <c r="U44" s="40">
        <f t="shared" si="9"/>
        <v>1426.2297754450394</v>
      </c>
      <c r="V44" s="65">
        <f t="shared" si="10"/>
        <v>44490.211286841906</v>
      </c>
      <c r="W44" s="65">
        <f t="shared" si="11"/>
        <v>11578.325961237733</v>
      </c>
      <c r="X44" s="65">
        <f t="shared" si="12"/>
        <v>9545.2012988050956</v>
      </c>
      <c r="Y44" s="40">
        <f t="shared" si="13"/>
        <v>1426.2297754450394</v>
      </c>
      <c r="Z44" s="40">
        <f t="shared" si="14"/>
        <v>341.34221689352404</v>
      </c>
      <c r="AA44" s="40">
        <f t="shared" si="15"/>
        <v>596.71572225578836</v>
      </c>
      <c r="AB44" s="40">
        <f t="shared" si="16"/>
        <v>936.26136440318817</v>
      </c>
      <c r="AC44" s="40">
        <f t="shared" si="17"/>
        <v>1469.0166687083909</v>
      </c>
      <c r="AD44" s="41">
        <f t="shared" si="18"/>
        <v>0.55648793715053957</v>
      </c>
      <c r="AE44" s="41">
        <f t="shared" si="19"/>
        <v>6.5487937150539688E-2</v>
      </c>
      <c r="AF44" s="64">
        <f t="shared" si="20"/>
        <v>8.6796203278958881</v>
      </c>
      <c r="AG44" s="64">
        <f>APPLICANTS_PER_YEAR*($H44/Segments!$AH$2)*AE44</f>
        <v>6.7583551139356963</v>
      </c>
      <c r="AH44" s="64">
        <f t="shared" si="21"/>
        <v>15.437975441831584</v>
      </c>
      <c r="AI44" s="40">
        <f t="shared" si="22"/>
        <v>1469.0166687083909</v>
      </c>
      <c r="AJ44" s="65">
        <f t="shared" si="23"/>
        <v>22678.643255161383</v>
      </c>
      <c r="AK44" s="65">
        <f t="shared" si="24"/>
        <v>5901.9886930620833</v>
      </c>
      <c r="AL44" s="65">
        <f t="shared" si="25"/>
        <v>5111.4667329503</v>
      </c>
      <c r="AM44" s="40">
        <f t="shared" si="26"/>
        <v>1469.0166687083909</v>
      </c>
      <c r="AN44" s="40">
        <f t="shared" si="27"/>
        <v>351.58248340032975</v>
      </c>
      <c r="AO44" s="40">
        <f t="shared" si="28"/>
        <v>613.36719392346197</v>
      </c>
      <c r="AP44" s="40">
        <f t="shared" si="29"/>
        <v>963.36806614597276</v>
      </c>
      <c r="AQ44" s="40">
        <f t="shared" si="30"/>
        <v>1513.0871687696424</v>
      </c>
      <c r="AR44" s="41">
        <f t="shared" si="31"/>
        <v>0.55568895329753742</v>
      </c>
      <c r="AS44" s="41">
        <f t="shared" si="32"/>
        <v>6.4688953297537322E-2</v>
      </c>
      <c r="AT44" s="64">
        <f t="shared" si="33"/>
        <v>4.2893562071522409</v>
      </c>
      <c r="AU44" s="64">
        <f>APPLICANTS_PER_YEAR*($H44/Segments!$AH$2)*AS44</f>
        <v>6.6758999803058519</v>
      </c>
      <c r="AV44" s="64">
        <f t="shared" si="34"/>
        <v>10.965256187458092</v>
      </c>
      <c r="AW44" s="40">
        <f t="shared" si="35"/>
        <v>1513.0871687696426</v>
      </c>
      <c r="AX44" s="65">
        <f t="shared" si="36"/>
        <v>16591.388439514769</v>
      </c>
      <c r="AY44" s="65">
        <f t="shared" si="37"/>
        <v>4317.8150416882299</v>
      </c>
      <c r="AZ44" s="65">
        <f t="shared" si="38"/>
        <v>3875.5176893317598</v>
      </c>
    </row>
    <row r="45" spans="1:52" ht="15" customHeight="1" x14ac:dyDescent="0.35">
      <c r="A45" s="59" t="str">
        <f>Segments!$A$25</f>
        <v>Non-greek</v>
      </c>
      <c r="B45" s="59" t="str">
        <f>Segments!$B$25</f>
        <v>On campus</v>
      </c>
      <c r="C45" s="59" t="str">
        <f>Segments!$C$25</f>
        <v>No</v>
      </c>
      <c r="D45" s="59" t="str">
        <f>Segments!$D$25</f>
        <v>&lt;1.0</v>
      </c>
      <c r="E45" s="59" t="str">
        <f>Segments!$E$25</f>
        <v>Freshman</v>
      </c>
      <c r="F45" s="59">
        <f>Segments!$F$25</f>
        <v>1</v>
      </c>
      <c r="G45" s="59" t="str">
        <f>Segments!$G$25</f>
        <v>Base</v>
      </c>
      <c r="H45" s="60">
        <f>Segments!$H$25</f>
        <v>24</v>
      </c>
      <c r="I45" s="26">
        <f>Segments!$Y$25</f>
        <v>495.85541037793126</v>
      </c>
      <c r="J45" s="29">
        <v>0</v>
      </c>
      <c r="K45" s="14">
        <f t="shared" si="0"/>
        <v>847.96622065614179</v>
      </c>
      <c r="L45" s="14">
        <f t="shared" si="1"/>
        <v>495.85541037793126</v>
      </c>
      <c r="M45" s="14">
        <f t="shared" si="2"/>
        <v>847.96622065614179</v>
      </c>
      <c r="N45" s="14">
        <f t="shared" si="3"/>
        <v>1099.7248167025186</v>
      </c>
      <c r="O45" s="14">
        <f t="shared" si="4"/>
        <v>1426.2297754450396</v>
      </c>
      <c r="P45" s="33">
        <f t="shared" si="5"/>
        <v>0.49696899809497208</v>
      </c>
      <c r="Q45" s="33">
        <f t="shared" si="6"/>
        <v>0.2015515182600256</v>
      </c>
      <c r="R45" s="51">
        <f t="shared" si="7"/>
        <v>0</v>
      </c>
      <c r="S45" s="51">
        <f>APPLICANTS_PER_YEAR*($H45/Segments!$AH$2)*Q45</f>
        <v>5.8046837258887365</v>
      </c>
      <c r="T45" s="51">
        <f t="shared" si="8"/>
        <v>5.8046837258887365</v>
      </c>
      <c r="U45" s="14">
        <f t="shared" si="9"/>
        <v>1426.2297754450399</v>
      </c>
      <c r="V45" s="44">
        <f t="shared" si="10"/>
        <v>8278.8127669037694</v>
      </c>
      <c r="W45" s="44">
        <f t="shared" si="11"/>
        <v>3223.6778907364178</v>
      </c>
      <c r="X45" s="44">
        <f t="shared" si="12"/>
        <v>2115.6648274514373</v>
      </c>
      <c r="Y45" s="14">
        <f t="shared" si="13"/>
        <v>872.15520727582611</v>
      </c>
      <c r="Z45" s="14">
        <f t="shared" si="14"/>
        <v>510.73107268926924</v>
      </c>
      <c r="AA45" s="14">
        <f t="shared" si="15"/>
        <v>872.15520727582611</v>
      </c>
      <c r="AB45" s="14">
        <f t="shared" si="16"/>
        <v>1131.9057103791861</v>
      </c>
      <c r="AC45" s="14">
        <f t="shared" si="17"/>
        <v>1469.0166687083909</v>
      </c>
      <c r="AD45" s="33">
        <f t="shared" si="18"/>
        <v>0.49578129282011285</v>
      </c>
      <c r="AE45" s="33">
        <f t="shared" si="19"/>
        <v>0.20108699636462057</v>
      </c>
      <c r="AF45" s="51">
        <f t="shared" si="20"/>
        <v>0</v>
      </c>
      <c r="AG45" s="51">
        <f>APPLICANTS_PER_YEAR*($H45/Segments!$AH$2)*AE45</f>
        <v>5.7913054953010716</v>
      </c>
      <c r="AH45" s="51">
        <f t="shared" si="21"/>
        <v>5.7913054953010716</v>
      </c>
      <c r="AI45" s="14">
        <f t="shared" si="22"/>
        <v>1469.0166687083909</v>
      </c>
      <c r="AJ45" s="44">
        <f t="shared" si="23"/>
        <v>8507.5243061797773</v>
      </c>
      <c r="AK45" s="44">
        <f t="shared" si="24"/>
        <v>3312.7356280327413</v>
      </c>
      <c r="AL45" s="44">
        <f t="shared" si="25"/>
        <v>2166.2941918728184</v>
      </c>
      <c r="AM45" s="14">
        <f t="shared" si="26"/>
        <v>897.06986349410079</v>
      </c>
      <c r="AN45" s="14">
        <f t="shared" si="27"/>
        <v>526.05300486994724</v>
      </c>
      <c r="AO45" s="14">
        <f t="shared" si="28"/>
        <v>897.06986349410079</v>
      </c>
      <c r="AP45" s="14">
        <f t="shared" si="29"/>
        <v>1165.0514580664919</v>
      </c>
      <c r="AQ45" s="14">
        <f t="shared" si="30"/>
        <v>1513.0871687696424</v>
      </c>
      <c r="AR45" s="33">
        <f t="shared" si="31"/>
        <v>0.49462523840992412</v>
      </c>
      <c r="AS45" s="33">
        <f t="shared" si="32"/>
        <v>0.20063504779404884</v>
      </c>
      <c r="AT45" s="51">
        <f t="shared" si="33"/>
        <v>0</v>
      </c>
      <c r="AU45" s="51">
        <f>APPLICANTS_PER_YEAR*($H45/Segments!$AH$2)*AS45</f>
        <v>5.7782893764686056</v>
      </c>
      <c r="AV45" s="51">
        <f t="shared" si="34"/>
        <v>5.7782893764686056</v>
      </c>
      <c r="AW45" s="14">
        <f t="shared" si="35"/>
        <v>1513.0871687696424</v>
      </c>
      <c r="AX45" s="44">
        <f t="shared" si="36"/>
        <v>8743.0555129725853</v>
      </c>
      <c r="AY45" s="44">
        <f t="shared" si="37"/>
        <v>3404.4488682393326</v>
      </c>
      <c r="AZ45" s="44">
        <f t="shared" si="38"/>
        <v>2218.4674568469463</v>
      </c>
    </row>
    <row r="46" spans="1:52" ht="15" customHeight="1" x14ac:dyDescent="0.35">
      <c r="A46" s="59" t="str">
        <f>Segments!$A$26</f>
        <v>Non-greek</v>
      </c>
      <c r="B46" s="59" t="str">
        <f>Segments!$B$26</f>
        <v>On campus</v>
      </c>
      <c r="C46" s="59" t="str">
        <f>Segments!$C$26</f>
        <v>No</v>
      </c>
      <c r="D46" s="59" t="str">
        <f>Segments!$D$26</f>
        <v>&lt;1.0</v>
      </c>
      <c r="E46" s="59" t="str">
        <f>Segments!$E$26</f>
        <v>Sophomore</v>
      </c>
      <c r="F46" s="59">
        <f>Segments!$F$26</f>
        <v>1</v>
      </c>
      <c r="G46" s="59" t="str">
        <f>Segments!$G$26</f>
        <v>Sophomore</v>
      </c>
      <c r="H46" s="60">
        <f>Segments!$H$26</f>
        <v>19</v>
      </c>
      <c r="I46" s="26">
        <f>Segments!$Y$26</f>
        <v>490.81069783630886</v>
      </c>
      <c r="J46" s="29">
        <v>1</v>
      </c>
      <c r="K46" s="14">
        <f t="shared" si="0"/>
        <v>1426.2297754450396</v>
      </c>
      <c r="L46" s="14">
        <f t="shared" si="1"/>
        <v>490.81069783630886</v>
      </c>
      <c r="M46" s="14">
        <f t="shared" si="2"/>
        <v>839.76312477943247</v>
      </c>
      <c r="N46" s="14">
        <f t="shared" si="3"/>
        <v>1094.3926045442718</v>
      </c>
      <c r="O46" s="14">
        <f t="shared" si="4"/>
        <v>1426.2297754450396</v>
      </c>
      <c r="P46" s="33">
        <f t="shared" si="5"/>
        <v>0.6983920809027433</v>
      </c>
      <c r="Q46" s="33">
        <f t="shared" si="6"/>
        <v>0.1983920809027433</v>
      </c>
      <c r="R46" s="51">
        <f t="shared" si="7"/>
        <v>16.761409941665839</v>
      </c>
      <c r="S46" s="51">
        <f>APPLICANTS_PER_YEAR*($H46/Segments!$AH$2)*Q46</f>
        <v>4.5233394445825477</v>
      </c>
      <c r="T46" s="51">
        <f t="shared" si="8"/>
        <v>21.284749386248386</v>
      </c>
      <c r="U46" s="14">
        <f t="shared" si="9"/>
        <v>1426.2297754450399</v>
      </c>
      <c r="V46" s="44">
        <f t="shared" si="10"/>
        <v>30356.943337552984</v>
      </c>
      <c r="W46" s="44">
        <f t="shared" si="11"/>
        <v>11700.396623479781</v>
      </c>
      <c r="X46" s="44">
        <f t="shared" si="12"/>
        <v>6502.0370136478496</v>
      </c>
      <c r="Y46" s="14">
        <f t="shared" si="13"/>
        <v>1426.2297754450399</v>
      </c>
      <c r="Z46" s="14">
        <f t="shared" si="14"/>
        <v>505.53501877139814</v>
      </c>
      <c r="AA46" s="14">
        <f t="shared" si="15"/>
        <v>863.70601852281538</v>
      </c>
      <c r="AB46" s="14">
        <f t="shared" si="16"/>
        <v>1126.4095782945801</v>
      </c>
      <c r="AC46" s="14">
        <f t="shared" si="17"/>
        <v>1469.0166687083909</v>
      </c>
      <c r="AD46" s="33">
        <f t="shared" si="18"/>
        <v>0.68892073104859042</v>
      </c>
      <c r="AE46" s="33">
        <f t="shared" si="19"/>
        <v>0.19792073104859031</v>
      </c>
      <c r="AF46" s="51">
        <f t="shared" si="20"/>
        <v>3.9989669559451242</v>
      </c>
      <c r="AG46" s="51">
        <f>APPLICANTS_PER_YEAR*($H46/Segments!$AH$2)*AE46</f>
        <v>4.5125926679078594</v>
      </c>
      <c r="AH46" s="51">
        <f t="shared" si="21"/>
        <v>8.5115596238529836</v>
      </c>
      <c r="AI46" s="14">
        <f t="shared" si="22"/>
        <v>1469.0166687083909</v>
      </c>
      <c r="AJ46" s="44">
        <f t="shared" si="23"/>
        <v>12503.622964145354</v>
      </c>
      <c r="AK46" s="44">
        <f t="shared" si="24"/>
        <v>4819.2384287246005</v>
      </c>
      <c r="AL46" s="44">
        <f t="shared" si="25"/>
        <v>2878.2483340869057</v>
      </c>
      <c r="AM46" s="14">
        <f t="shared" si="26"/>
        <v>1469.0166687083909</v>
      </c>
      <c r="AN46" s="14">
        <f t="shared" si="27"/>
        <v>520.70106933454008</v>
      </c>
      <c r="AO46" s="14">
        <f t="shared" si="28"/>
        <v>888.36719907849988</v>
      </c>
      <c r="AP46" s="14">
        <f t="shared" si="29"/>
        <v>1159.3864800322215</v>
      </c>
      <c r="AQ46" s="14">
        <f t="shared" si="30"/>
        <v>1513.0871687696424</v>
      </c>
      <c r="AR46" s="33">
        <f t="shared" si="31"/>
        <v>0.68846212982939448</v>
      </c>
      <c r="AS46" s="33">
        <f t="shared" si="32"/>
        <v>0.19746212982939437</v>
      </c>
      <c r="AT46" s="51">
        <f t="shared" si="33"/>
        <v>3.9870945157876521</v>
      </c>
      <c r="AU46" s="51">
        <f>APPLICANTS_PER_YEAR*($H46/Segments!$AH$2)*AS46</f>
        <v>4.5021365601101921</v>
      </c>
      <c r="AV46" s="51">
        <f t="shared" si="34"/>
        <v>8.4892310758978446</v>
      </c>
      <c r="AW46" s="14">
        <f t="shared" si="35"/>
        <v>1513.0871687696422</v>
      </c>
      <c r="AX46" s="44">
        <f t="shared" si="36"/>
        <v>12844.946613661534</v>
      </c>
      <c r="AY46" s="44">
        <f t="shared" si="37"/>
        <v>4950.7939029337776</v>
      </c>
      <c r="AZ46" s="44">
        <f t="shared" si="38"/>
        <v>2948.4573226430421</v>
      </c>
    </row>
    <row r="47" spans="1:52" ht="15" customHeight="1" x14ac:dyDescent="0.35">
      <c r="A47" s="59" t="str">
        <f>Segments!$A$27</f>
        <v>Non-greek</v>
      </c>
      <c r="B47" s="59" t="str">
        <f>Segments!$B$27</f>
        <v>On campus</v>
      </c>
      <c r="C47" s="59" t="str">
        <f>Segments!$C$27</f>
        <v>No</v>
      </c>
      <c r="D47" s="59" t="str">
        <f>Segments!$D$27</f>
        <v>&lt;1.0</v>
      </c>
      <c r="E47" s="59" t="str">
        <f>Segments!$E$27</f>
        <v>Junior</v>
      </c>
      <c r="F47" s="59">
        <f>Segments!$F$27</f>
        <v>2</v>
      </c>
      <c r="G47" s="59" t="str">
        <f>Segments!$G$27</f>
        <v>Base</v>
      </c>
      <c r="H47" s="60">
        <f>Segments!$H$27</f>
        <v>31</v>
      </c>
      <c r="I47" s="26">
        <f>Segments!$Y$27</f>
        <v>586.72768467520541</v>
      </c>
      <c r="J47" s="29">
        <v>2</v>
      </c>
      <c r="K47" s="14">
        <f t="shared" si="0"/>
        <v>1426.2297754450396</v>
      </c>
      <c r="L47" s="14">
        <f t="shared" si="1"/>
        <v>586.72768467520541</v>
      </c>
      <c r="M47" s="14">
        <f t="shared" si="2"/>
        <v>995.73162303433958</v>
      </c>
      <c r="N47" s="14">
        <f t="shared" si="3"/>
        <v>1191.6971465619069</v>
      </c>
      <c r="O47" s="14">
        <f t="shared" si="4"/>
        <v>1426.2297754450396</v>
      </c>
      <c r="P47" s="33">
        <f t="shared" si="5"/>
        <v>0.75159721806846291</v>
      </c>
      <c r="Q47" s="33">
        <f t="shared" si="6"/>
        <v>0.25159721806846291</v>
      </c>
      <c r="R47" s="51">
        <f t="shared" si="7"/>
        <v>14.280347143300796</v>
      </c>
      <c r="S47" s="51">
        <f>APPLICANTS_PER_YEAR*($H47/Segments!$AH$2)*Q47</f>
        <v>9.3594165121468187</v>
      </c>
      <c r="T47" s="51">
        <f t="shared" si="8"/>
        <v>23.639763655447616</v>
      </c>
      <c r="U47" s="14">
        <f t="shared" si="9"/>
        <v>1426.2297754450396</v>
      </c>
      <c r="V47" s="44">
        <f t="shared" si="10"/>
        <v>33715.734809882866</v>
      </c>
      <c r="W47" s="44">
        <f t="shared" si="11"/>
        <v>15534.516251329434</v>
      </c>
      <c r="X47" s="44">
        <f t="shared" si="12"/>
        <v>7546.2583128450351</v>
      </c>
      <c r="Y47" s="14">
        <f t="shared" si="13"/>
        <v>1426.2297754450399</v>
      </c>
      <c r="Z47" s="14">
        <f t="shared" si="14"/>
        <v>604.32951521546158</v>
      </c>
      <c r="AA47" s="14">
        <f t="shared" si="15"/>
        <v>1024.3535717253699</v>
      </c>
      <c r="AB47" s="14">
        <f t="shared" si="16"/>
        <v>1226.6998294267203</v>
      </c>
      <c r="AC47" s="14">
        <f t="shared" si="17"/>
        <v>1469.0166687083909</v>
      </c>
      <c r="AD47" s="33">
        <f t="shared" si="18"/>
        <v>0.74223221937883799</v>
      </c>
      <c r="AE47" s="33">
        <f t="shared" si="19"/>
        <v>0.25123221937883788</v>
      </c>
      <c r="AF47" s="51">
        <f t="shared" si="20"/>
        <v>15.798226775877499</v>
      </c>
      <c r="AG47" s="51">
        <f>APPLICANTS_PER_YEAR*($H47/Segments!$AH$2)*AE47</f>
        <v>9.3458385608927674</v>
      </c>
      <c r="AH47" s="51">
        <f t="shared" si="21"/>
        <v>25.144065336770268</v>
      </c>
      <c r="AI47" s="14">
        <f t="shared" si="22"/>
        <v>1469.0166687083909</v>
      </c>
      <c r="AJ47" s="44">
        <f t="shared" si="23"/>
        <v>36937.051098808384</v>
      </c>
      <c r="AK47" s="44">
        <f t="shared" si="24"/>
        <v>17018.736913378223</v>
      </c>
      <c r="AL47" s="44">
        <f t="shared" si="25"/>
        <v>8198.1516704478272</v>
      </c>
      <c r="AM47" s="14">
        <f t="shared" si="26"/>
        <v>1469.0166687083909</v>
      </c>
      <c r="AN47" s="14">
        <f t="shared" si="27"/>
        <v>622.45940067192544</v>
      </c>
      <c r="AO47" s="14">
        <f t="shared" si="28"/>
        <v>1053.8341788771309</v>
      </c>
      <c r="AP47" s="14">
        <f t="shared" si="29"/>
        <v>1262.7521427698623</v>
      </c>
      <c r="AQ47" s="14">
        <f t="shared" si="30"/>
        <v>1513.0871687696424</v>
      </c>
      <c r="AR47" s="33">
        <f t="shared" si="31"/>
        <v>0.74187721195599521</v>
      </c>
      <c r="AS47" s="33">
        <f t="shared" si="32"/>
        <v>0.25087721195599511</v>
      </c>
      <c r="AT47" s="51">
        <f t="shared" si="33"/>
        <v>6.3145321231412703</v>
      </c>
      <c r="AU47" s="51">
        <f>APPLICANTS_PER_YEAR*($H47/Segments!$AH$2)*AS47</f>
        <v>9.332632284763017</v>
      </c>
      <c r="AV47" s="51">
        <f t="shared" si="34"/>
        <v>15.647164407904288</v>
      </c>
      <c r="AW47" s="14">
        <f t="shared" si="35"/>
        <v>1513.0871687696424</v>
      </c>
      <c r="AX47" s="44">
        <f t="shared" si="36"/>
        <v>23675.523693229017</v>
      </c>
      <c r="AY47" s="44">
        <f t="shared" si="37"/>
        <v>10908.49152910629</v>
      </c>
      <c r="AZ47" s="44">
        <f t="shared" si="38"/>
        <v>5515.1710889296537</v>
      </c>
    </row>
    <row r="48" spans="1:52" ht="15" customHeight="1" x14ac:dyDescent="0.35">
      <c r="A48" s="59" t="str">
        <f>Segments!$A$28</f>
        <v>Non-greek</v>
      </c>
      <c r="B48" s="59" t="str">
        <f>Segments!$B$28</f>
        <v>On campus</v>
      </c>
      <c r="C48" s="59" t="str">
        <f>Segments!$C$28</f>
        <v>No</v>
      </c>
      <c r="D48" s="59" t="str">
        <f>Segments!$D$28</f>
        <v>&lt;1.0</v>
      </c>
      <c r="E48" s="59" t="str">
        <f>Segments!$E$28</f>
        <v>Senior</v>
      </c>
      <c r="F48" s="59">
        <f>Segments!$F$28</f>
        <v>3</v>
      </c>
      <c r="G48" s="59" t="str">
        <f>Segments!$G$28</f>
        <v>Base</v>
      </c>
      <c r="H48" s="60">
        <f>Segments!$H$28</f>
        <v>29</v>
      </c>
      <c r="I48" s="26">
        <f>Segments!$Y$28</f>
        <v>548.40700721807923</v>
      </c>
      <c r="J48" s="29">
        <v>3</v>
      </c>
      <c r="K48" s="14">
        <f t="shared" si="0"/>
        <v>1426.2297754450396</v>
      </c>
      <c r="L48" s="14">
        <f t="shared" si="1"/>
        <v>548.40700721807923</v>
      </c>
      <c r="M48" s="14">
        <f t="shared" si="2"/>
        <v>933.41921402239484</v>
      </c>
      <c r="N48" s="14">
        <f t="shared" si="3"/>
        <v>1153.8068625256333</v>
      </c>
      <c r="O48" s="14">
        <f t="shared" si="4"/>
        <v>1426.2297754450396</v>
      </c>
      <c r="P48" s="33">
        <f t="shared" si="5"/>
        <v>0.73194605103878285</v>
      </c>
      <c r="Q48" s="33">
        <f t="shared" si="6"/>
        <v>0.23194605103878285</v>
      </c>
      <c r="R48" s="51">
        <f t="shared" si="7"/>
        <v>22.690327582202269</v>
      </c>
      <c r="S48" s="51">
        <f>APPLICANTS_PER_YEAR*($H48/Segments!$AH$2)*Q48</f>
        <v>8.0717225761496429</v>
      </c>
      <c r="T48" s="51">
        <f t="shared" si="8"/>
        <v>30.762050158351911</v>
      </c>
      <c r="U48" s="14">
        <f t="shared" si="9"/>
        <v>1426.2297754450394</v>
      </c>
      <c r="V48" s="44">
        <f t="shared" si="10"/>
        <v>43873.751889575287</v>
      </c>
      <c r="W48" s="44">
        <f t="shared" si="11"/>
        <v>18894.53872682232</v>
      </c>
      <c r="X48" s="44">
        <f t="shared" si="12"/>
        <v>9512.0977624037896</v>
      </c>
      <c r="Y48" s="14">
        <f t="shared" si="13"/>
        <v>1426.2297754450396</v>
      </c>
      <c r="Z48" s="14">
        <f t="shared" si="14"/>
        <v>564.85921743462166</v>
      </c>
      <c r="AA48" s="14">
        <f t="shared" si="15"/>
        <v>960.1717904430667</v>
      </c>
      <c r="AB48" s="14">
        <f t="shared" si="16"/>
        <v>1187.6482496869369</v>
      </c>
      <c r="AC48" s="14">
        <f t="shared" si="17"/>
        <v>1469.0166687083909</v>
      </c>
      <c r="AD48" s="33">
        <f t="shared" si="18"/>
        <v>0.72254387500860517</v>
      </c>
      <c r="AE48" s="33">
        <f t="shared" si="19"/>
        <v>0.23154387500860518</v>
      </c>
      <c r="AF48" s="51">
        <f t="shared" si="20"/>
        <v>17.080766435894709</v>
      </c>
      <c r="AG48" s="51">
        <f>APPLICANTS_PER_YEAR*($H48/Segments!$AH$2)*AE48</f>
        <v>8.0577268502994599</v>
      </c>
      <c r="AH48" s="51">
        <f t="shared" si="21"/>
        <v>25.138493286194169</v>
      </c>
      <c r="AI48" s="14">
        <f t="shared" si="22"/>
        <v>1469.0166687083909</v>
      </c>
      <c r="AJ48" s="44">
        <f t="shared" si="23"/>
        <v>36928.865663633209</v>
      </c>
      <c r="AK48" s="44">
        <f t="shared" si="24"/>
        <v>15903.674802540147</v>
      </c>
      <c r="AL48" s="44">
        <f t="shared" si="25"/>
        <v>8098.061374332663</v>
      </c>
      <c r="AM48" s="14">
        <f t="shared" si="26"/>
        <v>1469.0166687083909</v>
      </c>
      <c r="AN48" s="14">
        <f t="shared" si="27"/>
        <v>581.80499395766026</v>
      </c>
      <c r="AO48" s="14">
        <f t="shared" si="28"/>
        <v>987.72694415635863</v>
      </c>
      <c r="AP48" s="14">
        <f t="shared" si="29"/>
        <v>1222.5043825897048</v>
      </c>
      <c r="AQ48" s="14">
        <f t="shared" si="30"/>
        <v>1513.0871687696424</v>
      </c>
      <c r="AR48" s="33">
        <f t="shared" si="31"/>
        <v>0.72215266075186646</v>
      </c>
      <c r="AS48" s="33">
        <f t="shared" si="32"/>
        <v>0.23115266075186636</v>
      </c>
      <c r="AT48" s="51">
        <f t="shared" si="33"/>
        <v>18.157853685067423</v>
      </c>
      <c r="AU48" s="51">
        <f>APPLICANTS_PER_YEAR*($H48/Segments!$AH$2)*AS48</f>
        <v>8.0441125941649485</v>
      </c>
      <c r="AV48" s="51">
        <f t="shared" si="34"/>
        <v>26.201966279232373</v>
      </c>
      <c r="AW48" s="14">
        <f t="shared" si="35"/>
        <v>1513.0871687696422</v>
      </c>
      <c r="AX48" s="44">
        <f t="shared" si="36"/>
        <v>39645.858973641349</v>
      </c>
      <c r="AY48" s="44">
        <f t="shared" si="37"/>
        <v>17073.767012699722</v>
      </c>
      <c r="AZ48" s="44">
        <f t="shared" si="38"/>
        <v>8644.2100107199094</v>
      </c>
    </row>
    <row r="49" spans="1:52" ht="15" customHeight="1" x14ac:dyDescent="0.35">
      <c r="A49" s="59" t="str">
        <f>Segments!$A$29</f>
        <v>Non-greek</v>
      </c>
      <c r="B49" s="59" t="str">
        <f>Segments!$B$29</f>
        <v>On campus</v>
      </c>
      <c r="C49" s="59" t="str">
        <f>Segments!$C$29</f>
        <v>No</v>
      </c>
      <c r="D49" s="59" t="str">
        <f>Segments!$D$29</f>
        <v>&lt;1.0</v>
      </c>
      <c r="E49" s="59" t="str">
        <f>Segments!$E$29</f>
        <v>Grad student</v>
      </c>
      <c r="F49" s="59">
        <f>Segments!$F$29</f>
        <v>3</v>
      </c>
      <c r="G49" s="59" t="str">
        <f>Segments!$G$29</f>
        <v>Grad</v>
      </c>
      <c r="H49" s="60">
        <f>Segments!$H$29</f>
        <v>17</v>
      </c>
      <c r="I49" s="26">
        <f>Segments!$Y$29</f>
        <v>652.97748951117342</v>
      </c>
      <c r="J49" s="29">
        <v>4</v>
      </c>
      <c r="K49" s="14">
        <f t="shared" si="0"/>
        <v>1426.2297754450396</v>
      </c>
      <c r="L49" s="14">
        <f t="shared" si="1"/>
        <v>652.97748951117342</v>
      </c>
      <c r="M49" s="14">
        <f t="shared" si="2"/>
        <v>1103.4589705093167</v>
      </c>
      <c r="N49" s="14">
        <f t="shared" si="3"/>
        <v>1254.5062932175022</v>
      </c>
      <c r="O49" s="14">
        <f t="shared" si="4"/>
        <v>1426.2297754450396</v>
      </c>
      <c r="P49" s="33">
        <f t="shared" si="5"/>
        <v>0.78155734524571063</v>
      </c>
      <c r="Q49" s="33">
        <f t="shared" si="6"/>
        <v>0.28155734524571063</v>
      </c>
      <c r="R49" s="51">
        <f t="shared" si="7"/>
        <v>6.6432374345885403</v>
      </c>
      <c r="S49" s="51">
        <f>APPLICANTS_PER_YEAR*($H49/Segments!$AH$2)*Q49</f>
        <v>5.7437698430124966</v>
      </c>
      <c r="T49" s="51">
        <f t="shared" si="8"/>
        <v>12.387007277601036</v>
      </c>
      <c r="U49" s="14">
        <f t="shared" si="9"/>
        <v>1426.2297754450399</v>
      </c>
      <c r="V49" s="44">
        <f t="shared" si="10"/>
        <v>17666.718607969</v>
      </c>
      <c r="W49" s="44">
        <f t="shared" si="11"/>
        <v>9059.0493444467065</v>
      </c>
      <c r="X49" s="44">
        <f t="shared" si="12"/>
        <v>4017.0619536027434</v>
      </c>
      <c r="Y49" s="14">
        <f t="shared" si="13"/>
        <v>1426.2297754450399</v>
      </c>
      <c r="Z49" s="14">
        <f t="shared" si="14"/>
        <v>672.56681419650863</v>
      </c>
      <c r="AA49" s="14">
        <f t="shared" si="15"/>
        <v>1135.3127396245964</v>
      </c>
      <c r="AB49" s="14">
        <f t="shared" si="16"/>
        <v>1291.4307332201449</v>
      </c>
      <c r="AC49" s="14">
        <f t="shared" si="17"/>
        <v>1469.0166687083909</v>
      </c>
      <c r="AD49" s="33">
        <f t="shared" si="18"/>
        <v>0.77224449847749854</v>
      </c>
      <c r="AE49" s="33">
        <f t="shared" si="19"/>
        <v>0.28124449847749844</v>
      </c>
      <c r="AF49" s="51">
        <f t="shared" si="20"/>
        <v>4.7828991113640686</v>
      </c>
      <c r="AG49" s="51">
        <f>APPLICANTS_PER_YEAR*($H49/Segments!$AH$2)*AE49</f>
        <v>5.7373877689409678</v>
      </c>
      <c r="AH49" s="51">
        <f t="shared" si="21"/>
        <v>10.520286880305036</v>
      </c>
      <c r="AI49" s="14">
        <f t="shared" si="22"/>
        <v>1469.0166687083909</v>
      </c>
      <c r="AJ49" s="44">
        <f t="shared" si="23"/>
        <v>15454.476786762294</v>
      </c>
      <c r="AK49" s="44">
        <f t="shared" si="24"/>
        <v>7924.6673313024958</v>
      </c>
      <c r="AL49" s="44">
        <f t="shared" si="25"/>
        <v>3569.7276838873267</v>
      </c>
      <c r="AM49" s="14">
        <f t="shared" si="26"/>
        <v>1469.0166687083909</v>
      </c>
      <c r="AN49" s="14">
        <f t="shared" si="27"/>
        <v>692.74381862240386</v>
      </c>
      <c r="AO49" s="14">
        <f t="shared" si="28"/>
        <v>1168.1221218133342</v>
      </c>
      <c r="AP49" s="14">
        <f t="shared" si="29"/>
        <v>1329.4625207472852</v>
      </c>
      <c r="AQ49" s="14">
        <f t="shared" si="30"/>
        <v>1513.0871687696424</v>
      </c>
      <c r="AR49" s="33">
        <f t="shared" si="31"/>
        <v>0.7719402690347591</v>
      </c>
      <c r="AS49" s="33">
        <f t="shared" si="32"/>
        <v>0.28094026903475899</v>
      </c>
      <c r="AT49" s="51">
        <f t="shared" si="33"/>
        <v>4.0605165423527581</v>
      </c>
      <c r="AU49" s="51">
        <f>APPLICANTS_PER_YEAR*($H49/Segments!$AH$2)*AS49</f>
        <v>5.7311814883090832</v>
      </c>
      <c r="AV49" s="51">
        <f t="shared" si="34"/>
        <v>9.7916980306618413</v>
      </c>
      <c r="AW49" s="14">
        <f t="shared" si="35"/>
        <v>1513.0871687696426</v>
      </c>
      <c r="AX49" s="44">
        <f t="shared" si="36"/>
        <v>14815.692650661411</v>
      </c>
      <c r="AY49" s="44">
        <f t="shared" si="37"/>
        <v>7597.1148787051352</v>
      </c>
      <c r="AZ49" s="44">
        <f t="shared" si="38"/>
        <v>3442.7916098107407</v>
      </c>
    </row>
    <row r="50" spans="1:52" ht="15" customHeight="1" x14ac:dyDescent="0.35">
      <c r="A50" s="61" t="str">
        <f>Segments!$A$30</f>
        <v>Non-greek</v>
      </c>
      <c r="B50" s="61" t="str">
        <f>Segments!$B$30</f>
        <v>On campus</v>
      </c>
      <c r="C50" s="61" t="str">
        <f>Segments!$C$30</f>
        <v>No</v>
      </c>
      <c r="D50" s="61" t="str">
        <f>Segments!$D$30</f>
        <v>1.0-2.0</v>
      </c>
      <c r="E50" s="61" t="str">
        <f>Segments!$E$30</f>
        <v>Freshman</v>
      </c>
      <c r="F50" s="61">
        <f>Segments!$F$30</f>
        <v>1</v>
      </c>
      <c r="G50" s="61" t="str">
        <f>Segments!$G$30</f>
        <v>Base</v>
      </c>
      <c r="H50" s="62">
        <f>Segments!$H$30</f>
        <v>80</v>
      </c>
      <c r="I50" s="63">
        <f>Segments!$Y$30</f>
        <v>449.94965331674518</v>
      </c>
      <c r="J50" s="42">
        <v>0</v>
      </c>
      <c r="K50" s="40">
        <f t="shared" si="0"/>
        <v>773.31988087783361</v>
      </c>
      <c r="L50" s="40">
        <f t="shared" si="1"/>
        <v>449.94965331674518</v>
      </c>
      <c r="M50" s="40">
        <f t="shared" si="2"/>
        <v>773.31988087783361</v>
      </c>
      <c r="N50" s="40">
        <f t="shared" si="3"/>
        <v>1050.2056179870576</v>
      </c>
      <c r="O50" s="40">
        <f t="shared" si="4"/>
        <v>1426.2297754450396</v>
      </c>
      <c r="P50" s="41">
        <f t="shared" si="5"/>
        <v>0.41768751820362443</v>
      </c>
      <c r="Q50" s="41">
        <f t="shared" si="6"/>
        <v>0.17097593508463971</v>
      </c>
      <c r="R50" s="64">
        <f t="shared" si="7"/>
        <v>0</v>
      </c>
      <c r="S50" s="64">
        <f>APPLICANTS_PER_YEAR*($H50/Segments!$AH$2)*Q50</f>
        <v>16.413689768125412</v>
      </c>
      <c r="T50" s="64">
        <f t="shared" si="8"/>
        <v>16.413689768125412</v>
      </c>
      <c r="U50" s="40">
        <f t="shared" si="9"/>
        <v>1426.2297754450396</v>
      </c>
      <c r="V50" s="65">
        <f t="shared" si="10"/>
        <v>23409.693072218051</v>
      </c>
      <c r="W50" s="65">
        <f t="shared" si="11"/>
        <v>8271.5741033146332</v>
      </c>
      <c r="X50" s="65">
        <f t="shared" si="12"/>
        <v>5982.3872877424874</v>
      </c>
      <c r="Y50" s="40">
        <f t="shared" si="13"/>
        <v>795.26947730416862</v>
      </c>
      <c r="Z50" s="40">
        <f t="shared" si="14"/>
        <v>463.44814291624755</v>
      </c>
      <c r="AA50" s="40">
        <f t="shared" si="15"/>
        <v>795.26947730416862</v>
      </c>
      <c r="AB50" s="40">
        <f t="shared" si="16"/>
        <v>1080.8626731804707</v>
      </c>
      <c r="AC50" s="40">
        <f t="shared" si="17"/>
        <v>1469.0166687083909</v>
      </c>
      <c r="AD50" s="41">
        <f t="shared" si="18"/>
        <v>0.41628442911119667</v>
      </c>
      <c r="AE50" s="41">
        <f t="shared" si="19"/>
        <v>0.17044250155028229</v>
      </c>
      <c r="AF50" s="64">
        <f t="shared" si="20"/>
        <v>0</v>
      </c>
      <c r="AG50" s="64">
        <f>APPLICANTS_PER_YEAR*($H50/Segments!$AH$2)*AE50</f>
        <v>16.3624801488271</v>
      </c>
      <c r="AH50" s="64">
        <f t="shared" si="21"/>
        <v>16.3624801488271</v>
      </c>
      <c r="AI50" s="40">
        <f t="shared" si="22"/>
        <v>1469.0166687083909</v>
      </c>
      <c r="AJ50" s="65">
        <f t="shared" si="23"/>
        <v>24036.756080037161</v>
      </c>
      <c r="AK50" s="65">
        <f t="shared" si="24"/>
        <v>8493.1403630952318</v>
      </c>
      <c r="AL50" s="65">
        <f t="shared" si="25"/>
        <v>6120.5449686255433</v>
      </c>
      <c r="AM50" s="40">
        <f t="shared" si="26"/>
        <v>817.87756162329356</v>
      </c>
      <c r="AN50" s="40">
        <f t="shared" si="27"/>
        <v>477.35158720373494</v>
      </c>
      <c r="AO50" s="40">
        <f t="shared" si="28"/>
        <v>817.87756162329356</v>
      </c>
      <c r="AP50" s="40">
        <f t="shared" si="29"/>
        <v>1112.438782188399</v>
      </c>
      <c r="AQ50" s="40">
        <f t="shared" si="30"/>
        <v>1513.0871687696424</v>
      </c>
      <c r="AR50" s="41">
        <f t="shared" si="31"/>
        <v>0.41491838250190888</v>
      </c>
      <c r="AS50" s="41">
        <f t="shared" si="32"/>
        <v>0.16992340028226793</v>
      </c>
      <c r="AT50" s="64">
        <f t="shared" si="33"/>
        <v>0</v>
      </c>
      <c r="AU50" s="64">
        <f>APPLICANTS_PER_YEAR*($H50/Segments!$AH$2)*AS50</f>
        <v>16.312646427097722</v>
      </c>
      <c r="AV50" s="64">
        <f t="shared" si="34"/>
        <v>16.312646427097722</v>
      </c>
      <c r="AW50" s="40">
        <f t="shared" si="35"/>
        <v>1513.0871687696424</v>
      </c>
      <c r="AX50" s="65">
        <f t="shared" si="36"/>
        <v>24682.455997517514</v>
      </c>
      <c r="AY50" s="65">
        <f t="shared" si="37"/>
        <v>8721.2917830846454</v>
      </c>
      <c r="AZ50" s="65">
        <f t="shared" si="38"/>
        <v>6262.9392326633206</v>
      </c>
    </row>
    <row r="51" spans="1:52" ht="15" customHeight="1" x14ac:dyDescent="0.35">
      <c r="A51" s="61" t="str">
        <f>Segments!$A$31</f>
        <v>Non-greek</v>
      </c>
      <c r="B51" s="61" t="str">
        <f>Segments!$B$31</f>
        <v>On campus</v>
      </c>
      <c r="C51" s="61" t="str">
        <f>Segments!$C$31</f>
        <v>No</v>
      </c>
      <c r="D51" s="61" t="str">
        <f>Segments!$D$31</f>
        <v>1.0-2.0</v>
      </c>
      <c r="E51" s="61" t="str">
        <f>Segments!$E$31</f>
        <v>Sophomore</v>
      </c>
      <c r="F51" s="61">
        <f>Segments!$F$31</f>
        <v>1</v>
      </c>
      <c r="G51" s="61" t="str">
        <f>Segments!$G$31</f>
        <v>Sophomore</v>
      </c>
      <c r="H51" s="62">
        <f>Segments!$H$31</f>
        <v>84</v>
      </c>
      <c r="I51" s="63">
        <f>Segments!$Y$31</f>
        <v>445.37197480063179</v>
      </c>
      <c r="J51" s="42">
        <v>1</v>
      </c>
      <c r="K51" s="40">
        <f t="shared" si="0"/>
        <v>1426.2297754450396</v>
      </c>
      <c r="L51" s="40">
        <f t="shared" si="1"/>
        <v>445.37197480063179</v>
      </c>
      <c r="M51" s="40">
        <f t="shared" si="2"/>
        <v>765.8762187364116</v>
      </c>
      <c r="N51" s="40">
        <f t="shared" si="3"/>
        <v>1045.1389704087817</v>
      </c>
      <c r="O51" s="40">
        <f t="shared" si="4"/>
        <v>1426.2297754450396</v>
      </c>
      <c r="P51" s="41">
        <f t="shared" si="5"/>
        <v>0.66768414735927262</v>
      </c>
      <c r="Q51" s="41">
        <f t="shared" si="6"/>
        <v>0.16768414735927262</v>
      </c>
      <c r="R51" s="64">
        <f t="shared" si="7"/>
        <v>53.414731788741811</v>
      </c>
      <c r="S51" s="64">
        <f>APPLICANTS_PER_YEAR*($H51/Segments!$AH$2)*Q51</f>
        <v>16.90256205381468</v>
      </c>
      <c r="T51" s="64">
        <f t="shared" si="8"/>
        <v>70.317293842556495</v>
      </c>
      <c r="U51" s="40">
        <f t="shared" si="9"/>
        <v>1426.2297754450396</v>
      </c>
      <c r="V51" s="65">
        <f t="shared" si="10"/>
        <v>100288.61820697221</v>
      </c>
      <c r="W51" s="65">
        <f t="shared" si="11"/>
        <v>35075.434263851181</v>
      </c>
      <c r="X51" s="65">
        <f t="shared" si="12"/>
        <v>21627.20157420027</v>
      </c>
      <c r="Y51" s="40">
        <f t="shared" si="13"/>
        <v>1426.2297754450396</v>
      </c>
      <c r="Z51" s="40">
        <f t="shared" si="14"/>
        <v>458.73313404465074</v>
      </c>
      <c r="AA51" s="40">
        <f t="shared" si="15"/>
        <v>787.60250529850396</v>
      </c>
      <c r="AB51" s="40">
        <f t="shared" si="16"/>
        <v>1075.6399065672447</v>
      </c>
      <c r="AC51" s="40">
        <f t="shared" si="17"/>
        <v>1469.0166687083909</v>
      </c>
      <c r="AD51" s="41">
        <f t="shared" si="18"/>
        <v>0.65814291198224806</v>
      </c>
      <c r="AE51" s="41">
        <f t="shared" si="19"/>
        <v>0.16714291198224807</v>
      </c>
      <c r="AF51" s="64">
        <f t="shared" si="20"/>
        <v>10.802553580367288</v>
      </c>
      <c r="AG51" s="64">
        <f>APPLICANTS_PER_YEAR*($H51/Segments!$AH$2)*AE51</f>
        <v>16.848005527810603</v>
      </c>
      <c r="AH51" s="64">
        <f t="shared" si="21"/>
        <v>27.650559108177891</v>
      </c>
      <c r="AI51" s="40">
        <f t="shared" si="22"/>
        <v>1469.0166687083909</v>
      </c>
      <c r="AJ51" s="65">
        <f t="shared" si="23"/>
        <v>40619.132229019939</v>
      </c>
      <c r="AK51" s="65">
        <f t="shared" si="24"/>
        <v>14206.334954315065</v>
      </c>
      <c r="AL51" s="65">
        <f t="shared" si="25"/>
        <v>9517.4773450631637</v>
      </c>
      <c r="AM51" s="40">
        <f t="shared" si="26"/>
        <v>1469.0166687083909</v>
      </c>
      <c r="AN51" s="40">
        <f t="shared" si="27"/>
        <v>472.49512806599023</v>
      </c>
      <c r="AO51" s="40">
        <f t="shared" si="28"/>
        <v>809.98058045745904</v>
      </c>
      <c r="AP51" s="40">
        <f t="shared" si="29"/>
        <v>1107.0552033402707</v>
      </c>
      <c r="AQ51" s="40">
        <f t="shared" si="30"/>
        <v>1513.0871687696424</v>
      </c>
      <c r="AR51" s="41">
        <f t="shared" si="31"/>
        <v>0.65761620657927966</v>
      </c>
      <c r="AS51" s="41">
        <f t="shared" si="32"/>
        <v>0.16661620657927956</v>
      </c>
      <c r="AT51" s="64">
        <f t="shared" si="33"/>
        <v>10.760232125700444</v>
      </c>
      <c r="AU51" s="64">
        <f>APPLICANTS_PER_YEAR*($H51/Segments!$AH$2)*AS51</f>
        <v>16.79491362319138</v>
      </c>
      <c r="AV51" s="64">
        <f t="shared" si="34"/>
        <v>27.555145748891825</v>
      </c>
      <c r="AW51" s="40">
        <f t="shared" si="35"/>
        <v>1513.0871687696424</v>
      </c>
      <c r="AX51" s="65">
        <f t="shared" si="36"/>
        <v>41693.337466225581</v>
      </c>
      <c r="AY51" s="65">
        <f t="shared" si="37"/>
        <v>14582.03277383963</v>
      </c>
      <c r="AZ51" s="65">
        <f t="shared" si="38"/>
        <v>9740.4424273088443</v>
      </c>
    </row>
    <row r="52" spans="1:52" ht="15" customHeight="1" x14ac:dyDescent="0.35">
      <c r="A52" s="61" t="str">
        <f>Segments!$A$32</f>
        <v>Non-greek</v>
      </c>
      <c r="B52" s="61" t="str">
        <f>Segments!$B$32</f>
        <v>On campus</v>
      </c>
      <c r="C52" s="61" t="str">
        <f>Segments!$C$32</f>
        <v>No</v>
      </c>
      <c r="D52" s="61" t="str">
        <f>Segments!$D$32</f>
        <v>1.0-2.0</v>
      </c>
      <c r="E52" s="61" t="str">
        <f>Segments!$E$32</f>
        <v>Junior</v>
      </c>
      <c r="F52" s="61">
        <f>Segments!$F$32</f>
        <v>2</v>
      </c>
      <c r="G52" s="61" t="str">
        <f>Segments!$G$32</f>
        <v>Base</v>
      </c>
      <c r="H52" s="62">
        <f>Segments!$H$32</f>
        <v>76</v>
      </c>
      <c r="I52" s="63">
        <f>Segments!$Y$32</f>
        <v>532.40907084129879</v>
      </c>
      <c r="J52" s="42">
        <v>2</v>
      </c>
      <c r="K52" s="40">
        <f t="shared" si="0"/>
        <v>1426.2297754450396</v>
      </c>
      <c r="L52" s="40">
        <f t="shared" si="1"/>
        <v>532.40907084129879</v>
      </c>
      <c r="M52" s="40">
        <f t="shared" si="2"/>
        <v>907.40532228020606</v>
      </c>
      <c r="N52" s="40">
        <f t="shared" si="3"/>
        <v>1137.6152640648472</v>
      </c>
      <c r="O52" s="40">
        <f t="shared" si="4"/>
        <v>1426.2297754450396</v>
      </c>
      <c r="P52" s="41">
        <f t="shared" si="5"/>
        <v>0.72314933242503476</v>
      </c>
      <c r="Q52" s="41">
        <f t="shared" si="6"/>
        <v>0.22314933242503476</v>
      </c>
      <c r="R52" s="64">
        <f t="shared" si="7"/>
        <v>60.744543923702921</v>
      </c>
      <c r="S52" s="64">
        <f>APPLICANTS_PER_YEAR*($H52/Segments!$AH$2)*Q52</f>
        <v>20.351219117163172</v>
      </c>
      <c r="T52" s="64">
        <f t="shared" si="8"/>
        <v>81.095763040866089</v>
      </c>
      <c r="U52" s="40">
        <f t="shared" si="9"/>
        <v>1426.2297754450396</v>
      </c>
      <c r="V52" s="65">
        <f t="shared" si="10"/>
        <v>115661.19191131859</v>
      </c>
      <c r="W52" s="65">
        <f t="shared" si="11"/>
        <v>48357.254231724095</v>
      </c>
      <c r="X52" s="65">
        <f t="shared" si="12"/>
        <v>25006.554023488268</v>
      </c>
      <c r="Y52" s="40">
        <f t="shared" si="13"/>
        <v>1426.2297754450396</v>
      </c>
      <c r="Z52" s="40">
        <f t="shared" si="14"/>
        <v>548.38134296653777</v>
      </c>
      <c r="AA52" s="40">
        <f t="shared" si="15"/>
        <v>933.37748194861229</v>
      </c>
      <c r="AB52" s="40">
        <f t="shared" si="16"/>
        <v>1170.9598964864581</v>
      </c>
      <c r="AC52" s="40">
        <f t="shared" si="17"/>
        <v>1469.0166687083909</v>
      </c>
      <c r="AD52" s="41">
        <f t="shared" si="18"/>
        <v>0.71372972664722689</v>
      </c>
      <c r="AE52" s="41">
        <f t="shared" si="19"/>
        <v>0.2227297266472269</v>
      </c>
      <c r="AF52" s="64">
        <f t="shared" si="20"/>
        <v>50.187542912820575</v>
      </c>
      <c r="AG52" s="64">
        <f>APPLICANTS_PER_YEAR*($H52/Segments!$AH$2)*AE52</f>
        <v>20.312951070227093</v>
      </c>
      <c r="AH52" s="64">
        <f t="shared" si="21"/>
        <v>70.500493983047676</v>
      </c>
      <c r="AI52" s="40">
        <f t="shared" si="22"/>
        <v>1469.0166687083909</v>
      </c>
      <c r="AJ52" s="65">
        <f t="shared" si="23"/>
        <v>103566.40081327264</v>
      </c>
      <c r="AK52" s="65">
        <f t="shared" si="24"/>
        <v>43300.494238655367</v>
      </c>
      <c r="AL52" s="65">
        <f t="shared" si="25"/>
        <v>22536.285640073918</v>
      </c>
      <c r="AM52" s="40">
        <f t="shared" si="26"/>
        <v>1469.0166687083909</v>
      </c>
      <c r="AN52" s="40">
        <f t="shared" si="27"/>
        <v>564.83278325553385</v>
      </c>
      <c r="AO52" s="40">
        <f t="shared" si="28"/>
        <v>960.12880640707056</v>
      </c>
      <c r="AP52" s="40">
        <f t="shared" si="29"/>
        <v>1205.3043505026649</v>
      </c>
      <c r="AQ52" s="40">
        <f t="shared" si="30"/>
        <v>1513.0871687696424</v>
      </c>
      <c r="AR52" s="41">
        <f t="shared" si="31"/>
        <v>0.71332153516304064</v>
      </c>
      <c r="AS52" s="41">
        <f t="shared" si="32"/>
        <v>0.22232153516304054</v>
      </c>
      <c r="AT52" s="64">
        <f t="shared" si="33"/>
        <v>19.72373927116185</v>
      </c>
      <c r="AU52" s="64">
        <f>APPLICANTS_PER_YEAR*($H52/Segments!$AH$2)*AS52</f>
        <v>20.275724006869297</v>
      </c>
      <c r="AV52" s="64">
        <f t="shared" si="34"/>
        <v>39.999463278031143</v>
      </c>
      <c r="AW52" s="40">
        <f t="shared" si="35"/>
        <v>1513.0871687696424</v>
      </c>
      <c r="AX52" s="65">
        <f t="shared" si="36"/>
        <v>60522.674643661427</v>
      </c>
      <c r="AY52" s="65">
        <f t="shared" si="37"/>
        <v>25304.169152704795</v>
      </c>
      <c r="AZ52" s="65">
        <f t="shared" si="38"/>
        <v>13819.430697515163</v>
      </c>
    </row>
    <row r="53" spans="1:52" ht="15" customHeight="1" x14ac:dyDescent="0.35">
      <c r="A53" s="61" t="str">
        <f>Segments!$A$33</f>
        <v>Non-greek</v>
      </c>
      <c r="B53" s="61" t="str">
        <f>Segments!$B$33</f>
        <v>On campus</v>
      </c>
      <c r="C53" s="61" t="str">
        <f>Segments!$C$33</f>
        <v>No</v>
      </c>
      <c r="D53" s="61" t="str">
        <f>Segments!$D$33</f>
        <v>1.0-2.0</v>
      </c>
      <c r="E53" s="61" t="str">
        <f>Segments!$E$33</f>
        <v>Senior</v>
      </c>
      <c r="F53" s="61">
        <f>Segments!$F$33</f>
        <v>3</v>
      </c>
      <c r="G53" s="61" t="str">
        <f>Segments!$G$33</f>
        <v>Base</v>
      </c>
      <c r="H53" s="62">
        <f>Segments!$H$33</f>
        <v>90</v>
      </c>
      <c r="I53" s="63">
        <f>Segments!$Y$33</f>
        <v>497.63608021575544</v>
      </c>
      <c r="J53" s="42">
        <v>3</v>
      </c>
      <c r="K53" s="40">
        <f t="shared" si="0"/>
        <v>1426.2297754450396</v>
      </c>
      <c r="L53" s="40">
        <f t="shared" si="1"/>
        <v>497.63608021575544</v>
      </c>
      <c r="M53" s="40">
        <f t="shared" si="2"/>
        <v>850.86172863284378</v>
      </c>
      <c r="N53" s="40">
        <f t="shared" si="3"/>
        <v>1101.6008043582754</v>
      </c>
      <c r="O53" s="40">
        <f t="shared" si="4"/>
        <v>1426.2297754450396</v>
      </c>
      <c r="P53" s="41">
        <f t="shared" si="5"/>
        <v>0.70265580335343292</v>
      </c>
      <c r="Q53" s="41">
        <f t="shared" si="6"/>
        <v>0.20265580335343292</v>
      </c>
      <c r="R53" s="64">
        <f t="shared" si="7"/>
        <v>53.401841054860903</v>
      </c>
      <c r="S53" s="64">
        <f>APPLICANTS_PER_YEAR*($H53/Segments!$AH$2)*Q53</f>
        <v>21.886826762170752</v>
      </c>
      <c r="T53" s="64">
        <f t="shared" si="8"/>
        <v>75.288667817031651</v>
      </c>
      <c r="U53" s="40">
        <f t="shared" si="9"/>
        <v>1426.2297754450396</v>
      </c>
      <c r="V53" s="65">
        <f t="shared" si="10"/>
        <v>107378.93979424123</v>
      </c>
      <c r="W53" s="65">
        <f t="shared" si="11"/>
        <v>41962.320441589778</v>
      </c>
      <c r="X53" s="65">
        <f t="shared" si="12"/>
        <v>23440.111187144033</v>
      </c>
      <c r="Y53" s="40">
        <f t="shared" si="13"/>
        <v>1426.2297754450396</v>
      </c>
      <c r="Z53" s="40">
        <f t="shared" si="14"/>
        <v>512.56516262222817</v>
      </c>
      <c r="AA53" s="40">
        <f t="shared" si="15"/>
        <v>875.13758049182923</v>
      </c>
      <c r="AB53" s="40">
        <f t="shared" si="16"/>
        <v>1133.8393595018777</v>
      </c>
      <c r="AC53" s="40">
        <f t="shared" si="17"/>
        <v>1469.0166687083909</v>
      </c>
      <c r="AD53" s="41">
        <f t="shared" si="18"/>
        <v>0.69319365230284269</v>
      </c>
      <c r="AE53" s="41">
        <f t="shared" si="19"/>
        <v>0.2021936523028427</v>
      </c>
      <c r="AF53" s="64">
        <f t="shared" si="20"/>
        <v>56.215068168583848</v>
      </c>
      <c r="AG53" s="64">
        <f>APPLICANTS_PER_YEAR*($H53/Segments!$AH$2)*AE53</f>
        <v>21.836914448707009</v>
      </c>
      <c r="AH53" s="64">
        <f t="shared" si="21"/>
        <v>78.051982617290861</v>
      </c>
      <c r="AI53" s="40">
        <f t="shared" si="22"/>
        <v>1469.0166687083909</v>
      </c>
      <c r="AJ53" s="65">
        <f t="shared" si="23"/>
        <v>114659.66349053785</v>
      </c>
      <c r="AK53" s="65">
        <f t="shared" si="24"/>
        <v>44807.5344228053</v>
      </c>
      <c r="AL53" s="65">
        <f t="shared" si="25"/>
        <v>24900.396609415984</v>
      </c>
      <c r="AM53" s="40">
        <f t="shared" si="26"/>
        <v>1469.0166687083909</v>
      </c>
      <c r="AN53" s="40">
        <f t="shared" si="27"/>
        <v>527.94211750089494</v>
      </c>
      <c r="AO53" s="40">
        <f t="shared" si="28"/>
        <v>900.14170790658397</v>
      </c>
      <c r="AP53" s="40">
        <f t="shared" si="29"/>
        <v>1167.04450142565</v>
      </c>
      <c r="AQ53" s="40">
        <f t="shared" si="30"/>
        <v>1513.0871687696424</v>
      </c>
      <c r="AR53" s="41">
        <f t="shared" si="31"/>
        <v>0.69274401365103477</v>
      </c>
      <c r="AS53" s="41">
        <f t="shared" si="32"/>
        <v>0.20174401365103467</v>
      </c>
      <c r="AT53" s="64">
        <f t="shared" si="33"/>
        <v>48.838795166197073</v>
      </c>
      <c r="AU53" s="64">
        <f>APPLICANTS_PER_YEAR*($H53/Segments!$AH$2)*AS53</f>
        <v>21.788353474311741</v>
      </c>
      <c r="AV53" s="64">
        <f t="shared" si="34"/>
        <v>70.627148640508807</v>
      </c>
      <c r="AW53" s="40">
        <f t="shared" si="35"/>
        <v>1513.0871687696424</v>
      </c>
      <c r="AX53" s="65">
        <f t="shared" si="36"/>
        <v>106865.03237474017</v>
      </c>
      <c r="AY53" s="65">
        <f t="shared" si="37"/>
        <v>41761.49197507916</v>
      </c>
      <c r="AZ53" s="65">
        <f t="shared" si="38"/>
        <v>23308.611660964812</v>
      </c>
    </row>
    <row r="54" spans="1:52" ht="15" customHeight="1" x14ac:dyDescent="0.35">
      <c r="A54" s="61" t="str">
        <f>Segments!$A$34</f>
        <v>Non-greek</v>
      </c>
      <c r="B54" s="61" t="str">
        <f>Segments!$B$34</f>
        <v>On campus</v>
      </c>
      <c r="C54" s="61" t="str">
        <f>Segments!$C$34</f>
        <v>No</v>
      </c>
      <c r="D54" s="61" t="str">
        <f>Segments!$D$34</f>
        <v>1.0-2.0</v>
      </c>
      <c r="E54" s="61" t="str">
        <f>Segments!$E$34</f>
        <v>Grad student</v>
      </c>
      <c r="F54" s="61">
        <f>Segments!$F$34</f>
        <v>3</v>
      </c>
      <c r="G54" s="61" t="str">
        <f>Segments!$G$34</f>
        <v>Grad</v>
      </c>
      <c r="H54" s="62">
        <f>Segments!$H$34</f>
        <v>40</v>
      </c>
      <c r="I54" s="63">
        <f>Segments!$Y$34</f>
        <v>592.52554047006799</v>
      </c>
      <c r="J54" s="42">
        <v>4</v>
      </c>
      <c r="K54" s="40">
        <f t="shared" si="0"/>
        <v>1426.2297754450396</v>
      </c>
      <c r="L54" s="40">
        <f t="shared" si="1"/>
        <v>592.52554047006799</v>
      </c>
      <c r="M54" s="40">
        <f t="shared" si="2"/>
        <v>1005.1593885556031</v>
      </c>
      <c r="N54" s="40">
        <f t="shared" si="3"/>
        <v>1197.3254566015587</v>
      </c>
      <c r="O54" s="40">
        <f t="shared" si="4"/>
        <v>1426.2297754450396</v>
      </c>
      <c r="P54" s="41">
        <f t="shared" si="5"/>
        <v>0.75441015114921472</v>
      </c>
      <c r="Q54" s="41">
        <f t="shared" si="6"/>
        <v>0.25441015114921472</v>
      </c>
      <c r="R54" s="64">
        <f t="shared" si="7"/>
        <v>15.088203022984295</v>
      </c>
      <c r="S54" s="64">
        <f>APPLICANTS_PER_YEAR*($H54/Segments!$AH$2)*Q54</f>
        <v>12.211687255162307</v>
      </c>
      <c r="T54" s="64">
        <f t="shared" si="8"/>
        <v>27.299890278146602</v>
      </c>
      <c r="U54" s="40">
        <f t="shared" si="9"/>
        <v>1426.2297754450396</v>
      </c>
      <c r="V54" s="65">
        <f t="shared" si="10"/>
        <v>38935.916381075251</v>
      </c>
      <c r="W54" s="65">
        <f t="shared" si="11"/>
        <v>18116.988110852257</v>
      </c>
      <c r="X54" s="65">
        <f t="shared" si="12"/>
        <v>8819.7617019759437</v>
      </c>
      <c r="Y54" s="40">
        <f t="shared" si="13"/>
        <v>1426.2297754450396</v>
      </c>
      <c r="Z54" s="40">
        <f t="shared" si="14"/>
        <v>610.30130668417007</v>
      </c>
      <c r="AA54" s="40">
        <f t="shared" si="15"/>
        <v>1034.0641702122712</v>
      </c>
      <c r="AB54" s="40">
        <f t="shared" si="16"/>
        <v>1232.500508136178</v>
      </c>
      <c r="AC54" s="40">
        <f t="shared" si="17"/>
        <v>1469.0166687083909</v>
      </c>
      <c r="AD54" s="41">
        <f t="shared" si="18"/>
        <v>0.74505027867701279</v>
      </c>
      <c r="AE54" s="41">
        <f t="shared" si="19"/>
        <v>0.2540502786770128</v>
      </c>
      <c r="AF54" s="64">
        <f t="shared" si="20"/>
        <v>10.169895429792499</v>
      </c>
      <c r="AG54" s="64">
        <f>APPLICANTS_PER_YEAR*($H54/Segments!$AH$2)*AE54</f>
        <v>12.194413376496614</v>
      </c>
      <c r="AH54" s="64">
        <f t="shared" si="21"/>
        <v>22.364308806289113</v>
      </c>
      <c r="AI54" s="40">
        <f t="shared" si="22"/>
        <v>1469.0166687083909</v>
      </c>
      <c r="AJ54" s="65">
        <f t="shared" si="23"/>
        <v>32853.542420580561</v>
      </c>
      <c r="AK54" s="65">
        <f t="shared" si="24"/>
        <v>15286.842914074523</v>
      </c>
      <c r="AL54" s="65">
        <f t="shared" si="25"/>
        <v>7588.448906059717</v>
      </c>
      <c r="AM54" s="40">
        <f t="shared" si="26"/>
        <v>1469.0166687083909</v>
      </c>
      <c r="AN54" s="40">
        <f t="shared" si="27"/>
        <v>628.61034588469511</v>
      </c>
      <c r="AO54" s="40">
        <f t="shared" si="28"/>
        <v>1063.8360953186393</v>
      </c>
      <c r="AP54" s="40">
        <f t="shared" si="29"/>
        <v>1268.7303675330829</v>
      </c>
      <c r="AQ54" s="40">
        <f t="shared" si="30"/>
        <v>1513.0871687696424</v>
      </c>
      <c r="AR54" s="41">
        <f t="shared" si="31"/>
        <v>0.74470026307808557</v>
      </c>
      <c r="AS54" s="41">
        <f t="shared" si="32"/>
        <v>0.25370026307808546</v>
      </c>
      <c r="AT54" s="64">
        <f t="shared" si="33"/>
        <v>8.3273533258015249</v>
      </c>
      <c r="AU54" s="64">
        <f>APPLICANTS_PER_YEAR*($H54/Segments!$AH$2)*AS54</f>
        <v>12.177612627748102</v>
      </c>
      <c r="AV54" s="64">
        <f t="shared" si="34"/>
        <v>20.504965953549629</v>
      </c>
      <c r="AW54" s="40">
        <f t="shared" si="35"/>
        <v>1513.0871687696424</v>
      </c>
      <c r="AX54" s="65">
        <f t="shared" si="36"/>
        <v>31025.800880374318</v>
      </c>
      <c r="AY54" s="65">
        <f t="shared" si="37"/>
        <v>14436.389789264498</v>
      </c>
      <c r="AZ54" s="65">
        <f t="shared" si="38"/>
        <v>7223.3186306206899</v>
      </c>
    </row>
    <row r="55" spans="1:52" ht="15" customHeight="1" x14ac:dyDescent="0.35">
      <c r="A55" s="59" t="str">
        <f>Segments!$A$35</f>
        <v>Non-greek</v>
      </c>
      <c r="B55" s="59" t="str">
        <f>Segments!$B$35</f>
        <v>On campus</v>
      </c>
      <c r="C55" s="59" t="str">
        <f>Segments!$C$35</f>
        <v>No</v>
      </c>
      <c r="D55" s="59" t="str">
        <f>Segments!$D$35</f>
        <v>2.0-3.0</v>
      </c>
      <c r="E55" s="59" t="str">
        <f>Segments!$E$35</f>
        <v>Freshman</v>
      </c>
      <c r="F55" s="59">
        <f>Segments!$F$35</f>
        <v>1</v>
      </c>
      <c r="G55" s="59" t="str">
        <f>Segments!$G$35</f>
        <v>Base</v>
      </c>
      <c r="H55" s="60">
        <f>Segments!$H$35</f>
        <v>143</v>
      </c>
      <c r="I55" s="26">
        <f>Segments!$Y$35</f>
        <v>442.15639912487848</v>
      </c>
      <c r="J55" s="29">
        <v>0</v>
      </c>
      <c r="K55" s="14">
        <f t="shared" si="0"/>
        <v>760.64744200247787</v>
      </c>
      <c r="L55" s="14">
        <f t="shared" si="1"/>
        <v>442.15639912487848</v>
      </c>
      <c r="M55" s="14">
        <f t="shared" si="2"/>
        <v>760.64744200247787</v>
      </c>
      <c r="N55" s="14">
        <f t="shared" si="3"/>
        <v>1041.565182981861</v>
      </c>
      <c r="O55" s="14">
        <f t="shared" si="4"/>
        <v>1426.2297754450396</v>
      </c>
      <c r="P55" s="33">
        <f t="shared" si="5"/>
        <v>0.40283676544415148</v>
      </c>
      <c r="Q55" s="33">
        <f t="shared" si="6"/>
        <v>0.16534300553233949</v>
      </c>
      <c r="R55" s="51">
        <f t="shared" si="7"/>
        <v>0</v>
      </c>
      <c r="S55" s="51">
        <f>APPLICANTS_PER_YEAR*($H55/Segments!$AH$2)*Q55</f>
        <v>28.372859749349455</v>
      </c>
      <c r="T55" s="51">
        <f t="shared" si="8"/>
        <v>28.372859749349455</v>
      </c>
      <c r="U55" s="14">
        <f t="shared" si="9"/>
        <v>1426.2297754450396</v>
      </c>
      <c r="V55" s="44">
        <f t="shared" si="10"/>
        <v>40466.217389048281</v>
      </c>
      <c r="W55" s="44">
        <f t="shared" si="11"/>
        <v>14050.670479605267</v>
      </c>
      <c r="X55" s="44">
        <f t="shared" si="12"/>
        <v>10341.211383867541</v>
      </c>
      <c r="Y55" s="14">
        <f t="shared" si="13"/>
        <v>782.21686526255223</v>
      </c>
      <c r="Z55" s="14">
        <f t="shared" si="14"/>
        <v>455.42109109862486</v>
      </c>
      <c r="AA55" s="14">
        <f t="shared" si="15"/>
        <v>782.21686526255223</v>
      </c>
      <c r="AB55" s="14">
        <f t="shared" si="16"/>
        <v>1071.9559755957864</v>
      </c>
      <c r="AC55" s="14">
        <f t="shared" si="17"/>
        <v>1469.0166687083909</v>
      </c>
      <c r="AD55" s="33">
        <f t="shared" si="18"/>
        <v>0.40139103772380874</v>
      </c>
      <c r="AE55" s="33">
        <f t="shared" si="19"/>
        <v>0.16479617533177116</v>
      </c>
      <c r="AF55" s="51">
        <f t="shared" si="20"/>
        <v>0</v>
      </c>
      <c r="AG55" s="51">
        <f>APPLICANTS_PER_YEAR*($H55/Segments!$AH$2)*AE55</f>
        <v>28.279023686931929</v>
      </c>
      <c r="AH55" s="51">
        <f t="shared" si="21"/>
        <v>28.279023686931929</v>
      </c>
      <c r="AI55" s="14">
        <f t="shared" si="22"/>
        <v>1469.0166687083911</v>
      </c>
      <c r="AJ55" s="44">
        <f t="shared" si="23"/>
        <v>41542.357170902425</v>
      </c>
      <c r="AK55" s="44">
        <f t="shared" si="24"/>
        <v>14424.327481431166</v>
      </c>
      <c r="AL55" s="44">
        <f t="shared" si="25"/>
        <v>10578.044072194079</v>
      </c>
      <c r="AM55" s="14">
        <f t="shared" si="26"/>
        <v>804.43337122042874</v>
      </c>
      <c r="AN55" s="14">
        <f t="shared" si="27"/>
        <v>469.08372383158354</v>
      </c>
      <c r="AO55" s="14">
        <f t="shared" si="28"/>
        <v>804.43337122042874</v>
      </c>
      <c r="AP55" s="14">
        <f t="shared" si="29"/>
        <v>1103.2578176127906</v>
      </c>
      <c r="AQ55" s="14">
        <f t="shared" si="30"/>
        <v>1513.0871687696424</v>
      </c>
      <c r="AR55" s="33">
        <f t="shared" si="31"/>
        <v>0.39998341017139588</v>
      </c>
      <c r="AS55" s="33">
        <f t="shared" si="32"/>
        <v>0.16426401670842761</v>
      </c>
      <c r="AT55" s="51">
        <f t="shared" si="33"/>
        <v>0</v>
      </c>
      <c r="AU55" s="51">
        <f>APPLICANTS_PER_YEAR*($H55/Segments!$AH$2)*AS55</f>
        <v>28.187705267166177</v>
      </c>
      <c r="AV55" s="51">
        <f t="shared" si="34"/>
        <v>28.187705267166177</v>
      </c>
      <c r="AW55" s="14">
        <f t="shared" si="35"/>
        <v>1513.0871687696424</v>
      </c>
      <c r="AX55" s="44">
        <f t="shared" si="36"/>
        <v>42650.455156809607</v>
      </c>
      <c r="AY55" s="44">
        <f t="shared" si="37"/>
        <v>14809.081003348188</v>
      </c>
      <c r="AZ55" s="44">
        <f t="shared" si="38"/>
        <v>10822.14869214783</v>
      </c>
    </row>
    <row r="56" spans="1:52" ht="15" customHeight="1" x14ac:dyDescent="0.35">
      <c r="A56" s="59" t="str">
        <f>Segments!$A$36</f>
        <v>Non-greek</v>
      </c>
      <c r="B56" s="59" t="str">
        <f>Segments!$B$36</f>
        <v>On campus</v>
      </c>
      <c r="C56" s="59" t="str">
        <f>Segments!$C$36</f>
        <v>No</v>
      </c>
      <c r="D56" s="59" t="str">
        <f>Segments!$D$36</f>
        <v>2.0-3.0</v>
      </c>
      <c r="E56" s="59" t="str">
        <f>Segments!$E$36</f>
        <v>Sophomore</v>
      </c>
      <c r="F56" s="59">
        <f>Segments!$F$36</f>
        <v>1</v>
      </c>
      <c r="G56" s="59" t="str">
        <f>Segments!$G$36</f>
        <v>Sophomore</v>
      </c>
      <c r="H56" s="60">
        <f>Segments!$H$36</f>
        <v>131</v>
      </c>
      <c r="I56" s="26">
        <f>Segments!$Y$36</f>
        <v>437.65800728455594</v>
      </c>
      <c r="J56" s="29">
        <v>1</v>
      </c>
      <c r="K56" s="14">
        <f t="shared" si="0"/>
        <v>1426.2297754450396</v>
      </c>
      <c r="L56" s="14">
        <f t="shared" si="1"/>
        <v>437.65800728455594</v>
      </c>
      <c r="M56" s="14">
        <f t="shared" si="2"/>
        <v>753.33270617705352</v>
      </c>
      <c r="N56" s="14">
        <f t="shared" si="3"/>
        <v>1036.5449996822633</v>
      </c>
      <c r="O56" s="14">
        <f t="shared" si="4"/>
        <v>1426.2297754450396</v>
      </c>
      <c r="P56" s="33">
        <f t="shared" si="5"/>
        <v>0.662027082334955</v>
      </c>
      <c r="Q56" s="33">
        <f t="shared" si="6"/>
        <v>0.162027082334955</v>
      </c>
      <c r="R56" s="51">
        <f t="shared" si="7"/>
        <v>94.669872773898561</v>
      </c>
      <c r="S56" s="51">
        <f>APPLICANTS_PER_YEAR*($H56/Segments!$AH$2)*Q56</f>
        <v>25.470657343054928</v>
      </c>
      <c r="T56" s="51">
        <f t="shared" si="8"/>
        <v>120.14053011695349</v>
      </c>
      <c r="U56" s="14">
        <f t="shared" si="9"/>
        <v>1426.2297754450396</v>
      </c>
      <c r="V56" s="44">
        <f t="shared" si="10"/>
        <v>171348.0012905506</v>
      </c>
      <c r="W56" s="44">
        <f t="shared" si="11"/>
        <v>58890.120805707571</v>
      </c>
      <c r="X56" s="44">
        <f t="shared" si="12"/>
        <v>36695.794626428309</v>
      </c>
      <c r="Y56" s="14">
        <f t="shared" si="13"/>
        <v>1426.2297754450396</v>
      </c>
      <c r="Z56" s="14">
        <f t="shared" si="14"/>
        <v>450.78774750309265</v>
      </c>
      <c r="AA56" s="14">
        <f t="shared" si="15"/>
        <v>774.68268736236519</v>
      </c>
      <c r="AB56" s="14">
        <f t="shared" si="16"/>
        <v>1066.7810369026652</v>
      </c>
      <c r="AC56" s="14">
        <f t="shared" si="17"/>
        <v>1469.0166687083909</v>
      </c>
      <c r="AD56" s="33">
        <f t="shared" si="18"/>
        <v>0.65247226193034291</v>
      </c>
      <c r="AE56" s="33">
        <f t="shared" si="19"/>
        <v>0.16147226193034292</v>
      </c>
      <c r="AF56" s="51">
        <f t="shared" si="20"/>
        <v>18.512503978090422</v>
      </c>
      <c r="AG56" s="51">
        <f>APPLICANTS_PER_YEAR*($H56/Segments!$AH$2)*AE56</f>
        <v>25.383439575449909</v>
      </c>
      <c r="AH56" s="51">
        <f t="shared" si="21"/>
        <v>43.895943553540334</v>
      </c>
      <c r="AI56" s="14">
        <f t="shared" si="22"/>
        <v>1469.0166687083909</v>
      </c>
      <c r="AJ56" s="44">
        <f t="shared" si="23"/>
        <v>64483.872768833389</v>
      </c>
      <c r="AK56" s="44">
        <f t="shared" si="24"/>
        <v>22162.283941306152</v>
      </c>
      <c r="AL56" s="44">
        <f t="shared" si="25"/>
        <v>15005.06116835865</v>
      </c>
      <c r="AM56" s="14">
        <f t="shared" si="26"/>
        <v>1469.0166687083911</v>
      </c>
      <c r="AN56" s="14">
        <f t="shared" si="27"/>
        <v>464.31137992818537</v>
      </c>
      <c r="AO56" s="14">
        <f t="shared" si="28"/>
        <v>796.673167983236</v>
      </c>
      <c r="AP56" s="14">
        <f t="shared" si="29"/>
        <v>1097.9234710026453</v>
      </c>
      <c r="AQ56" s="14">
        <f t="shared" si="30"/>
        <v>1513.0871687696424</v>
      </c>
      <c r="AR56" s="33">
        <f t="shared" si="31"/>
        <v>0.65193231507845384</v>
      </c>
      <c r="AS56" s="33">
        <f t="shared" si="32"/>
        <v>0.16093231507845374</v>
      </c>
      <c r="AT56" s="51">
        <f t="shared" si="33"/>
        <v>18.436009380379964</v>
      </c>
      <c r="AU56" s="51">
        <f>APPLICANTS_PER_YEAR*($H56/Segments!$AH$2)*AS56</f>
        <v>25.298559930332932</v>
      </c>
      <c r="AV56" s="51">
        <f t="shared" si="34"/>
        <v>43.734569310712899</v>
      </c>
      <c r="AW56" s="14">
        <f t="shared" si="35"/>
        <v>1513.0871687696424</v>
      </c>
      <c r="AX56" s="44">
        <f t="shared" si="36"/>
        <v>66174.21565570627</v>
      </c>
      <c r="AY56" s="44">
        <f t="shared" si="37"/>
        <v>22743.233214488613</v>
      </c>
      <c r="AZ56" s="44">
        <f t="shared" si="38"/>
        <v>15353.844568063845</v>
      </c>
    </row>
    <row r="57" spans="1:52" ht="15" customHeight="1" x14ac:dyDescent="0.35">
      <c r="A57" s="59" t="str">
        <f>Segments!$A$37</f>
        <v>Non-greek</v>
      </c>
      <c r="B57" s="59" t="str">
        <f>Segments!$B$37</f>
        <v>On campus</v>
      </c>
      <c r="C57" s="59" t="str">
        <f>Segments!$C$37</f>
        <v>No</v>
      </c>
      <c r="D57" s="59" t="str">
        <f>Segments!$D$37</f>
        <v>2.0-3.0</v>
      </c>
      <c r="E57" s="59" t="str">
        <f>Segments!$E$37</f>
        <v>Junior</v>
      </c>
      <c r="F57" s="59">
        <f>Segments!$F$37</f>
        <v>2</v>
      </c>
      <c r="G57" s="59" t="str">
        <f>Segments!$G$37</f>
        <v>Base</v>
      </c>
      <c r="H57" s="60">
        <f>Segments!$H$37</f>
        <v>129</v>
      </c>
      <c r="I57" s="26">
        <f>Segments!$Y$37</f>
        <v>523.18759641068971</v>
      </c>
      <c r="J57" s="29">
        <v>2</v>
      </c>
      <c r="K57" s="14">
        <f t="shared" si="0"/>
        <v>1426.2297754450396</v>
      </c>
      <c r="L57" s="14">
        <f t="shared" si="1"/>
        <v>523.18759641068971</v>
      </c>
      <c r="M57" s="14">
        <f t="shared" si="2"/>
        <v>892.41048595310338</v>
      </c>
      <c r="N57" s="14">
        <f t="shared" si="3"/>
        <v>1128.1765850192483</v>
      </c>
      <c r="O57" s="14">
        <f t="shared" si="4"/>
        <v>1426.2297754450396</v>
      </c>
      <c r="P57" s="33">
        <f t="shared" si="5"/>
        <v>0.71790490319354294</v>
      </c>
      <c r="Q57" s="33">
        <f t="shared" si="6"/>
        <v>0.21790490319354294</v>
      </c>
      <c r="R57" s="51">
        <f t="shared" si="7"/>
        <v>94.045542318354123</v>
      </c>
      <c r="S57" s="51">
        <f>APPLICANTS_PER_YEAR*($H57/Segments!$AH$2)*Q57</f>
        <v>33.731679014360452</v>
      </c>
      <c r="T57" s="51">
        <f t="shared" si="8"/>
        <v>127.77722133271457</v>
      </c>
      <c r="U57" s="14">
        <f t="shared" si="9"/>
        <v>1426.2297754450396</v>
      </c>
      <c r="V57" s="44">
        <f t="shared" si="10"/>
        <v>182239.67768834863</v>
      </c>
      <c r="W57" s="44">
        <f t="shared" si="11"/>
        <v>74873.632181711611</v>
      </c>
      <c r="X57" s="44">
        <f t="shared" si="12"/>
        <v>39525.954859622434</v>
      </c>
      <c r="Y57" s="14">
        <f t="shared" si="13"/>
        <v>1426.2297754450396</v>
      </c>
      <c r="Z57" s="14">
        <f t="shared" si="14"/>
        <v>538.88322430301037</v>
      </c>
      <c r="AA57" s="14">
        <f t="shared" si="15"/>
        <v>917.93280053169633</v>
      </c>
      <c r="AB57" s="14">
        <f t="shared" si="16"/>
        <v>1161.2314948946382</v>
      </c>
      <c r="AC57" s="14">
        <f t="shared" si="17"/>
        <v>1469.0166687083909</v>
      </c>
      <c r="AD57" s="33">
        <f t="shared" si="18"/>
        <v>0.70847467013815413</v>
      </c>
      <c r="AE57" s="33">
        <f t="shared" si="19"/>
        <v>0.21747467013815414</v>
      </c>
      <c r="AF57" s="51">
        <f t="shared" si="20"/>
        <v>85.116522444831588</v>
      </c>
      <c r="AG57" s="51">
        <f>APPLICANTS_PER_YEAR*($H57/Segments!$AH$2)*AE57</f>
        <v>33.665078937386262</v>
      </c>
      <c r="AH57" s="51">
        <f t="shared" si="21"/>
        <v>118.78160138221784</v>
      </c>
      <c r="AI57" s="14">
        <f t="shared" si="22"/>
        <v>1469.0166687083911</v>
      </c>
      <c r="AJ57" s="44">
        <f t="shared" si="23"/>
        <v>174492.15236635366</v>
      </c>
      <c r="AK57" s="44">
        <f t="shared" si="24"/>
        <v>71690.541821611405</v>
      </c>
      <c r="AL57" s="44">
        <f t="shared" si="25"/>
        <v>37927.185472254001</v>
      </c>
      <c r="AM57" s="14">
        <f t="shared" si="26"/>
        <v>1469.0166687083909</v>
      </c>
      <c r="AN57" s="14">
        <f t="shared" si="27"/>
        <v>555.04972103210071</v>
      </c>
      <c r="AO57" s="14">
        <f t="shared" si="28"/>
        <v>944.22078454764733</v>
      </c>
      <c r="AP57" s="14">
        <f t="shared" si="29"/>
        <v>1195.2775215759102</v>
      </c>
      <c r="AQ57" s="14">
        <f t="shared" si="30"/>
        <v>1513.0871687696424</v>
      </c>
      <c r="AR57" s="33">
        <f t="shared" si="31"/>
        <v>0.70805612652419136</v>
      </c>
      <c r="AS57" s="33">
        <f t="shared" si="32"/>
        <v>0.21705612652419126</v>
      </c>
      <c r="AT57" s="51">
        <f t="shared" si="33"/>
        <v>31.080791762644317</v>
      </c>
      <c r="AU57" s="51">
        <f>APPLICANTS_PER_YEAR*($H57/Segments!$AH$2)*AS57</f>
        <v>33.600288385944808</v>
      </c>
      <c r="AV57" s="51">
        <f t="shared" si="34"/>
        <v>64.681080148589132</v>
      </c>
      <c r="AW57" s="14">
        <f t="shared" si="35"/>
        <v>1513.0871687696422</v>
      </c>
      <c r="AX57" s="44">
        <f t="shared" si="36"/>
        <v>97868.112434991039</v>
      </c>
      <c r="AY57" s="44">
        <f t="shared" si="37"/>
        <v>40209.36135163287</v>
      </c>
      <c r="AZ57" s="44">
        <f t="shared" si="38"/>
        <v>22410.107845664355</v>
      </c>
    </row>
    <row r="58" spans="1:52" ht="15" customHeight="1" x14ac:dyDescent="0.35">
      <c r="A58" s="59" t="str">
        <f>Segments!$A$38</f>
        <v>Non-greek</v>
      </c>
      <c r="B58" s="59" t="str">
        <f>Segments!$B$38</f>
        <v>On campus</v>
      </c>
      <c r="C58" s="59" t="str">
        <f>Segments!$C$38</f>
        <v>No</v>
      </c>
      <c r="D58" s="59" t="str">
        <f>Segments!$D$38</f>
        <v>2.0-3.0</v>
      </c>
      <c r="E58" s="59" t="str">
        <f>Segments!$E$38</f>
        <v>Senior</v>
      </c>
      <c r="F58" s="59">
        <f>Segments!$F$38</f>
        <v>3</v>
      </c>
      <c r="G58" s="59" t="str">
        <f>Segments!$G$38</f>
        <v>Base</v>
      </c>
      <c r="H58" s="60">
        <f>Segments!$H$38</f>
        <v>152</v>
      </c>
      <c r="I58" s="26">
        <f>Segments!$Y$38</f>
        <v>489.01688373548728</v>
      </c>
      <c r="J58" s="29">
        <v>3</v>
      </c>
      <c r="K58" s="14">
        <f t="shared" si="0"/>
        <v>1426.2297754450396</v>
      </c>
      <c r="L58" s="14">
        <f t="shared" si="1"/>
        <v>489.01688373548728</v>
      </c>
      <c r="M58" s="14">
        <f t="shared" si="2"/>
        <v>836.84624320637454</v>
      </c>
      <c r="N58" s="14">
        <f t="shared" si="3"/>
        <v>1092.4902880713644</v>
      </c>
      <c r="O58" s="14">
        <f t="shared" si="4"/>
        <v>1426.2297754450396</v>
      </c>
      <c r="P58" s="33">
        <f t="shared" si="5"/>
        <v>0.69725745802150574</v>
      </c>
      <c r="Q58" s="33">
        <f t="shared" si="6"/>
        <v>0.19725745802150574</v>
      </c>
      <c r="R58" s="51">
        <f t="shared" si="7"/>
        <v>89.946212084774245</v>
      </c>
      <c r="S58" s="51">
        <f>APPLICANTS_PER_YEAR*($H58/Segments!$AH$2)*Q58</f>
        <v>35.979760343122649</v>
      </c>
      <c r="T58" s="51">
        <f t="shared" si="8"/>
        <v>125.92597242789689</v>
      </c>
      <c r="U58" s="14">
        <f t="shared" si="9"/>
        <v>1426.2297754450396</v>
      </c>
      <c r="V58" s="44">
        <f t="shared" si="10"/>
        <v>179599.37137853765</v>
      </c>
      <c r="W58" s="44">
        <f t="shared" si="11"/>
        <v>68969.517812217164</v>
      </c>
      <c r="X58" s="44">
        <f t="shared" si="12"/>
        <v>39158.333840695457</v>
      </c>
      <c r="Y58" s="14">
        <f t="shared" si="13"/>
        <v>1426.2297754450396</v>
      </c>
      <c r="Z58" s="14">
        <f t="shared" si="14"/>
        <v>503.68739024755189</v>
      </c>
      <c r="AA58" s="14">
        <f t="shared" si="15"/>
        <v>860.70163050256565</v>
      </c>
      <c r="AB58" s="14">
        <f t="shared" si="16"/>
        <v>1124.4487725071156</v>
      </c>
      <c r="AC58" s="14">
        <f t="shared" si="17"/>
        <v>1469.0166687083909</v>
      </c>
      <c r="AD58" s="33">
        <f t="shared" si="18"/>
        <v>0.68778363984825508</v>
      </c>
      <c r="AE58" s="33">
        <f t="shared" si="19"/>
        <v>0.19678363984825509</v>
      </c>
      <c r="AF58" s="51">
        <f t="shared" si="20"/>
        <v>87.88308237791054</v>
      </c>
      <c r="AG58" s="51">
        <f>APPLICANTS_PER_YEAR*($H58/Segments!$AH$2)*AE58</f>
        <v>35.893335908321731</v>
      </c>
      <c r="AH58" s="51">
        <f t="shared" si="21"/>
        <v>123.77641828623227</v>
      </c>
      <c r="AI58" s="14">
        <f t="shared" si="22"/>
        <v>1469.0166687083909</v>
      </c>
      <c r="AJ58" s="44">
        <f t="shared" si="23"/>
        <v>181829.62165549729</v>
      </c>
      <c r="AK58" s="44">
        <f t="shared" si="24"/>
        <v>69825.975632875503</v>
      </c>
      <c r="AL58" s="44">
        <f t="shared" si="25"/>
        <v>39584.137062392263</v>
      </c>
      <c r="AM58" s="14">
        <f t="shared" si="26"/>
        <v>1469.0166687083911</v>
      </c>
      <c r="AN58" s="14">
        <f t="shared" si="27"/>
        <v>518.79801195497839</v>
      </c>
      <c r="AO58" s="14">
        <f t="shared" si="28"/>
        <v>885.27267941764262</v>
      </c>
      <c r="AP58" s="14">
        <f t="shared" si="29"/>
        <v>1157.3654272048896</v>
      </c>
      <c r="AQ58" s="14">
        <f t="shared" si="30"/>
        <v>1513.0871687696424</v>
      </c>
      <c r="AR58" s="33">
        <f t="shared" si="31"/>
        <v>0.68732263362841106</v>
      </c>
      <c r="AS58" s="33">
        <f t="shared" si="32"/>
        <v>0.19632263362841096</v>
      </c>
      <c r="AT58" s="51">
        <f t="shared" si="33"/>
        <v>81.641283088626082</v>
      </c>
      <c r="AU58" s="51">
        <f>APPLICANTS_PER_YEAR*($H58/Segments!$AH$2)*AS58</f>
        <v>35.809248373822157</v>
      </c>
      <c r="AV58" s="51">
        <f t="shared" si="34"/>
        <v>117.45053146244824</v>
      </c>
      <c r="AW58" s="14">
        <f t="shared" si="35"/>
        <v>1513.0871687696426</v>
      </c>
      <c r="AX58" s="44">
        <f t="shared" si="36"/>
        <v>177712.89212100563</v>
      </c>
      <c r="AY58" s="44">
        <f t="shared" si="37"/>
        <v>68245.074492866654</v>
      </c>
      <c r="AZ58" s="44">
        <f t="shared" si="38"/>
        <v>38728.366447784625</v>
      </c>
    </row>
    <row r="59" spans="1:52" ht="15" customHeight="1" x14ac:dyDescent="0.35">
      <c r="A59" s="59" t="str">
        <f>Segments!$A$39</f>
        <v>Non-greek</v>
      </c>
      <c r="B59" s="59" t="str">
        <f>Segments!$B$39</f>
        <v>On campus</v>
      </c>
      <c r="C59" s="59" t="str">
        <f>Segments!$C$39</f>
        <v>No</v>
      </c>
      <c r="D59" s="59" t="str">
        <f>Segments!$D$39</f>
        <v>2.0-3.0</v>
      </c>
      <c r="E59" s="59" t="str">
        <f>Segments!$E$39</f>
        <v>Grad student</v>
      </c>
      <c r="F59" s="59">
        <f>Segments!$F$39</f>
        <v>3</v>
      </c>
      <c r="G59" s="59" t="str">
        <f>Segments!$G$39</f>
        <v>Grad</v>
      </c>
      <c r="H59" s="60">
        <f>Segments!$H$39</f>
        <v>61</v>
      </c>
      <c r="I59" s="26">
        <f>Segments!$Y$39</f>
        <v>582.26283192475046</v>
      </c>
      <c r="J59" s="29">
        <v>4</v>
      </c>
      <c r="K59" s="14">
        <f t="shared" si="0"/>
        <v>1426.2297754450396</v>
      </c>
      <c r="L59" s="14">
        <f t="shared" si="1"/>
        <v>582.26283192475046</v>
      </c>
      <c r="M59" s="14">
        <f t="shared" si="2"/>
        <v>988.47142438373567</v>
      </c>
      <c r="N59" s="14">
        <f t="shared" si="3"/>
        <v>1187.3446751607783</v>
      </c>
      <c r="O59" s="14">
        <f t="shared" si="4"/>
        <v>1426.2297754450396</v>
      </c>
      <c r="P59" s="33">
        <f t="shared" si="5"/>
        <v>0.74940364189029018</v>
      </c>
      <c r="Q59" s="33">
        <f t="shared" si="6"/>
        <v>0.24940364189029018</v>
      </c>
      <c r="R59" s="51">
        <f t="shared" si="7"/>
        <v>22.856811077653852</v>
      </c>
      <c r="S59" s="51">
        <f>APPLICANTS_PER_YEAR*($H59/Segments!$AH$2)*Q59</f>
        <v>18.256346586369244</v>
      </c>
      <c r="T59" s="51">
        <f t="shared" si="8"/>
        <v>41.113157664023092</v>
      </c>
      <c r="U59" s="14">
        <f t="shared" si="9"/>
        <v>1426.2297754450396</v>
      </c>
      <c r="V59" s="44">
        <f t="shared" si="10"/>
        <v>58636.809622996167</v>
      </c>
      <c r="W59" s="44">
        <f t="shared" si="11"/>
        <v>26811.303244121587</v>
      </c>
      <c r="X59" s="44">
        <f t="shared" si="12"/>
        <v>13272.349914917317</v>
      </c>
      <c r="Y59" s="14">
        <f t="shared" si="13"/>
        <v>1426.2297754450396</v>
      </c>
      <c r="Z59" s="14">
        <f t="shared" si="14"/>
        <v>599.73071688249297</v>
      </c>
      <c r="AA59" s="14">
        <f t="shared" si="15"/>
        <v>1016.8755671152477</v>
      </c>
      <c r="AB59" s="14">
        <f t="shared" si="16"/>
        <v>1222.2140393951449</v>
      </c>
      <c r="AC59" s="14">
        <f t="shared" si="17"/>
        <v>1469.0166687083909</v>
      </c>
      <c r="AD59" s="33">
        <f t="shared" si="18"/>
        <v>0.74003461204087262</v>
      </c>
      <c r="AE59" s="33">
        <f t="shared" si="19"/>
        <v>0.24903461204087263</v>
      </c>
      <c r="AF59" s="51">
        <f t="shared" si="20"/>
        <v>15.212579840835279</v>
      </c>
      <c r="AG59" s="51">
        <f>APPLICANTS_PER_YEAR*($H59/Segments!$AH$2)*AE59</f>
        <v>18.229333601391875</v>
      </c>
      <c r="AH59" s="51">
        <f t="shared" si="21"/>
        <v>33.441913442227154</v>
      </c>
      <c r="AI59" s="14">
        <f t="shared" si="22"/>
        <v>1469.0166687083909</v>
      </c>
      <c r="AJ59" s="44">
        <f t="shared" si="23"/>
        <v>49126.728280134892</v>
      </c>
      <c r="AK59" s="44">
        <f t="shared" si="24"/>
        <v>22462.879849344674</v>
      </c>
      <c r="AL59" s="44">
        <f t="shared" si="25"/>
        <v>11346.795076021006</v>
      </c>
      <c r="AM59" s="14">
        <f t="shared" si="26"/>
        <v>1469.0166687083909</v>
      </c>
      <c r="AN59" s="14">
        <f t="shared" si="27"/>
        <v>617.72263838896777</v>
      </c>
      <c r="AO59" s="14">
        <f t="shared" si="28"/>
        <v>1046.1318341287053</v>
      </c>
      <c r="AP59" s="14">
        <f t="shared" si="29"/>
        <v>1258.1290295758999</v>
      </c>
      <c r="AQ59" s="14">
        <f t="shared" si="30"/>
        <v>1513.0871687696424</v>
      </c>
      <c r="AR59" s="33">
        <f t="shared" si="31"/>
        <v>0.73967567904395082</v>
      </c>
      <c r="AS59" s="33">
        <f t="shared" si="32"/>
        <v>0.24867567904395071</v>
      </c>
      <c r="AT59" s="51">
        <f t="shared" si="33"/>
        <v>12.368085016954199</v>
      </c>
      <c r="AU59" s="51">
        <f>APPLICANTS_PER_YEAR*($H59/Segments!$AH$2)*AS59</f>
        <v>18.203059706017193</v>
      </c>
      <c r="AV59" s="51">
        <f t="shared" si="34"/>
        <v>30.57114472297139</v>
      </c>
      <c r="AW59" s="14">
        <f t="shared" si="35"/>
        <v>1513.0871687696424</v>
      </c>
      <c r="AX59" s="44">
        <f t="shared" si="36"/>
        <v>46256.806814927775</v>
      </c>
      <c r="AY59" s="44">
        <f t="shared" si="37"/>
        <v>21150.626758066242</v>
      </c>
      <c r="AZ59" s="44">
        <f t="shared" si="38"/>
        <v>10773.034437704486</v>
      </c>
    </row>
    <row r="60" spans="1:52" ht="15" customHeight="1" x14ac:dyDescent="0.35">
      <c r="A60" s="61" t="str">
        <f>Segments!$A$40</f>
        <v>Non-greek</v>
      </c>
      <c r="B60" s="61" t="str">
        <f>Segments!$B$40</f>
        <v>On campus</v>
      </c>
      <c r="C60" s="61" t="str">
        <f>Segments!$C$40</f>
        <v>No</v>
      </c>
      <c r="D60" s="61" t="str">
        <f>Segments!$D$40</f>
        <v>3.0+</v>
      </c>
      <c r="E60" s="61" t="str">
        <f>Segments!$E$40</f>
        <v>Freshman</v>
      </c>
      <c r="F60" s="61">
        <f>Segments!$F$40</f>
        <v>1</v>
      </c>
      <c r="G60" s="61" t="str">
        <f>Segments!$G$40</f>
        <v>Base</v>
      </c>
      <c r="H60" s="62">
        <f>Segments!$H$40</f>
        <v>85</v>
      </c>
      <c r="I60" s="63">
        <f>Segments!$Y$40</f>
        <v>387.57113828696976</v>
      </c>
      <c r="J60" s="42">
        <v>0</v>
      </c>
      <c r="K60" s="40">
        <f t="shared" si="0"/>
        <v>671.8875524321295</v>
      </c>
      <c r="L60" s="40">
        <f t="shared" si="1"/>
        <v>387.57113828696976</v>
      </c>
      <c r="M60" s="40">
        <f t="shared" si="2"/>
        <v>671.8875524321295</v>
      </c>
      <c r="N60" s="40">
        <f t="shared" si="3"/>
        <v>978.91063587520262</v>
      </c>
      <c r="O60" s="40">
        <f t="shared" si="4"/>
        <v>1426.2297754450396</v>
      </c>
      <c r="P60" s="41">
        <f t="shared" si="5"/>
        <v>0.3</v>
      </c>
      <c r="Q60" s="41">
        <f t="shared" si="6"/>
        <v>0.12152197392874997</v>
      </c>
      <c r="R60" s="64">
        <f t="shared" si="7"/>
        <v>0</v>
      </c>
      <c r="S60" s="64">
        <f>APPLICANTS_PER_YEAR*($H60/Segments!$AH$2)*Q60</f>
        <v>12.395241340732499</v>
      </c>
      <c r="T60" s="64">
        <f t="shared" si="8"/>
        <v>12.395241340732499</v>
      </c>
      <c r="U60" s="40">
        <f t="shared" si="9"/>
        <v>1426.2297754450399</v>
      </c>
      <c r="V60" s="65">
        <f t="shared" si="10"/>
        <v>17678.462273979985</v>
      </c>
      <c r="W60" s="65">
        <f t="shared" si="11"/>
        <v>5380.5223312617281</v>
      </c>
      <c r="X60" s="65">
        <f t="shared" si="12"/>
        <v>4517.7614097044798</v>
      </c>
      <c r="Y60" s="40">
        <f t="shared" si="13"/>
        <v>690.79417900509338</v>
      </c>
      <c r="Z60" s="40">
        <f t="shared" si="14"/>
        <v>399.19827243557887</v>
      </c>
      <c r="AA60" s="40">
        <f t="shared" si="15"/>
        <v>690.79417900509338</v>
      </c>
      <c r="AB60" s="40">
        <f t="shared" si="16"/>
        <v>1007.3669458569752</v>
      </c>
      <c r="AC60" s="40">
        <f t="shared" si="17"/>
        <v>1469.0166687083909</v>
      </c>
      <c r="AD60" s="41">
        <f t="shared" si="18"/>
        <v>0.3</v>
      </c>
      <c r="AE60" s="41">
        <f t="shared" si="19"/>
        <v>0.12086317714212547</v>
      </c>
      <c r="AF60" s="64">
        <f t="shared" si="20"/>
        <v>0</v>
      </c>
      <c r="AG60" s="64">
        <f>APPLICANTS_PER_YEAR*($H60/Segments!$AH$2)*AE60</f>
        <v>12.3280440684968</v>
      </c>
      <c r="AH60" s="64">
        <f t="shared" si="21"/>
        <v>12.3280440684968</v>
      </c>
      <c r="AI60" s="40">
        <f t="shared" si="22"/>
        <v>1469.0166687083909</v>
      </c>
      <c r="AJ60" s="65">
        <f t="shared" si="23"/>
        <v>18110.102229193406</v>
      </c>
      <c r="AK60" s="65">
        <f t="shared" si="24"/>
        <v>5511.8939620120409</v>
      </c>
      <c r="AL60" s="65">
        <f t="shared" si="25"/>
        <v>4611.4248824216784</v>
      </c>
      <c r="AM60" s="40">
        <f t="shared" si="26"/>
        <v>710.26800437524616</v>
      </c>
      <c r="AN60" s="40">
        <f t="shared" si="27"/>
        <v>411.17422060864618</v>
      </c>
      <c r="AO60" s="40">
        <f t="shared" si="28"/>
        <v>710.26800437524616</v>
      </c>
      <c r="AP60" s="40">
        <f t="shared" si="29"/>
        <v>1036.6761325543312</v>
      </c>
      <c r="AQ60" s="40">
        <f t="shared" si="30"/>
        <v>1513.0871687696424</v>
      </c>
      <c r="AR60" s="41">
        <f t="shared" si="31"/>
        <v>0.3</v>
      </c>
      <c r="AS60" s="41">
        <f t="shared" si="32"/>
        <v>0.12022185557535103</v>
      </c>
      <c r="AT60" s="64">
        <f t="shared" si="33"/>
        <v>0</v>
      </c>
      <c r="AU60" s="64">
        <f>APPLICANTS_PER_YEAR*($H60/Segments!$AH$2)*AS60</f>
        <v>12.262629268685806</v>
      </c>
      <c r="AV60" s="64">
        <f t="shared" si="34"/>
        <v>12.262629268685806</v>
      </c>
      <c r="AW60" s="40">
        <f t="shared" si="35"/>
        <v>1513.0871687696424</v>
      </c>
      <c r="AX60" s="65">
        <f t="shared" si="36"/>
        <v>18554.427001827557</v>
      </c>
      <c r="AY60" s="65">
        <f t="shared" si="37"/>
        <v>5647.126276024419</v>
      </c>
      <c r="AZ60" s="65">
        <f t="shared" si="38"/>
        <v>4708.0099655002341</v>
      </c>
    </row>
    <row r="61" spans="1:52" ht="15" customHeight="1" x14ac:dyDescent="0.35">
      <c r="A61" s="61" t="str">
        <f>Segments!$A$41</f>
        <v>Non-greek</v>
      </c>
      <c r="B61" s="61" t="str">
        <f>Segments!$B$41</f>
        <v>On campus</v>
      </c>
      <c r="C61" s="61" t="str">
        <f>Segments!$C$41</f>
        <v>No</v>
      </c>
      <c r="D61" s="61" t="str">
        <f>Segments!$D$41</f>
        <v>3.0+</v>
      </c>
      <c r="E61" s="61" t="str">
        <f>Segments!$E$41</f>
        <v>Sophomore</v>
      </c>
      <c r="F61" s="61">
        <f>Segments!$F$41</f>
        <v>1</v>
      </c>
      <c r="G61" s="61" t="str">
        <f>Segments!$G$41</f>
        <v>Sophomore</v>
      </c>
      <c r="H61" s="62">
        <f>Segments!$H$41</f>
        <v>93</v>
      </c>
      <c r="I61" s="63">
        <f>Segments!$Y$41</f>
        <v>383.62808363602431</v>
      </c>
      <c r="J61" s="42">
        <v>1</v>
      </c>
      <c r="K61" s="40">
        <f t="shared" si="0"/>
        <v>1426.2297754450396</v>
      </c>
      <c r="L61" s="40">
        <f t="shared" si="1"/>
        <v>383.62808363602431</v>
      </c>
      <c r="M61" s="40">
        <f t="shared" si="2"/>
        <v>665.475838170526</v>
      </c>
      <c r="N61" s="40">
        <f t="shared" si="3"/>
        <v>974.22864628281638</v>
      </c>
      <c r="O61" s="40">
        <f t="shared" si="4"/>
        <v>1426.2297754450396</v>
      </c>
      <c r="P61" s="41">
        <f t="shared" si="5"/>
        <v>0.61802102315157725</v>
      </c>
      <c r="Q61" s="41">
        <f t="shared" si="6"/>
        <v>0.11802102315157725</v>
      </c>
      <c r="R61" s="64">
        <f t="shared" si="7"/>
        <v>52.531786967884067</v>
      </c>
      <c r="S61" s="64">
        <f>APPLICANTS_PER_YEAR*($H61/Segments!$AH$2)*Q61</f>
        <v>13.17114618371602</v>
      </c>
      <c r="T61" s="64">
        <f t="shared" si="8"/>
        <v>65.702933151600092</v>
      </c>
      <c r="U61" s="40">
        <f t="shared" si="9"/>
        <v>1426.2297754450396</v>
      </c>
      <c r="V61" s="65">
        <f t="shared" si="10"/>
        <v>93707.479594887045</v>
      </c>
      <c r="W61" s="65">
        <f t="shared" si="11"/>
        <v>28230.149174319857</v>
      </c>
      <c r="X61" s="65">
        <f t="shared" si="12"/>
        <v>20011.528791296983</v>
      </c>
      <c r="Y61" s="40">
        <f t="shared" si="13"/>
        <v>1426.2297754450399</v>
      </c>
      <c r="Z61" s="40">
        <f t="shared" si="14"/>
        <v>395.13692614510506</v>
      </c>
      <c r="AA61" s="40">
        <f t="shared" si="15"/>
        <v>684.19011331564184</v>
      </c>
      <c r="AB61" s="40">
        <f t="shared" si="16"/>
        <v>1002.5401144224408</v>
      </c>
      <c r="AC61" s="40">
        <f t="shared" si="17"/>
        <v>1469.0166687083909</v>
      </c>
      <c r="AD61" s="41">
        <f t="shared" si="18"/>
        <v>0.60835267368593771</v>
      </c>
      <c r="AE61" s="41">
        <f t="shared" si="19"/>
        <v>0.1173526736859376</v>
      </c>
      <c r="AF61" s="64">
        <f t="shared" si="20"/>
        <v>7.5406782106170827</v>
      </c>
      <c r="AG61" s="64">
        <f>APPLICANTS_PER_YEAR*($H61/Segments!$AH$2)*AE61</f>
        <v>13.096558383350636</v>
      </c>
      <c r="AH61" s="64">
        <f t="shared" si="21"/>
        <v>20.637236593967721</v>
      </c>
      <c r="AI61" s="40">
        <f t="shared" si="22"/>
        <v>1469.0166687083909</v>
      </c>
      <c r="AJ61" s="65">
        <f t="shared" si="23"/>
        <v>30316.444552617359</v>
      </c>
      <c r="AK61" s="65">
        <f t="shared" si="24"/>
        <v>9133.078339694046</v>
      </c>
      <c r="AL61" s="65">
        <f t="shared" si="25"/>
        <v>7143.3339017827157</v>
      </c>
      <c r="AM61" s="40">
        <f t="shared" si="26"/>
        <v>1469.0166687083909</v>
      </c>
      <c r="AN61" s="40">
        <f t="shared" si="27"/>
        <v>406.99103392945818</v>
      </c>
      <c r="AO61" s="40">
        <f t="shared" si="28"/>
        <v>703.46581671511103</v>
      </c>
      <c r="AP61" s="40">
        <f t="shared" si="29"/>
        <v>1031.7001022291756</v>
      </c>
      <c r="AQ61" s="40">
        <f t="shared" si="30"/>
        <v>1513.0871687696424</v>
      </c>
      <c r="AR61" s="41">
        <f t="shared" si="31"/>
        <v>0.6077020360372446</v>
      </c>
      <c r="AS61" s="41">
        <f t="shared" si="32"/>
        <v>0.11670203603724449</v>
      </c>
      <c r="AT61" s="64">
        <f t="shared" si="33"/>
        <v>7.4917774807823818</v>
      </c>
      <c r="AU61" s="64">
        <f>APPLICANTS_PER_YEAR*($H61/Segments!$AH$2)*AS61</f>
        <v>13.023947221756485</v>
      </c>
      <c r="AV61" s="64">
        <f t="shared" si="34"/>
        <v>20.515724702538868</v>
      </c>
      <c r="AW61" s="40">
        <f t="shared" si="35"/>
        <v>1513.0871687696424</v>
      </c>
      <c r="AX61" s="65">
        <f t="shared" si="36"/>
        <v>31042.079805421949</v>
      </c>
      <c r="AY61" s="65">
        <f t="shared" si="37"/>
        <v>9351.6819295182322</v>
      </c>
      <c r="AZ61" s="65">
        <f t="shared" si="38"/>
        <v>7292.5891177984859</v>
      </c>
    </row>
    <row r="62" spans="1:52" ht="15" customHeight="1" x14ac:dyDescent="0.35">
      <c r="A62" s="61" t="str">
        <f>Segments!$A$42</f>
        <v>Non-greek</v>
      </c>
      <c r="B62" s="61" t="str">
        <f>Segments!$B$42</f>
        <v>On campus</v>
      </c>
      <c r="C62" s="61" t="str">
        <f>Segments!$C$42</f>
        <v>No</v>
      </c>
      <c r="D62" s="61" t="str">
        <f>Segments!$D$42</f>
        <v>3.0+</v>
      </c>
      <c r="E62" s="61" t="str">
        <f>Segments!$E$42</f>
        <v>Junior</v>
      </c>
      <c r="F62" s="61">
        <f>Segments!$F$42</f>
        <v>2</v>
      </c>
      <c r="G62" s="61" t="str">
        <f>Segments!$G$42</f>
        <v>Base</v>
      </c>
      <c r="H62" s="62">
        <f>Segments!$H$42</f>
        <v>90</v>
      </c>
      <c r="I62" s="63">
        <f>Segments!$Y$42</f>
        <v>458.59884122415599</v>
      </c>
      <c r="J62" s="42">
        <v>2</v>
      </c>
      <c r="K62" s="40">
        <f t="shared" si="0"/>
        <v>1426.2297754450396</v>
      </c>
      <c r="L62" s="40">
        <f t="shared" si="1"/>
        <v>458.59884122415599</v>
      </c>
      <c r="M62" s="40">
        <f t="shared" si="2"/>
        <v>787.38413470295802</v>
      </c>
      <c r="N62" s="40">
        <f t="shared" si="3"/>
        <v>1059.712554245908</v>
      </c>
      <c r="O62" s="40">
        <f t="shared" si="4"/>
        <v>1426.2297754450396</v>
      </c>
      <c r="P62" s="41">
        <f t="shared" si="5"/>
        <v>0.6770676233235976</v>
      </c>
      <c r="Q62" s="41">
        <f t="shared" si="6"/>
        <v>0.1770676233235976</v>
      </c>
      <c r="R62" s="64">
        <f t="shared" si="7"/>
        <v>62.967288969094575</v>
      </c>
      <c r="S62" s="64">
        <f>APPLICANTS_PER_YEAR*($H62/Segments!$AH$2)*Q62</f>
        <v>19.123303318948537</v>
      </c>
      <c r="T62" s="64">
        <f t="shared" si="8"/>
        <v>82.090592288043112</v>
      </c>
      <c r="U62" s="40">
        <f t="shared" si="9"/>
        <v>1426.2297754450396</v>
      </c>
      <c r="V62" s="65">
        <f t="shared" si="10"/>
        <v>117080.04700512603</v>
      </c>
      <c r="W62" s="65">
        <f t="shared" si="11"/>
        <v>42164.248558545354</v>
      </c>
      <c r="X62" s="65">
        <f t="shared" si="12"/>
        <v>25202.621173645693</v>
      </c>
      <c r="Y62" s="40">
        <f t="shared" si="13"/>
        <v>1426.2297754450396</v>
      </c>
      <c r="Z62" s="40">
        <f t="shared" si="14"/>
        <v>472.3568064608807</v>
      </c>
      <c r="AA62" s="40">
        <f t="shared" si="15"/>
        <v>809.75565874404685</v>
      </c>
      <c r="AB62" s="40">
        <f t="shared" si="16"/>
        <v>1090.662441031114</v>
      </c>
      <c r="AC62" s="40">
        <f t="shared" si="17"/>
        <v>1469.0166687083909</v>
      </c>
      <c r="AD62" s="41">
        <f t="shared" si="18"/>
        <v>0.66754842898982558</v>
      </c>
      <c r="AE62" s="41">
        <f t="shared" si="19"/>
        <v>0.17654842898982559</v>
      </c>
      <c r="AF62" s="64">
        <f t="shared" si="20"/>
        <v>43.859889805374173</v>
      </c>
      <c r="AG62" s="64">
        <f>APPLICANTS_PER_YEAR*($H62/Segments!$AH$2)*AE62</f>
        <v>19.067230330901161</v>
      </c>
      <c r="AH62" s="64">
        <f t="shared" si="21"/>
        <v>62.927120136275335</v>
      </c>
      <c r="AI62" s="40">
        <f t="shared" si="22"/>
        <v>1469.0166687083909</v>
      </c>
      <c r="AJ62" s="65">
        <f t="shared" si="23"/>
        <v>92440.9883940039</v>
      </c>
      <c r="AK62" s="65">
        <f t="shared" si="24"/>
        <v>33290.93992823334</v>
      </c>
      <c r="AL62" s="65">
        <f t="shared" si="25"/>
        <v>20186.922738841633</v>
      </c>
      <c r="AM62" s="40">
        <f t="shared" si="26"/>
        <v>1469.0166687083909</v>
      </c>
      <c r="AN62" s="40">
        <f t="shared" si="27"/>
        <v>486.52751065470704</v>
      </c>
      <c r="AO62" s="40">
        <f t="shared" si="28"/>
        <v>832.79832850636808</v>
      </c>
      <c r="AP62" s="40">
        <f t="shared" si="29"/>
        <v>1122.5401841519042</v>
      </c>
      <c r="AQ62" s="40">
        <f t="shared" si="30"/>
        <v>1513.0871687696424</v>
      </c>
      <c r="AR62" s="41">
        <f t="shared" si="31"/>
        <v>0.66704320534288841</v>
      </c>
      <c r="AS62" s="41">
        <f t="shared" si="32"/>
        <v>0.17604320534288831</v>
      </c>
      <c r="AT62" s="64">
        <f t="shared" si="33"/>
        <v>13.765928447059782</v>
      </c>
      <c r="AU62" s="64">
        <f>APPLICANTS_PER_YEAR*($H62/Segments!$AH$2)*AS62</f>
        <v>19.012666177031935</v>
      </c>
      <c r="AV62" s="64">
        <f t="shared" si="34"/>
        <v>32.778594624091717</v>
      </c>
      <c r="AW62" s="40">
        <f t="shared" si="35"/>
        <v>1513.0871687696426</v>
      </c>
      <c r="AX62" s="65">
        <f t="shared" si="36"/>
        <v>49596.870936014762</v>
      </c>
      <c r="AY62" s="65">
        <f t="shared" si="37"/>
        <v>17861.410610645398</v>
      </c>
      <c r="AZ62" s="65">
        <f t="shared" si="38"/>
        <v>11511.570897094287</v>
      </c>
    </row>
    <row r="63" spans="1:52" ht="15" customHeight="1" x14ac:dyDescent="0.35">
      <c r="A63" s="61" t="str">
        <f>Segments!$A$43</f>
        <v>Non-greek</v>
      </c>
      <c r="B63" s="61" t="str">
        <f>Segments!$B$43</f>
        <v>On campus</v>
      </c>
      <c r="C63" s="61" t="str">
        <f>Segments!$C$43</f>
        <v>No</v>
      </c>
      <c r="D63" s="61" t="str">
        <f>Segments!$D$43</f>
        <v>3.0+</v>
      </c>
      <c r="E63" s="61" t="str">
        <f>Segments!$E$43</f>
        <v>Senior</v>
      </c>
      <c r="F63" s="61">
        <f>Segments!$F$43</f>
        <v>3</v>
      </c>
      <c r="G63" s="61" t="str">
        <f>Segments!$G$43</f>
        <v>Base</v>
      </c>
      <c r="H63" s="62">
        <f>Segments!$H$43</f>
        <v>93</v>
      </c>
      <c r="I63" s="63">
        <f>Segments!$Y$43</f>
        <v>428.64658443489083</v>
      </c>
      <c r="J63" s="42">
        <v>3</v>
      </c>
      <c r="K63" s="40">
        <f t="shared" si="0"/>
        <v>1426.2297754450396</v>
      </c>
      <c r="L63" s="40">
        <f t="shared" si="1"/>
        <v>428.64658443489083</v>
      </c>
      <c r="M63" s="40">
        <f t="shared" si="2"/>
        <v>738.67943009611372</v>
      </c>
      <c r="N63" s="40">
        <f t="shared" si="3"/>
        <v>1026.414437599087</v>
      </c>
      <c r="O63" s="40">
        <f t="shared" si="4"/>
        <v>1426.2297754450396</v>
      </c>
      <c r="P63" s="41">
        <f t="shared" si="5"/>
        <v>0.65523688911607125</v>
      </c>
      <c r="Q63" s="41">
        <f t="shared" si="6"/>
        <v>0.15523688911607125</v>
      </c>
      <c r="R63" s="64">
        <f t="shared" si="7"/>
        <v>58.971320020446413</v>
      </c>
      <c r="S63" s="64">
        <f>APPLICANTS_PER_YEAR*($H63/Segments!$AH$2)*Q63</f>
        <v>17.324436825353551</v>
      </c>
      <c r="T63" s="64">
        <f t="shared" si="8"/>
        <v>76.295756845799957</v>
      </c>
      <c r="U63" s="40">
        <f t="shared" si="9"/>
        <v>1426.2297754450399</v>
      </c>
      <c r="V63" s="65">
        <f t="shared" si="10"/>
        <v>108815.28015359463</v>
      </c>
      <c r="W63" s="65">
        <f t="shared" si="11"/>
        <v>36628.385448286346</v>
      </c>
      <c r="X63" s="65">
        <f t="shared" si="12"/>
        <v>23389.915974088974</v>
      </c>
      <c r="Y63" s="40">
        <f t="shared" si="13"/>
        <v>1426.2297754450396</v>
      </c>
      <c r="Z63" s="40">
        <f t="shared" si="14"/>
        <v>441.50598196793754</v>
      </c>
      <c r="AA63" s="40">
        <f t="shared" si="15"/>
        <v>759.5898129989971</v>
      </c>
      <c r="AB63" s="40">
        <f t="shared" si="16"/>
        <v>1056.3380598447716</v>
      </c>
      <c r="AC63" s="40">
        <f t="shared" si="17"/>
        <v>1469.0166687083909</v>
      </c>
      <c r="AD63" s="41">
        <f t="shared" si="18"/>
        <v>0.64566546432859651</v>
      </c>
      <c r="AE63" s="41">
        <f t="shared" si="19"/>
        <v>0.15466546432859651</v>
      </c>
      <c r="AF63" s="64">
        <f t="shared" si="20"/>
        <v>53.003060386668857</v>
      </c>
      <c r="AG63" s="64">
        <f>APPLICANTS_PER_YEAR*($H63/Segments!$AH$2)*AE63</f>
        <v>17.26066581907137</v>
      </c>
      <c r="AH63" s="64">
        <f t="shared" si="21"/>
        <v>70.263726205740227</v>
      </c>
      <c r="AI63" s="40">
        <f t="shared" si="22"/>
        <v>1469.0166687083909</v>
      </c>
      <c r="AJ63" s="65">
        <f t="shared" si="23"/>
        <v>103218.58500179497</v>
      </c>
      <c r="AK63" s="65">
        <f t="shared" si="24"/>
        <v>34744.478087414645</v>
      </c>
      <c r="AL63" s="65">
        <f t="shared" si="25"/>
        <v>22232.570937973574</v>
      </c>
      <c r="AM63" s="40">
        <f t="shared" si="26"/>
        <v>1469.0166687083909</v>
      </c>
      <c r="AN63" s="40">
        <f t="shared" si="27"/>
        <v>454.75116142697567</v>
      </c>
      <c r="AO63" s="40">
        <f t="shared" si="28"/>
        <v>781.12750738896705</v>
      </c>
      <c r="AP63" s="40">
        <f t="shared" si="29"/>
        <v>1087.1586860266814</v>
      </c>
      <c r="AQ63" s="40">
        <f t="shared" si="30"/>
        <v>1513.0871687696424</v>
      </c>
      <c r="AR63" s="41">
        <f t="shared" si="31"/>
        <v>0.64510933186780994</v>
      </c>
      <c r="AS63" s="41">
        <f t="shared" si="32"/>
        <v>0.15410933186780984</v>
      </c>
      <c r="AT63" s="64">
        <f t="shared" si="33"/>
        <v>40.594872427477988</v>
      </c>
      <c r="AU63" s="64">
        <f>APPLICANTS_PER_YEAR*($H63/Segments!$AH$2)*AS63</f>
        <v>17.198601436447579</v>
      </c>
      <c r="AV63" s="64">
        <f t="shared" si="34"/>
        <v>57.79347386392557</v>
      </c>
      <c r="AW63" s="40">
        <f t="shared" si="35"/>
        <v>1513.0871687696424</v>
      </c>
      <c r="AX63" s="65">
        <f t="shared" si="36"/>
        <v>87446.563742129467</v>
      </c>
      <c r="AY63" s="65">
        <f t="shared" si="37"/>
        <v>29435.447286022081</v>
      </c>
      <c r="AZ63" s="65">
        <f t="shared" si="38"/>
        <v>19024.039470851694</v>
      </c>
    </row>
    <row r="64" spans="1:52" ht="15" customHeight="1" x14ac:dyDescent="0.35">
      <c r="A64" s="61" t="str">
        <f>Segments!$A$44</f>
        <v>Non-greek</v>
      </c>
      <c r="B64" s="61" t="str">
        <f>Segments!$B$44</f>
        <v>On campus</v>
      </c>
      <c r="C64" s="61" t="str">
        <f>Segments!$C$44</f>
        <v>No</v>
      </c>
      <c r="D64" s="61" t="str">
        <f>Segments!$D$44</f>
        <v>3.0+</v>
      </c>
      <c r="E64" s="61" t="str">
        <f>Segments!$E$44</f>
        <v>Grad student</v>
      </c>
      <c r="F64" s="61">
        <f>Segments!$F$44</f>
        <v>3</v>
      </c>
      <c r="G64" s="61" t="str">
        <f>Segments!$G$44</f>
        <v>Grad</v>
      </c>
      <c r="H64" s="62">
        <f>Segments!$H$44</f>
        <v>38</v>
      </c>
      <c r="I64" s="63">
        <f>Segments!$Y$44</f>
        <v>510.38109817683414</v>
      </c>
      <c r="J64" s="42">
        <v>4</v>
      </c>
      <c r="K64" s="40">
        <f t="shared" si="0"/>
        <v>1426.2297754450396</v>
      </c>
      <c r="L64" s="40">
        <f t="shared" si="1"/>
        <v>510.38109817683414</v>
      </c>
      <c r="M64" s="40">
        <f t="shared" si="2"/>
        <v>871.58612143471566</v>
      </c>
      <c r="N64" s="40">
        <f t="shared" si="3"/>
        <v>1114.9359076892481</v>
      </c>
      <c r="O64" s="40">
        <f t="shared" si="4"/>
        <v>1426.2297754450396</v>
      </c>
      <c r="P64" s="41">
        <f t="shared" si="5"/>
        <v>0.71039831275998577</v>
      </c>
      <c r="Q64" s="41">
        <f t="shared" si="6"/>
        <v>0.21039831275998577</v>
      </c>
      <c r="R64" s="64">
        <f t="shared" si="7"/>
        <v>13.49756794243973</v>
      </c>
      <c r="S64" s="64">
        <f>APPLICANTS_PER_YEAR*($H64/Segments!$AH$2)*Q64</f>
        <v>9.5941630618553511</v>
      </c>
      <c r="T64" s="64">
        <f t="shared" si="8"/>
        <v>23.091731004295081</v>
      </c>
      <c r="U64" s="40">
        <f t="shared" si="9"/>
        <v>1426.2297754450396</v>
      </c>
      <c r="V64" s="65">
        <f t="shared" si="10"/>
        <v>32934.114324893031</v>
      </c>
      <c r="W64" s="65">
        <f t="shared" si="11"/>
        <v>13199.852992229315</v>
      </c>
      <c r="X64" s="65">
        <f t="shared" si="12"/>
        <v>7405.1581400623254</v>
      </c>
      <c r="Y64" s="40">
        <f t="shared" si="13"/>
        <v>1426.2297754450396</v>
      </c>
      <c r="Z64" s="40">
        <f t="shared" si="14"/>
        <v>525.69253112213914</v>
      </c>
      <c r="AA64" s="40">
        <f t="shared" si="15"/>
        <v>896.48370507775712</v>
      </c>
      <c r="AB64" s="40">
        <f t="shared" si="16"/>
        <v>1147.5842043112489</v>
      </c>
      <c r="AC64" s="40">
        <f t="shared" si="17"/>
        <v>1469.0166687083909</v>
      </c>
      <c r="AD64" s="41">
        <f t="shared" si="18"/>
        <v>0.70095255808262991</v>
      </c>
      <c r="AE64" s="41">
        <f t="shared" si="19"/>
        <v>0.20995255808262991</v>
      </c>
      <c r="AF64" s="64">
        <f t="shared" si="20"/>
        <v>8.0931039590083067</v>
      </c>
      <c r="AG64" s="64">
        <f>APPLICANTS_PER_YEAR*($H64/Segments!$AH$2)*AE64</f>
        <v>9.5738366485679247</v>
      </c>
      <c r="AH64" s="64">
        <f t="shared" si="21"/>
        <v>17.66694060757623</v>
      </c>
      <c r="AI64" s="40">
        <f t="shared" si="22"/>
        <v>1469.0166687083911</v>
      </c>
      <c r="AJ64" s="65">
        <f t="shared" si="23"/>
        <v>25953.03023761063</v>
      </c>
      <c r="AK64" s="65">
        <f t="shared" si="24"/>
        <v>10401.864172203001</v>
      </c>
      <c r="AL64" s="65">
        <f t="shared" si="25"/>
        <v>5990.0518399824468</v>
      </c>
      <c r="AM64" s="40">
        <f t="shared" si="26"/>
        <v>1469.0166687083911</v>
      </c>
      <c r="AN64" s="40">
        <f t="shared" si="27"/>
        <v>541.46330705580328</v>
      </c>
      <c r="AO64" s="40">
        <f t="shared" si="28"/>
        <v>922.12821623008972</v>
      </c>
      <c r="AP64" s="40">
        <f t="shared" si="29"/>
        <v>1181.2114001897321</v>
      </c>
      <c r="AQ64" s="40">
        <f t="shared" si="30"/>
        <v>1513.0871687696424</v>
      </c>
      <c r="AR64" s="41">
        <f t="shared" si="31"/>
        <v>0.70051889368549836</v>
      </c>
      <c r="AS64" s="41">
        <f t="shared" si="32"/>
        <v>0.20951889368549825</v>
      </c>
      <c r="AT64" s="64">
        <f t="shared" si="33"/>
        <v>6.1880128446133531</v>
      </c>
      <c r="AU64" s="64">
        <f>APPLICANTS_PER_YEAR*($H64/Segments!$AH$2)*AS64</f>
        <v>9.5540615520587213</v>
      </c>
      <c r="AV64" s="64">
        <f t="shared" si="34"/>
        <v>15.742074396672074</v>
      </c>
      <c r="AW64" s="40">
        <f t="shared" si="35"/>
        <v>1513.0871687696426</v>
      </c>
      <c r="AX64" s="65">
        <f t="shared" si="36"/>
        <v>23819.130779421626</v>
      </c>
      <c r="AY64" s="65">
        <f t="shared" si="37"/>
        <v>9546.6063422694169</v>
      </c>
      <c r="AZ64" s="65">
        <f t="shared" si="38"/>
        <v>5561.4732220875367</v>
      </c>
    </row>
    <row r="65" spans="1:52" ht="15" customHeight="1" x14ac:dyDescent="0.35">
      <c r="A65" s="59" t="str">
        <f>Segments!$A$45</f>
        <v>Non-greek</v>
      </c>
      <c r="B65" s="59" t="str">
        <f>Segments!$B$45</f>
        <v>Off 0-1mi</v>
      </c>
      <c r="C65" s="59" t="str">
        <f>Segments!$C$45</f>
        <v>Yes</v>
      </c>
      <c r="D65" s="59" t="str">
        <f>Segments!$D$45</f>
        <v>&lt;1.0</v>
      </c>
      <c r="E65" s="59" t="str">
        <f>Segments!$E$45</f>
        <v>Freshman</v>
      </c>
      <c r="F65" s="59">
        <f>Segments!$F$45</f>
        <v>1</v>
      </c>
      <c r="G65" s="59" t="str">
        <f>Segments!$G$45</f>
        <v>Base</v>
      </c>
      <c r="H65" s="60">
        <f>Segments!$H$45</f>
        <v>8</v>
      </c>
      <c r="I65" s="26">
        <f>Segments!$Y$45</f>
        <v>734.72809969405421</v>
      </c>
      <c r="J65" s="29">
        <v>0</v>
      </c>
      <c r="K65" s="14">
        <f t="shared" si="0"/>
        <v>1236.391835915756</v>
      </c>
      <c r="L65" s="14">
        <f t="shared" si="1"/>
        <v>734.72809969405421</v>
      </c>
      <c r="M65" s="14">
        <f t="shared" si="2"/>
        <v>1236.391835915756</v>
      </c>
      <c r="N65" s="14">
        <f t="shared" si="3"/>
        <v>1327.9227577311149</v>
      </c>
      <c r="O65" s="14">
        <f t="shared" si="4"/>
        <v>1426.2297754450396</v>
      </c>
      <c r="P65" s="33">
        <f t="shared" si="5"/>
        <v>0.76692209558276048</v>
      </c>
      <c r="Q65" s="33">
        <f t="shared" si="6"/>
        <v>0.31298466264638314</v>
      </c>
      <c r="R65" s="51">
        <f t="shared" si="7"/>
        <v>0</v>
      </c>
      <c r="S65" s="51">
        <f>APPLICANTS_PER_YEAR*($H65/Segments!$AH$2)*Q65</f>
        <v>3.004652761405278</v>
      </c>
      <c r="T65" s="51">
        <f t="shared" si="8"/>
        <v>3.004652761405278</v>
      </c>
      <c r="U65" s="14">
        <f t="shared" si="9"/>
        <v>1426.2297754450396</v>
      </c>
      <c r="V65" s="44">
        <f t="shared" si="10"/>
        <v>4285.3252331893682</v>
      </c>
      <c r="W65" s="44">
        <f t="shared" si="11"/>
        <v>2472.5151512631278</v>
      </c>
      <c r="X65" s="44">
        <f t="shared" si="12"/>
        <v>1095.1222264976561</v>
      </c>
      <c r="Y65" s="14">
        <f t="shared" si="13"/>
        <v>1272.2335909932287</v>
      </c>
      <c r="Z65" s="14">
        <f t="shared" si="14"/>
        <v>756.7699426848759</v>
      </c>
      <c r="AA65" s="14">
        <f t="shared" si="15"/>
        <v>1272.2335909932287</v>
      </c>
      <c r="AB65" s="14">
        <f t="shared" si="16"/>
        <v>1367.0890064877949</v>
      </c>
      <c r="AC65" s="14">
        <f t="shared" si="17"/>
        <v>1469.0166687083909</v>
      </c>
      <c r="AD65" s="33">
        <f t="shared" si="18"/>
        <v>0.76631833036359565</v>
      </c>
      <c r="AE65" s="33">
        <f t="shared" si="19"/>
        <v>0.31272091219486153</v>
      </c>
      <c r="AF65" s="51">
        <f t="shared" si="20"/>
        <v>0</v>
      </c>
      <c r="AG65" s="51">
        <f>APPLICANTS_PER_YEAR*($H65/Segments!$AH$2)*AE65</f>
        <v>3.0021207570706707</v>
      </c>
      <c r="AH65" s="51">
        <f t="shared" si="21"/>
        <v>3.0021207570706707</v>
      </c>
      <c r="AI65" s="14">
        <f t="shared" si="22"/>
        <v>1469.0166687083906</v>
      </c>
      <c r="AJ65" s="44">
        <f t="shared" si="23"/>
        <v>4410.1654336122683</v>
      </c>
      <c r="AK65" s="44">
        <f t="shared" si="24"/>
        <v>2544.5445236528217</v>
      </c>
      <c r="AL65" s="44">
        <f t="shared" si="25"/>
        <v>1122.9724911973283</v>
      </c>
      <c r="AM65" s="14">
        <f t="shared" si="26"/>
        <v>1309.1505987230257</v>
      </c>
      <c r="AN65" s="14">
        <f t="shared" si="27"/>
        <v>779.47304096542211</v>
      </c>
      <c r="AO65" s="14">
        <f t="shared" si="28"/>
        <v>1309.1505987230257</v>
      </c>
      <c r="AP65" s="14">
        <f t="shared" si="29"/>
        <v>1407.4299175855633</v>
      </c>
      <c r="AQ65" s="14">
        <f t="shared" si="30"/>
        <v>1513.0871687696424</v>
      </c>
      <c r="AR65" s="33">
        <f t="shared" si="31"/>
        <v>0.76573113853145469</v>
      </c>
      <c r="AS65" s="33">
        <f t="shared" si="32"/>
        <v>0.31246447163588309</v>
      </c>
      <c r="AT65" s="51">
        <f t="shared" si="33"/>
        <v>0</v>
      </c>
      <c r="AU65" s="51">
        <f>APPLICANTS_PER_YEAR*($H65/Segments!$AH$2)*AS65</f>
        <v>2.9996589277044774</v>
      </c>
      <c r="AV65" s="51">
        <f t="shared" si="34"/>
        <v>2.9996589277044774</v>
      </c>
      <c r="AW65" s="14">
        <f t="shared" si="35"/>
        <v>1513.0871687696426</v>
      </c>
      <c r="AX65" s="44">
        <f t="shared" si="36"/>
        <v>4538.7454341949497</v>
      </c>
      <c r="AY65" s="44">
        <f t="shared" si="37"/>
        <v>2618.7316581853129</v>
      </c>
      <c r="AZ65" s="44">
        <f t="shared" si="38"/>
        <v>1151.6636290063702</v>
      </c>
    </row>
    <row r="66" spans="1:52" ht="15" customHeight="1" x14ac:dyDescent="0.35">
      <c r="A66" s="59" t="str">
        <f>Segments!$A$46</f>
        <v>Non-greek</v>
      </c>
      <c r="B66" s="59" t="str">
        <f>Segments!$B$46</f>
        <v>Off 0-1mi</v>
      </c>
      <c r="C66" s="59" t="str">
        <f>Segments!$C$46</f>
        <v>Yes</v>
      </c>
      <c r="D66" s="59" t="str">
        <f>Segments!$D$46</f>
        <v>&lt;1.0</v>
      </c>
      <c r="E66" s="59" t="str">
        <f>Segments!$E$46</f>
        <v>Sophomore</v>
      </c>
      <c r="F66" s="59">
        <f>Segments!$F$46</f>
        <v>1</v>
      </c>
      <c r="G66" s="59" t="str">
        <f>Segments!$G$46</f>
        <v>Sophomore</v>
      </c>
      <c r="H66" s="60">
        <f>Segments!$H$46</f>
        <v>3</v>
      </c>
      <c r="I66" s="26">
        <f>Segments!$Y$46</f>
        <v>727.2531544143726</v>
      </c>
      <c r="J66" s="29">
        <v>1</v>
      </c>
      <c r="K66" s="14">
        <f t="shared" si="0"/>
        <v>1426.2297754450396</v>
      </c>
      <c r="L66" s="14">
        <f t="shared" si="1"/>
        <v>727.2531544143726</v>
      </c>
      <c r="M66" s="14">
        <f t="shared" si="2"/>
        <v>1224.2369921468653</v>
      </c>
      <c r="N66" s="14">
        <f t="shared" si="3"/>
        <v>1321.3792984609431</v>
      </c>
      <c r="O66" s="14">
        <f t="shared" si="4"/>
        <v>1426.2297754450396</v>
      </c>
      <c r="P66" s="33">
        <f t="shared" si="5"/>
        <v>0.81032536717268855</v>
      </c>
      <c r="Q66" s="33">
        <f t="shared" si="6"/>
        <v>0.31032536717268855</v>
      </c>
      <c r="R66" s="51">
        <f t="shared" si="7"/>
        <v>6.4826029373815084</v>
      </c>
      <c r="S66" s="51">
        <f>APPLICANTS_PER_YEAR*($H66/Segments!$AH$2)*Q66</f>
        <v>1.1171713218216788</v>
      </c>
      <c r="T66" s="51">
        <f t="shared" si="8"/>
        <v>7.5997742592031869</v>
      </c>
      <c r="U66" s="14">
        <f t="shared" si="9"/>
        <v>1426.2297754450399</v>
      </c>
      <c r="V66" s="44">
        <f t="shared" si="10"/>
        <v>10839.024335136355</v>
      </c>
      <c r="W66" s="44">
        <f t="shared" si="11"/>
        <v>6190.1949791837906</v>
      </c>
      <c r="X66" s="44">
        <f t="shared" si="12"/>
        <v>2284.2673726913149</v>
      </c>
      <c r="Y66" s="14">
        <f t="shared" si="13"/>
        <v>1426.2297754450396</v>
      </c>
      <c r="Z66" s="14">
        <f t="shared" si="14"/>
        <v>749.07074904680383</v>
      </c>
      <c r="AA66" s="14">
        <f t="shared" si="15"/>
        <v>1259.7141019112712</v>
      </c>
      <c r="AB66" s="14">
        <f t="shared" si="16"/>
        <v>1360.3459168588986</v>
      </c>
      <c r="AC66" s="14">
        <f t="shared" si="17"/>
        <v>1469.0166687083909</v>
      </c>
      <c r="AD66" s="33">
        <f t="shared" si="18"/>
        <v>0.80105767705745823</v>
      </c>
      <c r="AE66" s="33">
        <f t="shared" si="19"/>
        <v>0.31005767705745824</v>
      </c>
      <c r="AF66" s="51">
        <f t="shared" si="20"/>
        <v>2.4069001614155892</v>
      </c>
      <c r="AG66" s="51">
        <f>APPLICANTS_PER_YEAR*($H66/Segments!$AH$2)*AE66</f>
        <v>1.1162076374068495</v>
      </c>
      <c r="AH66" s="51">
        <f t="shared" si="21"/>
        <v>3.5231077988224389</v>
      </c>
      <c r="AI66" s="14">
        <f t="shared" si="22"/>
        <v>1469.0166687083906</v>
      </c>
      <c r="AJ66" s="44">
        <f t="shared" si="23"/>
        <v>5175.5040821266903</v>
      </c>
      <c r="AK66" s="44">
        <f t="shared" si="24"/>
        <v>2955.7438375769484</v>
      </c>
      <c r="AL66" s="44">
        <f t="shared" si="25"/>
        <v>1133.9280853117241</v>
      </c>
      <c r="AM66" s="14">
        <f t="shared" si="26"/>
        <v>1469.0166687083906</v>
      </c>
      <c r="AN66" s="14">
        <f t="shared" si="27"/>
        <v>771.5428715182079</v>
      </c>
      <c r="AO66" s="14">
        <f t="shared" si="28"/>
        <v>1296.2555249686093</v>
      </c>
      <c r="AP66" s="14">
        <f t="shared" si="29"/>
        <v>1400.4812038284413</v>
      </c>
      <c r="AQ66" s="14">
        <f t="shared" si="30"/>
        <v>1513.0871687696424</v>
      </c>
      <c r="AR66" s="33">
        <f t="shared" si="31"/>
        <v>0.80079740226667284</v>
      </c>
      <c r="AS66" s="33">
        <f t="shared" si="32"/>
        <v>0.30979740226667285</v>
      </c>
      <c r="AT66" s="51">
        <f t="shared" si="33"/>
        <v>2.4040905035530504</v>
      </c>
      <c r="AU66" s="51">
        <f>APPLICANTS_PER_YEAR*($H66/Segments!$AH$2)*AS66</f>
        <v>1.1152706481600221</v>
      </c>
      <c r="AV66" s="51">
        <f t="shared" si="34"/>
        <v>3.5193611517130723</v>
      </c>
      <c r="AW66" s="14">
        <f t="shared" si="35"/>
        <v>1513.0871687696424</v>
      </c>
      <c r="AX66" s="44">
        <f t="shared" si="36"/>
        <v>5325.1002009234007</v>
      </c>
      <c r="AY66" s="44">
        <f t="shared" si="37"/>
        <v>3041.1785699706111</v>
      </c>
      <c r="AZ66" s="44">
        <f t="shared" si="38"/>
        <v>1163.7754869730566</v>
      </c>
    </row>
    <row r="67" spans="1:52" ht="15" customHeight="1" x14ac:dyDescent="0.35">
      <c r="A67" s="59" t="str">
        <f>Segments!$A$47</f>
        <v>Non-greek</v>
      </c>
      <c r="B67" s="59" t="str">
        <f>Segments!$B$47</f>
        <v>Off 0-1mi</v>
      </c>
      <c r="C67" s="59" t="str">
        <f>Segments!$C$47</f>
        <v>Yes</v>
      </c>
      <c r="D67" s="59" t="str">
        <f>Segments!$D$47</f>
        <v>&lt;1.0</v>
      </c>
      <c r="E67" s="59" t="str">
        <f>Segments!$E$47</f>
        <v>Junior</v>
      </c>
      <c r="F67" s="59">
        <f>Segments!$F$47</f>
        <v>2</v>
      </c>
      <c r="G67" s="59" t="str">
        <f>Segments!$G$47</f>
        <v>Base</v>
      </c>
      <c r="H67" s="60">
        <f>Segments!$H$47</f>
        <v>8</v>
      </c>
      <c r="I67" s="26">
        <f>Segments!$Y$47</f>
        <v>869.37705584525372</v>
      </c>
      <c r="J67" s="29">
        <v>2</v>
      </c>
      <c r="K67" s="14">
        <f t="shared" si="0"/>
        <v>1426.2297754450396</v>
      </c>
      <c r="L67" s="14">
        <f t="shared" si="1"/>
        <v>869.37705584525372</v>
      </c>
      <c r="M67" s="14">
        <f t="shared" si="2"/>
        <v>1455.3415358032951</v>
      </c>
      <c r="N67" s="14">
        <f t="shared" si="3"/>
        <v>1440.7121266250842</v>
      </c>
      <c r="O67" s="14">
        <f t="shared" si="4"/>
        <v>1426.2297754450396</v>
      </c>
      <c r="P67" s="33">
        <f t="shared" si="5"/>
        <v>0.85502610858630379</v>
      </c>
      <c r="Q67" s="33">
        <f t="shared" si="6"/>
        <v>0.35502610858630373</v>
      </c>
      <c r="R67" s="51">
        <f t="shared" si="7"/>
        <v>2.5650783257589111</v>
      </c>
      <c r="S67" s="51">
        <f>APPLICANTS_PER_YEAR*($H67/Segments!$AH$2)*Q67</f>
        <v>3.4082506424285159</v>
      </c>
      <c r="T67" s="51">
        <f t="shared" si="8"/>
        <v>5.9733289681874275</v>
      </c>
      <c r="U67" s="14">
        <f t="shared" si="9"/>
        <v>1426.2297754450394</v>
      </c>
      <c r="V67" s="44">
        <f t="shared" si="10"/>
        <v>8519.3396329573043</v>
      </c>
      <c r="W67" s="44">
        <f t="shared" si="11"/>
        <v>5816.2441701929074</v>
      </c>
      <c r="X67" s="44">
        <f t="shared" si="12"/>
        <v>1984.9612352477852</v>
      </c>
      <c r="Y67" s="14">
        <f t="shared" si="13"/>
        <v>1426.2297754450399</v>
      </c>
      <c r="Z67" s="14">
        <f t="shared" si="14"/>
        <v>895.45836752061132</v>
      </c>
      <c r="AA67" s="14">
        <f t="shared" si="15"/>
        <v>1497.751781877394</v>
      </c>
      <c r="AB67" s="14">
        <f t="shared" si="16"/>
        <v>1483.3146440204739</v>
      </c>
      <c r="AC67" s="14">
        <f t="shared" si="17"/>
        <v>1469.0166687083909</v>
      </c>
      <c r="AD67" s="33">
        <f t="shared" si="18"/>
        <v>0.84581960296479286</v>
      </c>
      <c r="AE67" s="33">
        <f t="shared" si="19"/>
        <v>0.3548196029647927</v>
      </c>
      <c r="AF67" s="51">
        <f t="shared" si="20"/>
        <v>6.4280380465412925</v>
      </c>
      <c r="AG67" s="51">
        <f>APPLICANTS_PER_YEAR*($H67/Segments!$AH$2)*AE67</f>
        <v>3.4062681884620098</v>
      </c>
      <c r="AH67" s="51">
        <f t="shared" si="21"/>
        <v>9.8343062350033019</v>
      </c>
      <c r="AI67" s="14">
        <f t="shared" si="22"/>
        <v>1469.0166687083909</v>
      </c>
      <c r="AJ67" s="44">
        <f t="shared" si="23"/>
        <v>14446.759784402708</v>
      </c>
      <c r="AK67" s="44">
        <f t="shared" si="24"/>
        <v>9862.957223721085</v>
      </c>
      <c r="AL67" s="44">
        <f t="shared" si="25"/>
        <v>3187.4156948066925</v>
      </c>
      <c r="AM67" s="14">
        <f t="shared" si="26"/>
        <v>1469.0166687083906</v>
      </c>
      <c r="AN67" s="14">
        <f t="shared" si="27"/>
        <v>922.3221185462296</v>
      </c>
      <c r="AO67" s="14">
        <f t="shared" si="28"/>
        <v>1541.4343353337156</v>
      </c>
      <c r="AP67" s="14">
        <f t="shared" si="29"/>
        <v>1527.1949824087321</v>
      </c>
      <c r="AQ67" s="14">
        <f t="shared" si="30"/>
        <v>1513.0871687696424</v>
      </c>
      <c r="AR67" s="33">
        <f t="shared" si="31"/>
        <v>0.8456188645855941</v>
      </c>
      <c r="AS67" s="33">
        <f t="shared" si="32"/>
        <v>0.35461886458559416</v>
      </c>
      <c r="AT67" s="51">
        <f t="shared" si="33"/>
        <v>2.9792064166528824</v>
      </c>
      <c r="AU67" s="51">
        <f>APPLICANTS_PER_YEAR*($H67/Segments!$AH$2)*AS67</f>
        <v>3.4043411000217039</v>
      </c>
      <c r="AV67" s="51">
        <f t="shared" si="34"/>
        <v>6.3835475166745859</v>
      </c>
      <c r="AW67" s="14">
        <f t="shared" si="35"/>
        <v>1513.0871687696426</v>
      </c>
      <c r="AX67" s="44">
        <f t="shared" si="36"/>
        <v>9658.8638387116316</v>
      </c>
      <c r="AY67" s="44">
        <f t="shared" si="37"/>
        <v>6594.2095177502069</v>
      </c>
      <c r="AZ67" s="44">
        <f t="shared" si="38"/>
        <v>2218.5920126300616</v>
      </c>
    </row>
    <row r="68" spans="1:52" ht="15" customHeight="1" x14ac:dyDescent="0.35">
      <c r="A68" s="59" t="str">
        <f>Segments!$A$48</f>
        <v>Non-greek</v>
      </c>
      <c r="B68" s="59" t="str">
        <f>Segments!$B$48</f>
        <v>Off 0-1mi</v>
      </c>
      <c r="C68" s="59" t="str">
        <f>Segments!$C$48</f>
        <v>Yes</v>
      </c>
      <c r="D68" s="59" t="str">
        <f>Segments!$D$48</f>
        <v>&lt;1.0</v>
      </c>
      <c r="E68" s="59" t="str">
        <f>Segments!$E$48</f>
        <v>Senior</v>
      </c>
      <c r="F68" s="59">
        <f>Segments!$F$48</f>
        <v>3</v>
      </c>
      <c r="G68" s="59" t="str">
        <f>Segments!$G$48</f>
        <v>Base</v>
      </c>
      <c r="H68" s="60">
        <f>Segments!$H$48</f>
        <v>6</v>
      </c>
      <c r="I68" s="26">
        <f>Segments!$Y$48</f>
        <v>812.59582902430645</v>
      </c>
      <c r="J68" s="29">
        <v>3</v>
      </c>
      <c r="K68" s="14">
        <f t="shared" si="0"/>
        <v>1426.2297754450396</v>
      </c>
      <c r="L68" s="14">
        <f t="shared" si="1"/>
        <v>812.59582902430645</v>
      </c>
      <c r="M68" s="14">
        <f t="shared" si="2"/>
        <v>1363.0108343477834</v>
      </c>
      <c r="N68" s="14">
        <f t="shared" si="3"/>
        <v>1394.2620400057497</v>
      </c>
      <c r="O68" s="14">
        <f t="shared" si="4"/>
        <v>1426.2297754450396</v>
      </c>
      <c r="P68" s="33">
        <f t="shared" si="5"/>
        <v>0.83853596579336043</v>
      </c>
      <c r="Q68" s="33">
        <f t="shared" si="6"/>
        <v>0.33853596579336043</v>
      </c>
      <c r="R68" s="51">
        <f t="shared" si="7"/>
        <v>6.7082877263468834</v>
      </c>
      <c r="S68" s="51">
        <f>APPLICANTS_PER_YEAR*($H68/Segments!$AH$2)*Q68</f>
        <v>2.4374589537121949</v>
      </c>
      <c r="T68" s="51">
        <f t="shared" si="8"/>
        <v>9.1457466800590783</v>
      </c>
      <c r="U68" s="14">
        <f t="shared" si="9"/>
        <v>1426.2297754450396</v>
      </c>
      <c r="V68" s="44">
        <f t="shared" si="10"/>
        <v>13043.936233777877</v>
      </c>
      <c r="W68" s="44">
        <f t="shared" si="11"/>
        <v>8323.6110781923744</v>
      </c>
      <c r="X68" s="44">
        <f t="shared" si="12"/>
        <v>2830.8285343953357</v>
      </c>
      <c r="Y68" s="14">
        <f t="shared" si="13"/>
        <v>1426.2297754450394</v>
      </c>
      <c r="Z68" s="14">
        <f t="shared" si="14"/>
        <v>836.97370389503567</v>
      </c>
      <c r="AA68" s="14">
        <f t="shared" si="15"/>
        <v>1402.651159378217</v>
      </c>
      <c r="AB68" s="14">
        <f t="shared" si="16"/>
        <v>1435.4504287887305</v>
      </c>
      <c r="AC68" s="14">
        <f t="shared" si="17"/>
        <v>1469.0166687083909</v>
      </c>
      <c r="AD68" s="33">
        <f t="shared" si="18"/>
        <v>0.82930811595911924</v>
      </c>
      <c r="AE68" s="33">
        <f t="shared" si="19"/>
        <v>0.33830811595911936</v>
      </c>
      <c r="AF68" s="51">
        <f t="shared" si="20"/>
        <v>4.9537301926115456</v>
      </c>
      <c r="AG68" s="51">
        <f>APPLICANTS_PER_YEAR*($H68/Segments!$AH$2)*AE68</f>
        <v>2.4358184349056593</v>
      </c>
      <c r="AH68" s="51">
        <f t="shared" si="21"/>
        <v>7.3895486275172049</v>
      </c>
      <c r="AI68" s="14">
        <f t="shared" si="22"/>
        <v>1469.0166687083909</v>
      </c>
      <c r="AJ68" s="44">
        <f t="shared" si="23"/>
        <v>10855.370108053987</v>
      </c>
      <c r="AK68" s="44">
        <f t="shared" si="24"/>
        <v>6927.0408310718194</v>
      </c>
      <c r="AL68" s="44">
        <f t="shared" si="25"/>
        <v>2385.5904097440152</v>
      </c>
      <c r="AM68" s="14">
        <f t="shared" si="26"/>
        <v>1469.0166687083909</v>
      </c>
      <c r="AN68" s="14">
        <f t="shared" si="27"/>
        <v>862.08291501188671</v>
      </c>
      <c r="AO68" s="14">
        <f t="shared" si="28"/>
        <v>1443.4806941595634</v>
      </c>
      <c r="AP68" s="14">
        <f t="shared" si="29"/>
        <v>1477.8741883866612</v>
      </c>
      <c r="AQ68" s="14">
        <f t="shared" si="30"/>
        <v>1513.0871687696424</v>
      </c>
      <c r="AR68" s="33">
        <f t="shared" si="31"/>
        <v>0.82908661093762603</v>
      </c>
      <c r="AS68" s="33">
        <f t="shared" si="32"/>
        <v>0.33808661093762593</v>
      </c>
      <c r="AT68" s="51">
        <f t="shared" si="33"/>
        <v>8.1534916273016531</v>
      </c>
      <c r="AU68" s="51">
        <f>APPLICANTS_PER_YEAR*($H68/Segments!$AH$2)*AS68</f>
        <v>2.4342235987509064</v>
      </c>
      <c r="AV68" s="51">
        <f t="shared" si="34"/>
        <v>10.587715226052559</v>
      </c>
      <c r="AW68" s="14">
        <f t="shared" si="35"/>
        <v>1513.0871687696426</v>
      </c>
      <c r="AX68" s="44">
        <f t="shared" si="36"/>
        <v>16020.136055127103</v>
      </c>
      <c r="AY68" s="44">
        <f t="shared" si="37"/>
        <v>10222.787014038062</v>
      </c>
      <c r="AZ68" s="44">
        <f t="shared" si="38"/>
        <v>3429.3273461703652</v>
      </c>
    </row>
    <row r="69" spans="1:52" ht="15" customHeight="1" x14ac:dyDescent="0.35">
      <c r="A69" s="59" t="str">
        <f>Segments!$A$49</f>
        <v>Non-greek</v>
      </c>
      <c r="B69" s="59" t="str">
        <f>Segments!$B$49</f>
        <v>Off 0-1mi</v>
      </c>
      <c r="C69" s="59" t="str">
        <f>Segments!$C$49</f>
        <v>Yes</v>
      </c>
      <c r="D69" s="59" t="str">
        <f>Segments!$D$49</f>
        <v>&lt;1.0</v>
      </c>
      <c r="E69" s="59" t="str">
        <f>Segments!$E$49</f>
        <v>Grad student</v>
      </c>
      <c r="F69" s="59">
        <f>Segments!$F$49</f>
        <v>3</v>
      </c>
      <c r="G69" s="59" t="str">
        <f>Segments!$G$49</f>
        <v>Grad</v>
      </c>
      <c r="H69" s="60">
        <f>Segments!$H$49</f>
        <v>1</v>
      </c>
      <c r="I69" s="26">
        <f>Segments!$Y$49</f>
        <v>967.54194866175658</v>
      </c>
      <c r="J69" s="29">
        <v>4</v>
      </c>
      <c r="K69" s="14">
        <f t="shared" si="0"/>
        <v>1426.2297754450396</v>
      </c>
      <c r="L69" s="14">
        <f t="shared" si="1"/>
        <v>967.54194866175658</v>
      </c>
      <c r="M69" s="14">
        <f t="shared" si="2"/>
        <v>1614.9653044237566</v>
      </c>
      <c r="N69" s="14">
        <f t="shared" si="3"/>
        <v>1517.6664994259525</v>
      </c>
      <c r="O69" s="14">
        <f t="shared" si="4"/>
        <v>1426.2297754450396</v>
      </c>
      <c r="P69" s="33">
        <f t="shared" si="5"/>
        <v>0.88012411620586539</v>
      </c>
      <c r="Q69" s="33">
        <f t="shared" si="6"/>
        <v>0.38012411620586539</v>
      </c>
      <c r="R69" s="51">
        <f t="shared" si="7"/>
        <v>0.4400620581029327</v>
      </c>
      <c r="S69" s="51">
        <f>APPLICANTS_PER_YEAR*($H69/Segments!$AH$2)*Q69</f>
        <v>0.45614893944703844</v>
      </c>
      <c r="T69" s="51">
        <f t="shared" si="8"/>
        <v>0.89621099754997113</v>
      </c>
      <c r="U69" s="14">
        <f t="shared" si="9"/>
        <v>1426.2297754450396</v>
      </c>
      <c r="V69" s="44">
        <f t="shared" si="10"/>
        <v>1278.2028097870702</v>
      </c>
      <c r="W69" s="44">
        <f t="shared" si="11"/>
        <v>971.17634317938746</v>
      </c>
      <c r="X69" s="44">
        <f t="shared" si="12"/>
        <v>293.67833646862817</v>
      </c>
      <c r="Y69" s="14">
        <f t="shared" si="13"/>
        <v>1426.2297754450396</v>
      </c>
      <c r="Z69" s="14">
        <f t="shared" si="14"/>
        <v>996.56820712160925</v>
      </c>
      <c r="AA69" s="14">
        <f t="shared" si="15"/>
        <v>1662.1642635564692</v>
      </c>
      <c r="AB69" s="14">
        <f t="shared" si="16"/>
        <v>1562.6090391700222</v>
      </c>
      <c r="AC69" s="14">
        <f t="shared" si="17"/>
        <v>1469.0166687083909</v>
      </c>
      <c r="AD69" s="33">
        <f t="shared" si="18"/>
        <v>0.8709474686615607</v>
      </c>
      <c r="AE69" s="33">
        <f t="shared" si="19"/>
        <v>0.37994746866156065</v>
      </c>
      <c r="AF69" s="51">
        <f t="shared" si="20"/>
        <v>0.39027634985139975</v>
      </c>
      <c r="AG69" s="51">
        <f>APPLICANTS_PER_YEAR*($H69/Segments!$AH$2)*AE69</f>
        <v>0.45593696239387277</v>
      </c>
      <c r="AH69" s="51">
        <f t="shared" si="21"/>
        <v>0.84621331224527252</v>
      </c>
      <c r="AI69" s="14">
        <f t="shared" si="22"/>
        <v>1469.0166687083909</v>
      </c>
      <c r="AJ69" s="44">
        <f t="shared" si="23"/>
        <v>1243.1014609712436</v>
      </c>
      <c r="AK69" s="44">
        <f t="shared" si="24"/>
        <v>944.50639743791498</v>
      </c>
      <c r="AL69" s="44">
        <f t="shared" si="25"/>
        <v>286.71113134560773</v>
      </c>
      <c r="AM69" s="14">
        <f t="shared" si="26"/>
        <v>1469.0166687083909</v>
      </c>
      <c r="AN69" s="14">
        <f t="shared" si="27"/>
        <v>1026.4652533352576</v>
      </c>
      <c r="AO69" s="14">
        <f t="shared" si="28"/>
        <v>1710.7791914631634</v>
      </c>
      <c r="AP69" s="14">
        <f t="shared" si="29"/>
        <v>1608.8996373922821</v>
      </c>
      <c r="AQ69" s="14">
        <f t="shared" si="30"/>
        <v>1513.0871687696424</v>
      </c>
      <c r="AR69" s="33">
        <f t="shared" si="31"/>
        <v>0.87077577544175888</v>
      </c>
      <c r="AS69" s="33">
        <f t="shared" si="32"/>
        <v>0.37977577544175883</v>
      </c>
      <c r="AT69" s="51">
        <f t="shared" si="33"/>
        <v>0.36843102657975818</v>
      </c>
      <c r="AU69" s="51">
        <f>APPLICANTS_PER_YEAR*($H69/Segments!$AH$2)*AS69</f>
        <v>0.4557309305301106</v>
      </c>
      <c r="AV69" s="51">
        <f t="shared" si="34"/>
        <v>0.82416195710986884</v>
      </c>
      <c r="AW69" s="14">
        <f t="shared" si="35"/>
        <v>1513.0871687696424</v>
      </c>
      <c r="AX69" s="44">
        <f t="shared" si="36"/>
        <v>1247.0288822910188</v>
      </c>
      <c r="AY69" s="44">
        <f t="shared" si="37"/>
        <v>947.49044554535089</v>
      </c>
      <c r="AZ69" s="44">
        <f t="shared" si="38"/>
        <v>287.69959297733232</v>
      </c>
    </row>
    <row r="70" spans="1:52" ht="15" customHeight="1" x14ac:dyDescent="0.35">
      <c r="A70" s="61" t="str">
        <f>Segments!$A$50</f>
        <v>Non-greek</v>
      </c>
      <c r="B70" s="61" t="str">
        <f>Segments!$B$50</f>
        <v>Off 0-1mi</v>
      </c>
      <c r="C70" s="61" t="str">
        <f>Segments!$C$50</f>
        <v>Yes</v>
      </c>
      <c r="D70" s="61" t="str">
        <f>Segments!$D$50</f>
        <v>1.0-2.0</v>
      </c>
      <c r="E70" s="61" t="str">
        <f>Segments!$E$50</f>
        <v>Freshman</v>
      </c>
      <c r="F70" s="61">
        <f>Segments!$F$50</f>
        <v>1</v>
      </c>
      <c r="G70" s="61" t="str">
        <f>Segments!$G$50</f>
        <v>Base</v>
      </c>
      <c r="H70" s="62">
        <f>Segments!$H$50</f>
        <v>28</v>
      </c>
      <c r="I70" s="63">
        <f>Segments!$Y$50</f>
        <v>666.70776766848417</v>
      </c>
      <c r="J70" s="42">
        <v>0</v>
      </c>
      <c r="K70" s="40">
        <f t="shared" si="0"/>
        <v>1125.7854732008034</v>
      </c>
      <c r="L70" s="40">
        <f t="shared" si="1"/>
        <v>666.70776766848417</v>
      </c>
      <c r="M70" s="40">
        <f t="shared" si="2"/>
        <v>1125.7854732008034</v>
      </c>
      <c r="N70" s="40">
        <f t="shared" si="3"/>
        <v>1267.1340744540294</v>
      </c>
      <c r="O70" s="40">
        <f t="shared" si="4"/>
        <v>1426.2297754450396</v>
      </c>
      <c r="P70" s="41">
        <f t="shared" si="5"/>
        <v>0.70715964974865064</v>
      </c>
      <c r="Q70" s="41">
        <f t="shared" si="6"/>
        <v>0.28722223078107978</v>
      </c>
      <c r="R70" s="64">
        <f t="shared" si="7"/>
        <v>0</v>
      </c>
      <c r="S70" s="64">
        <f>APPLICANTS_PER_YEAR*($H70/Segments!$AH$2)*Q70</f>
        <v>9.6506669542442811</v>
      </c>
      <c r="T70" s="64">
        <f t="shared" si="8"/>
        <v>9.6506669542442811</v>
      </c>
      <c r="U70" s="40">
        <f t="shared" si="9"/>
        <v>1426.2297754450396</v>
      </c>
      <c r="V70" s="65">
        <f t="shared" si="10"/>
        <v>13764.068563046685</v>
      </c>
      <c r="W70" s="65">
        <f t="shared" si="11"/>
        <v>7206.2755761653607</v>
      </c>
      <c r="X70" s="65">
        <f t="shared" si="12"/>
        <v>3517.4313710634501</v>
      </c>
      <c r="Y70" s="40">
        <f t="shared" si="13"/>
        <v>1158.3090373968275</v>
      </c>
      <c r="Z70" s="40">
        <f t="shared" si="14"/>
        <v>686.70900069853872</v>
      </c>
      <c r="AA70" s="40">
        <f t="shared" si="15"/>
        <v>1158.3090373968275</v>
      </c>
      <c r="AB70" s="40">
        <f t="shared" si="16"/>
        <v>1304.4444347888145</v>
      </c>
      <c r="AC70" s="40">
        <f t="shared" si="17"/>
        <v>1469.0166687083909</v>
      </c>
      <c r="AD70" s="41">
        <f t="shared" si="18"/>
        <v>0.70644592011199459</v>
      </c>
      <c r="AE70" s="41">
        <f t="shared" si="19"/>
        <v>0.28691864922317667</v>
      </c>
      <c r="AF70" s="64">
        <f t="shared" si="20"/>
        <v>0</v>
      </c>
      <c r="AG70" s="64">
        <f>APPLICANTS_PER_YEAR*($H70/Segments!$AH$2)*AE70</f>
        <v>9.6404666138987363</v>
      </c>
      <c r="AH70" s="64">
        <f t="shared" si="21"/>
        <v>9.6404666138987363</v>
      </c>
      <c r="AI70" s="40">
        <f t="shared" si="22"/>
        <v>1469.0166687083909</v>
      </c>
      <c r="AJ70" s="65">
        <f t="shared" si="23"/>
        <v>14162.006149943982</v>
      </c>
      <c r="AK70" s="65">
        <f t="shared" si="24"/>
        <v>7414.6186180617897</v>
      </c>
      <c r="AL70" s="65">
        <f t="shared" si="25"/>
        <v>3606.1103752128947</v>
      </c>
      <c r="AM70" s="40">
        <f t="shared" si="26"/>
        <v>1191.8083085187325</v>
      </c>
      <c r="AN70" s="40">
        <f t="shared" si="27"/>
        <v>707.31027071949484</v>
      </c>
      <c r="AO70" s="40">
        <f t="shared" si="28"/>
        <v>1191.8083085187325</v>
      </c>
      <c r="AP70" s="40">
        <f t="shared" si="29"/>
        <v>1342.8737316861723</v>
      </c>
      <c r="AQ70" s="40">
        <f t="shared" si="30"/>
        <v>1513.0871687696424</v>
      </c>
      <c r="AR70" s="41">
        <f t="shared" si="31"/>
        <v>0.70575166037173942</v>
      </c>
      <c r="AS70" s="41">
        <f t="shared" si="32"/>
        <v>0.28662343932003842</v>
      </c>
      <c r="AT70" s="64">
        <f t="shared" si="33"/>
        <v>0</v>
      </c>
      <c r="AU70" s="64">
        <f>APPLICANTS_PER_YEAR*($H70/Segments!$AH$2)*AS70</f>
        <v>9.6305475611532909</v>
      </c>
      <c r="AV70" s="64">
        <f t="shared" si="34"/>
        <v>9.6305475611532909</v>
      </c>
      <c r="AW70" s="40">
        <f t="shared" si="35"/>
        <v>1513.0871687696424</v>
      </c>
      <c r="AX70" s="65">
        <f t="shared" si="36"/>
        <v>14571.857943006818</v>
      </c>
      <c r="AY70" s="65">
        <f t="shared" si="37"/>
        <v>7629.1994269750621</v>
      </c>
      <c r="AZ70" s="65">
        <f t="shared" si="38"/>
        <v>3697.4708194854256</v>
      </c>
    </row>
    <row r="71" spans="1:52" ht="15" customHeight="1" x14ac:dyDescent="0.35">
      <c r="A71" s="61" t="str">
        <f>Segments!$A$51</f>
        <v>Non-greek</v>
      </c>
      <c r="B71" s="61" t="str">
        <f>Segments!$B$51</f>
        <v>Off 0-1mi</v>
      </c>
      <c r="C71" s="61" t="str">
        <f>Segments!$C$51</f>
        <v>Yes</v>
      </c>
      <c r="D71" s="61" t="str">
        <f>Segments!$D$51</f>
        <v>1.0-2.0</v>
      </c>
      <c r="E71" s="61" t="str">
        <f>Segments!$E$51</f>
        <v>Sophomore</v>
      </c>
      <c r="F71" s="61">
        <f>Segments!$F$51</f>
        <v>1</v>
      </c>
      <c r="G71" s="61" t="str">
        <f>Segments!$G$51</f>
        <v>Sophomore</v>
      </c>
      <c r="H71" s="62">
        <f>Segments!$H$51</f>
        <v>26</v>
      </c>
      <c r="I71" s="63">
        <f>Segments!$Y$51</f>
        <v>659.92484473014042</v>
      </c>
      <c r="J71" s="42">
        <v>1</v>
      </c>
      <c r="K71" s="40">
        <f t="shared" si="0"/>
        <v>1426.2297754450396</v>
      </c>
      <c r="L71" s="40">
        <f t="shared" si="1"/>
        <v>659.92484473014042</v>
      </c>
      <c r="M71" s="40">
        <f t="shared" si="2"/>
        <v>1114.7559117087485</v>
      </c>
      <c r="N71" s="40">
        <f t="shared" si="3"/>
        <v>1260.9116042103819</v>
      </c>
      <c r="O71" s="40">
        <f t="shared" si="4"/>
        <v>1426.2297754450396</v>
      </c>
      <c r="P71" s="41">
        <f t="shared" si="5"/>
        <v>0.78444497985321315</v>
      </c>
      <c r="Q71" s="41">
        <f t="shared" si="6"/>
        <v>0.28444497985321315</v>
      </c>
      <c r="R71" s="64">
        <f t="shared" si="7"/>
        <v>21.964459435889967</v>
      </c>
      <c r="S71" s="64">
        <f>APPLICANTS_PER_YEAR*($H71/Segments!$AH$2)*Q71</f>
        <v>8.8746833714202502</v>
      </c>
      <c r="T71" s="64">
        <f t="shared" si="8"/>
        <v>30.839142807310218</v>
      </c>
      <c r="U71" s="40">
        <f t="shared" si="9"/>
        <v>1426.2297754450396</v>
      </c>
      <c r="V71" s="65">
        <f t="shared" si="10"/>
        <v>43983.703720987563</v>
      </c>
      <c r="W71" s="65">
        <f t="shared" si="11"/>
        <v>22793.698512171806</v>
      </c>
      <c r="X71" s="65">
        <f t="shared" si="12"/>
        <v>9594.5767622171879</v>
      </c>
      <c r="Y71" s="40">
        <f t="shared" si="13"/>
        <v>1426.2297754450396</v>
      </c>
      <c r="Z71" s="40">
        <f t="shared" si="14"/>
        <v>679.72259007204468</v>
      </c>
      <c r="AA71" s="40">
        <f t="shared" si="15"/>
        <v>1146.948589060011</v>
      </c>
      <c r="AB71" s="40">
        <f t="shared" si="16"/>
        <v>1298.0318160510267</v>
      </c>
      <c r="AC71" s="40">
        <f t="shared" si="17"/>
        <v>1469.0166687083909</v>
      </c>
      <c r="AD71" s="41">
        <f t="shared" si="18"/>
        <v>0.77513687918006979</v>
      </c>
      <c r="AE71" s="41">
        <f t="shared" si="19"/>
        <v>0.2841368791800698</v>
      </c>
      <c r="AF71" s="64">
        <f t="shared" si="20"/>
        <v>7.4805878649191415</v>
      </c>
      <c r="AG71" s="64">
        <f>APPLICANTS_PER_YEAR*($H71/Segments!$AH$2)*AE71</f>
        <v>8.8650706304181774</v>
      </c>
      <c r="AH71" s="64">
        <f t="shared" si="21"/>
        <v>16.345658495337318</v>
      </c>
      <c r="AI71" s="40">
        <f t="shared" si="22"/>
        <v>1469.0166687083909</v>
      </c>
      <c r="AJ71" s="65">
        <f t="shared" si="23"/>
        <v>24012.044790665437</v>
      </c>
      <c r="AK71" s="65">
        <f t="shared" si="24"/>
        <v>12443.77492834986</v>
      </c>
      <c r="AL71" s="65">
        <f t="shared" si="25"/>
        <v>5542.6191794906217</v>
      </c>
      <c r="AM71" s="40">
        <f t="shared" si="26"/>
        <v>1469.0166687083909</v>
      </c>
      <c r="AN71" s="40">
        <f t="shared" si="27"/>
        <v>700.11426777420593</v>
      </c>
      <c r="AO71" s="40">
        <f t="shared" si="28"/>
        <v>1180.1070467318111</v>
      </c>
      <c r="AP71" s="40">
        <f t="shared" si="29"/>
        <v>1336.2652544253856</v>
      </c>
      <c r="AQ71" s="40">
        <f t="shared" si="30"/>
        <v>1513.0871687696424</v>
      </c>
      <c r="AR71" s="41">
        <f t="shared" si="31"/>
        <v>0.77483727004849323</v>
      </c>
      <c r="AS71" s="41">
        <f t="shared" si="32"/>
        <v>0.28383727004849313</v>
      </c>
      <c r="AT71" s="64">
        <f t="shared" si="33"/>
        <v>7.4697928331069381</v>
      </c>
      <c r="AU71" s="64">
        <f>APPLICANTS_PER_YEAR*($H71/Segments!$AH$2)*AS71</f>
        <v>8.8557228255129861</v>
      </c>
      <c r="AV71" s="64">
        <f t="shared" si="34"/>
        <v>16.325515658619924</v>
      </c>
      <c r="AW71" s="40">
        <f t="shared" si="35"/>
        <v>1513.0871687696424</v>
      </c>
      <c r="AX71" s="65">
        <f t="shared" si="36"/>
        <v>24701.928266605686</v>
      </c>
      <c r="AY71" s="65">
        <f t="shared" si="37"/>
        <v>12801.293614335545</v>
      </c>
      <c r="AZ71" s="65">
        <f t="shared" si="38"/>
        <v>5685.5496464099424</v>
      </c>
    </row>
    <row r="72" spans="1:52" ht="15" customHeight="1" x14ac:dyDescent="0.35">
      <c r="A72" s="61" t="str">
        <f>Segments!$A$52</f>
        <v>Non-greek</v>
      </c>
      <c r="B72" s="61" t="str">
        <f>Segments!$B$52</f>
        <v>Off 0-1mi</v>
      </c>
      <c r="C72" s="61" t="str">
        <f>Segments!$C$52</f>
        <v>Yes</v>
      </c>
      <c r="D72" s="61" t="str">
        <f>Segments!$D$52</f>
        <v>1.0-2.0</v>
      </c>
      <c r="E72" s="61" t="str">
        <f>Segments!$E$52</f>
        <v>Junior</v>
      </c>
      <c r="F72" s="61">
        <f>Segments!$F$52</f>
        <v>2</v>
      </c>
      <c r="G72" s="61" t="str">
        <f>Segments!$G$52</f>
        <v>Base</v>
      </c>
      <c r="H72" s="62">
        <f>Segments!$H$52</f>
        <v>30</v>
      </c>
      <c r="I72" s="63">
        <f>Segments!$Y$52</f>
        <v>788.89106923519876</v>
      </c>
      <c r="J72" s="42">
        <v>2</v>
      </c>
      <c r="K72" s="40">
        <f t="shared" si="0"/>
        <v>1426.2297754450396</v>
      </c>
      <c r="L72" s="40">
        <f t="shared" si="1"/>
        <v>788.89106923519876</v>
      </c>
      <c r="M72" s="40">
        <f t="shared" si="2"/>
        <v>1324.4650469158837</v>
      </c>
      <c r="N72" s="40">
        <f t="shared" si="3"/>
        <v>1374.4058667102834</v>
      </c>
      <c r="O72" s="40">
        <f t="shared" si="4"/>
        <v>1426.2297754450396</v>
      </c>
      <c r="P72" s="41">
        <f t="shared" si="5"/>
        <v>0.83114679586649332</v>
      </c>
      <c r="Q72" s="41">
        <f t="shared" si="6"/>
        <v>0.33114679586649332</v>
      </c>
      <c r="R72" s="64">
        <f t="shared" si="7"/>
        <v>21.609816692528828</v>
      </c>
      <c r="S72" s="64">
        <f>APPLICANTS_PER_YEAR*($H72/Segments!$AH$2)*Q72</f>
        <v>11.921284651193758</v>
      </c>
      <c r="T72" s="64">
        <f t="shared" si="8"/>
        <v>33.531101343722582</v>
      </c>
      <c r="U72" s="40">
        <f t="shared" si="9"/>
        <v>1426.2297754450399</v>
      </c>
      <c r="V72" s="65">
        <f t="shared" si="10"/>
        <v>47823.05513988233</v>
      </c>
      <c r="W72" s="65">
        <f t="shared" si="11"/>
        <v>29626.672758685094</v>
      </c>
      <c r="X72" s="65">
        <f t="shared" si="12"/>
        <v>10602.298754180154</v>
      </c>
      <c r="Y72" s="40">
        <f t="shared" si="13"/>
        <v>1426.2297754450396</v>
      </c>
      <c r="Z72" s="40">
        <f t="shared" si="14"/>
        <v>812.5578013122547</v>
      </c>
      <c r="AA72" s="40">
        <f t="shared" si="15"/>
        <v>1362.94899832336</v>
      </c>
      <c r="AB72" s="40">
        <f t="shared" si="16"/>
        <v>1414.9893275697948</v>
      </c>
      <c r="AC72" s="40">
        <f t="shared" si="17"/>
        <v>1469.0166687083909</v>
      </c>
      <c r="AD72" s="41">
        <f t="shared" si="18"/>
        <v>0.82190892274382499</v>
      </c>
      <c r="AE72" s="41">
        <f t="shared" si="19"/>
        <v>0.330908922743825</v>
      </c>
      <c r="AF72" s="64">
        <f t="shared" si="20"/>
        <v>25.346966643099321</v>
      </c>
      <c r="AG72" s="64">
        <f>APPLICANTS_PER_YEAR*($H72/Segments!$AH$2)*AE72</f>
        <v>11.912721218777699</v>
      </c>
      <c r="AH72" s="64">
        <f t="shared" si="21"/>
        <v>37.259687861877019</v>
      </c>
      <c r="AI72" s="40">
        <f t="shared" si="22"/>
        <v>1469.0166687083911</v>
      </c>
      <c r="AJ72" s="65">
        <f t="shared" si="23"/>
        <v>54735.102539969055</v>
      </c>
      <c r="AK72" s="65">
        <f t="shared" si="24"/>
        <v>33908.728052223021</v>
      </c>
      <c r="AL72" s="65">
        <f t="shared" si="25"/>
        <v>12000.445679163255</v>
      </c>
      <c r="AM72" s="40">
        <f t="shared" si="26"/>
        <v>1469.0166687083909</v>
      </c>
      <c r="AN72" s="40">
        <f t="shared" si="27"/>
        <v>836.93453535162234</v>
      </c>
      <c r="AO72" s="40">
        <f t="shared" si="28"/>
        <v>1402.5874682730609</v>
      </c>
      <c r="AP72" s="40">
        <f t="shared" si="29"/>
        <v>1456.7899990462136</v>
      </c>
      <c r="AQ72" s="40">
        <f t="shared" si="30"/>
        <v>1513.0871687696424</v>
      </c>
      <c r="AR72" s="41">
        <f t="shared" si="31"/>
        <v>0.82167766467360182</v>
      </c>
      <c r="AS72" s="41">
        <f t="shared" si="32"/>
        <v>0.33067766467360171</v>
      </c>
      <c r="AT72" s="64">
        <f t="shared" si="33"/>
        <v>13.430862500000988</v>
      </c>
      <c r="AU72" s="64">
        <f>APPLICANTS_PER_YEAR*($H72/Segments!$AH$2)*AS72</f>
        <v>11.904395928249661</v>
      </c>
      <c r="AV72" s="64">
        <f t="shared" si="34"/>
        <v>25.335258428250647</v>
      </c>
      <c r="AW72" s="40">
        <f t="shared" si="35"/>
        <v>1513.0871687696424</v>
      </c>
      <c r="AX72" s="65">
        <f t="shared" si="36"/>
        <v>38334.454445248994</v>
      </c>
      <c r="AY72" s="65">
        <f t="shared" si="37"/>
        <v>23748.427069540579</v>
      </c>
      <c r="AZ72" s="65">
        <f t="shared" si="38"/>
        <v>8679.9605625078984</v>
      </c>
    </row>
    <row r="73" spans="1:52" ht="15" customHeight="1" x14ac:dyDescent="0.35">
      <c r="A73" s="61" t="str">
        <f>Segments!$A$53</f>
        <v>Non-greek</v>
      </c>
      <c r="B73" s="61" t="str">
        <f>Segments!$B$53</f>
        <v>Off 0-1mi</v>
      </c>
      <c r="C73" s="61" t="str">
        <f>Segments!$C$53</f>
        <v>Yes</v>
      </c>
      <c r="D73" s="61" t="str">
        <f>Segments!$D$53</f>
        <v>1.0-2.0</v>
      </c>
      <c r="E73" s="61" t="str">
        <f>Segments!$E$53</f>
        <v>Senior</v>
      </c>
      <c r="F73" s="61">
        <f>Segments!$F$53</f>
        <v>3</v>
      </c>
      <c r="G73" s="61" t="str">
        <f>Segments!$G$53</f>
        <v>Base</v>
      </c>
      <c r="H73" s="62">
        <f>Segments!$H$53</f>
        <v>32</v>
      </c>
      <c r="I73" s="63">
        <f>Segments!$Y$53</f>
        <v>737.36658691985622</v>
      </c>
      <c r="J73" s="42">
        <v>3</v>
      </c>
      <c r="K73" s="40">
        <f t="shared" si="0"/>
        <v>1426.2297754450396</v>
      </c>
      <c r="L73" s="40">
        <f t="shared" si="1"/>
        <v>737.36658691985622</v>
      </c>
      <c r="M73" s="40">
        <f t="shared" si="2"/>
        <v>1240.6822218404545</v>
      </c>
      <c r="N73" s="40">
        <f t="shared" si="3"/>
        <v>1330.2247654641542</v>
      </c>
      <c r="O73" s="40">
        <f t="shared" si="4"/>
        <v>1426.2297754450396</v>
      </c>
      <c r="P73" s="41">
        <f t="shared" si="5"/>
        <v>0.81391398939735327</v>
      </c>
      <c r="Q73" s="41">
        <f t="shared" si="6"/>
        <v>0.31391398939735327</v>
      </c>
      <c r="R73" s="64">
        <f t="shared" si="7"/>
        <v>24.417419681920599</v>
      </c>
      <c r="S73" s="64">
        <f>APPLICANTS_PER_YEAR*($H73/Segments!$AH$2)*Q73</f>
        <v>12.054297192858366</v>
      </c>
      <c r="T73" s="64">
        <f t="shared" si="8"/>
        <v>36.471716874778963</v>
      </c>
      <c r="U73" s="40">
        <f t="shared" si="9"/>
        <v>1426.2297754450396</v>
      </c>
      <c r="V73" s="65">
        <f t="shared" si="10"/>
        <v>52017.048568411061</v>
      </c>
      <c r="W73" s="65">
        <f t="shared" si="11"/>
        <v>30120.188437990662</v>
      </c>
      <c r="X73" s="65">
        <f t="shared" si="12"/>
        <v>11463.740861994866</v>
      </c>
      <c r="Y73" s="40">
        <f t="shared" si="13"/>
        <v>1426.2297754450399</v>
      </c>
      <c r="Z73" s="40">
        <f t="shared" si="14"/>
        <v>759.48758452745187</v>
      </c>
      <c r="AA73" s="40">
        <f t="shared" si="15"/>
        <v>1276.6526884956681</v>
      </c>
      <c r="AB73" s="40">
        <f t="shared" si="16"/>
        <v>1369.4612369656606</v>
      </c>
      <c r="AC73" s="40">
        <f t="shared" si="17"/>
        <v>1469.0166687083909</v>
      </c>
      <c r="AD73" s="41">
        <f t="shared" si="18"/>
        <v>0.8046516065385988</v>
      </c>
      <c r="AE73" s="41">
        <f t="shared" si="19"/>
        <v>0.31365160653859869</v>
      </c>
      <c r="AF73" s="64">
        <f t="shared" si="20"/>
        <v>26.980854565234946</v>
      </c>
      <c r="AG73" s="64">
        <f>APPLICANTS_PER_YEAR*($H73/Segments!$AH$2)*AE73</f>
        <v>12.044221691082189</v>
      </c>
      <c r="AH73" s="64">
        <f t="shared" si="21"/>
        <v>39.025076256317135</v>
      </c>
      <c r="AI73" s="40">
        <f t="shared" si="22"/>
        <v>1469.0166687083909</v>
      </c>
      <c r="AJ73" s="65">
        <f t="shared" si="23"/>
        <v>57328.487518145921</v>
      </c>
      <c r="AK73" s="65">
        <f t="shared" si="24"/>
        <v>33195.748210139107</v>
      </c>
      <c r="AL73" s="65">
        <f t="shared" si="25"/>
        <v>12535.951893236639</v>
      </c>
      <c r="AM73" s="40">
        <f t="shared" si="26"/>
        <v>1469.0166687083911</v>
      </c>
      <c r="AN73" s="40">
        <f t="shared" si="27"/>
        <v>782.27221206327545</v>
      </c>
      <c r="AO73" s="40">
        <f t="shared" si="28"/>
        <v>1313.7022691505383</v>
      </c>
      <c r="AP73" s="40">
        <f t="shared" si="29"/>
        <v>1409.8744791772219</v>
      </c>
      <c r="AQ73" s="40">
        <f t="shared" si="30"/>
        <v>1513.0871687696424</v>
      </c>
      <c r="AR73" s="41">
        <f t="shared" si="31"/>
        <v>0.8043964969517523</v>
      </c>
      <c r="AS73" s="41">
        <f t="shared" si="32"/>
        <v>0.3133964969517522</v>
      </c>
      <c r="AT73" s="64">
        <f t="shared" si="33"/>
        <v>29.971562393609599</v>
      </c>
      <c r="AU73" s="64">
        <f>APPLICANTS_PER_YEAR*($H73/Segments!$AH$2)*AS73</f>
        <v>12.034425482947285</v>
      </c>
      <c r="AV73" s="64">
        <f t="shared" si="34"/>
        <v>42.005987876556887</v>
      </c>
      <c r="AW73" s="40">
        <f t="shared" si="35"/>
        <v>1513.0871687696422</v>
      </c>
      <c r="AX73" s="65">
        <f t="shared" si="36"/>
        <v>63558.721267511377</v>
      </c>
      <c r="AY73" s="65">
        <f t="shared" si="37"/>
        <v>36803.331102828968</v>
      </c>
      <c r="AZ73" s="65">
        <f t="shared" si="38"/>
        <v>13790.898431526137</v>
      </c>
    </row>
    <row r="74" spans="1:52" ht="15" customHeight="1" x14ac:dyDescent="0.35">
      <c r="A74" s="61" t="str">
        <f>Segments!$A$54</f>
        <v>Non-greek</v>
      </c>
      <c r="B74" s="61" t="str">
        <f>Segments!$B$54</f>
        <v>Off 0-1mi</v>
      </c>
      <c r="C74" s="61" t="str">
        <f>Segments!$C$54</f>
        <v>Yes</v>
      </c>
      <c r="D74" s="61" t="str">
        <f>Segments!$D$54</f>
        <v>1.0-2.0</v>
      </c>
      <c r="E74" s="61" t="str">
        <f>Segments!$E$54</f>
        <v>Grad student</v>
      </c>
      <c r="F74" s="61">
        <f>Segments!$F$54</f>
        <v>3</v>
      </c>
      <c r="G74" s="61" t="str">
        <f>Segments!$G$54</f>
        <v>Grad</v>
      </c>
      <c r="H74" s="62">
        <f>Segments!$H$54</f>
        <v>8</v>
      </c>
      <c r="I74" s="63">
        <f>Segments!$Y$54</f>
        <v>877.9679625517324</v>
      </c>
      <c r="J74" s="42">
        <v>4</v>
      </c>
      <c r="K74" s="40">
        <f t="shared" si="0"/>
        <v>1426.2297754450396</v>
      </c>
      <c r="L74" s="40">
        <f t="shared" si="1"/>
        <v>877.9679625517324</v>
      </c>
      <c r="M74" s="40">
        <f t="shared" si="2"/>
        <v>1469.3110198521219</v>
      </c>
      <c r="N74" s="40">
        <f t="shared" si="3"/>
        <v>1447.6101429261312</v>
      </c>
      <c r="O74" s="40">
        <f t="shared" si="4"/>
        <v>1426.2297754450396</v>
      </c>
      <c r="P74" s="41">
        <f t="shared" si="5"/>
        <v>0.8573847118250616</v>
      </c>
      <c r="Q74" s="41">
        <f t="shared" si="6"/>
        <v>0.3573847118250616</v>
      </c>
      <c r="R74" s="64">
        <f t="shared" si="7"/>
        <v>3.4295388473002464</v>
      </c>
      <c r="S74" s="64">
        <f>APPLICANTS_PER_YEAR*($H74/Segments!$AH$2)*Q74</f>
        <v>3.4308932335205911</v>
      </c>
      <c r="T74" s="64">
        <f t="shared" si="8"/>
        <v>6.8604320808208374</v>
      </c>
      <c r="U74" s="40">
        <f t="shared" si="9"/>
        <v>1426.2297754450396</v>
      </c>
      <c r="V74" s="65">
        <f t="shared" si="10"/>
        <v>9784.5525060850487</v>
      </c>
      <c r="W74" s="65">
        <f t="shared" si="11"/>
        <v>6746.0283253695507</v>
      </c>
      <c r="X74" s="65">
        <f t="shared" si="12"/>
        <v>2243.5248691152046</v>
      </c>
      <c r="Y74" s="40">
        <f t="shared" si="13"/>
        <v>1426.2297754450396</v>
      </c>
      <c r="Z74" s="40">
        <f t="shared" si="14"/>
        <v>904.30700142828437</v>
      </c>
      <c r="AA74" s="40">
        <f t="shared" si="15"/>
        <v>1512.1403504476855</v>
      </c>
      <c r="AB74" s="40">
        <f t="shared" si="16"/>
        <v>1490.4225509009843</v>
      </c>
      <c r="AC74" s="40">
        <f t="shared" si="17"/>
        <v>1469.0166687083909</v>
      </c>
      <c r="AD74" s="41">
        <f t="shared" si="18"/>
        <v>0.84818114543410961</v>
      </c>
      <c r="AE74" s="41">
        <f t="shared" si="19"/>
        <v>0.35718114543410967</v>
      </c>
      <c r="AF74" s="64">
        <f t="shared" si="20"/>
        <v>2.9094445702417651</v>
      </c>
      <c r="AG74" s="64">
        <f>APPLICANTS_PER_YEAR*($H74/Segments!$AH$2)*AE74</f>
        <v>3.4289389961674526</v>
      </c>
      <c r="AH74" s="64">
        <f t="shared" si="21"/>
        <v>6.3383835664092176</v>
      </c>
      <c r="AI74" s="40">
        <f t="shared" si="22"/>
        <v>1469.0166687083906</v>
      </c>
      <c r="AJ74" s="65">
        <f t="shared" si="23"/>
        <v>9311.1911117224772</v>
      </c>
      <c r="AK74" s="65">
        <f t="shared" si="24"/>
        <v>6419.6659932628554</v>
      </c>
      <c r="AL74" s="65">
        <f t="shared" si="25"/>
        <v>2148.607165295316</v>
      </c>
      <c r="AM74" s="40">
        <f t="shared" si="26"/>
        <v>1469.0166687083906</v>
      </c>
      <c r="AN74" s="40">
        <f t="shared" si="27"/>
        <v>931.43621147113288</v>
      </c>
      <c r="AO74" s="40">
        <f t="shared" si="28"/>
        <v>1556.2545609611161</v>
      </c>
      <c r="AP74" s="40">
        <f t="shared" si="29"/>
        <v>1534.5190802103109</v>
      </c>
      <c r="AQ74" s="40">
        <f t="shared" si="30"/>
        <v>1513.0871687696424</v>
      </c>
      <c r="AR74" s="41">
        <f t="shared" si="31"/>
        <v>0.84798326652208555</v>
      </c>
      <c r="AS74" s="41">
        <f t="shared" si="32"/>
        <v>0.35698326652208556</v>
      </c>
      <c r="AT74" s="64">
        <f t="shared" si="33"/>
        <v>2.6874216005567972</v>
      </c>
      <c r="AU74" s="64">
        <f>APPLICANTS_PER_YEAR*($H74/Segments!$AH$2)*AS74</f>
        <v>3.4270393586120211</v>
      </c>
      <c r="AV74" s="64">
        <f t="shared" si="34"/>
        <v>6.1144609591688184</v>
      </c>
      <c r="AW74" s="40">
        <f t="shared" si="35"/>
        <v>1513.0871687696424</v>
      </c>
      <c r="AX74" s="65">
        <f t="shared" si="36"/>
        <v>9251.7124212612598</v>
      </c>
      <c r="AY74" s="65">
        <f t="shared" si="37"/>
        <v>6378.6579931159158</v>
      </c>
      <c r="AZ74" s="65">
        <f t="shared" si="38"/>
        <v>2138.0281755805086</v>
      </c>
    </row>
    <row r="75" spans="1:52" ht="15" customHeight="1" x14ac:dyDescent="0.35">
      <c r="A75" s="59" t="str">
        <f>Segments!$A$55</f>
        <v>Non-greek</v>
      </c>
      <c r="B75" s="59" t="str">
        <f>Segments!$B$55</f>
        <v>Off 0-1mi</v>
      </c>
      <c r="C75" s="59" t="str">
        <f>Segments!$C$55</f>
        <v>Yes</v>
      </c>
      <c r="D75" s="59" t="str">
        <f>Segments!$D$55</f>
        <v>2.0-3.0</v>
      </c>
      <c r="E75" s="59" t="str">
        <f>Segments!$E$55</f>
        <v>Freshman</v>
      </c>
      <c r="F75" s="59">
        <f>Segments!$F$55</f>
        <v>1</v>
      </c>
      <c r="G75" s="59" t="str">
        <f>Segments!$G$55</f>
        <v>Base</v>
      </c>
      <c r="H75" s="60">
        <f>Segments!$H$55</f>
        <v>39</v>
      </c>
      <c r="I75" s="26">
        <f>Segments!$Y$55</f>
        <v>655.1602021423588</v>
      </c>
      <c r="J75" s="29">
        <v>0</v>
      </c>
      <c r="K75" s="14">
        <f t="shared" si="0"/>
        <v>1107.0082314111403</v>
      </c>
      <c r="L75" s="14">
        <f t="shared" si="1"/>
        <v>655.1602021423588</v>
      </c>
      <c r="M75" s="14">
        <f t="shared" si="2"/>
        <v>1107.0082314111403</v>
      </c>
      <c r="N75" s="14">
        <f t="shared" si="3"/>
        <v>1256.5222247542306</v>
      </c>
      <c r="O75" s="14">
        <f t="shared" si="4"/>
        <v>1426.2297754450396</v>
      </c>
      <c r="P75" s="33">
        <f t="shared" si="5"/>
        <v>0.69596007957019157</v>
      </c>
      <c r="Q75" s="33">
        <f t="shared" si="6"/>
        <v>0.28246933983837685</v>
      </c>
      <c r="R75" s="51">
        <f t="shared" si="7"/>
        <v>0</v>
      </c>
      <c r="S75" s="51">
        <f>APPLICANTS_PER_YEAR*($H75/Segments!$AH$2)*Q75</f>
        <v>13.219565104436036</v>
      </c>
      <c r="T75" s="51">
        <f t="shared" si="8"/>
        <v>13.219565104436036</v>
      </c>
      <c r="U75" s="14">
        <f t="shared" si="9"/>
        <v>1426.2297754450396</v>
      </c>
      <c r="V75" s="44">
        <f t="shared" si="10"/>
        <v>18854.137370380889</v>
      </c>
      <c r="W75" s="44">
        <f t="shared" si="11"/>
        <v>9700.2448995831528</v>
      </c>
      <c r="X75" s="44">
        <f t="shared" si="12"/>
        <v>4818.2072006649414</v>
      </c>
      <c r="Y75" s="14">
        <f t="shared" si="13"/>
        <v>1138.9684783534744</v>
      </c>
      <c r="Z75" s="14">
        <f t="shared" si="14"/>
        <v>674.81500820662961</v>
      </c>
      <c r="AA75" s="14">
        <f t="shared" si="15"/>
        <v>1138.9684783534744</v>
      </c>
      <c r="AB75" s="14">
        <f t="shared" si="16"/>
        <v>1293.5082836358977</v>
      </c>
      <c r="AC75" s="14">
        <f t="shared" si="17"/>
        <v>1469.0166687083909</v>
      </c>
      <c r="AD75" s="33">
        <f t="shared" si="18"/>
        <v>0.69522454914421483</v>
      </c>
      <c r="AE75" s="33">
        <f t="shared" si="19"/>
        <v>0.28215799724948032</v>
      </c>
      <c r="AF75" s="51">
        <f t="shared" si="20"/>
        <v>0</v>
      </c>
      <c r="AG75" s="51">
        <f>APPLICANTS_PER_YEAR*($H75/Segments!$AH$2)*AE75</f>
        <v>13.204994271275678</v>
      </c>
      <c r="AH75" s="51">
        <f t="shared" si="21"/>
        <v>13.204994271275678</v>
      </c>
      <c r="AI75" s="14">
        <f t="shared" si="22"/>
        <v>1469.0166687083909</v>
      </c>
      <c r="AJ75" s="44">
        <f t="shared" si="23"/>
        <v>19398.356694702783</v>
      </c>
      <c r="AK75" s="44">
        <f t="shared" si="24"/>
        <v>9980.239715644122</v>
      </c>
      <c r="AL75" s="44">
        <f t="shared" si="25"/>
        <v>4939.4566418208296</v>
      </c>
      <c r="AM75" s="14">
        <f t="shared" si="26"/>
        <v>1171.8875327040785</v>
      </c>
      <c r="AN75" s="14">
        <f t="shared" si="27"/>
        <v>695.05945845282838</v>
      </c>
      <c r="AO75" s="14">
        <f t="shared" si="28"/>
        <v>1171.8875327040785</v>
      </c>
      <c r="AP75" s="14">
        <f t="shared" si="29"/>
        <v>1331.6035404637732</v>
      </c>
      <c r="AQ75" s="14">
        <f t="shared" si="30"/>
        <v>1513.0871687696424</v>
      </c>
      <c r="AR75" s="33">
        <f t="shared" si="31"/>
        <v>0.69450905943247232</v>
      </c>
      <c r="AS75" s="33">
        <f t="shared" si="32"/>
        <v>0.28185523213513619</v>
      </c>
      <c r="AT75" s="51">
        <f t="shared" si="33"/>
        <v>0</v>
      </c>
      <c r="AU75" s="51">
        <f>APPLICANTS_PER_YEAR*($H75/Segments!$AH$2)*AS75</f>
        <v>13.190824863924373</v>
      </c>
      <c r="AV75" s="51">
        <f t="shared" si="34"/>
        <v>13.190824863924373</v>
      </c>
      <c r="AW75" s="14">
        <f t="shared" si="35"/>
        <v>1513.0871687696424</v>
      </c>
      <c r="AX75" s="44">
        <f t="shared" si="36"/>
        <v>19958.867847091533</v>
      </c>
      <c r="AY75" s="44">
        <f t="shared" si="37"/>
        <v>10268.616496841225</v>
      </c>
      <c r="AZ75" s="44">
        <f t="shared" si="38"/>
        <v>5064.373516625099</v>
      </c>
    </row>
    <row r="76" spans="1:52" ht="15" customHeight="1" x14ac:dyDescent="0.35">
      <c r="A76" s="59" t="str">
        <f>Segments!$A$56</f>
        <v>Non-greek</v>
      </c>
      <c r="B76" s="59" t="str">
        <f>Segments!$B$56</f>
        <v>Off 0-1mi</v>
      </c>
      <c r="C76" s="59" t="str">
        <f>Segments!$C$56</f>
        <v>Yes</v>
      </c>
      <c r="D76" s="59" t="str">
        <f>Segments!$D$56</f>
        <v>2.0-3.0</v>
      </c>
      <c r="E76" s="59" t="str">
        <f>Segments!$E$56</f>
        <v>Sophomore</v>
      </c>
      <c r="F76" s="59">
        <f>Segments!$F$56</f>
        <v>1</v>
      </c>
      <c r="G76" s="59" t="str">
        <f>Segments!$G$56</f>
        <v>Sophomore</v>
      </c>
      <c r="H76" s="60">
        <f>Segments!$H$56</f>
        <v>42</v>
      </c>
      <c r="I76" s="26">
        <f>Segments!$Y$56</f>
        <v>648.49476133169901</v>
      </c>
      <c r="J76" s="29">
        <v>1</v>
      </c>
      <c r="K76" s="14">
        <f t="shared" si="0"/>
        <v>1426.2297754450396</v>
      </c>
      <c r="L76" s="14">
        <f t="shared" si="1"/>
        <v>648.49476133169901</v>
      </c>
      <c r="M76" s="14">
        <f t="shared" si="2"/>
        <v>1096.1697050175651</v>
      </c>
      <c r="N76" s="14">
        <f t="shared" si="3"/>
        <v>1250.3558982293232</v>
      </c>
      <c r="O76" s="14">
        <f t="shared" si="4"/>
        <v>1426.2297754450396</v>
      </c>
      <c r="P76" s="33">
        <f t="shared" si="5"/>
        <v>0.77967047323694871</v>
      </c>
      <c r="Q76" s="33">
        <f t="shared" si="6"/>
        <v>0.27967047323694871</v>
      </c>
      <c r="R76" s="51">
        <f t="shared" si="7"/>
        <v>30.407148456241</v>
      </c>
      <c r="S76" s="51">
        <f>APPLICANTS_PER_YEAR*($H76/Segments!$AH$2)*Q76</f>
        <v>14.095391851142216</v>
      </c>
      <c r="T76" s="51">
        <f t="shared" si="8"/>
        <v>44.502540307383214</v>
      </c>
      <c r="U76" s="14">
        <f t="shared" si="9"/>
        <v>1426.2297754450396</v>
      </c>
      <c r="V76" s="44">
        <f t="shared" si="10"/>
        <v>63470.848069332991</v>
      </c>
      <c r="W76" s="44">
        <f t="shared" si="11"/>
        <v>32322.823965925687</v>
      </c>
      <c r="X76" s="44">
        <f t="shared" si="12"/>
        <v>13942.04025194341</v>
      </c>
      <c r="Y76" s="14">
        <f t="shared" si="13"/>
        <v>1426.2297754450396</v>
      </c>
      <c r="Z76" s="14">
        <f t="shared" si="14"/>
        <v>667.94960417164998</v>
      </c>
      <c r="AA76" s="14">
        <f t="shared" si="15"/>
        <v>1127.804796168092</v>
      </c>
      <c r="AB76" s="14">
        <f t="shared" si="16"/>
        <v>1287.1534658385517</v>
      </c>
      <c r="AC76" s="14">
        <f t="shared" si="17"/>
        <v>1469.0166687083909</v>
      </c>
      <c r="AD76" s="33">
        <f t="shared" si="18"/>
        <v>0.77035449901797082</v>
      </c>
      <c r="AE76" s="33">
        <f t="shared" si="19"/>
        <v>0.27935449901797083</v>
      </c>
      <c r="AF76" s="51">
        <f t="shared" si="20"/>
        <v>10.183751453263271</v>
      </c>
      <c r="AG76" s="51">
        <f>APPLICANTS_PER_YEAR*($H76/Segments!$AH$2)*AE76</f>
        <v>14.079466750505729</v>
      </c>
      <c r="AH76" s="51">
        <f t="shared" si="21"/>
        <v>24.263218203769</v>
      </c>
      <c r="AI76" s="14">
        <f t="shared" si="22"/>
        <v>1469.0166687083909</v>
      </c>
      <c r="AJ76" s="44">
        <f t="shared" si="23"/>
        <v>35643.071977845524</v>
      </c>
      <c r="AK76" s="44">
        <f t="shared" si="24"/>
        <v>18151.399834554424</v>
      </c>
      <c r="AL76" s="44">
        <f t="shared" si="25"/>
        <v>8297.6956336564745</v>
      </c>
      <c r="AM76" s="14">
        <f t="shared" si="26"/>
        <v>1469.0166687083909</v>
      </c>
      <c r="AN76" s="14">
        <f t="shared" si="27"/>
        <v>687.98809229679944</v>
      </c>
      <c r="AO76" s="14">
        <f t="shared" si="28"/>
        <v>1160.3889400531348</v>
      </c>
      <c r="AP76" s="14">
        <f t="shared" si="29"/>
        <v>1325.0545709428741</v>
      </c>
      <c r="AQ76" s="14">
        <f t="shared" si="30"/>
        <v>1513.0871687696424</v>
      </c>
      <c r="AR76" s="33">
        <f t="shared" si="31"/>
        <v>0.77004722494071731</v>
      </c>
      <c r="AS76" s="33">
        <f t="shared" si="32"/>
        <v>0.27904722494071721</v>
      </c>
      <c r="AT76" s="51">
        <f t="shared" si="33"/>
        <v>10.168469193953905</v>
      </c>
      <c r="AU76" s="51">
        <f>APPLICANTS_PER_YEAR*($H76/Segments!$AH$2)*AS76</f>
        <v>14.063980137012146</v>
      </c>
      <c r="AV76" s="51">
        <f t="shared" si="34"/>
        <v>24.232449330966052</v>
      </c>
      <c r="AW76" s="14">
        <f t="shared" si="35"/>
        <v>1513.0871687696426</v>
      </c>
      <c r="AX76" s="44">
        <f t="shared" si="36"/>
        <v>36665.808150545243</v>
      </c>
      <c r="AY76" s="44">
        <f t="shared" si="37"/>
        <v>18672.232977317013</v>
      </c>
      <c r="AZ76" s="44">
        <f t="shared" si="38"/>
        <v>8510.8872065477208</v>
      </c>
    </row>
    <row r="77" spans="1:52" ht="15" customHeight="1" x14ac:dyDescent="0.35">
      <c r="A77" s="59" t="str">
        <f>Segments!$A$57</f>
        <v>Non-greek</v>
      </c>
      <c r="B77" s="59" t="str">
        <f>Segments!$B$57</f>
        <v>Off 0-1mi</v>
      </c>
      <c r="C77" s="59" t="str">
        <f>Segments!$C$57</f>
        <v>Yes</v>
      </c>
      <c r="D77" s="59" t="str">
        <f>Segments!$D$57</f>
        <v>2.0-3.0</v>
      </c>
      <c r="E77" s="59" t="str">
        <f>Segments!$E$57</f>
        <v>Junior</v>
      </c>
      <c r="F77" s="59">
        <f>Segments!$F$57</f>
        <v>2</v>
      </c>
      <c r="G77" s="59" t="str">
        <f>Segments!$G$57</f>
        <v>Base</v>
      </c>
      <c r="H77" s="60">
        <f>Segments!$H$57</f>
        <v>45</v>
      </c>
      <c r="I77" s="26">
        <f>Segments!$Y$57</f>
        <v>775.2272546574477</v>
      </c>
      <c r="J77" s="29">
        <v>2</v>
      </c>
      <c r="K77" s="14">
        <f t="shared" si="0"/>
        <v>1426.2297754450396</v>
      </c>
      <c r="L77" s="14">
        <f t="shared" si="1"/>
        <v>775.2272546574477</v>
      </c>
      <c r="M77" s="14">
        <f t="shared" si="2"/>
        <v>1302.2466191862386</v>
      </c>
      <c r="N77" s="14">
        <f t="shared" si="3"/>
        <v>1362.8290073431997</v>
      </c>
      <c r="O77" s="14">
        <f t="shared" si="4"/>
        <v>1426.2297754450396</v>
      </c>
      <c r="P77" s="33">
        <f t="shared" si="5"/>
        <v>0.82673927992425178</v>
      </c>
      <c r="Q77" s="33">
        <f t="shared" si="6"/>
        <v>0.32673927992425178</v>
      </c>
      <c r="R77" s="51">
        <f t="shared" si="7"/>
        <v>34.723049756818575</v>
      </c>
      <c r="S77" s="51">
        <f>APPLICANTS_PER_YEAR*($H77/Segments!$AH$2)*Q77</f>
        <v>17.643921115909595</v>
      </c>
      <c r="T77" s="51">
        <f t="shared" si="8"/>
        <v>52.366970872728174</v>
      </c>
      <c r="U77" s="14">
        <f t="shared" si="9"/>
        <v>1426.2297754450396</v>
      </c>
      <c r="V77" s="44">
        <f t="shared" si="10"/>
        <v>74687.333108548031</v>
      </c>
      <c r="W77" s="44">
        <f t="shared" si="11"/>
        <v>45467.859432118588</v>
      </c>
      <c r="X77" s="44">
        <f t="shared" si="12"/>
        <v>16485.09340065686</v>
      </c>
      <c r="Y77" s="14">
        <f t="shared" si="13"/>
        <v>1426.2297754450396</v>
      </c>
      <c r="Z77" s="14">
        <f t="shared" si="14"/>
        <v>798.48407229717111</v>
      </c>
      <c r="AA77" s="14">
        <f t="shared" si="15"/>
        <v>1340.0640177618257</v>
      </c>
      <c r="AB77" s="14">
        <f t="shared" si="16"/>
        <v>1403.0596492054281</v>
      </c>
      <c r="AC77" s="14">
        <f t="shared" si="17"/>
        <v>1469.0166687083909</v>
      </c>
      <c r="AD77" s="33">
        <f t="shared" si="18"/>
        <v>0.81749529029634793</v>
      </c>
      <c r="AE77" s="33">
        <f t="shared" si="19"/>
        <v>0.32649529029634794</v>
      </c>
      <c r="AF77" s="51">
        <f t="shared" si="20"/>
        <v>36.380617107509167</v>
      </c>
      <c r="AG77" s="51">
        <f>APPLICANTS_PER_YEAR*($H77/Segments!$AH$2)*AE77</f>
        <v>17.630745676002785</v>
      </c>
      <c r="AH77" s="51">
        <f t="shared" si="21"/>
        <v>54.011362783511956</v>
      </c>
      <c r="AI77" s="14">
        <f t="shared" si="22"/>
        <v>1469.0166687083909</v>
      </c>
      <c r="AJ77" s="44">
        <f t="shared" si="23"/>
        <v>79343.592228635098</v>
      </c>
      <c r="AK77" s="44">
        <f t="shared" si="24"/>
        <v>48302.478454382326</v>
      </c>
      <c r="AL77" s="44">
        <f t="shared" si="25"/>
        <v>17423.429903575572</v>
      </c>
      <c r="AM77" s="14">
        <f t="shared" si="26"/>
        <v>1469.0166687083909</v>
      </c>
      <c r="AN77" s="14">
        <f t="shared" si="27"/>
        <v>822.43859446608622</v>
      </c>
      <c r="AO77" s="14">
        <f t="shared" si="28"/>
        <v>1379.0159382946804</v>
      </c>
      <c r="AP77" s="14">
        <f t="shared" si="29"/>
        <v>1444.49690957181</v>
      </c>
      <c r="AQ77" s="14">
        <f t="shared" si="30"/>
        <v>1513.0871687696424</v>
      </c>
      <c r="AR77" s="33">
        <f t="shared" si="31"/>
        <v>0.81725808032425484</v>
      </c>
      <c r="AS77" s="33">
        <f t="shared" si="32"/>
        <v>0.32625808032425474</v>
      </c>
      <c r="AT77" s="51">
        <f t="shared" si="33"/>
        <v>19.829311131700766</v>
      </c>
      <c r="AU77" s="51">
        <f>APPLICANTS_PER_YEAR*($H77/Segments!$AH$2)*AS77</f>
        <v>17.617936337509754</v>
      </c>
      <c r="AV77" s="51">
        <f t="shared" si="34"/>
        <v>37.447247469210524</v>
      </c>
      <c r="AW77" s="14">
        <f t="shared" si="35"/>
        <v>1513.0871687696424</v>
      </c>
      <c r="AX77" s="44">
        <f t="shared" si="36"/>
        <v>56660.949651403906</v>
      </c>
      <c r="AY77" s="44">
        <f t="shared" si="37"/>
        <v>34493.828964225359</v>
      </c>
      <c r="AZ77" s="44">
        <f t="shared" si="38"/>
        <v>12831.324411374319</v>
      </c>
    </row>
    <row r="78" spans="1:52" ht="15" customHeight="1" x14ac:dyDescent="0.35">
      <c r="A78" s="59" t="str">
        <f>Segments!$A$58</f>
        <v>Non-greek</v>
      </c>
      <c r="B78" s="59" t="str">
        <f>Segments!$B$58</f>
        <v>Off 0-1mi</v>
      </c>
      <c r="C78" s="59" t="str">
        <f>Segments!$C$58</f>
        <v>Yes</v>
      </c>
      <c r="D78" s="59" t="str">
        <f>Segments!$D$58</f>
        <v>2.0-3.0</v>
      </c>
      <c r="E78" s="59" t="str">
        <f>Segments!$E$58</f>
        <v>Senior</v>
      </c>
      <c r="F78" s="59">
        <f>Segments!$F$58</f>
        <v>3</v>
      </c>
      <c r="G78" s="59" t="str">
        <f>Segments!$G$58</f>
        <v>Base</v>
      </c>
      <c r="H78" s="60">
        <f>Segments!$H$58</f>
        <v>40</v>
      </c>
      <c r="I78" s="26">
        <f>Segments!$Y$58</f>
        <v>724.59519082676854</v>
      </c>
      <c r="J78" s="29">
        <v>3</v>
      </c>
      <c r="K78" s="14">
        <f t="shared" si="0"/>
        <v>1426.2297754450396</v>
      </c>
      <c r="L78" s="14">
        <f t="shared" si="1"/>
        <v>724.59519082676854</v>
      </c>
      <c r="M78" s="14">
        <f t="shared" si="2"/>
        <v>1219.9149361395062</v>
      </c>
      <c r="N78" s="14">
        <f t="shared" si="3"/>
        <v>1319.044732157442</v>
      </c>
      <c r="O78" s="14">
        <f t="shared" si="4"/>
        <v>1426.2297754450396</v>
      </c>
      <c r="P78" s="33">
        <f t="shared" si="5"/>
        <v>0.80937020152747785</v>
      </c>
      <c r="Q78" s="33">
        <f t="shared" si="6"/>
        <v>0.30937020152747785</v>
      </c>
      <c r="R78" s="51">
        <f t="shared" si="7"/>
        <v>36.421659068736503</v>
      </c>
      <c r="S78" s="51">
        <f>APPLICANTS_PER_YEAR*($H78/Segments!$AH$2)*Q78</f>
        <v>14.849769673318937</v>
      </c>
      <c r="T78" s="51">
        <f t="shared" si="8"/>
        <v>51.271428742055441</v>
      </c>
      <c r="U78" s="14">
        <f t="shared" si="9"/>
        <v>1426.2297754450396</v>
      </c>
      <c r="V78" s="44">
        <f t="shared" si="10"/>
        <v>73124.838301528085</v>
      </c>
      <c r="W78" s="44">
        <f t="shared" si="11"/>
        <v>41609.154376508021</v>
      </c>
      <c r="X78" s="44">
        <f t="shared" si="12"/>
        <v>15958.53868399348</v>
      </c>
      <c r="Y78" s="14">
        <f t="shared" si="13"/>
        <v>1426.2297754450396</v>
      </c>
      <c r="Z78" s="14">
        <f t="shared" si="14"/>
        <v>746.33304655157167</v>
      </c>
      <c r="AA78" s="14">
        <f t="shared" si="15"/>
        <v>1255.2623842236915</v>
      </c>
      <c r="AB78" s="14">
        <f t="shared" si="16"/>
        <v>1357.9401187192459</v>
      </c>
      <c r="AC78" s="14">
        <f t="shared" si="17"/>
        <v>1469.0166687083909</v>
      </c>
      <c r="AD78" s="33">
        <f t="shared" si="18"/>
        <v>0.80010108683808978</v>
      </c>
      <c r="AE78" s="33">
        <f t="shared" si="19"/>
        <v>0.30910108683808979</v>
      </c>
      <c r="AF78" s="51">
        <f t="shared" si="20"/>
        <v>41.898870309688405</v>
      </c>
      <c r="AG78" s="51">
        <f>APPLICANTS_PER_YEAR*($H78/Segments!$AH$2)*AE78</f>
        <v>14.83685216822831</v>
      </c>
      <c r="AH78" s="51">
        <f t="shared" si="21"/>
        <v>56.735722477916717</v>
      </c>
      <c r="AI78" s="14">
        <f t="shared" si="22"/>
        <v>1469.0166687083906</v>
      </c>
      <c r="AJ78" s="44">
        <f t="shared" si="23"/>
        <v>83345.722031272977</v>
      </c>
      <c r="AK78" s="44">
        <f t="shared" si="24"/>
        <v>47424.993957877836</v>
      </c>
      <c r="AL78" s="44">
        <f t="shared" si="25"/>
        <v>18020.822627794772</v>
      </c>
      <c r="AM78" s="14">
        <f t="shared" si="26"/>
        <v>1469.0166687083909</v>
      </c>
      <c r="AN78" s="14">
        <f t="shared" si="27"/>
        <v>768.72303794811876</v>
      </c>
      <c r="AO78" s="14">
        <f t="shared" si="28"/>
        <v>1291.670255750402</v>
      </c>
      <c r="AP78" s="14">
        <f t="shared" si="29"/>
        <v>1398.0020351406274</v>
      </c>
      <c r="AQ78" s="14">
        <f t="shared" si="30"/>
        <v>1513.0871687696424</v>
      </c>
      <c r="AR78" s="33">
        <f t="shared" si="31"/>
        <v>0.79983942557442766</v>
      </c>
      <c r="AS78" s="33">
        <f t="shared" si="32"/>
        <v>0.30883942557442756</v>
      </c>
      <c r="AT78" s="51">
        <f t="shared" si="33"/>
        <v>43.200417383256223</v>
      </c>
      <c r="AU78" s="51">
        <f>APPLICANTS_PER_YEAR*($H78/Segments!$AH$2)*AS78</f>
        <v>14.824292427572523</v>
      </c>
      <c r="AV78" s="51">
        <f t="shared" si="34"/>
        <v>58.024709810828746</v>
      </c>
      <c r="AW78" s="14">
        <f t="shared" si="35"/>
        <v>1513.0871687696424</v>
      </c>
      <c r="AX78" s="44">
        <f t="shared" si="36"/>
        <v>87796.443886346955</v>
      </c>
      <c r="AY78" s="44">
        <f t="shared" si="37"/>
        <v>49957.522946058882</v>
      </c>
      <c r="AZ78" s="44">
        <f t="shared" si="38"/>
        <v>18909.695034464177</v>
      </c>
    </row>
    <row r="79" spans="1:52" ht="15" customHeight="1" x14ac:dyDescent="0.35">
      <c r="A79" s="59" t="str">
        <f>Segments!$A$59</f>
        <v>Non-greek</v>
      </c>
      <c r="B79" s="59" t="str">
        <f>Segments!$B$59</f>
        <v>Off 0-1mi</v>
      </c>
      <c r="C79" s="59" t="str">
        <f>Segments!$C$59</f>
        <v>Yes</v>
      </c>
      <c r="D79" s="59" t="str">
        <f>Segments!$D$59</f>
        <v>2.0-3.0</v>
      </c>
      <c r="E79" s="59" t="str">
        <f>Segments!$E$59</f>
        <v>Grad student</v>
      </c>
      <c r="F79" s="59">
        <f>Segments!$F$59</f>
        <v>3</v>
      </c>
      <c r="G79" s="59" t="str">
        <f>Segments!$G$59</f>
        <v>Grad</v>
      </c>
      <c r="H79" s="60">
        <f>Segments!$H$59</f>
        <v>20</v>
      </c>
      <c r="I79" s="26">
        <f>Segments!$Y$59</f>
        <v>862.76131119853233</v>
      </c>
      <c r="J79" s="29">
        <v>4</v>
      </c>
      <c r="K79" s="14">
        <f t="shared" si="0"/>
        <v>1426.2297754450396</v>
      </c>
      <c r="L79" s="14">
        <f t="shared" si="1"/>
        <v>862.76131119853233</v>
      </c>
      <c r="M79" s="14">
        <f t="shared" si="2"/>
        <v>1444.5838192465794</v>
      </c>
      <c r="N79" s="14">
        <f t="shared" si="3"/>
        <v>1435.3774612050961</v>
      </c>
      <c r="O79" s="14">
        <f t="shared" si="4"/>
        <v>1426.2297754450396</v>
      </c>
      <c r="P79" s="33">
        <f t="shared" si="5"/>
        <v>0.85318650877810787</v>
      </c>
      <c r="Q79" s="33">
        <f t="shared" si="6"/>
        <v>0.35318650877810787</v>
      </c>
      <c r="R79" s="51">
        <f t="shared" si="7"/>
        <v>8.5318650877810782</v>
      </c>
      <c r="S79" s="51">
        <f>APPLICANTS_PER_YEAR*($H79/Segments!$AH$2)*Q79</f>
        <v>8.4764762106745888</v>
      </c>
      <c r="T79" s="51">
        <f t="shared" si="8"/>
        <v>17.008341298455669</v>
      </c>
      <c r="U79" s="14">
        <f t="shared" si="9"/>
        <v>1426.2297754450396</v>
      </c>
      <c r="V79" s="44">
        <f t="shared" si="10"/>
        <v>24257.802790789021</v>
      </c>
      <c r="W79" s="44">
        <f t="shared" si="11"/>
        <v>16435.035500763894</v>
      </c>
      <c r="X79" s="44">
        <f t="shared" si="12"/>
        <v>5559.9325553831504</v>
      </c>
      <c r="Y79" s="14">
        <f t="shared" si="13"/>
        <v>1426.2297754450396</v>
      </c>
      <c r="Z79" s="14">
        <f t="shared" si="14"/>
        <v>888.64415053448829</v>
      </c>
      <c r="AA79" s="14">
        <f t="shared" si="15"/>
        <v>1486.6713338239767</v>
      </c>
      <c r="AB79" s="14">
        <f t="shared" si="16"/>
        <v>1477.8176376936221</v>
      </c>
      <c r="AC79" s="14">
        <f t="shared" si="17"/>
        <v>1469.0166687083909</v>
      </c>
      <c r="AD79" s="33">
        <f t="shared" si="18"/>
        <v>0.84397769114427634</v>
      </c>
      <c r="AE79" s="33">
        <f t="shared" si="19"/>
        <v>0.3529776911442763</v>
      </c>
      <c r="AF79" s="51">
        <f t="shared" si="20"/>
        <v>7.1773303096322296</v>
      </c>
      <c r="AG79" s="51">
        <f>APPLICANTS_PER_YEAR*($H79/Segments!$AH$2)*AE79</f>
        <v>8.4714645874626306</v>
      </c>
      <c r="AH79" s="51">
        <f t="shared" si="21"/>
        <v>15.648794897094859</v>
      </c>
      <c r="AI79" s="14">
        <f t="shared" si="22"/>
        <v>1469.0166687083909</v>
      </c>
      <c r="AJ79" s="44">
        <f t="shared" si="23"/>
        <v>22988.340549031156</v>
      </c>
      <c r="AK79" s="44">
        <f t="shared" si="24"/>
        <v>15574.955254003375</v>
      </c>
      <c r="AL79" s="44">
        <f t="shared" si="25"/>
        <v>5305.1241704527929</v>
      </c>
      <c r="AM79" s="14">
        <f t="shared" si="26"/>
        <v>1469.0166687083909</v>
      </c>
      <c r="AN79" s="14">
        <f t="shared" si="27"/>
        <v>915.30347505052293</v>
      </c>
      <c r="AO79" s="14">
        <f t="shared" si="28"/>
        <v>1530.021473838696</v>
      </c>
      <c r="AP79" s="14">
        <f t="shared" si="29"/>
        <v>1521.5307620969575</v>
      </c>
      <c r="AQ79" s="14">
        <f t="shared" si="30"/>
        <v>1513.0871687696424</v>
      </c>
      <c r="AR79" s="33">
        <f t="shared" si="31"/>
        <v>0.84377470345577454</v>
      </c>
      <c r="AS79" s="33">
        <f t="shared" si="32"/>
        <v>0.35277470345577439</v>
      </c>
      <c r="AT79" s="51">
        <f t="shared" si="33"/>
        <v>6.6020286368682264</v>
      </c>
      <c r="AU79" s="51">
        <f>APPLICANTS_PER_YEAR*($H79/Segments!$AH$2)*AS79</f>
        <v>8.4665928829385848</v>
      </c>
      <c r="AV79" s="51">
        <f t="shared" si="34"/>
        <v>15.068621519806811</v>
      </c>
      <c r="AW79" s="14">
        <f t="shared" si="35"/>
        <v>1513.0871687696424</v>
      </c>
      <c r="AX79" s="44">
        <f t="shared" si="36"/>
        <v>22800.137872665793</v>
      </c>
      <c r="AY79" s="44">
        <f t="shared" si="37"/>
        <v>15447.445038256301</v>
      </c>
      <c r="AZ79" s="44">
        <f t="shared" si="38"/>
        <v>5270.6375673064122</v>
      </c>
    </row>
    <row r="80" spans="1:52" ht="15" customHeight="1" x14ac:dyDescent="0.35">
      <c r="A80" s="61" t="str">
        <f>Segments!$A$60</f>
        <v>Non-greek</v>
      </c>
      <c r="B80" s="61" t="str">
        <f>Segments!$B$60</f>
        <v>Off 0-1mi</v>
      </c>
      <c r="C80" s="61" t="str">
        <f>Segments!$C$60</f>
        <v>Yes</v>
      </c>
      <c r="D80" s="61" t="str">
        <f>Segments!$D$60</f>
        <v>3.0+</v>
      </c>
      <c r="E80" s="61" t="str">
        <f>Segments!$E$60</f>
        <v>Freshman</v>
      </c>
      <c r="F80" s="61">
        <f>Segments!$F$60</f>
        <v>1</v>
      </c>
      <c r="G80" s="61" t="str">
        <f>Segments!$G$60</f>
        <v>Base</v>
      </c>
      <c r="H80" s="62">
        <f>Segments!$H$60</f>
        <v>29</v>
      </c>
      <c r="I80" s="63">
        <f>Segments!$Y$60</f>
        <v>574.27911437491161</v>
      </c>
      <c r="J80" s="42">
        <v>0</v>
      </c>
      <c r="K80" s="40">
        <f t="shared" si="0"/>
        <v>975.48927723986026</v>
      </c>
      <c r="L80" s="40">
        <f t="shared" si="1"/>
        <v>574.27911437491161</v>
      </c>
      <c r="M80" s="40">
        <f t="shared" si="2"/>
        <v>975.48927723986026</v>
      </c>
      <c r="N80" s="40">
        <f t="shared" si="3"/>
        <v>1179.521874670771</v>
      </c>
      <c r="O80" s="40">
        <f t="shared" si="4"/>
        <v>1426.2297754450396</v>
      </c>
      <c r="P80" s="41">
        <f t="shared" si="5"/>
        <v>0.60680055771779107</v>
      </c>
      <c r="Q80" s="41">
        <f t="shared" si="6"/>
        <v>0.24542037919257331</v>
      </c>
      <c r="R80" s="64">
        <f t="shared" si="7"/>
        <v>0</v>
      </c>
      <c r="S80" s="64">
        <f>APPLICANTS_PER_YEAR*($H80/Segments!$AH$2)*Q80</f>
        <v>8.5406291959015501</v>
      </c>
      <c r="T80" s="64">
        <f t="shared" si="8"/>
        <v>8.5406291959015501</v>
      </c>
      <c r="U80" s="40">
        <f t="shared" si="9"/>
        <v>1426.2297754450396</v>
      </c>
      <c r="V80" s="65">
        <f t="shared" si="10"/>
        <v>12180.899660230018</v>
      </c>
      <c r="W80" s="65">
        <f t="shared" si="11"/>
        <v>5493.2695673260796</v>
      </c>
      <c r="X80" s="65">
        <f t="shared" si="12"/>
        <v>3112.8498377070937</v>
      </c>
      <c r="Y80" s="40">
        <f t="shared" si="13"/>
        <v>1003.5039555570562</v>
      </c>
      <c r="Z80" s="40">
        <f t="shared" si="14"/>
        <v>591.50748780615902</v>
      </c>
      <c r="AA80" s="40">
        <f t="shared" si="15"/>
        <v>1003.5039555570562</v>
      </c>
      <c r="AB80" s="40">
        <f t="shared" si="16"/>
        <v>1214.1515711920483</v>
      </c>
      <c r="AC80" s="40">
        <f t="shared" si="17"/>
        <v>1469.0166687083909</v>
      </c>
      <c r="AD80" s="41">
        <f t="shared" si="18"/>
        <v>0.6058777716756415</v>
      </c>
      <c r="AE80" s="41">
        <f t="shared" si="19"/>
        <v>0.24504395350486707</v>
      </c>
      <c r="AF80" s="64">
        <f t="shared" si="20"/>
        <v>0</v>
      </c>
      <c r="AG80" s="64">
        <f>APPLICANTS_PER_YEAR*($H80/Segments!$AH$2)*AE80</f>
        <v>8.5275295819693735</v>
      </c>
      <c r="AH80" s="64">
        <f t="shared" si="21"/>
        <v>8.5275295819693735</v>
      </c>
      <c r="AI80" s="40">
        <f t="shared" si="22"/>
        <v>1469.0166687083909</v>
      </c>
      <c r="AJ80" s="65">
        <f t="shared" si="23"/>
        <v>12527.083098816905</v>
      </c>
      <c r="AK80" s="65">
        <f t="shared" si="24"/>
        <v>5649.3893122502186</v>
      </c>
      <c r="AL80" s="65">
        <f t="shared" si="25"/>
        <v>3189.8054453236091</v>
      </c>
      <c r="AM80" s="40">
        <f t="shared" si="26"/>
        <v>1032.3590742237677</v>
      </c>
      <c r="AN80" s="40">
        <f t="shared" si="27"/>
        <v>609.25271244034366</v>
      </c>
      <c r="AO80" s="40">
        <f t="shared" si="28"/>
        <v>1032.3590742237677</v>
      </c>
      <c r="AP80" s="40">
        <f t="shared" si="29"/>
        <v>1249.8196945043273</v>
      </c>
      <c r="AQ80" s="40">
        <f t="shared" si="30"/>
        <v>1513.0871687696424</v>
      </c>
      <c r="AR80" s="41">
        <f t="shared" si="31"/>
        <v>0.60497988556526738</v>
      </c>
      <c r="AS80" s="41">
        <f t="shared" si="32"/>
        <v>0.24467781815931222</v>
      </c>
      <c r="AT80" s="64">
        <f t="shared" si="33"/>
        <v>0</v>
      </c>
      <c r="AU80" s="64">
        <f>APPLICANTS_PER_YEAR*($H80/Segments!$AH$2)*AS80</f>
        <v>8.5147880719440643</v>
      </c>
      <c r="AV80" s="64">
        <f t="shared" si="34"/>
        <v>8.5147880719440643</v>
      </c>
      <c r="AW80" s="40">
        <f t="shared" si="35"/>
        <v>1513.0871687696426</v>
      </c>
      <c r="AX80" s="65">
        <f t="shared" si="36"/>
        <v>12883.616576451368</v>
      </c>
      <c r="AY80" s="65">
        <f t="shared" si="37"/>
        <v>5810.1766561289978</v>
      </c>
      <c r="AZ80" s="65">
        <f t="shared" si="38"/>
        <v>3269.0955763625889</v>
      </c>
    </row>
    <row r="81" spans="1:52" ht="15" customHeight="1" x14ac:dyDescent="0.35">
      <c r="A81" s="61" t="str">
        <f>Segments!$A$61</f>
        <v>Non-greek</v>
      </c>
      <c r="B81" s="61" t="str">
        <f>Segments!$B$61</f>
        <v>Off 0-1mi</v>
      </c>
      <c r="C81" s="61" t="str">
        <f>Segments!$C$61</f>
        <v>Yes</v>
      </c>
      <c r="D81" s="61" t="str">
        <f>Segments!$D$61</f>
        <v>3.0+</v>
      </c>
      <c r="E81" s="61" t="str">
        <f>Segments!$E$61</f>
        <v>Sophomore</v>
      </c>
      <c r="F81" s="61">
        <f>Segments!$F$61</f>
        <v>1</v>
      </c>
      <c r="G81" s="61" t="str">
        <f>Segments!$G$61</f>
        <v>Sophomore</v>
      </c>
      <c r="H81" s="62">
        <f>Segments!$H$61</f>
        <v>22</v>
      </c>
      <c r="I81" s="63">
        <f>Segments!$Y$61</f>
        <v>568.43653811166007</v>
      </c>
      <c r="J81" s="42">
        <v>1</v>
      </c>
      <c r="K81" s="40">
        <f t="shared" si="0"/>
        <v>1426.2297754450396</v>
      </c>
      <c r="L81" s="40">
        <f t="shared" si="1"/>
        <v>568.43653811166007</v>
      </c>
      <c r="M81" s="40">
        <f t="shared" si="2"/>
        <v>965.98879275060426</v>
      </c>
      <c r="N81" s="40">
        <f t="shared" si="3"/>
        <v>1173.7640218404717</v>
      </c>
      <c r="O81" s="40">
        <f t="shared" si="4"/>
        <v>1426.2297754450396</v>
      </c>
      <c r="P81" s="41">
        <f t="shared" si="5"/>
        <v>0.74245463785442167</v>
      </c>
      <c r="Q81" s="41">
        <f t="shared" si="6"/>
        <v>0.24245463785442167</v>
      </c>
      <c r="R81" s="64">
        <f t="shared" si="7"/>
        <v>21.531184497778227</v>
      </c>
      <c r="S81" s="64">
        <f>APPLICANTS_PER_YEAR*($H81/Segments!$AH$2)*Q81</f>
        <v>6.4008024393567329</v>
      </c>
      <c r="T81" s="64">
        <f t="shared" si="8"/>
        <v>27.931986937134958</v>
      </c>
      <c r="U81" s="40">
        <f t="shared" si="9"/>
        <v>1426.2297754450396</v>
      </c>
      <c r="V81" s="65">
        <f t="shared" si="10"/>
        <v>39837.431457083774</v>
      </c>
      <c r="W81" s="65">
        <f t="shared" si="11"/>
        <v>17782.869391980123</v>
      </c>
      <c r="X81" s="65">
        <f t="shared" si="12"/>
        <v>8567.4498710167627</v>
      </c>
      <c r="Y81" s="40">
        <f t="shared" si="13"/>
        <v>1426.2297754450396</v>
      </c>
      <c r="Z81" s="40">
        <f t="shared" si="14"/>
        <v>585.48963425500983</v>
      </c>
      <c r="AA81" s="40">
        <f t="shared" si="15"/>
        <v>993.71845653312232</v>
      </c>
      <c r="AB81" s="40">
        <f t="shared" si="16"/>
        <v>1208.2172721205118</v>
      </c>
      <c r="AC81" s="40">
        <f t="shared" si="17"/>
        <v>1469.0166687083909</v>
      </c>
      <c r="AD81" s="41">
        <f t="shared" si="18"/>
        <v>0.73307264181459819</v>
      </c>
      <c r="AE81" s="41">
        <f t="shared" si="19"/>
        <v>0.2420726418145982</v>
      </c>
      <c r="AF81" s="64">
        <f t="shared" si="20"/>
        <v>6.2609016073984369</v>
      </c>
      <c r="AG81" s="64">
        <f>APPLICANTS_PER_YEAR*($H81/Segments!$AH$2)*AE81</f>
        <v>6.3907177439053928</v>
      </c>
      <c r="AH81" s="64">
        <f t="shared" si="21"/>
        <v>12.651619351303829</v>
      </c>
      <c r="AI81" s="40">
        <f t="shared" si="22"/>
        <v>1469.0166687083909</v>
      </c>
      <c r="AJ81" s="65">
        <f t="shared" si="23"/>
        <v>18585.439713218962</v>
      </c>
      <c r="AK81" s="65">
        <f t="shared" si="24"/>
        <v>8296.279025135902</v>
      </c>
      <c r="AL81" s="65">
        <f t="shared" si="25"/>
        <v>4254.0309176003584</v>
      </c>
      <c r="AM81" s="40">
        <f t="shared" si="26"/>
        <v>1469.0166687083909</v>
      </c>
      <c r="AN81" s="40">
        <f t="shared" si="27"/>
        <v>603.05432328266011</v>
      </c>
      <c r="AO81" s="40">
        <f t="shared" si="28"/>
        <v>1022.280010229116</v>
      </c>
      <c r="AP81" s="40">
        <f t="shared" si="29"/>
        <v>1243.7036489322425</v>
      </c>
      <c r="AQ81" s="40">
        <f t="shared" si="30"/>
        <v>1513.0871687696424</v>
      </c>
      <c r="AR81" s="41">
        <f t="shared" si="31"/>
        <v>0.73270108165692294</v>
      </c>
      <c r="AS81" s="41">
        <f t="shared" si="32"/>
        <v>0.24170108165692283</v>
      </c>
      <c r="AT81" s="64">
        <f t="shared" si="33"/>
        <v>6.2481301485703682</v>
      </c>
      <c r="AU81" s="64">
        <f>APPLICANTS_PER_YEAR*($H81/Segments!$AH$2)*AS81</f>
        <v>6.3809085557427636</v>
      </c>
      <c r="AV81" s="64">
        <f t="shared" si="34"/>
        <v>12.629038704313132</v>
      </c>
      <c r="AW81" s="40">
        <f t="shared" si="35"/>
        <v>1513.0871687696424</v>
      </c>
      <c r="AX81" s="65">
        <f t="shared" si="36"/>
        <v>19108.836417391391</v>
      </c>
      <c r="AY81" s="65">
        <f t="shared" si="37"/>
        <v>8529.9159562848872</v>
      </c>
      <c r="AZ81" s="65">
        <f t="shared" si="38"/>
        <v>4361.594050994343</v>
      </c>
    </row>
    <row r="82" spans="1:52" ht="15" customHeight="1" x14ac:dyDescent="0.35">
      <c r="A82" s="61" t="str">
        <f>Segments!$A$62</f>
        <v>Non-greek</v>
      </c>
      <c r="B82" s="61" t="str">
        <f>Segments!$B$62</f>
        <v>Off 0-1mi</v>
      </c>
      <c r="C82" s="61" t="str">
        <f>Segments!$C$62</f>
        <v>Yes</v>
      </c>
      <c r="D82" s="61" t="str">
        <f>Segments!$D$62</f>
        <v>3.0+</v>
      </c>
      <c r="E82" s="61" t="str">
        <f>Segments!$E$62</f>
        <v>Junior</v>
      </c>
      <c r="F82" s="61">
        <f>Segments!$F$62</f>
        <v>2</v>
      </c>
      <c r="G82" s="61" t="str">
        <f>Segments!$G$62</f>
        <v>Base</v>
      </c>
      <c r="H82" s="62">
        <f>Segments!$H$62</f>
        <v>28</v>
      </c>
      <c r="I82" s="63">
        <f>Segments!$Y$62</f>
        <v>679.52360321672438</v>
      </c>
      <c r="J82" s="42">
        <v>2</v>
      </c>
      <c r="K82" s="40">
        <f t="shared" si="0"/>
        <v>1426.2297754450396</v>
      </c>
      <c r="L82" s="40">
        <f t="shared" si="1"/>
        <v>679.52360321672438</v>
      </c>
      <c r="M82" s="40">
        <f t="shared" si="2"/>
        <v>1146.6250209203142</v>
      </c>
      <c r="N82" s="40">
        <f t="shared" si="3"/>
        <v>1278.8083304807033</v>
      </c>
      <c r="O82" s="40">
        <f t="shared" si="4"/>
        <v>1426.2297754450396</v>
      </c>
      <c r="P82" s="41">
        <f t="shared" si="5"/>
        <v>0.79235983553965406</v>
      </c>
      <c r="Q82" s="41">
        <f t="shared" si="6"/>
        <v>0.29235983553965406</v>
      </c>
      <c r="R82" s="64">
        <f t="shared" si="7"/>
        <v>17.431916381872391</v>
      </c>
      <c r="S82" s="64">
        <f>APPLICANTS_PER_YEAR*($H82/Segments!$AH$2)*Q82</f>
        <v>9.8232904741323761</v>
      </c>
      <c r="T82" s="64">
        <f t="shared" si="8"/>
        <v>27.255206856004769</v>
      </c>
      <c r="U82" s="40">
        <f t="shared" si="9"/>
        <v>1426.2297754450396</v>
      </c>
      <c r="V82" s="65">
        <f t="shared" si="10"/>
        <v>38872.187553947784</v>
      </c>
      <c r="W82" s="65">
        <f t="shared" si="11"/>
        <v>20743.023133514678</v>
      </c>
      <c r="X82" s="65">
        <f t="shared" si="12"/>
        <v>8627.8892745163976</v>
      </c>
      <c r="Y82" s="40">
        <f t="shared" si="13"/>
        <v>1426.2297754450396</v>
      </c>
      <c r="Z82" s="40">
        <f t="shared" si="14"/>
        <v>699.90931131322611</v>
      </c>
      <c r="AA82" s="40">
        <f t="shared" si="15"/>
        <v>1179.7737715479238</v>
      </c>
      <c r="AB82" s="40">
        <f t="shared" si="16"/>
        <v>1316.4753456517387</v>
      </c>
      <c r="AC82" s="40">
        <f t="shared" si="17"/>
        <v>1469.0166687083909</v>
      </c>
      <c r="AD82" s="41">
        <f t="shared" si="18"/>
        <v>0.78306449685499635</v>
      </c>
      <c r="AE82" s="41">
        <f t="shared" si="19"/>
        <v>0.29206449685499636</v>
      </c>
      <c r="AF82" s="64">
        <f t="shared" si="20"/>
        <v>21.872547297087916</v>
      </c>
      <c r="AG82" s="64">
        <f>APPLICANTS_PER_YEAR*($H82/Segments!$AH$2)*AE82</f>
        <v>9.8133670943278783</v>
      </c>
      <c r="AH82" s="64">
        <f t="shared" si="21"/>
        <v>31.685914391415793</v>
      </c>
      <c r="AI82" s="40">
        <f t="shared" si="22"/>
        <v>1469.0166687083909</v>
      </c>
      <c r="AJ82" s="65">
        <f t="shared" si="23"/>
        <v>46547.136404256889</v>
      </c>
      <c r="AK82" s="65">
        <f t="shared" si="24"/>
        <v>24838.53850242875</v>
      </c>
      <c r="AL82" s="65">
        <f t="shared" si="25"/>
        <v>10181.021239911341</v>
      </c>
      <c r="AM82" s="40">
        <f t="shared" si="26"/>
        <v>1469.0166687083909</v>
      </c>
      <c r="AN82" s="40">
        <f t="shared" si="27"/>
        <v>720.90659065262287</v>
      </c>
      <c r="AO82" s="40">
        <f t="shared" si="28"/>
        <v>1213.9169846943614</v>
      </c>
      <c r="AP82" s="40">
        <f t="shared" si="29"/>
        <v>1355.2720071972906</v>
      </c>
      <c r="AQ82" s="40">
        <f t="shared" si="30"/>
        <v>1513.0871687696424</v>
      </c>
      <c r="AR82" s="41">
        <f t="shared" si="31"/>
        <v>0.78277731085189528</v>
      </c>
      <c r="AS82" s="41">
        <f t="shared" si="32"/>
        <v>0.29177731085189518</v>
      </c>
      <c r="AT82" s="64">
        <f t="shared" si="33"/>
        <v>9.9034005737354107</v>
      </c>
      <c r="AU82" s="64">
        <f>APPLICANTS_PER_YEAR*($H82/Segments!$AH$2)*AS82</f>
        <v>9.8037176446236778</v>
      </c>
      <c r="AV82" s="64">
        <f t="shared" si="34"/>
        <v>19.707118218359089</v>
      </c>
      <c r="AW82" s="40">
        <f t="shared" si="35"/>
        <v>1513.0871687696424</v>
      </c>
      <c r="AX82" s="65">
        <f t="shared" si="36"/>
        <v>29818.587709625594</v>
      </c>
      <c r="AY82" s="65">
        <f t="shared" si="37"/>
        <v>15911.830375151696</v>
      </c>
      <c r="AZ82" s="65">
        <f t="shared" si="38"/>
        <v>6794.1341607032327</v>
      </c>
    </row>
    <row r="83" spans="1:52" ht="15" customHeight="1" x14ac:dyDescent="0.35">
      <c r="A83" s="61" t="str">
        <f>Segments!$A$63</f>
        <v>Non-greek</v>
      </c>
      <c r="B83" s="61" t="str">
        <f>Segments!$B$63</f>
        <v>Off 0-1mi</v>
      </c>
      <c r="C83" s="61" t="str">
        <f>Segments!$C$63</f>
        <v>Yes</v>
      </c>
      <c r="D83" s="61" t="str">
        <f>Segments!$D$63</f>
        <v>3.0+</v>
      </c>
      <c r="E83" s="61" t="str">
        <f>Segments!$E$63</f>
        <v>Senior</v>
      </c>
      <c r="F83" s="61">
        <f>Segments!$F$63</f>
        <v>3</v>
      </c>
      <c r="G83" s="61" t="str">
        <f>Segments!$G$63</f>
        <v>Base</v>
      </c>
      <c r="H83" s="62">
        <f>Segments!$H$63</f>
        <v>24</v>
      </c>
      <c r="I83" s="63">
        <f>Segments!$Y$63</f>
        <v>635.1421882886267</v>
      </c>
      <c r="J83" s="42">
        <v>3</v>
      </c>
      <c r="K83" s="40">
        <f t="shared" si="0"/>
        <v>1426.2297754450396</v>
      </c>
      <c r="L83" s="40">
        <f t="shared" si="1"/>
        <v>635.1421882886267</v>
      </c>
      <c r="M83" s="40">
        <f t="shared" si="2"/>
        <v>1074.4573802875891</v>
      </c>
      <c r="N83" s="40">
        <f t="shared" si="3"/>
        <v>1237.9107836241003</v>
      </c>
      <c r="O83" s="40">
        <f t="shared" si="4"/>
        <v>1426.2297754450396</v>
      </c>
      <c r="P83" s="41">
        <f t="shared" si="5"/>
        <v>0.77393676736960892</v>
      </c>
      <c r="Q83" s="41">
        <f t="shared" si="6"/>
        <v>0.27393676736960892</v>
      </c>
      <c r="R83" s="64">
        <f t="shared" si="7"/>
        <v>21.670229486349051</v>
      </c>
      <c r="S83" s="64">
        <f>APPLICANTS_PER_YEAR*($H83/Segments!$AH$2)*Q83</f>
        <v>7.8893789002447363</v>
      </c>
      <c r="T83" s="64">
        <f t="shared" si="8"/>
        <v>29.559608386593787</v>
      </c>
      <c r="U83" s="40">
        <f t="shared" si="9"/>
        <v>1426.2297754450396</v>
      </c>
      <c r="V83" s="65">
        <f t="shared" si="10"/>
        <v>42158.793631454966</v>
      </c>
      <c r="W83" s="65">
        <f t="shared" si="11"/>
        <v>21027.500878289942</v>
      </c>
      <c r="X83" s="65">
        <f t="shared" si="12"/>
        <v>9150.260984988372</v>
      </c>
      <c r="Y83" s="40">
        <f t="shared" si="13"/>
        <v>1426.2297754450396</v>
      </c>
      <c r="Z83" s="40">
        <f t="shared" si="14"/>
        <v>654.19645393728547</v>
      </c>
      <c r="AA83" s="40">
        <f t="shared" si="15"/>
        <v>1105.4411016962167</v>
      </c>
      <c r="AB83" s="40">
        <f t="shared" si="16"/>
        <v>1274.3278246460404</v>
      </c>
      <c r="AC83" s="40">
        <f t="shared" si="17"/>
        <v>1469.0166687083909</v>
      </c>
      <c r="AD83" s="41">
        <f t="shared" si="18"/>
        <v>0.76461116178388888</v>
      </c>
      <c r="AE83" s="41">
        <f t="shared" si="19"/>
        <v>0.27361116178388889</v>
      </c>
      <c r="AF83" s="64">
        <f t="shared" si="20"/>
        <v>20.839635378830021</v>
      </c>
      <c r="AG83" s="64">
        <f>APPLICANTS_PER_YEAR*($H83/Segments!$AH$2)*AE83</f>
        <v>7.8800014593759995</v>
      </c>
      <c r="AH83" s="64">
        <f t="shared" si="21"/>
        <v>28.719636838206021</v>
      </c>
      <c r="AI83" s="40">
        <f t="shared" si="22"/>
        <v>1469.0166687083909</v>
      </c>
      <c r="AJ83" s="65">
        <f t="shared" si="23"/>
        <v>42189.62523457619</v>
      </c>
      <c r="AK83" s="65">
        <f t="shared" si="24"/>
        <v>21042.878727271534</v>
      </c>
      <c r="AL83" s="65">
        <f t="shared" si="25"/>
        <v>9150.3868148478632</v>
      </c>
      <c r="AM83" s="40">
        <f t="shared" si="26"/>
        <v>1469.0166687083909</v>
      </c>
      <c r="AN83" s="40">
        <f t="shared" si="27"/>
        <v>673.82234755540401</v>
      </c>
      <c r="AO83" s="40">
        <f t="shared" si="28"/>
        <v>1137.3543347471032</v>
      </c>
      <c r="AP83" s="40">
        <f t="shared" si="29"/>
        <v>1311.8369754852829</v>
      </c>
      <c r="AQ83" s="40">
        <f t="shared" si="30"/>
        <v>1513.0871687696424</v>
      </c>
      <c r="AR83" s="41">
        <f t="shared" si="31"/>
        <v>0.76429451103864809</v>
      </c>
      <c r="AS83" s="41">
        <f t="shared" si="32"/>
        <v>0.27329451103864799</v>
      </c>
      <c r="AT83" s="64">
        <f t="shared" si="33"/>
        <v>24.217370446599595</v>
      </c>
      <c r="AU83" s="64">
        <f>APPLICANTS_PER_YEAR*($H83/Segments!$AH$2)*AS83</f>
        <v>7.8708819179130618</v>
      </c>
      <c r="AV83" s="64">
        <f t="shared" si="34"/>
        <v>32.088252364512655</v>
      </c>
      <c r="AW83" s="40">
        <f t="shared" si="35"/>
        <v>1513.0871687696426</v>
      </c>
      <c r="AX83" s="65">
        <f t="shared" si="36"/>
        <v>48552.322920986247</v>
      </c>
      <c r="AY83" s="65">
        <f t="shared" si="37"/>
        <v>24216.395321670901</v>
      </c>
      <c r="AZ83" s="65">
        <f t="shared" si="38"/>
        <v>10431.752692595814</v>
      </c>
    </row>
    <row r="84" spans="1:52" ht="15" customHeight="1" x14ac:dyDescent="0.35">
      <c r="A84" s="61" t="str">
        <f>Segments!$A$64</f>
        <v>Non-greek</v>
      </c>
      <c r="B84" s="61" t="str">
        <f>Segments!$B$64</f>
        <v>Off 0-1mi</v>
      </c>
      <c r="C84" s="61" t="str">
        <f>Segments!$C$64</f>
        <v>Yes</v>
      </c>
      <c r="D84" s="61" t="str">
        <f>Segments!$D$64</f>
        <v>3.0+</v>
      </c>
      <c r="E84" s="61" t="str">
        <f>Segments!$E$64</f>
        <v>Grad student</v>
      </c>
      <c r="F84" s="61">
        <f>Segments!$F$64</f>
        <v>3</v>
      </c>
      <c r="G84" s="61" t="str">
        <f>Segments!$G$64</f>
        <v>Grad</v>
      </c>
      <c r="H84" s="62">
        <f>Segments!$H$64</f>
        <v>13</v>
      </c>
      <c r="I84" s="63">
        <f>Segments!$Y$64</f>
        <v>756.25137194211277</v>
      </c>
      <c r="J84" s="42">
        <v>4</v>
      </c>
      <c r="K84" s="40">
        <f t="shared" si="0"/>
        <v>1426.2297754450396</v>
      </c>
      <c r="L84" s="40">
        <f t="shared" si="1"/>
        <v>756.25137194211277</v>
      </c>
      <c r="M84" s="40">
        <f t="shared" si="2"/>
        <v>1271.3903545379017</v>
      </c>
      <c r="N84" s="40">
        <f t="shared" si="3"/>
        <v>1346.5863432604615</v>
      </c>
      <c r="O84" s="40">
        <f t="shared" si="4"/>
        <v>1426.2297754450396</v>
      </c>
      <c r="P84" s="41">
        <f t="shared" si="5"/>
        <v>0.82042765486848057</v>
      </c>
      <c r="Q84" s="41">
        <f t="shared" si="6"/>
        <v>0.32042765486848057</v>
      </c>
      <c r="R84" s="64">
        <f t="shared" si="7"/>
        <v>5.3327797566451238</v>
      </c>
      <c r="S84" s="64">
        <f>APPLICANTS_PER_YEAR*($H84/Segments!$AH$2)*Q84</f>
        <v>4.998671415948297</v>
      </c>
      <c r="T84" s="64">
        <f t="shared" si="8"/>
        <v>10.331451172593422</v>
      </c>
      <c r="U84" s="40">
        <f t="shared" si="9"/>
        <v>1426.2297754450394</v>
      </c>
      <c r="V84" s="65">
        <f t="shared" si="10"/>
        <v>14735.023285909305</v>
      </c>
      <c r="W84" s="65">
        <f t="shared" si="11"/>
        <v>8750.7550182379327</v>
      </c>
      <c r="X84" s="65">
        <f t="shared" si="12"/>
        <v>3366.0391002756364</v>
      </c>
      <c r="Y84" s="40">
        <f t="shared" si="13"/>
        <v>1426.2297754450394</v>
      </c>
      <c r="Z84" s="40">
        <f t="shared" si="14"/>
        <v>778.93891310037623</v>
      </c>
      <c r="AA84" s="40">
        <f t="shared" si="15"/>
        <v>1308.2820651740387</v>
      </c>
      <c r="AB84" s="40">
        <f t="shared" si="16"/>
        <v>1386.3218100833947</v>
      </c>
      <c r="AC84" s="40">
        <f t="shared" si="17"/>
        <v>1469.0166687083909</v>
      </c>
      <c r="AD84" s="41">
        <f t="shared" si="18"/>
        <v>0.8111747249363328</v>
      </c>
      <c r="AE84" s="41">
        <f t="shared" si="19"/>
        <v>0.32017472493633292</v>
      </c>
      <c r="AF84" s="64">
        <f t="shared" si="20"/>
        <v>4.1903060315608105</v>
      </c>
      <c r="AG84" s="64">
        <f>APPLICANTS_PER_YEAR*($H84/Segments!$AH$2)*AE84</f>
        <v>4.9947257090067936</v>
      </c>
      <c r="AH84" s="64">
        <f t="shared" si="21"/>
        <v>9.1850317405676041</v>
      </c>
      <c r="AI84" s="40">
        <f t="shared" si="22"/>
        <v>1469.0166687083909</v>
      </c>
      <c r="AJ84" s="65">
        <f t="shared" si="23"/>
        <v>13492.964729509455</v>
      </c>
      <c r="AK84" s="65">
        <f t="shared" si="24"/>
        <v>8013.128077685009</v>
      </c>
      <c r="AL84" s="65">
        <f t="shared" si="25"/>
        <v>3115.545847689315</v>
      </c>
      <c r="AM84" s="40">
        <f t="shared" si="26"/>
        <v>1469.0166687083909</v>
      </c>
      <c r="AN84" s="40">
        <f t="shared" si="27"/>
        <v>802.30708049338739</v>
      </c>
      <c r="AO84" s="40">
        <f t="shared" si="28"/>
        <v>1346.2805271292598</v>
      </c>
      <c r="AP84" s="40">
        <f t="shared" si="29"/>
        <v>1427.2490291339188</v>
      </c>
      <c r="AQ84" s="40">
        <f t="shared" si="30"/>
        <v>1513.0871687696424</v>
      </c>
      <c r="AR84" s="41">
        <f t="shared" si="31"/>
        <v>0.81092881484466262</v>
      </c>
      <c r="AS84" s="41">
        <f t="shared" si="32"/>
        <v>0.31992881484466251</v>
      </c>
      <c r="AT84" s="64">
        <f t="shared" si="33"/>
        <v>3.7242034518445477</v>
      </c>
      <c r="AU84" s="64">
        <f>APPLICANTS_PER_YEAR*($H84/Segments!$AH$2)*AS84</f>
        <v>4.9908895115767349</v>
      </c>
      <c r="AV84" s="64">
        <f t="shared" si="34"/>
        <v>8.7150929634212826</v>
      </c>
      <c r="AW84" s="40">
        <f t="shared" si="35"/>
        <v>1513.0871687696424</v>
      </c>
      <c r="AX84" s="65">
        <f t="shared" si="36"/>
        <v>13186.695337587342</v>
      </c>
      <c r="AY84" s="65">
        <f t="shared" si="37"/>
        <v>7831.2424867163127</v>
      </c>
      <c r="AZ84" s="65">
        <f t="shared" si="38"/>
        <v>3055.6672966868327</v>
      </c>
    </row>
    <row r="85" spans="1:52" ht="15" customHeight="1" x14ac:dyDescent="0.35">
      <c r="A85" s="59" t="str">
        <f>Segments!$A$65</f>
        <v>Non-greek</v>
      </c>
      <c r="B85" s="59" t="str">
        <f>Segments!$B$65</f>
        <v>Off 0-1mi</v>
      </c>
      <c r="C85" s="59" t="str">
        <f>Segments!$C$65</f>
        <v>No</v>
      </c>
      <c r="D85" s="59" t="str">
        <f>Segments!$D$65</f>
        <v>&lt;1.0</v>
      </c>
      <c r="E85" s="59" t="str">
        <f>Segments!$E$65</f>
        <v>Freshman</v>
      </c>
      <c r="F85" s="59">
        <f>Segments!$F$65</f>
        <v>1</v>
      </c>
      <c r="G85" s="59" t="str">
        <f>Segments!$G$65</f>
        <v>Base</v>
      </c>
      <c r="H85" s="60">
        <f>Segments!$H$65</f>
        <v>6</v>
      </c>
      <c r="I85" s="26">
        <f>Segments!$Y$65</f>
        <v>1131.5361982757852</v>
      </c>
      <c r="J85" s="29">
        <v>0</v>
      </c>
      <c r="K85" s="14">
        <f t="shared" si="0"/>
        <v>1881.6327392307057</v>
      </c>
      <c r="L85" s="14">
        <f t="shared" si="1"/>
        <v>1131.5361982757852</v>
      </c>
      <c r="M85" s="14">
        <f t="shared" si="2"/>
        <v>1881.6327392307057</v>
      </c>
      <c r="N85" s="14">
        <f t="shared" si="3"/>
        <v>1638.1821141567395</v>
      </c>
      <c r="O85" s="14">
        <f t="shared" si="4"/>
        <v>1426.2297754450396</v>
      </c>
      <c r="P85" s="33">
        <f t="shared" si="5"/>
        <v>0.91469132365689487</v>
      </c>
      <c r="Q85" s="33">
        <f t="shared" si="6"/>
        <v>0.41469132365689487</v>
      </c>
      <c r="R85" s="51">
        <f t="shared" si="7"/>
        <v>0</v>
      </c>
      <c r="S85" s="51">
        <f>APPLICANTS_PER_YEAR*($H85/Segments!$AH$2)*Q85</f>
        <v>2.985777530329643</v>
      </c>
      <c r="T85" s="51">
        <f t="shared" si="8"/>
        <v>2.985777530329643</v>
      </c>
      <c r="U85" s="14">
        <f t="shared" si="9"/>
        <v>1426.2297754450394</v>
      </c>
      <c r="V85" s="44">
        <f t="shared" si="10"/>
        <v>4258.4048166108914</v>
      </c>
      <c r="W85" s="44">
        <f t="shared" si="11"/>
        <v>3783.9371982344433</v>
      </c>
      <c r="X85" s="44">
        <f t="shared" si="12"/>
        <v>1088.2426677856736</v>
      </c>
      <c r="Y85" s="14">
        <f t="shared" si="13"/>
        <v>1936.8317214076269</v>
      </c>
      <c r="Z85" s="14">
        <f t="shared" si="14"/>
        <v>1165.4822842240587</v>
      </c>
      <c r="AA85" s="14">
        <f t="shared" si="15"/>
        <v>1936.8317214076269</v>
      </c>
      <c r="AB85" s="14">
        <f t="shared" si="16"/>
        <v>1686.7833539702037</v>
      </c>
      <c r="AC85" s="14">
        <f t="shared" si="17"/>
        <v>1469.0166687083909</v>
      </c>
      <c r="AD85" s="33">
        <f t="shared" si="18"/>
        <v>0.91455087570945393</v>
      </c>
      <c r="AE85" s="33">
        <f t="shared" si="19"/>
        <v>0.41455087570945393</v>
      </c>
      <c r="AF85" s="51">
        <f t="shared" si="20"/>
        <v>0</v>
      </c>
      <c r="AG85" s="51">
        <f>APPLICANTS_PER_YEAR*($H85/Segments!$AH$2)*AE85</f>
        <v>2.9847663051080682</v>
      </c>
      <c r="AH85" s="51">
        <f t="shared" si="21"/>
        <v>2.9847663051080682</v>
      </c>
      <c r="AI85" s="14">
        <f t="shared" si="22"/>
        <v>1469.0166687083911</v>
      </c>
      <c r="AJ85" s="44">
        <f t="shared" si="23"/>
        <v>4384.6714544029073</v>
      </c>
      <c r="AK85" s="44">
        <f t="shared" si="24"/>
        <v>3896.1353212906383</v>
      </c>
      <c r="AL85" s="44">
        <f t="shared" si="25"/>
        <v>1116.4808895161143</v>
      </c>
      <c r="AM85" s="14">
        <f t="shared" si="26"/>
        <v>1993.6866730498555</v>
      </c>
      <c r="AN85" s="14">
        <f t="shared" si="27"/>
        <v>1200.4467527507804</v>
      </c>
      <c r="AO85" s="14">
        <f t="shared" si="28"/>
        <v>1993.6866730498555</v>
      </c>
      <c r="AP85" s="14">
        <f t="shared" si="29"/>
        <v>1736.8424578927054</v>
      </c>
      <c r="AQ85" s="14">
        <f t="shared" si="30"/>
        <v>1513.0871687696424</v>
      </c>
      <c r="AR85" s="33">
        <f t="shared" si="31"/>
        <v>0.91441438833621769</v>
      </c>
      <c r="AS85" s="33">
        <f t="shared" si="32"/>
        <v>0.41441438833621763</v>
      </c>
      <c r="AT85" s="51">
        <f t="shared" si="33"/>
        <v>0</v>
      </c>
      <c r="AU85" s="51">
        <f>APPLICANTS_PER_YEAR*($H85/Segments!$AH$2)*AS85</f>
        <v>2.9837835960207668</v>
      </c>
      <c r="AV85" s="51">
        <f t="shared" si="34"/>
        <v>2.9837835960207668</v>
      </c>
      <c r="AW85" s="14">
        <f t="shared" si="35"/>
        <v>1513.0871687696424</v>
      </c>
      <c r="AX85" s="44">
        <f t="shared" si="36"/>
        <v>4514.7246735243643</v>
      </c>
      <c r="AY85" s="44">
        <f t="shared" si="37"/>
        <v>4011.6981282046772</v>
      </c>
      <c r="AZ85" s="44">
        <f t="shared" si="38"/>
        <v>1145.5685886903921</v>
      </c>
    </row>
    <row r="86" spans="1:52" ht="15" customHeight="1" x14ac:dyDescent="0.35">
      <c r="A86" s="59" t="str">
        <f>Segments!$A$66</f>
        <v>Non-greek</v>
      </c>
      <c r="B86" s="59" t="str">
        <f>Segments!$B$66</f>
        <v>Off 0-1mi</v>
      </c>
      <c r="C86" s="59" t="str">
        <f>Segments!$C$66</f>
        <v>No</v>
      </c>
      <c r="D86" s="59" t="str">
        <f>Segments!$D$66</f>
        <v>&lt;1.0</v>
      </c>
      <c r="E86" s="59" t="str">
        <f>Segments!$E$66</f>
        <v>Sophomore</v>
      </c>
      <c r="F86" s="59">
        <f>Segments!$F$66</f>
        <v>1</v>
      </c>
      <c r="G86" s="59" t="str">
        <f>Segments!$G$66</f>
        <v>Sophomore</v>
      </c>
      <c r="H86" s="60">
        <f>Segments!$H$66</f>
        <v>7</v>
      </c>
      <c r="I86" s="26">
        <f>Segments!$Y$66</f>
        <v>1120.0242237540374</v>
      </c>
      <c r="J86" s="29">
        <v>1</v>
      </c>
      <c r="K86" s="14">
        <f t="shared" si="0"/>
        <v>1426.2297754450396</v>
      </c>
      <c r="L86" s="14">
        <f t="shared" si="1"/>
        <v>1120.0242237540374</v>
      </c>
      <c r="M86" s="14">
        <f t="shared" si="2"/>
        <v>1862.9133711888226</v>
      </c>
      <c r="N86" s="14">
        <f t="shared" si="3"/>
        <v>1630.013042605548</v>
      </c>
      <c r="O86" s="14">
        <f t="shared" si="4"/>
        <v>1426.2297754450396</v>
      </c>
      <c r="P86" s="33">
        <f t="shared" si="5"/>
        <v>0.91250970447290536</v>
      </c>
      <c r="Q86" s="33">
        <f t="shared" si="6"/>
        <v>0.41250970447290536</v>
      </c>
      <c r="R86" s="51">
        <f t="shared" si="7"/>
        <v>5.4750582268374322</v>
      </c>
      <c r="S86" s="51">
        <f>APPLICANTS_PER_YEAR*($H86/Segments!$AH$2)*Q86</f>
        <v>3.465081517572405</v>
      </c>
      <c r="T86" s="51">
        <f t="shared" si="8"/>
        <v>8.9401397444098372</v>
      </c>
      <c r="U86" s="14">
        <f t="shared" si="9"/>
        <v>1426.2297754450394</v>
      </c>
      <c r="V86" s="44">
        <f t="shared" si="10"/>
        <v>12750.693500116915</v>
      </c>
      <c r="W86" s="44">
        <f t="shared" si="11"/>
        <v>11214.753846783477</v>
      </c>
      <c r="X86" s="44">
        <f t="shared" si="12"/>
        <v>2848.2809895643154</v>
      </c>
      <c r="Y86" s="14">
        <f t="shared" si="13"/>
        <v>1426.2297754450394</v>
      </c>
      <c r="Z86" s="14">
        <f t="shared" si="14"/>
        <v>1153.6249504666584</v>
      </c>
      <c r="AA86" s="14">
        <f t="shared" si="15"/>
        <v>1917.5507723244871</v>
      </c>
      <c r="AB86" s="14">
        <f t="shared" si="16"/>
        <v>1678.3664819220264</v>
      </c>
      <c r="AC86" s="14">
        <f t="shared" si="17"/>
        <v>1469.0166687083909</v>
      </c>
      <c r="AD86" s="33">
        <f t="shared" si="18"/>
        <v>0.90336713359941878</v>
      </c>
      <c r="AE86" s="33">
        <f t="shared" si="19"/>
        <v>0.4123671335994189</v>
      </c>
      <c r="AF86" s="51">
        <f t="shared" si="20"/>
        <v>2.6972532891394412</v>
      </c>
      <c r="AG86" s="51">
        <f>APPLICANTS_PER_YEAR*($H86/Segments!$AH$2)*AE86</f>
        <v>3.463883922235119</v>
      </c>
      <c r="AH86" s="51">
        <f t="shared" si="21"/>
        <v>6.1611372113745606</v>
      </c>
      <c r="AI86" s="14">
        <f t="shared" si="22"/>
        <v>1469.0166687083909</v>
      </c>
      <c r="AJ86" s="44">
        <f t="shared" si="23"/>
        <v>9050.8132617087613</v>
      </c>
      <c r="AK86" s="44">
        <f t="shared" si="24"/>
        <v>7960.5586035250963</v>
      </c>
      <c r="AL86" s="44">
        <f t="shared" si="25"/>
        <v>2098.5211614545292</v>
      </c>
      <c r="AM86" s="14">
        <f t="shared" si="26"/>
        <v>1469.0166687083911</v>
      </c>
      <c r="AN86" s="14">
        <f t="shared" si="27"/>
        <v>1188.2336989806581</v>
      </c>
      <c r="AO86" s="14">
        <f t="shared" si="28"/>
        <v>1973.8272954942217</v>
      </c>
      <c r="AP86" s="14">
        <f t="shared" si="29"/>
        <v>1728.1703487155405</v>
      </c>
      <c r="AQ86" s="14">
        <f t="shared" si="30"/>
        <v>1513.0871687696424</v>
      </c>
      <c r="AR86" s="33">
        <f t="shared" si="31"/>
        <v>0.90322858183678445</v>
      </c>
      <c r="AS86" s="33">
        <f t="shared" si="32"/>
        <v>0.41222858183678429</v>
      </c>
      <c r="AT86" s="51">
        <f t="shared" si="33"/>
        <v>2.6959262368769794</v>
      </c>
      <c r="AU86" s="51">
        <f>APPLICANTS_PER_YEAR*($H86/Segments!$AH$2)*AS86</f>
        <v>3.4627200874289881</v>
      </c>
      <c r="AV86" s="51">
        <f t="shared" si="34"/>
        <v>6.1586463243059679</v>
      </c>
      <c r="AW86" s="14">
        <f t="shared" si="35"/>
        <v>1513.0871687696422</v>
      </c>
      <c r="AX86" s="44">
        <f t="shared" si="36"/>
        <v>9318.5687302976803</v>
      </c>
      <c r="AY86" s="44">
        <f t="shared" si="37"/>
        <v>8196.0604349609603</v>
      </c>
      <c r="AZ86" s="44">
        <f t="shared" si="38"/>
        <v>2154.3293253646452</v>
      </c>
    </row>
    <row r="87" spans="1:52" ht="15" customHeight="1" x14ac:dyDescent="0.35">
      <c r="A87" s="59" t="str">
        <f>Segments!$A$67</f>
        <v>Non-greek</v>
      </c>
      <c r="B87" s="59" t="str">
        <f>Segments!$B$67</f>
        <v>Off 0-1mi</v>
      </c>
      <c r="C87" s="59" t="str">
        <f>Segments!$C$67</f>
        <v>No</v>
      </c>
      <c r="D87" s="59" t="str">
        <f>Segments!$D$67</f>
        <v>&lt;1.0</v>
      </c>
      <c r="E87" s="59" t="str">
        <f>Segments!$E$67</f>
        <v>Junior</v>
      </c>
      <c r="F87" s="59">
        <f>Segments!$F$67</f>
        <v>2</v>
      </c>
      <c r="G87" s="59" t="str">
        <f>Segments!$G$67</f>
        <v>Base</v>
      </c>
      <c r="H87" s="60">
        <f>Segments!$H$67</f>
        <v>5</v>
      </c>
      <c r="I87" s="26">
        <f>Segments!$Y$67</f>
        <v>1338.9056564584453</v>
      </c>
      <c r="J87" s="29">
        <v>2</v>
      </c>
      <c r="K87" s="14">
        <f t="shared" si="0"/>
        <v>1426.2297754450396</v>
      </c>
      <c r="L87" s="14">
        <f t="shared" si="1"/>
        <v>1338.9056564584453</v>
      </c>
      <c r="M87" s="14">
        <f t="shared" si="2"/>
        <v>2218.8316446863905</v>
      </c>
      <c r="N87" s="14">
        <f t="shared" si="3"/>
        <v>1778.922077650232</v>
      </c>
      <c r="O87" s="14">
        <f t="shared" si="4"/>
        <v>1426.2297754450396</v>
      </c>
      <c r="P87" s="33">
        <f t="shared" si="5"/>
        <v>0.94913090253819932</v>
      </c>
      <c r="Q87" s="33">
        <f t="shared" si="6"/>
        <v>0.44913090253819932</v>
      </c>
      <c r="R87" s="51">
        <f t="shared" si="7"/>
        <v>6.6439163177673954</v>
      </c>
      <c r="S87" s="51">
        <f>APPLICANTS_PER_YEAR*($H87/Segments!$AH$2)*Q87</f>
        <v>2.6947854152291959</v>
      </c>
      <c r="T87" s="51">
        <f t="shared" si="8"/>
        <v>9.3387017329965918</v>
      </c>
      <c r="U87" s="14">
        <f t="shared" si="9"/>
        <v>1426.2297754450396</v>
      </c>
      <c r="V87" s="44">
        <f t="shared" si="10"/>
        <v>13319.134475599931</v>
      </c>
      <c r="W87" s="44">
        <f t="shared" si="11"/>
        <v>14004.077443201913</v>
      </c>
      <c r="X87" s="44">
        <f t="shared" si="12"/>
        <v>2905.9784978462703</v>
      </c>
      <c r="Y87" s="14">
        <f t="shared" si="13"/>
        <v>1426.2297754450394</v>
      </c>
      <c r="Z87" s="14">
        <f t="shared" si="14"/>
        <v>1379.0728261521986</v>
      </c>
      <c r="AA87" s="14">
        <f t="shared" si="15"/>
        <v>2284.1465940269823</v>
      </c>
      <c r="AB87" s="14">
        <f t="shared" si="16"/>
        <v>1831.7885850717421</v>
      </c>
      <c r="AC87" s="14">
        <f t="shared" si="17"/>
        <v>1469.0166687083909</v>
      </c>
      <c r="AD87" s="33">
        <f t="shared" si="18"/>
        <v>0.94002122966585211</v>
      </c>
      <c r="AE87" s="33">
        <f t="shared" si="19"/>
        <v>0.44902122966585228</v>
      </c>
      <c r="AF87" s="51">
        <f t="shared" si="20"/>
        <v>8.4039211559246922</v>
      </c>
      <c r="AG87" s="51">
        <f>APPLICANTS_PER_YEAR*($H87/Segments!$AH$2)*AE87</f>
        <v>2.6941273779951138</v>
      </c>
      <c r="AH87" s="51">
        <f t="shared" si="21"/>
        <v>11.098048533919807</v>
      </c>
      <c r="AI87" s="14">
        <f t="shared" si="22"/>
        <v>1469.0166687083909</v>
      </c>
      <c r="AJ87" s="44">
        <f t="shared" si="23"/>
        <v>16303.218286462914</v>
      </c>
      <c r="AK87" s="44">
        <f t="shared" si="24"/>
        <v>17141.6192152207</v>
      </c>
      <c r="AL87" s="44">
        <f t="shared" si="25"/>
        <v>3509.142542176211</v>
      </c>
      <c r="AM87" s="14">
        <f t="shared" si="26"/>
        <v>1469.0166687083909</v>
      </c>
      <c r="AN87" s="14">
        <f t="shared" si="27"/>
        <v>1420.4450109367644</v>
      </c>
      <c r="AO87" s="14">
        <f t="shared" si="28"/>
        <v>2351.4209918477914</v>
      </c>
      <c r="AP87" s="14">
        <f t="shared" si="29"/>
        <v>1886.2409525668982</v>
      </c>
      <c r="AQ87" s="14">
        <f t="shared" si="30"/>
        <v>1513.0871687696424</v>
      </c>
      <c r="AR87" s="33">
        <f t="shared" si="31"/>
        <v>0.93991466498207676</v>
      </c>
      <c r="AS87" s="33">
        <f t="shared" si="32"/>
        <v>0.44891466498207666</v>
      </c>
      <c r="AT87" s="51">
        <f t="shared" si="33"/>
        <v>5.7909432179377269</v>
      </c>
      <c r="AU87" s="51">
        <f>APPLICANTS_PER_YEAR*($H87/Segments!$AH$2)*AS87</f>
        <v>2.6934879898924597</v>
      </c>
      <c r="AV87" s="51">
        <f t="shared" si="34"/>
        <v>8.4844312078301876</v>
      </c>
      <c r="AW87" s="14">
        <f t="shared" si="35"/>
        <v>1513.0871687696424</v>
      </c>
      <c r="AX87" s="44">
        <f t="shared" si="36"/>
        <v>12837.683994876576</v>
      </c>
      <c r="AY87" s="44">
        <f t="shared" si="37"/>
        <v>13497.868137374408</v>
      </c>
      <c r="AZ87" s="44">
        <f t="shared" si="38"/>
        <v>2805.9899730215375</v>
      </c>
    </row>
    <row r="88" spans="1:52" ht="15" customHeight="1" x14ac:dyDescent="0.35">
      <c r="A88" s="59" t="str">
        <f>Segments!$A$68</f>
        <v>Non-greek</v>
      </c>
      <c r="B88" s="59" t="str">
        <f>Segments!$B$68</f>
        <v>Off 0-1mi</v>
      </c>
      <c r="C88" s="59" t="str">
        <f>Segments!$C$68</f>
        <v>No</v>
      </c>
      <c r="D88" s="59" t="str">
        <f>Segments!$D$68</f>
        <v>&lt;1.0</v>
      </c>
      <c r="E88" s="59" t="str">
        <f>Segments!$E$68</f>
        <v>Senior</v>
      </c>
      <c r="F88" s="59">
        <f>Segments!$F$68</f>
        <v>3</v>
      </c>
      <c r="G88" s="59" t="str">
        <f>Segments!$G$68</f>
        <v>Base</v>
      </c>
      <c r="H88" s="60">
        <f>Segments!$H$68</f>
        <v>3</v>
      </c>
      <c r="I88" s="26">
        <f>Segments!$Y$68</f>
        <v>1251.4583224621495</v>
      </c>
      <c r="J88" s="29">
        <v>3</v>
      </c>
      <c r="K88" s="14">
        <f t="shared" si="0"/>
        <v>1426.2297754450396</v>
      </c>
      <c r="L88" s="14">
        <f t="shared" si="1"/>
        <v>1251.4583224621495</v>
      </c>
      <c r="M88" s="14">
        <f t="shared" si="2"/>
        <v>2076.6354622447357</v>
      </c>
      <c r="N88" s="14">
        <f t="shared" si="3"/>
        <v>1720.9762720614469</v>
      </c>
      <c r="O88" s="14">
        <f t="shared" si="4"/>
        <v>1426.2297754450396</v>
      </c>
      <c r="P88" s="33">
        <f t="shared" si="5"/>
        <v>0.9356335155229506</v>
      </c>
      <c r="Q88" s="33">
        <f t="shared" si="6"/>
        <v>0.4356335155229506</v>
      </c>
      <c r="R88" s="51">
        <f t="shared" si="7"/>
        <v>4.6781675776147527</v>
      </c>
      <c r="S88" s="51">
        <f>APPLICANTS_PER_YEAR*($H88/Segments!$AH$2)*Q88</f>
        <v>1.5682806558826221</v>
      </c>
      <c r="T88" s="51">
        <f t="shared" si="8"/>
        <v>6.2464482334973752</v>
      </c>
      <c r="U88" s="14">
        <f t="shared" si="9"/>
        <v>1426.2297754450396</v>
      </c>
      <c r="V88" s="44">
        <f t="shared" si="10"/>
        <v>8908.8704613900263</v>
      </c>
      <c r="W88" s="44">
        <f t="shared" si="11"/>
        <v>8755.2299829559961</v>
      </c>
      <c r="X88" s="44">
        <f t="shared" si="12"/>
        <v>1926.1979981383272</v>
      </c>
      <c r="Y88" s="14">
        <f t="shared" si="13"/>
        <v>1426.2297754450396</v>
      </c>
      <c r="Z88" s="14">
        <f t="shared" si="14"/>
        <v>1289.002072136014</v>
      </c>
      <c r="AA88" s="14">
        <f t="shared" si="15"/>
        <v>2137.6845261120779</v>
      </c>
      <c r="AB88" s="14">
        <f t="shared" si="16"/>
        <v>1772.0875264214912</v>
      </c>
      <c r="AC88" s="14">
        <f t="shared" si="17"/>
        <v>1469.0166687083909</v>
      </c>
      <c r="AD88" s="33">
        <f t="shared" si="18"/>
        <v>0.92651238389593371</v>
      </c>
      <c r="AE88" s="33">
        <f t="shared" si="19"/>
        <v>0.43551238389593372</v>
      </c>
      <c r="AF88" s="51">
        <f t="shared" si="20"/>
        <v>8.65242280513176</v>
      </c>
      <c r="AG88" s="51">
        <f>APPLICANTS_PER_YEAR*($H88/Segments!$AH$2)*AE88</f>
        <v>1.5678445820253613</v>
      </c>
      <c r="AH88" s="51">
        <f t="shared" si="21"/>
        <v>10.220267387157122</v>
      </c>
      <c r="AI88" s="14">
        <f t="shared" si="22"/>
        <v>1469.0166687083909</v>
      </c>
      <c r="AJ88" s="44">
        <f t="shared" si="23"/>
        <v>15013.743150390565</v>
      </c>
      <c r="AK88" s="44">
        <f t="shared" si="24"/>
        <v>14754.819340609216</v>
      </c>
      <c r="AL88" s="44">
        <f t="shared" si="25"/>
        <v>3161.8105615904715</v>
      </c>
      <c r="AM88" s="14">
        <f t="shared" si="26"/>
        <v>1469.0166687083909</v>
      </c>
      <c r="AN88" s="14">
        <f t="shared" si="27"/>
        <v>1327.6721343000943</v>
      </c>
      <c r="AO88" s="14">
        <f t="shared" si="28"/>
        <v>2200.5650618954396</v>
      </c>
      <c r="AP88" s="14">
        <f t="shared" si="29"/>
        <v>1824.7319691386908</v>
      </c>
      <c r="AQ88" s="14">
        <f t="shared" si="30"/>
        <v>1513.0871687696424</v>
      </c>
      <c r="AR88" s="33">
        <f t="shared" si="31"/>
        <v>0.92639467868153569</v>
      </c>
      <c r="AS88" s="33">
        <f t="shared" si="32"/>
        <v>0.43539467868153559</v>
      </c>
      <c r="AT88" s="51">
        <f t="shared" si="33"/>
        <v>10.281173105572728</v>
      </c>
      <c r="AU88" s="51">
        <f>APPLICANTS_PER_YEAR*($H88/Segments!$AH$2)*AS88</f>
        <v>1.5674208432535279</v>
      </c>
      <c r="AV88" s="51">
        <f t="shared" si="34"/>
        <v>11.848593948826256</v>
      </c>
      <c r="AW88" s="14">
        <f t="shared" si="35"/>
        <v>1513.0871687696424</v>
      </c>
      <c r="AX88" s="44">
        <f t="shared" si="36"/>
        <v>17927.955471930636</v>
      </c>
      <c r="AY88" s="44">
        <f t="shared" si="37"/>
        <v>17618.77377847254</v>
      </c>
      <c r="AZ88" s="44">
        <f t="shared" si="38"/>
        <v>3747.5485370623696</v>
      </c>
    </row>
    <row r="89" spans="1:52" ht="15" customHeight="1" x14ac:dyDescent="0.35">
      <c r="A89" s="59" t="str">
        <f>Segments!$A$69</f>
        <v>Non-greek</v>
      </c>
      <c r="B89" s="59" t="str">
        <f>Segments!$B$69</f>
        <v>Off 0-1mi</v>
      </c>
      <c r="C89" s="59" t="str">
        <f>Segments!$C$69</f>
        <v>No</v>
      </c>
      <c r="D89" s="59" t="str">
        <f>Segments!$D$69</f>
        <v>&lt;1.0</v>
      </c>
      <c r="E89" s="59" t="str">
        <f>Segments!$E$69</f>
        <v>Grad student</v>
      </c>
      <c r="F89" s="59">
        <f>Segments!$F$69</f>
        <v>3</v>
      </c>
      <c r="G89" s="59" t="str">
        <f>Segments!$G$69</f>
        <v>Grad</v>
      </c>
      <c r="H89" s="60">
        <f>Segments!$H$69</f>
        <v>1</v>
      </c>
      <c r="I89" s="26">
        <f>Segments!$Y$69</f>
        <v>1490.0869297321758</v>
      </c>
      <c r="J89" s="29">
        <v>4</v>
      </c>
      <c r="K89" s="14">
        <f t="shared" ref="K89:K152" si="39">IF($J89=0,M89,CURRENT_FLAT)</f>
        <v>1426.2297754450396</v>
      </c>
      <c r="L89" s="14">
        <f t="shared" ref="L89:L152" si="40">$I89*(1+LOSS_TREND)^0</f>
        <v>1490.0869297321758</v>
      </c>
      <c r="M89" s="14">
        <f t="shared" ref="M89:M152" si="41">L89*GROSS_MULT+POLICY_FEE</f>
        <v>2464.6641810688452</v>
      </c>
      <c r="N89" s="14">
        <f t="shared" ref="N89:N152" si="42">M89^MARKET_RISK_WEIGHT*(CURRENT_FLAT*(1+LOSS_TREND)^0)^(1-MARKET_RISK_WEIGHT)</f>
        <v>1874.8806472715141</v>
      </c>
      <c r="O89" s="14">
        <f t="shared" ref="O89:O152" si="43">CURRENT_FLAT*(1+LOSS_TREND)^0</f>
        <v>1426.2297754450396</v>
      </c>
      <c r="P89" s="33">
        <f t="shared" ref="P89:P152" si="44">MEDIAN(RET_FLOOR,BASE_RETENTION-ELAST_MARKET*(O89/N89-1)-ELAST_INCREASE*MAX(O89/K89-1,0),RET_CEIL)</f>
        <v>0.95</v>
      </c>
      <c r="Q89" s="33">
        <f t="shared" ref="Q89:Q152" si="45">MEDIAN(CONV_FLOOR,BASE_CONVERSION-ELAST_MARKET*(CURRENT_FLAT*(1+LOSS_TREND)^0/N89-1),CONV_CEIL)</f>
        <v>0.46964784864556292</v>
      </c>
      <c r="R89" s="51">
        <f t="shared" ref="R89:R152" si="46">IF($J89=0,0,IF($J89=4,$H89*GRAD_CONTINUE,$H88)*P89)</f>
        <v>0.47499999999999998</v>
      </c>
      <c r="S89" s="51">
        <f>APPLICANTS_PER_YEAR*($H89/Segments!$AH$2)*Q89</f>
        <v>0.56357741837467545</v>
      </c>
      <c r="T89" s="51">
        <f t="shared" ref="T89:T152" si="47">R89+S89</f>
        <v>1.0385774183746754</v>
      </c>
      <c r="U89" s="14">
        <f t="shared" ref="U89:U152" si="48">IFERROR((R89*O89+S89*CURRENT_FLAT*(1+LOSS_TREND)^0)/T89,M89)</f>
        <v>1426.2297754450396</v>
      </c>
      <c r="V89" s="44">
        <f t="shared" ref="V89:V152" si="49">R89*O89+S89*CURRENT_FLAT*(1+LOSS_TREND)^0</f>
        <v>1481.2500381908023</v>
      </c>
      <c r="W89" s="44">
        <f t="shared" ref="W89:W152" si="50">T89*L89*(1+LAE_RATIO)</f>
        <v>1733.2791130313005</v>
      </c>
      <c r="X89" s="44">
        <f t="shared" ref="X89:X152" si="51">R89*O89*(PREMIUM_TAX+OTHER_VARIABLE+COMMISSION_RN)+S89*CURRENT_FLAT*(1+LOSS_TREND)^0*(PREMIUM_TAX+OTHER_VARIABLE+COMMISSION_NB)+T89*FIXED_PER_POLICY+S89*NB_ACQUISITION</f>
        <v>342.94992236482636</v>
      </c>
      <c r="Y89" s="14">
        <f t="shared" ref="Y89:Y152" si="52">IF($J89=0,AA89,IF($J89=4,U89,U88))</f>
        <v>1426.2297754450396</v>
      </c>
      <c r="Z89" s="14">
        <f t="shared" ref="Z89:Z152" si="53">$I89*(1+LOSS_TREND)^1</f>
        <v>1534.7895376241411</v>
      </c>
      <c r="AA89" s="14">
        <f t="shared" ref="AA89:AA152" si="54">Z89*GROSS_MULT+POLICY_FEE</f>
        <v>2537.3541065009108</v>
      </c>
      <c r="AB89" s="14">
        <f t="shared" ref="AB89:AB152" si="55">AA89^MARKET_RISK_WEIGHT*(CURRENT_FLAT*(1+LOSS_TREND)^1)^(1-MARKET_RISK_WEIGHT)</f>
        <v>1930.6515679597712</v>
      </c>
      <c r="AC89" s="14">
        <f t="shared" ref="AC89:AC152" si="56">CURRENT_FLAT*(1+LOSS_TREND)^1</f>
        <v>1469.0166687083909</v>
      </c>
      <c r="AD89" s="33">
        <f t="shared" ref="AD89:AD152" si="57">MEDIAN(RET_FLOOR,BASE_RETENTION-ELAST_MARKET*(AC89/AB89-1)-ELAST_INCREASE*MAX(AC89/Y89-1,0),RET_CEIL)</f>
        <v>0.95</v>
      </c>
      <c r="AE89" s="33">
        <f t="shared" ref="AE89:AE152" si="58">MEDIAN(CONV_FLOOR,BASE_CONVERSION-ELAST_MARKET*(CURRENT_FLAT*(1+LOSS_TREND)^1/AB89-1),CONV_CEIL)</f>
        <v>0.4695541719988387</v>
      </c>
      <c r="AF89" s="51">
        <f t="shared" ref="AF89:AF152" si="59">IF($J89=0,0,IF($J89=4,T89*GRAD_CONTINUE,T88)*AD89)</f>
        <v>0.49332427372797083</v>
      </c>
      <c r="AG89" s="51">
        <f>APPLICANTS_PER_YEAR*($H89/Segments!$AH$2)*AE89</f>
        <v>0.56346500639860642</v>
      </c>
      <c r="AH89" s="51">
        <f t="shared" ref="AH89:AH152" si="60">AF89+AG89</f>
        <v>1.0567892801265772</v>
      </c>
      <c r="AI89" s="14">
        <f t="shared" ref="AI89:AI152" si="61">IFERROR((AF89*AC89+AG89*CURRENT_FLAT*(1+LOSS_TREND)^1)/AH89,AA89)</f>
        <v>1469.0166687083909</v>
      </c>
      <c r="AJ89" s="44">
        <f t="shared" ref="AJ89:AJ152" si="62">AF89*AC89+AG89*CURRENT_FLAT*(1+LOSS_TREND)^1</f>
        <v>1552.441067818283</v>
      </c>
      <c r="AK89" s="44">
        <f t="shared" ref="AK89:AK152" si="63">AH89*Z89*(1+LAE_RATIO)</f>
        <v>1816.5830262850127</v>
      </c>
      <c r="AL89" s="44">
        <f t="shared" ref="AL89:AL152" si="64">AF89*AC89*(PREMIUM_TAX+OTHER_VARIABLE+COMMISSION_RN)+AG89*CURRENT_FLAT*(1+LOSS_TREND)^1*(PREMIUM_TAX+OTHER_VARIABLE+COMMISSION_NB)+AH89*FIXED_PER_POLICY+AG89*NB_ACQUISITION</f>
        <v>357.60465461232229</v>
      </c>
      <c r="AM89" s="14">
        <f t="shared" ref="AM89:AM152" si="65">IF($J89=0,AO89,IF($J89=4,AI89,AI88))</f>
        <v>1469.0166687083909</v>
      </c>
      <c r="AN89" s="14">
        <f t="shared" ref="AN89:AN152" si="66">$I89*(1+LOSS_TREND)^2</f>
        <v>1580.8332237528653</v>
      </c>
      <c r="AO89" s="14">
        <f t="shared" ref="AO89:AO152" si="67">AN89*GROSS_MULT+POLICY_FEE</f>
        <v>2612.2247296959381</v>
      </c>
      <c r="AP89" s="14">
        <f t="shared" ref="AP89:AP152" si="68">AO89^MARKET_RISK_WEIGHT*(CURRENT_FLAT*(1+LOSS_TREND)^2)^(1-MARKET_RISK_WEIGHT)</f>
        <v>1988.0955008363337</v>
      </c>
      <c r="AQ89" s="14">
        <f t="shared" ref="AQ89:AQ152" si="69">CURRENT_FLAT*(1+LOSS_TREND)^2</f>
        <v>1513.0871687696424</v>
      </c>
      <c r="AR89" s="33">
        <f t="shared" ref="AR89:AR152" si="70">MEDIAN(RET_FLOOR,BASE_RETENTION-ELAST_MARKET*(AQ89/AP89-1)-ELAST_INCREASE*MAX(AQ89/AM89-1,0),RET_CEIL)</f>
        <v>0.95</v>
      </c>
      <c r="AS89" s="33">
        <f t="shared" ref="AS89:AS152" si="71">MEDIAN(CONV_FLOOR,BASE_CONVERSION-ELAST_MARKET*(CURRENT_FLAT*(1+LOSS_TREND)^2/AP89-1),CONV_CEIL)</f>
        <v>0.46946315754622175</v>
      </c>
      <c r="AT89" s="51">
        <f t="shared" ref="AT89:AT152" si="72">IF($J89=0,0,IF($J89=4,AH89*GRAD_CONTINUE,AH88)*AR89)</f>
        <v>0.50197490806012413</v>
      </c>
      <c r="AU89" s="51">
        <f>APPLICANTS_PER_YEAR*($H89/Segments!$AH$2)*AS89</f>
        <v>0.56335578905546613</v>
      </c>
      <c r="AV89" s="51">
        <f t="shared" ref="AV89:AV152" si="73">AT89+AU89</f>
        <v>1.0653306971155903</v>
      </c>
      <c r="AW89" s="14">
        <f t="shared" ref="AW89:AW152" si="74">IFERROR((AT89*AQ89+AU89*CURRENT_FLAT*(1+LOSS_TREND)^2)/AV89,AO89)</f>
        <v>1513.0871687696424</v>
      </c>
      <c r="AX89" s="44">
        <f t="shared" ref="AX89:AX152" si="75">AT89*AQ89+AU89*CURRENT_FLAT*(1+LOSS_TREND)^2</f>
        <v>1611.938208302018</v>
      </c>
      <c r="AY89" s="44">
        <f t="shared" ref="AY89:AY152" si="76">AV89*AN89*(1+LAE_RATIO)</f>
        <v>1886.2033795182213</v>
      </c>
      <c r="AZ89" s="44">
        <f t="shared" ref="AZ89:AZ152" si="77">AT89*AQ89*(PREMIUM_TAX+OTHER_VARIABLE+COMMISSION_RN)+AU89*CURRENT_FLAT*(1+LOSS_TREND)^2*(PREMIUM_TAX+OTHER_VARIABLE+COMMISSION_NB)+AV89*FIXED_PER_POLICY+AU89*NB_ACQUISITION</f>
        <v>369.88105459329711</v>
      </c>
    </row>
    <row r="90" spans="1:52" ht="15" customHeight="1" x14ac:dyDescent="0.35">
      <c r="A90" s="61" t="str">
        <f>Segments!$A$70</f>
        <v>Non-greek</v>
      </c>
      <c r="B90" s="61" t="str">
        <f>Segments!$B$70</f>
        <v>Off 0-1mi</v>
      </c>
      <c r="C90" s="61" t="str">
        <f>Segments!$C$70</f>
        <v>No</v>
      </c>
      <c r="D90" s="61" t="str">
        <f>Segments!$D$70</f>
        <v>1.0-2.0</v>
      </c>
      <c r="E90" s="61" t="str">
        <f>Segments!$E$70</f>
        <v>Freshman</v>
      </c>
      <c r="F90" s="61">
        <f>Segments!$F$70</f>
        <v>1</v>
      </c>
      <c r="G90" s="61" t="str">
        <f>Segments!$G$70</f>
        <v>Base</v>
      </c>
      <c r="H90" s="62">
        <f>Segments!$H$70</f>
        <v>12</v>
      </c>
      <c r="I90" s="63">
        <f>Segments!$Y$70</f>
        <v>1026.7798020827993</v>
      </c>
      <c r="J90" s="42">
        <v>0</v>
      </c>
      <c r="K90" s="40">
        <f t="shared" si="39"/>
        <v>1711.2906722487769</v>
      </c>
      <c r="L90" s="40">
        <f t="shared" si="40"/>
        <v>1026.7798020827993</v>
      </c>
      <c r="M90" s="40">
        <f t="shared" si="41"/>
        <v>1711.2906722487769</v>
      </c>
      <c r="N90" s="40">
        <f t="shared" si="42"/>
        <v>1562.2719709457006</v>
      </c>
      <c r="O90" s="40">
        <f t="shared" si="43"/>
        <v>1426.2297754450396</v>
      </c>
      <c r="P90" s="41">
        <f t="shared" si="44"/>
        <v>0.89353985670571479</v>
      </c>
      <c r="Q90" s="41">
        <f t="shared" si="45"/>
        <v>0.39353985670571479</v>
      </c>
      <c r="R90" s="64">
        <f t="shared" si="46"/>
        <v>0</v>
      </c>
      <c r="S90" s="64">
        <f>APPLICANTS_PER_YEAR*($H90/Segments!$AH$2)*Q90</f>
        <v>5.6669739365622922</v>
      </c>
      <c r="T90" s="64">
        <f t="shared" si="47"/>
        <v>5.6669739365622922</v>
      </c>
      <c r="U90" s="40">
        <f t="shared" si="48"/>
        <v>1426.2297754450396</v>
      </c>
      <c r="V90" s="65">
        <f t="shared" si="49"/>
        <v>8082.4069649961302</v>
      </c>
      <c r="W90" s="65">
        <f t="shared" si="50"/>
        <v>6516.9825022308305</v>
      </c>
      <c r="X90" s="65">
        <f t="shared" si="51"/>
        <v>2065.4729873044366</v>
      </c>
      <c r="Y90" s="40">
        <f t="shared" si="52"/>
        <v>1761.3793924162401</v>
      </c>
      <c r="Z90" s="40">
        <f t="shared" si="53"/>
        <v>1057.5831961452832</v>
      </c>
      <c r="AA90" s="40">
        <f t="shared" si="54"/>
        <v>1761.3793924162401</v>
      </c>
      <c r="AB90" s="40">
        <f t="shared" si="55"/>
        <v>1608.569453700683</v>
      </c>
      <c r="AC90" s="40">
        <f t="shared" si="56"/>
        <v>1469.0166687083909</v>
      </c>
      <c r="AD90" s="41">
        <f t="shared" si="57"/>
        <v>0.89337791715217407</v>
      </c>
      <c r="AE90" s="41">
        <f t="shared" si="58"/>
        <v>0.39337791715217402</v>
      </c>
      <c r="AF90" s="64">
        <f t="shared" si="59"/>
        <v>0</v>
      </c>
      <c r="AG90" s="64">
        <f>APPLICANTS_PER_YEAR*($H90/Segments!$AH$2)*AE90</f>
        <v>5.664642006991305</v>
      </c>
      <c r="AH90" s="64">
        <f t="shared" si="60"/>
        <v>5.664642006991305</v>
      </c>
      <c r="AI90" s="40">
        <f t="shared" si="61"/>
        <v>1469.0166687083909</v>
      </c>
      <c r="AJ90" s="65">
        <f t="shared" si="62"/>
        <v>8321.4535305359805</v>
      </c>
      <c r="AK90" s="65">
        <f t="shared" si="63"/>
        <v>6709.7298226254206</v>
      </c>
      <c r="AL90" s="65">
        <f t="shared" si="64"/>
        <v>2118.9144811546685</v>
      </c>
      <c r="AM90" s="40">
        <f t="shared" si="65"/>
        <v>1812.9707741887275</v>
      </c>
      <c r="AN90" s="40">
        <f t="shared" si="66"/>
        <v>1089.3106920296418</v>
      </c>
      <c r="AO90" s="40">
        <f t="shared" si="67"/>
        <v>1812.9707741887275</v>
      </c>
      <c r="AP90" s="40">
        <f t="shared" si="68"/>
        <v>1656.2556613576687</v>
      </c>
      <c r="AQ90" s="40">
        <f t="shared" si="69"/>
        <v>1513.0871687696424</v>
      </c>
      <c r="AR90" s="41">
        <f t="shared" si="70"/>
        <v>0.89322052927223439</v>
      </c>
      <c r="AS90" s="41">
        <f t="shared" si="71"/>
        <v>0.39322052927223444</v>
      </c>
      <c r="AT90" s="64">
        <f t="shared" si="72"/>
        <v>0</v>
      </c>
      <c r="AU90" s="64">
        <f>APPLICANTS_PER_YEAR*($H90/Segments!$AH$2)*AS90</f>
        <v>5.6623756215201757</v>
      </c>
      <c r="AV90" s="64">
        <f t="shared" si="73"/>
        <v>5.6623756215201757</v>
      </c>
      <c r="AW90" s="40">
        <f t="shared" si="74"/>
        <v>1513.0871687696424</v>
      </c>
      <c r="AX90" s="65">
        <f t="shared" si="75"/>
        <v>8567.6678976762068</v>
      </c>
      <c r="AY90" s="65">
        <f t="shared" si="76"/>
        <v>6908.2566636271067</v>
      </c>
      <c r="AZ90" s="65">
        <f t="shared" si="77"/>
        <v>2173.9645120478781</v>
      </c>
    </row>
    <row r="91" spans="1:52" ht="15" customHeight="1" x14ac:dyDescent="0.35">
      <c r="A91" s="61" t="str">
        <f>Segments!$A$71</f>
        <v>Non-greek</v>
      </c>
      <c r="B91" s="61" t="str">
        <f>Segments!$B$71</f>
        <v>Off 0-1mi</v>
      </c>
      <c r="C91" s="61" t="str">
        <f>Segments!$C$71</f>
        <v>No</v>
      </c>
      <c r="D91" s="61" t="str">
        <f>Segments!$D$71</f>
        <v>1.0-2.0</v>
      </c>
      <c r="E91" s="61" t="str">
        <f>Segments!$E$71</f>
        <v>Sophomore</v>
      </c>
      <c r="F91" s="61">
        <f>Segments!$F$71</f>
        <v>1</v>
      </c>
      <c r="G91" s="61" t="str">
        <f>Segments!$G$71</f>
        <v>Sophomore</v>
      </c>
      <c r="H91" s="62">
        <f>Segments!$H$71</f>
        <v>11</v>
      </c>
      <c r="I91" s="63">
        <f>Segments!$Y$71</f>
        <v>1016.3335936989806</v>
      </c>
      <c r="J91" s="42">
        <v>1</v>
      </c>
      <c r="K91" s="40">
        <f t="shared" si="39"/>
        <v>1426.2297754450396</v>
      </c>
      <c r="L91" s="40">
        <f t="shared" si="40"/>
        <v>1016.3335936989806</v>
      </c>
      <c r="M91" s="40">
        <f t="shared" si="41"/>
        <v>1694.3043230339233</v>
      </c>
      <c r="N91" s="40">
        <f t="shared" si="42"/>
        <v>1554.4990428354185</v>
      </c>
      <c r="O91" s="40">
        <f t="shared" si="43"/>
        <v>1426.2297754450396</v>
      </c>
      <c r="P91" s="41">
        <f t="shared" si="44"/>
        <v>0.89125742887445414</v>
      </c>
      <c r="Q91" s="41">
        <f t="shared" si="45"/>
        <v>0.39125742887445419</v>
      </c>
      <c r="R91" s="64">
        <f t="shared" si="46"/>
        <v>10.69508914649345</v>
      </c>
      <c r="S91" s="64">
        <f>APPLICANTS_PER_YEAR*($H91/Segments!$AH$2)*Q91</f>
        <v>5.1645980611427955</v>
      </c>
      <c r="T91" s="64">
        <f t="shared" si="47"/>
        <v>15.859687207636245</v>
      </c>
      <c r="U91" s="40">
        <f t="shared" si="48"/>
        <v>1426.2297754450399</v>
      </c>
      <c r="V91" s="65">
        <f t="shared" si="49"/>
        <v>22619.558124775613</v>
      </c>
      <c r="W91" s="65">
        <f t="shared" si="50"/>
        <v>18052.980842040142</v>
      </c>
      <c r="X91" s="65">
        <f t="shared" si="51"/>
        <v>4979.2118049191504</v>
      </c>
      <c r="Y91" s="40">
        <f t="shared" si="52"/>
        <v>1426.2297754450396</v>
      </c>
      <c r="Z91" s="40">
        <f t="shared" si="53"/>
        <v>1046.8236015099501</v>
      </c>
      <c r="AA91" s="40">
        <f t="shared" si="54"/>
        <v>1743.8834527249412</v>
      </c>
      <c r="AB91" s="40">
        <f t="shared" si="55"/>
        <v>1600.5604831863366</v>
      </c>
      <c r="AC91" s="40">
        <f t="shared" si="56"/>
        <v>1469.0166687083909</v>
      </c>
      <c r="AD91" s="41">
        <f t="shared" si="57"/>
        <v>0.88209304704814184</v>
      </c>
      <c r="AE91" s="41">
        <f t="shared" si="58"/>
        <v>0.39109304704814185</v>
      </c>
      <c r="AF91" s="64">
        <f t="shared" si="59"/>
        <v>4.9987983072446358</v>
      </c>
      <c r="AG91" s="64">
        <f>APPLICANTS_PER_YEAR*($H91/Segments!$AH$2)*AE91</f>
        <v>5.1624282210354728</v>
      </c>
      <c r="AH91" s="64">
        <f t="shared" si="60"/>
        <v>10.161226528280109</v>
      </c>
      <c r="AI91" s="40">
        <f t="shared" si="61"/>
        <v>1469.0166687083909</v>
      </c>
      <c r="AJ91" s="65">
        <f t="shared" si="62"/>
        <v>14927.011144565373</v>
      </c>
      <c r="AK91" s="65">
        <f t="shared" si="63"/>
        <v>11913.453160103747</v>
      </c>
      <c r="AL91" s="65">
        <f t="shared" si="64"/>
        <v>3418.9196011842546</v>
      </c>
      <c r="AM91" s="40">
        <f t="shared" si="65"/>
        <v>1469.0166687083909</v>
      </c>
      <c r="AN91" s="40">
        <f t="shared" si="66"/>
        <v>1078.2283095552484</v>
      </c>
      <c r="AO91" s="40">
        <f t="shared" si="67"/>
        <v>1794.949956306689</v>
      </c>
      <c r="AP91" s="40">
        <f t="shared" si="68"/>
        <v>1648.0035641561221</v>
      </c>
      <c r="AQ91" s="40">
        <f t="shared" si="69"/>
        <v>1513.0871687696424</v>
      </c>
      <c r="AR91" s="41">
        <f t="shared" si="70"/>
        <v>0.88193328385960301</v>
      </c>
      <c r="AS91" s="41">
        <f t="shared" si="71"/>
        <v>0.39093328385960291</v>
      </c>
      <c r="AT91" s="64">
        <f t="shared" si="72"/>
        <v>4.995836327114894</v>
      </c>
      <c r="AU91" s="64">
        <f>APPLICANTS_PER_YEAR*($H91/Segments!$AH$2)*AS91</f>
        <v>5.1603193469467588</v>
      </c>
      <c r="AV91" s="64">
        <f t="shared" si="73"/>
        <v>10.156155674061653</v>
      </c>
      <c r="AW91" s="40">
        <f t="shared" si="74"/>
        <v>1513.0871687696426</v>
      </c>
      <c r="AX91" s="65">
        <f t="shared" si="75"/>
        <v>15367.148834449687</v>
      </c>
      <c r="AY91" s="65">
        <f t="shared" si="76"/>
        <v>12264.733111706253</v>
      </c>
      <c r="AZ91" s="65">
        <f t="shared" si="77"/>
        <v>3509.8026815375533</v>
      </c>
    </row>
    <row r="92" spans="1:52" ht="15" customHeight="1" x14ac:dyDescent="0.35">
      <c r="A92" s="61" t="str">
        <f>Segments!$A$72</f>
        <v>Non-greek</v>
      </c>
      <c r="B92" s="61" t="str">
        <f>Segments!$B$72</f>
        <v>Off 0-1mi</v>
      </c>
      <c r="C92" s="61" t="str">
        <f>Segments!$C$72</f>
        <v>No</v>
      </c>
      <c r="D92" s="61" t="str">
        <f>Segments!$D$72</f>
        <v>1.0-2.0</v>
      </c>
      <c r="E92" s="61" t="str">
        <f>Segments!$E$72</f>
        <v>Junior</v>
      </c>
      <c r="F92" s="61">
        <f>Segments!$F$72</f>
        <v>2</v>
      </c>
      <c r="G92" s="61" t="str">
        <f>Segments!$G$72</f>
        <v>Base</v>
      </c>
      <c r="H92" s="62">
        <f>Segments!$H$72</f>
        <v>8</v>
      </c>
      <c r="I92" s="63">
        <f>Segments!$Y$72</f>
        <v>1214.9512203328356</v>
      </c>
      <c r="J92" s="42">
        <v>2</v>
      </c>
      <c r="K92" s="40">
        <f t="shared" si="39"/>
        <v>1426.2297754450396</v>
      </c>
      <c r="L92" s="40">
        <f t="shared" si="40"/>
        <v>1214.9512203328356</v>
      </c>
      <c r="M92" s="40">
        <f t="shared" si="41"/>
        <v>2017.2720681015144</v>
      </c>
      <c r="N92" s="40">
        <f t="shared" si="42"/>
        <v>1696.1997195790279</v>
      </c>
      <c r="O92" s="40">
        <f t="shared" si="43"/>
        <v>1426.2297754450396</v>
      </c>
      <c r="P92" s="41">
        <f t="shared" si="44"/>
        <v>0.92958082442113321</v>
      </c>
      <c r="Q92" s="41">
        <f t="shared" si="45"/>
        <v>0.42958082442113327</v>
      </c>
      <c r="R92" s="64">
        <f t="shared" si="46"/>
        <v>10.225389068632465</v>
      </c>
      <c r="S92" s="64">
        <f>APPLICANTS_PER_YEAR*($H92/Segments!$AH$2)*Q92</f>
        <v>4.1239759144428794</v>
      </c>
      <c r="T92" s="64">
        <f t="shared" si="47"/>
        <v>14.349364983075343</v>
      </c>
      <c r="U92" s="40">
        <f t="shared" si="48"/>
        <v>1426.2297754450396</v>
      </c>
      <c r="V92" s="65">
        <f t="shared" si="49"/>
        <v>20465.491597590462</v>
      </c>
      <c r="W92" s="65">
        <f t="shared" si="50"/>
        <v>19525.831916851286</v>
      </c>
      <c r="X92" s="65">
        <f t="shared" si="51"/>
        <v>4463.9254129510582</v>
      </c>
      <c r="Y92" s="40">
        <f t="shared" si="52"/>
        <v>1426.2297754450399</v>
      </c>
      <c r="Z92" s="40">
        <f t="shared" si="53"/>
        <v>1251.3997569428207</v>
      </c>
      <c r="AA92" s="40">
        <f t="shared" si="54"/>
        <v>2076.5402301445597</v>
      </c>
      <c r="AB92" s="40">
        <f t="shared" si="55"/>
        <v>1746.5601081342479</v>
      </c>
      <c r="AC92" s="40">
        <f t="shared" si="56"/>
        <v>1469.0166687083909</v>
      </c>
      <c r="AD92" s="41">
        <f t="shared" si="57"/>
        <v>0.92045430510328718</v>
      </c>
      <c r="AE92" s="41">
        <f t="shared" si="58"/>
        <v>0.42945430510328703</v>
      </c>
      <c r="AF92" s="64">
        <f t="shared" si="59"/>
        <v>14.598117367860313</v>
      </c>
      <c r="AG92" s="64">
        <f>APPLICANTS_PER_YEAR*($H92/Segments!$AH$2)*AE92</f>
        <v>4.1227613289915555</v>
      </c>
      <c r="AH92" s="64">
        <f t="shared" si="60"/>
        <v>18.720878696851869</v>
      </c>
      <c r="AI92" s="40">
        <f t="shared" si="61"/>
        <v>1469.0166687083909</v>
      </c>
      <c r="AJ92" s="65">
        <f t="shared" si="62"/>
        <v>27501.282858543214</v>
      </c>
      <c r="AK92" s="65">
        <f t="shared" si="63"/>
        <v>26238.579417116038</v>
      </c>
      <c r="AL92" s="65">
        <f t="shared" si="64"/>
        <v>5887.2032463953174</v>
      </c>
      <c r="AM92" s="40">
        <f t="shared" si="65"/>
        <v>1469.0166687083909</v>
      </c>
      <c r="AN92" s="40">
        <f t="shared" si="66"/>
        <v>1288.9417496511053</v>
      </c>
      <c r="AO92" s="40">
        <f t="shared" si="67"/>
        <v>2137.5864370488962</v>
      </c>
      <c r="AP92" s="40">
        <f t="shared" si="68"/>
        <v>1798.4311524311133</v>
      </c>
      <c r="AQ92" s="40">
        <f t="shared" si="69"/>
        <v>1513.0871687696424</v>
      </c>
      <c r="AR92" s="41">
        <f t="shared" si="70"/>
        <v>0.92033136146906269</v>
      </c>
      <c r="AS92" s="41">
        <f t="shared" si="71"/>
        <v>0.42933136146906259</v>
      </c>
      <c r="AT92" s="64">
        <f t="shared" si="72"/>
        <v>9.3516954449675893</v>
      </c>
      <c r="AU92" s="64">
        <f>APPLICANTS_PER_YEAR*($H92/Segments!$AH$2)*AS92</f>
        <v>4.1215810701030007</v>
      </c>
      <c r="AV92" s="64">
        <f t="shared" si="73"/>
        <v>13.473276515070591</v>
      </c>
      <c r="AW92" s="40">
        <f t="shared" si="74"/>
        <v>1513.0871687696424</v>
      </c>
      <c r="AX92" s="65">
        <f t="shared" si="75"/>
        <v>20386.241816238675</v>
      </c>
      <c r="AY92" s="65">
        <f t="shared" si="76"/>
        <v>19450.220837452423</v>
      </c>
      <c r="AZ92" s="65">
        <f t="shared" si="77"/>
        <v>4443.7756604506803</v>
      </c>
    </row>
    <row r="93" spans="1:52" ht="15" customHeight="1" x14ac:dyDescent="0.35">
      <c r="A93" s="61" t="str">
        <f>Segments!$A$73</f>
        <v>Non-greek</v>
      </c>
      <c r="B93" s="61" t="str">
        <f>Segments!$B$73</f>
        <v>Off 0-1mi</v>
      </c>
      <c r="C93" s="61" t="str">
        <f>Segments!$C$73</f>
        <v>No</v>
      </c>
      <c r="D93" s="61" t="str">
        <f>Segments!$D$73</f>
        <v>1.0-2.0</v>
      </c>
      <c r="E93" s="61" t="str">
        <f>Segments!$E$73</f>
        <v>Senior</v>
      </c>
      <c r="F93" s="61">
        <f>Segments!$F$73</f>
        <v>3</v>
      </c>
      <c r="G93" s="61" t="str">
        <f>Segments!$G$73</f>
        <v>Base</v>
      </c>
      <c r="H93" s="62">
        <f>Segments!$H$73</f>
        <v>6</v>
      </c>
      <c r="I93" s="63">
        <f>Segments!$Y$73</f>
        <v>1135.5996658441641</v>
      </c>
      <c r="J93" s="42">
        <v>3</v>
      </c>
      <c r="K93" s="40">
        <f t="shared" si="39"/>
        <v>1426.2297754450396</v>
      </c>
      <c r="L93" s="40">
        <f t="shared" si="40"/>
        <v>1135.5996658441641</v>
      </c>
      <c r="M93" s="40">
        <f t="shared" si="41"/>
        <v>1888.240254283405</v>
      </c>
      <c r="N93" s="40">
        <f t="shared" si="42"/>
        <v>1641.0559021108652</v>
      </c>
      <c r="O93" s="40">
        <f t="shared" si="43"/>
        <v>1426.2297754450396</v>
      </c>
      <c r="P93" s="41">
        <f t="shared" si="44"/>
        <v>0.91545362848075373</v>
      </c>
      <c r="Q93" s="41">
        <f t="shared" si="45"/>
        <v>0.41545362848075373</v>
      </c>
      <c r="R93" s="64">
        <f t="shared" si="46"/>
        <v>7.3236290278460299</v>
      </c>
      <c r="S93" s="64">
        <f>APPLICANTS_PER_YEAR*($H93/Segments!$AH$2)*Q93</f>
        <v>2.9912661250614265</v>
      </c>
      <c r="T93" s="64">
        <f t="shared" si="47"/>
        <v>10.314895152907457</v>
      </c>
      <c r="U93" s="40">
        <f t="shared" si="48"/>
        <v>1426.2297754450394</v>
      </c>
      <c r="V93" s="65">
        <f t="shared" si="49"/>
        <v>14711.410597670329</v>
      </c>
      <c r="W93" s="65">
        <f t="shared" si="50"/>
        <v>13119.222467522413</v>
      </c>
      <c r="X93" s="65">
        <f t="shared" si="51"/>
        <v>3210.854307628872</v>
      </c>
      <c r="Y93" s="40">
        <f t="shared" si="52"/>
        <v>1426.2297754450396</v>
      </c>
      <c r="Z93" s="40">
        <f t="shared" si="53"/>
        <v>1169.667655819489</v>
      </c>
      <c r="AA93" s="40">
        <f t="shared" si="54"/>
        <v>1943.6374619119072</v>
      </c>
      <c r="AB93" s="40">
        <f t="shared" si="55"/>
        <v>1689.7443089043566</v>
      </c>
      <c r="AC93" s="40">
        <f t="shared" si="56"/>
        <v>1469.0166687083909</v>
      </c>
      <c r="AD93" s="41">
        <f t="shared" si="57"/>
        <v>0.90631391732844102</v>
      </c>
      <c r="AE93" s="41">
        <f t="shared" si="58"/>
        <v>0.41531391732844097</v>
      </c>
      <c r="AF93" s="64">
        <f t="shared" si="59"/>
        <v>13.005029188986573</v>
      </c>
      <c r="AG93" s="64">
        <f>APPLICANTS_PER_YEAR*($H93/Segments!$AH$2)*AE93</f>
        <v>2.9902602047647746</v>
      </c>
      <c r="AH93" s="64">
        <f t="shared" si="60"/>
        <v>15.995289393751348</v>
      </c>
      <c r="AI93" s="40">
        <f t="shared" si="61"/>
        <v>1469.0166687083909</v>
      </c>
      <c r="AJ93" s="65">
        <f t="shared" si="62"/>
        <v>23497.346740235262</v>
      </c>
      <c r="AK93" s="65">
        <f t="shared" si="63"/>
        <v>20954.273367264694</v>
      </c>
      <c r="AL93" s="65">
        <f t="shared" si="64"/>
        <v>4989.4067998587298</v>
      </c>
      <c r="AM93" s="40">
        <f t="shared" si="65"/>
        <v>1469.0166687083909</v>
      </c>
      <c r="AN93" s="40">
        <f t="shared" si="66"/>
        <v>1204.7576854940737</v>
      </c>
      <c r="AO93" s="40">
        <f t="shared" si="67"/>
        <v>2000.6965857692644</v>
      </c>
      <c r="AP93" s="40">
        <f t="shared" si="68"/>
        <v>1739.8931957245845</v>
      </c>
      <c r="AQ93" s="40">
        <f t="shared" si="69"/>
        <v>1513.0871687696424</v>
      </c>
      <c r="AR93" s="41">
        <f t="shared" si="70"/>
        <v>0.90617814642653638</v>
      </c>
      <c r="AS93" s="41">
        <f t="shared" si="71"/>
        <v>0.41517814642653622</v>
      </c>
      <c r="AT93" s="64">
        <f t="shared" si="72"/>
        <v>16.964451156989259</v>
      </c>
      <c r="AU93" s="64">
        <f>APPLICANTS_PER_YEAR*($H93/Segments!$AH$2)*AS93</f>
        <v>2.9892826542710607</v>
      </c>
      <c r="AV93" s="64">
        <f t="shared" si="73"/>
        <v>19.953733811260321</v>
      </c>
      <c r="AW93" s="40">
        <f t="shared" si="74"/>
        <v>1513.0871687696424</v>
      </c>
      <c r="AX93" s="65">
        <f t="shared" si="75"/>
        <v>30191.738598862965</v>
      </c>
      <c r="AY93" s="65">
        <f t="shared" si="76"/>
        <v>26924.14386302909</v>
      </c>
      <c r="AZ93" s="65">
        <f t="shared" si="77"/>
        <v>6338.3519207471954</v>
      </c>
    </row>
    <row r="94" spans="1:52" ht="15" customHeight="1" x14ac:dyDescent="0.35">
      <c r="A94" s="61" t="str">
        <f>Segments!$A$74</f>
        <v>Non-greek</v>
      </c>
      <c r="B94" s="61" t="str">
        <f>Segments!$B$74</f>
        <v>Off 0-1mi</v>
      </c>
      <c r="C94" s="61" t="str">
        <f>Segments!$C$74</f>
        <v>No</v>
      </c>
      <c r="D94" s="61" t="str">
        <f>Segments!$D$74</f>
        <v>1.0-2.0</v>
      </c>
      <c r="E94" s="61" t="str">
        <f>Segments!$E$74</f>
        <v>Grad student</v>
      </c>
      <c r="F94" s="61">
        <f>Segments!$F$74</f>
        <v>3</v>
      </c>
      <c r="G94" s="61" t="str">
        <f>Segments!$G$74</f>
        <v>Grad</v>
      </c>
      <c r="H94" s="62">
        <f>Segments!$H$74</f>
        <v>4</v>
      </c>
      <c r="I94" s="63">
        <f>Segments!$Y$74</f>
        <v>1352.1362950013818</v>
      </c>
      <c r="J94" s="42">
        <v>4</v>
      </c>
      <c r="K94" s="40">
        <f t="shared" si="39"/>
        <v>1426.2297754450396</v>
      </c>
      <c r="L94" s="40">
        <f t="shared" si="40"/>
        <v>1352.1362950013818</v>
      </c>
      <c r="M94" s="40">
        <f t="shared" si="41"/>
        <v>2240.3456944131744</v>
      </c>
      <c r="N94" s="40">
        <f t="shared" si="42"/>
        <v>1787.5255904915498</v>
      </c>
      <c r="O94" s="40">
        <f t="shared" si="43"/>
        <v>1426.2297754450396</v>
      </c>
      <c r="P94" s="41">
        <f t="shared" si="44"/>
        <v>0.95</v>
      </c>
      <c r="Q94" s="41">
        <f t="shared" si="45"/>
        <v>0.45106031963076892</v>
      </c>
      <c r="R94" s="64">
        <f t="shared" si="46"/>
        <v>1.9</v>
      </c>
      <c r="S94" s="64">
        <f>APPLICANTS_PER_YEAR*($H94/Segments!$AH$2)*Q94</f>
        <v>2.1650895342276906</v>
      </c>
      <c r="T94" s="64">
        <f t="shared" si="47"/>
        <v>4.06508953422769</v>
      </c>
      <c r="U94" s="40">
        <f t="shared" si="48"/>
        <v>1426.2297754450396</v>
      </c>
      <c r="V94" s="65">
        <f t="shared" si="49"/>
        <v>5797.7517335655393</v>
      </c>
      <c r="W94" s="65">
        <f t="shared" si="50"/>
        <v>6156.1417138586648</v>
      </c>
      <c r="X94" s="65">
        <f t="shared" si="51"/>
        <v>1339.281137291832</v>
      </c>
      <c r="Y94" s="40">
        <f t="shared" si="52"/>
        <v>1426.2297754450396</v>
      </c>
      <c r="Z94" s="40">
        <f t="shared" si="53"/>
        <v>1392.7003838514233</v>
      </c>
      <c r="AA94" s="40">
        <f t="shared" si="54"/>
        <v>2306.3060652455697</v>
      </c>
      <c r="AB94" s="40">
        <f t="shared" si="55"/>
        <v>1840.652616054698</v>
      </c>
      <c r="AC94" s="40">
        <f t="shared" si="56"/>
        <v>1469.0166687083909</v>
      </c>
      <c r="AD94" s="41">
        <f t="shared" si="57"/>
        <v>0.94195222316932381</v>
      </c>
      <c r="AE94" s="41">
        <f t="shared" si="58"/>
        <v>0.45095222316932382</v>
      </c>
      <c r="AF94" s="64">
        <f t="shared" si="59"/>
        <v>1.9145600620740619</v>
      </c>
      <c r="AG94" s="64">
        <f>APPLICANTS_PER_YEAR*($H94/Segments!$AH$2)*AE94</f>
        <v>2.1645706712127541</v>
      </c>
      <c r="AH94" s="64">
        <f t="shared" si="60"/>
        <v>4.0791307332868163</v>
      </c>
      <c r="AI94" s="40">
        <f t="shared" si="61"/>
        <v>1469.0166687083909</v>
      </c>
      <c r="AJ94" s="65">
        <f t="shared" si="62"/>
        <v>5992.3110410390145</v>
      </c>
      <c r="AK94" s="65">
        <f t="shared" si="63"/>
        <v>6362.7277705921297</v>
      </c>
      <c r="AL94" s="65">
        <f t="shared" si="64"/>
        <v>1379.5363320837384</v>
      </c>
      <c r="AM94" s="40">
        <f t="shared" si="65"/>
        <v>1469.0166687083909</v>
      </c>
      <c r="AN94" s="40">
        <f t="shared" si="66"/>
        <v>1434.4813953669659</v>
      </c>
      <c r="AO94" s="40">
        <f t="shared" si="67"/>
        <v>2374.2452472029368</v>
      </c>
      <c r="AP94" s="40">
        <f t="shared" si="68"/>
        <v>1895.3733191788556</v>
      </c>
      <c r="AQ94" s="40">
        <f t="shared" si="69"/>
        <v>1513.0871687696424</v>
      </c>
      <c r="AR94" s="41">
        <f t="shared" si="70"/>
        <v>0.94184719103644277</v>
      </c>
      <c r="AS94" s="41">
        <f t="shared" si="71"/>
        <v>0.45084719103644272</v>
      </c>
      <c r="AT94" s="64">
        <f t="shared" si="72"/>
        <v>1.9209589115083066</v>
      </c>
      <c r="AU94" s="64">
        <f>APPLICANTS_PER_YEAR*($H94/Segments!$AH$2)*AS94</f>
        <v>2.1640665169749251</v>
      </c>
      <c r="AV94" s="64">
        <f t="shared" si="73"/>
        <v>4.0850254284832319</v>
      </c>
      <c r="AW94" s="40">
        <f t="shared" si="74"/>
        <v>1513.0871687696424</v>
      </c>
      <c r="AX94" s="65">
        <f t="shared" si="75"/>
        <v>6180.9995599356889</v>
      </c>
      <c r="AY94" s="65">
        <f t="shared" si="76"/>
        <v>6563.0801339713844</v>
      </c>
      <c r="AZ94" s="65">
        <f t="shared" si="77"/>
        <v>1418.6158330938401</v>
      </c>
    </row>
    <row r="95" spans="1:52" ht="15" customHeight="1" x14ac:dyDescent="0.35">
      <c r="A95" s="59" t="str">
        <f>Segments!$A$75</f>
        <v>Non-greek</v>
      </c>
      <c r="B95" s="59" t="str">
        <f>Segments!$B$75</f>
        <v>Off 0-1mi</v>
      </c>
      <c r="C95" s="59" t="str">
        <f>Segments!$C$75</f>
        <v>No</v>
      </c>
      <c r="D95" s="59" t="str">
        <f>Segments!$D$75</f>
        <v>2.0-3.0</v>
      </c>
      <c r="E95" s="59" t="str">
        <f>Segments!$E$75</f>
        <v>Freshman</v>
      </c>
      <c r="F95" s="59">
        <f>Segments!$F$75</f>
        <v>1</v>
      </c>
      <c r="G95" s="59" t="str">
        <f>Segments!$G$75</f>
        <v>Base</v>
      </c>
      <c r="H95" s="60">
        <f>Segments!$H$75</f>
        <v>21</v>
      </c>
      <c r="I95" s="26">
        <f>Segments!$Y$75</f>
        <v>1008.9956879319814</v>
      </c>
      <c r="J95" s="29">
        <v>0</v>
      </c>
      <c r="K95" s="14">
        <f t="shared" si="39"/>
        <v>1682.3723161962066</v>
      </c>
      <c r="L95" s="14">
        <f t="shared" si="40"/>
        <v>1008.9956879319814</v>
      </c>
      <c r="M95" s="14">
        <f t="shared" si="41"/>
        <v>1682.3723161962066</v>
      </c>
      <c r="N95" s="14">
        <f t="shared" si="42"/>
        <v>1549.0156521944725</v>
      </c>
      <c r="O95" s="14">
        <f t="shared" si="43"/>
        <v>1426.2297754450396</v>
      </c>
      <c r="P95" s="33">
        <f t="shared" si="44"/>
        <v>0.88963351712278804</v>
      </c>
      <c r="Q95" s="33">
        <f t="shared" si="45"/>
        <v>0.3896335171227881</v>
      </c>
      <c r="R95" s="51">
        <f t="shared" si="46"/>
        <v>0</v>
      </c>
      <c r="S95" s="51">
        <f>APPLICANTS_PER_YEAR*($H95/Segments!$AH$2)*Q95</f>
        <v>9.8187646314942594</v>
      </c>
      <c r="T95" s="51">
        <f t="shared" si="47"/>
        <v>9.8187646314942594</v>
      </c>
      <c r="U95" s="14">
        <f t="shared" si="48"/>
        <v>1426.2297754450396</v>
      </c>
      <c r="V95" s="44">
        <f t="shared" si="49"/>
        <v>14003.814475523755</v>
      </c>
      <c r="W95" s="44">
        <f t="shared" si="50"/>
        <v>11095.94211487637</v>
      </c>
      <c r="X95" s="44">
        <f t="shared" si="51"/>
        <v>3578.6988509345629</v>
      </c>
      <c r="Y95" s="14">
        <f t="shared" si="52"/>
        <v>1731.5934856820929</v>
      </c>
      <c r="Z95" s="14">
        <f t="shared" si="53"/>
        <v>1039.2655585699408</v>
      </c>
      <c r="AA95" s="14">
        <f t="shared" si="54"/>
        <v>1731.5934856820929</v>
      </c>
      <c r="AB95" s="14">
        <f t="shared" si="55"/>
        <v>1594.9105598414785</v>
      </c>
      <c r="AC95" s="14">
        <f t="shared" si="56"/>
        <v>1469.0166687083909</v>
      </c>
      <c r="AD95" s="33">
        <f t="shared" si="57"/>
        <v>0.88946738278088788</v>
      </c>
      <c r="AE95" s="33">
        <f t="shared" si="58"/>
        <v>0.38946738278088788</v>
      </c>
      <c r="AF95" s="51">
        <f t="shared" si="59"/>
        <v>0</v>
      </c>
      <c r="AG95" s="51">
        <f>APPLICANTS_PER_YEAR*($H95/Segments!$AH$2)*AE95</f>
        <v>9.814578046078374</v>
      </c>
      <c r="AH95" s="51">
        <f t="shared" si="60"/>
        <v>9.814578046078374</v>
      </c>
      <c r="AI95" s="14">
        <f t="shared" si="61"/>
        <v>1469.0166687083909</v>
      </c>
      <c r="AJ95" s="44">
        <f t="shared" si="62"/>
        <v>14417.778746028562</v>
      </c>
      <c r="AK95" s="44">
        <f t="shared" si="63"/>
        <v>11423.947287408231</v>
      </c>
      <c r="AL95" s="44">
        <f t="shared" si="64"/>
        <v>3671.2384511839246</v>
      </c>
      <c r="AM95" s="14">
        <f t="shared" si="65"/>
        <v>1782.2912902525554</v>
      </c>
      <c r="AN95" s="14">
        <f t="shared" si="66"/>
        <v>1070.443525327039</v>
      </c>
      <c r="AO95" s="14">
        <f t="shared" si="67"/>
        <v>1782.2912902525554</v>
      </c>
      <c r="AP95" s="14">
        <f t="shared" si="68"/>
        <v>1642.1821099655886</v>
      </c>
      <c r="AQ95" s="14">
        <f t="shared" si="69"/>
        <v>1513.0871687696424</v>
      </c>
      <c r="AR95" s="33">
        <f t="shared" si="70"/>
        <v>0.88930591510300006</v>
      </c>
      <c r="AS95" s="33">
        <f t="shared" si="71"/>
        <v>0.38930591510300011</v>
      </c>
      <c r="AT95" s="51">
        <f t="shared" si="72"/>
        <v>0</v>
      </c>
      <c r="AU95" s="51">
        <f>APPLICANTS_PER_YEAR*($H95/Segments!$AH$2)*AS95</f>
        <v>9.8105090605956029</v>
      </c>
      <c r="AV95" s="51">
        <f t="shared" si="73"/>
        <v>9.8105090605956029</v>
      </c>
      <c r="AW95" s="14">
        <f t="shared" si="74"/>
        <v>1513.0871687696424</v>
      </c>
      <c r="AX95" s="44">
        <f t="shared" si="75"/>
        <v>14844.155378685526</v>
      </c>
      <c r="AY95" s="44">
        <f t="shared" si="76"/>
        <v>11761.787412566033</v>
      </c>
      <c r="AZ95" s="44">
        <f t="shared" si="77"/>
        <v>3766.5637125523599</v>
      </c>
    </row>
    <row r="96" spans="1:52" ht="15" customHeight="1" x14ac:dyDescent="0.35">
      <c r="A96" s="59" t="str">
        <f>Segments!$A$76</f>
        <v>Non-greek</v>
      </c>
      <c r="B96" s="59" t="str">
        <f>Segments!$B$76</f>
        <v>Off 0-1mi</v>
      </c>
      <c r="C96" s="59" t="str">
        <f>Segments!$C$76</f>
        <v>No</v>
      </c>
      <c r="D96" s="59" t="str">
        <f>Segments!$D$76</f>
        <v>2.0-3.0</v>
      </c>
      <c r="E96" s="59" t="str">
        <f>Segments!$E$76</f>
        <v>Sophomore</v>
      </c>
      <c r="F96" s="59">
        <f>Segments!$F$76</f>
        <v>1</v>
      </c>
      <c r="G96" s="59" t="str">
        <f>Segments!$G$76</f>
        <v>Sophomore</v>
      </c>
      <c r="H96" s="60">
        <f>Segments!$H$76</f>
        <v>17</v>
      </c>
      <c r="I96" s="26">
        <f>Segments!$Y$76</f>
        <v>998.73041080719656</v>
      </c>
      <c r="J96" s="29">
        <v>1</v>
      </c>
      <c r="K96" s="14">
        <f t="shared" si="39"/>
        <v>1426.2297754450396</v>
      </c>
      <c r="L96" s="14">
        <f t="shared" si="40"/>
        <v>998.73041080719656</v>
      </c>
      <c r="M96" s="14">
        <f t="shared" si="41"/>
        <v>1665.68017531388</v>
      </c>
      <c r="N96" s="14">
        <f t="shared" si="42"/>
        <v>1541.3119938549657</v>
      </c>
      <c r="O96" s="14">
        <f t="shared" si="43"/>
        <v>1426.2297754450396</v>
      </c>
      <c r="P96" s="33">
        <f t="shared" si="44"/>
        <v>0.88733255138114342</v>
      </c>
      <c r="Q96" s="33">
        <f t="shared" si="45"/>
        <v>0.38733255138114336</v>
      </c>
      <c r="R96" s="51">
        <f t="shared" si="46"/>
        <v>18.633983579004013</v>
      </c>
      <c r="S96" s="51">
        <f>APPLICANTS_PER_YEAR*($H96/Segments!$AH$2)*Q96</f>
        <v>7.9015840481753239</v>
      </c>
      <c r="T96" s="51">
        <f t="shared" si="47"/>
        <v>26.535567627179336</v>
      </c>
      <c r="U96" s="14">
        <f t="shared" si="48"/>
        <v>1426.2297754450399</v>
      </c>
      <c r="V96" s="44">
        <f t="shared" si="49"/>
        <v>37845.816658218653</v>
      </c>
      <c r="W96" s="44">
        <f t="shared" si="50"/>
        <v>29682.103760170365</v>
      </c>
      <c r="X96" s="44">
        <f t="shared" si="51"/>
        <v>8275.5419076454182</v>
      </c>
      <c r="Y96" s="14">
        <f t="shared" si="52"/>
        <v>1426.2297754450396</v>
      </c>
      <c r="Z96" s="14">
        <f t="shared" si="53"/>
        <v>1028.6923231314124</v>
      </c>
      <c r="AA96" s="14">
        <f t="shared" si="54"/>
        <v>1714.4005805732963</v>
      </c>
      <c r="AB96" s="14">
        <f t="shared" si="55"/>
        <v>1586.9729139797928</v>
      </c>
      <c r="AC96" s="14">
        <f t="shared" si="56"/>
        <v>1469.0166687083909</v>
      </c>
      <c r="AD96" s="33">
        <f t="shared" si="57"/>
        <v>0.87816391257604787</v>
      </c>
      <c r="AE96" s="33">
        <f t="shared" si="58"/>
        <v>0.38716391257604788</v>
      </c>
      <c r="AF96" s="51">
        <f t="shared" si="59"/>
        <v>8.6224847654563153</v>
      </c>
      <c r="AG96" s="51">
        <f>APPLICANTS_PER_YEAR*($H96/Segments!$AH$2)*AE96</f>
        <v>7.898143816551376</v>
      </c>
      <c r="AH96" s="51">
        <f t="shared" si="60"/>
        <v>16.520628582007692</v>
      </c>
      <c r="AI96" s="14">
        <f t="shared" si="61"/>
        <v>1469.0166687083906</v>
      </c>
      <c r="AJ96" s="44">
        <f t="shared" si="62"/>
        <v>24269.078764509562</v>
      </c>
      <c r="AK96" s="44">
        <f t="shared" si="63"/>
        <v>19034.001051090709</v>
      </c>
      <c r="AL96" s="44">
        <f t="shared" si="64"/>
        <v>5520.8097256891988</v>
      </c>
      <c r="AM96" s="14">
        <f t="shared" si="65"/>
        <v>1469.0166687083909</v>
      </c>
      <c r="AN96" s="14">
        <f t="shared" si="66"/>
        <v>1059.5530928253547</v>
      </c>
      <c r="AO96" s="14">
        <f t="shared" si="67"/>
        <v>1764.5825979904951</v>
      </c>
      <c r="AP96" s="14">
        <f t="shared" si="68"/>
        <v>1634.003453868326</v>
      </c>
      <c r="AQ96" s="14">
        <f t="shared" si="69"/>
        <v>1513.0871687696424</v>
      </c>
      <c r="AR96" s="33">
        <f t="shared" si="70"/>
        <v>0.87800000903071163</v>
      </c>
      <c r="AS96" s="33">
        <f t="shared" si="71"/>
        <v>0.38700000903071147</v>
      </c>
      <c r="AT96" s="51">
        <f t="shared" si="72"/>
        <v>8.6171996130894364</v>
      </c>
      <c r="AU96" s="51">
        <f>APPLICANTS_PER_YEAR*($H96/Segments!$AH$2)*AS96</f>
        <v>7.8948001842265132</v>
      </c>
      <c r="AV96" s="51">
        <f t="shared" si="73"/>
        <v>16.511999797315951</v>
      </c>
      <c r="AW96" s="14">
        <f t="shared" si="74"/>
        <v>1513.0871687696424</v>
      </c>
      <c r="AX96" s="44">
        <f t="shared" si="75"/>
        <v>24984.095024045702</v>
      </c>
      <c r="AY96" s="44">
        <f t="shared" si="76"/>
        <v>19594.78130845508</v>
      </c>
      <c r="AZ96" s="44">
        <f t="shared" si="77"/>
        <v>5667.6971901529869</v>
      </c>
    </row>
    <row r="97" spans="1:52" ht="15" customHeight="1" x14ac:dyDescent="0.35">
      <c r="A97" s="59" t="str">
        <f>Segments!$A$77</f>
        <v>Non-greek</v>
      </c>
      <c r="B97" s="59" t="str">
        <f>Segments!$B$77</f>
        <v>Off 0-1mi</v>
      </c>
      <c r="C97" s="59" t="str">
        <f>Segments!$C$77</f>
        <v>No</v>
      </c>
      <c r="D97" s="59" t="str">
        <f>Segments!$D$77</f>
        <v>2.0-3.0</v>
      </c>
      <c r="E97" s="59" t="str">
        <f>Segments!$E$77</f>
        <v>Junior</v>
      </c>
      <c r="F97" s="59">
        <f>Segments!$F$77</f>
        <v>2</v>
      </c>
      <c r="G97" s="59" t="str">
        <f>Segments!$G$77</f>
        <v>Base</v>
      </c>
      <c r="H97" s="60">
        <f>Segments!$H$77</f>
        <v>18</v>
      </c>
      <c r="I97" s="26">
        <f>Segments!$Y$77</f>
        <v>1193.9079244418904</v>
      </c>
      <c r="J97" s="29">
        <v>2</v>
      </c>
      <c r="K97" s="14">
        <f t="shared" si="39"/>
        <v>1426.2297754450396</v>
      </c>
      <c r="L97" s="14">
        <f t="shared" si="40"/>
        <v>1193.9079244418904</v>
      </c>
      <c r="M97" s="14">
        <f t="shared" si="41"/>
        <v>1983.0540284548244</v>
      </c>
      <c r="N97" s="14">
        <f t="shared" si="42"/>
        <v>1681.7522712036116</v>
      </c>
      <c r="O97" s="14">
        <f t="shared" si="43"/>
        <v>1426.2297754450396</v>
      </c>
      <c r="P97" s="33">
        <f t="shared" si="44"/>
        <v>0.92596912462490599</v>
      </c>
      <c r="Q97" s="33">
        <f t="shared" si="45"/>
        <v>0.42596912462490605</v>
      </c>
      <c r="R97" s="51">
        <f t="shared" si="46"/>
        <v>15.741475118623402</v>
      </c>
      <c r="S97" s="51">
        <f>APPLICANTS_PER_YEAR*($H97/Segments!$AH$2)*Q97</f>
        <v>9.2009330918979693</v>
      </c>
      <c r="T97" s="51">
        <f t="shared" si="47"/>
        <v>24.942408210521371</v>
      </c>
      <c r="U97" s="14">
        <f t="shared" si="48"/>
        <v>1426.2297754450399</v>
      </c>
      <c r="V97" s="44">
        <f t="shared" si="49"/>
        <v>35573.605261150413</v>
      </c>
      <c r="W97" s="44">
        <f t="shared" si="50"/>
        <v>33352.411475270652</v>
      </c>
      <c r="X97" s="44">
        <f t="shared" si="51"/>
        <v>7911.5754516792913</v>
      </c>
      <c r="Y97" s="14">
        <f t="shared" si="52"/>
        <v>1426.2297754450399</v>
      </c>
      <c r="Z97" s="14">
        <f t="shared" si="53"/>
        <v>1229.725162175147</v>
      </c>
      <c r="AA97" s="14">
        <f t="shared" si="54"/>
        <v>2041.2956493084691</v>
      </c>
      <c r="AB97" s="14">
        <f t="shared" si="55"/>
        <v>1731.6747196272336</v>
      </c>
      <c r="AC97" s="14">
        <f t="shared" si="56"/>
        <v>1469.0166687083909</v>
      </c>
      <c r="AD97" s="33">
        <f t="shared" si="57"/>
        <v>0.91683931553132092</v>
      </c>
      <c r="AE97" s="33">
        <f t="shared" si="58"/>
        <v>0.42583931553132082</v>
      </c>
      <c r="AF97" s="51">
        <f t="shared" si="59"/>
        <v>24.328851660538181</v>
      </c>
      <c r="AG97" s="51">
        <f>APPLICANTS_PER_YEAR*($H97/Segments!$AH$2)*AE97</f>
        <v>9.1981292154765288</v>
      </c>
      <c r="AH97" s="51">
        <f t="shared" si="60"/>
        <v>33.526980876014711</v>
      </c>
      <c r="AI97" s="14">
        <f t="shared" si="61"/>
        <v>1469.0166687083909</v>
      </c>
      <c r="AJ97" s="44">
        <f t="shared" si="62"/>
        <v>49251.693758333058</v>
      </c>
      <c r="AK97" s="44">
        <f t="shared" si="63"/>
        <v>46176.44863440028</v>
      </c>
      <c r="AL97" s="44">
        <f t="shared" si="64"/>
        <v>10681.990148078559</v>
      </c>
      <c r="AM97" s="14">
        <f t="shared" si="65"/>
        <v>1469.0166687083906</v>
      </c>
      <c r="AN97" s="14">
        <f t="shared" si="66"/>
        <v>1266.6169170404014</v>
      </c>
      <c r="AO97" s="14">
        <f t="shared" si="67"/>
        <v>2101.2845187877228</v>
      </c>
      <c r="AP97" s="14">
        <f t="shared" si="68"/>
        <v>1783.0946815332036</v>
      </c>
      <c r="AQ97" s="14">
        <f t="shared" si="69"/>
        <v>1513.0871687696424</v>
      </c>
      <c r="AR97" s="33">
        <f t="shared" si="70"/>
        <v>0.91671317315898049</v>
      </c>
      <c r="AS97" s="33">
        <f t="shared" si="71"/>
        <v>0.42571317315898044</v>
      </c>
      <c r="AT97" s="51">
        <f t="shared" si="72"/>
        <v>15.14467784999322</v>
      </c>
      <c r="AU97" s="51">
        <f>APPLICANTS_PER_YEAR*($H97/Segments!$AH$2)*AS97</f>
        <v>9.1954045402339766</v>
      </c>
      <c r="AV97" s="51">
        <f t="shared" si="73"/>
        <v>24.340082390227195</v>
      </c>
      <c r="AW97" s="14">
        <f t="shared" si="74"/>
        <v>1513.0871687696426</v>
      </c>
      <c r="AX97" s="44">
        <f t="shared" si="75"/>
        <v>36828.666351448701</v>
      </c>
      <c r="AY97" s="44">
        <f t="shared" si="76"/>
        <v>34529.107331733212</v>
      </c>
      <c r="AZ97" s="44">
        <f t="shared" si="77"/>
        <v>8164.2754034857926</v>
      </c>
    </row>
    <row r="98" spans="1:52" ht="15" customHeight="1" x14ac:dyDescent="0.35">
      <c r="A98" s="59" t="str">
        <f>Segments!$A$78</f>
        <v>Non-greek</v>
      </c>
      <c r="B98" s="59" t="str">
        <f>Segments!$B$78</f>
        <v>Off 0-1mi</v>
      </c>
      <c r="C98" s="59" t="str">
        <f>Segments!$C$78</f>
        <v>No</v>
      </c>
      <c r="D98" s="59" t="str">
        <f>Segments!$D$78</f>
        <v>2.0-3.0</v>
      </c>
      <c r="E98" s="59" t="str">
        <f>Segments!$E$78</f>
        <v>Senior</v>
      </c>
      <c r="F98" s="59">
        <f>Segments!$F$78</f>
        <v>3</v>
      </c>
      <c r="G98" s="59" t="str">
        <f>Segments!$G$78</f>
        <v>Base</v>
      </c>
      <c r="H98" s="60">
        <f>Segments!$H$78</f>
        <v>17</v>
      </c>
      <c r="I98" s="26">
        <f>Segments!$Y$78</f>
        <v>1115.9307611325241</v>
      </c>
      <c r="J98" s="29">
        <v>3</v>
      </c>
      <c r="K98" s="14">
        <f t="shared" si="39"/>
        <v>1426.2297754450396</v>
      </c>
      <c r="L98" s="14">
        <f t="shared" si="40"/>
        <v>1115.9307611325241</v>
      </c>
      <c r="M98" s="14">
        <f t="shared" si="41"/>
        <v>1856.2570818413228</v>
      </c>
      <c r="N98" s="14">
        <f t="shared" si="42"/>
        <v>1627.0983747158052</v>
      </c>
      <c r="O98" s="14">
        <f t="shared" si="43"/>
        <v>1426.2297754450396</v>
      </c>
      <c r="P98" s="33">
        <f t="shared" si="44"/>
        <v>0.91172601558459854</v>
      </c>
      <c r="Q98" s="33">
        <f t="shared" si="45"/>
        <v>0.41172601558459854</v>
      </c>
      <c r="R98" s="51">
        <f t="shared" si="46"/>
        <v>16.411068280522773</v>
      </c>
      <c r="S98" s="51">
        <f>APPLICANTS_PER_YEAR*($H98/Segments!$AH$2)*Q98</f>
        <v>8.3992107179258095</v>
      </c>
      <c r="T98" s="51">
        <f t="shared" si="47"/>
        <v>24.810278998448581</v>
      </c>
      <c r="U98" s="14">
        <f t="shared" si="48"/>
        <v>1426.2297754450396</v>
      </c>
      <c r="V98" s="44">
        <f t="shared" si="49"/>
        <v>35385.158644686104</v>
      </c>
      <c r="W98" s="44">
        <f t="shared" si="50"/>
        <v>31008.939949846888</v>
      </c>
      <c r="X98" s="44">
        <f t="shared" si="51"/>
        <v>7813.2529863277923</v>
      </c>
      <c r="Y98" s="14">
        <f t="shared" si="52"/>
        <v>1426.2297754450399</v>
      </c>
      <c r="Z98" s="14">
        <f t="shared" si="53"/>
        <v>1149.4086839664999</v>
      </c>
      <c r="AA98" s="14">
        <f t="shared" si="54"/>
        <v>1910.6947942965626</v>
      </c>
      <c r="AB98" s="14">
        <f t="shared" si="55"/>
        <v>1675.3633939047372</v>
      </c>
      <c r="AC98" s="14">
        <f t="shared" si="56"/>
        <v>1469.0166687083909</v>
      </c>
      <c r="AD98" s="33">
        <f t="shared" si="57"/>
        <v>0.90258267691268412</v>
      </c>
      <c r="AE98" s="33">
        <f t="shared" si="58"/>
        <v>0.41158267691268396</v>
      </c>
      <c r="AF98" s="51">
        <f t="shared" si="59"/>
        <v>22.51258557130129</v>
      </c>
      <c r="AG98" s="51">
        <f>APPLICANTS_PER_YEAR*($H98/Segments!$AH$2)*AE98</f>
        <v>8.3962866090187518</v>
      </c>
      <c r="AH98" s="51">
        <f t="shared" si="60"/>
        <v>30.908872180320042</v>
      </c>
      <c r="AI98" s="14">
        <f t="shared" si="61"/>
        <v>1469.0166687083909</v>
      </c>
      <c r="AJ98" s="44">
        <f t="shared" si="62"/>
        <v>45405.648443867205</v>
      </c>
      <c r="AK98" s="44">
        <f t="shared" si="63"/>
        <v>39790.15722715087</v>
      </c>
      <c r="AL98" s="44">
        <f t="shared" si="64"/>
        <v>9841.4521391593262</v>
      </c>
      <c r="AM98" s="14">
        <f t="shared" si="65"/>
        <v>1469.0166687083909</v>
      </c>
      <c r="AN98" s="14">
        <f t="shared" si="66"/>
        <v>1183.8909444854949</v>
      </c>
      <c r="AO98" s="14">
        <f t="shared" si="67"/>
        <v>1966.7656381254594</v>
      </c>
      <c r="AP98" s="14">
        <f t="shared" si="68"/>
        <v>1725.0761870203503</v>
      </c>
      <c r="AQ98" s="14">
        <f t="shared" si="69"/>
        <v>1513.0871687696424</v>
      </c>
      <c r="AR98" s="33">
        <f t="shared" si="70"/>
        <v>0.90244337851444922</v>
      </c>
      <c r="AS98" s="33">
        <f t="shared" si="71"/>
        <v>0.41144337851444907</v>
      </c>
      <c r="AT98" s="51">
        <f t="shared" si="72"/>
        <v>30.256201893140044</v>
      </c>
      <c r="AU98" s="51">
        <f>APPLICANTS_PER_YEAR*($H98/Segments!$AH$2)*AS98</f>
        <v>8.3934449216947602</v>
      </c>
      <c r="AV98" s="51">
        <f t="shared" si="73"/>
        <v>38.649646814834803</v>
      </c>
      <c r="AW98" s="14">
        <f t="shared" si="74"/>
        <v>1513.0871687696424</v>
      </c>
      <c r="AX98" s="44">
        <f t="shared" si="75"/>
        <v>58480.284673005022</v>
      </c>
      <c r="AY98" s="44">
        <f t="shared" si="76"/>
        <v>51247.802896243047</v>
      </c>
      <c r="AZ98" s="44">
        <f t="shared" si="77"/>
        <v>12480.1033459847</v>
      </c>
    </row>
    <row r="99" spans="1:52" ht="15" customHeight="1" x14ac:dyDescent="0.35">
      <c r="A99" s="59" t="str">
        <f>Segments!$A$79</f>
        <v>Non-greek</v>
      </c>
      <c r="B99" s="59" t="str">
        <f>Segments!$B$79</f>
        <v>Off 0-1mi</v>
      </c>
      <c r="C99" s="59" t="str">
        <f>Segments!$C$79</f>
        <v>No</v>
      </c>
      <c r="D99" s="59" t="str">
        <f>Segments!$D$79</f>
        <v>2.0-3.0</v>
      </c>
      <c r="E99" s="59" t="str">
        <f>Segments!$E$79</f>
        <v>Grad student</v>
      </c>
      <c r="F99" s="59">
        <f>Segments!$F$79</f>
        <v>3</v>
      </c>
      <c r="G99" s="59" t="str">
        <f>Segments!$G$79</f>
        <v>Grad</v>
      </c>
      <c r="H99" s="60">
        <f>Segments!$H$79</f>
        <v>7</v>
      </c>
      <c r="I99" s="26">
        <f>Segments!$Y$79</f>
        <v>1328.716915141172</v>
      </c>
      <c r="J99" s="29">
        <v>4</v>
      </c>
      <c r="K99" s="14">
        <f t="shared" si="39"/>
        <v>1426.2297754450396</v>
      </c>
      <c r="L99" s="14">
        <f t="shared" si="40"/>
        <v>1328.716915141172</v>
      </c>
      <c r="M99" s="14">
        <f t="shared" si="41"/>
        <v>2202.2639569937824</v>
      </c>
      <c r="N99" s="14">
        <f t="shared" si="42"/>
        <v>1772.2681594087128</v>
      </c>
      <c r="O99" s="14">
        <f t="shared" si="43"/>
        <v>1426.2297754450396</v>
      </c>
      <c r="P99" s="33">
        <f t="shared" si="44"/>
        <v>0.9476258536628912</v>
      </c>
      <c r="Q99" s="33">
        <f t="shared" si="45"/>
        <v>0.4476258536628912</v>
      </c>
      <c r="R99" s="51">
        <f t="shared" si="46"/>
        <v>3.3166904878201193</v>
      </c>
      <c r="S99" s="51">
        <f>APPLICANTS_PER_YEAR*($H99/Segments!$AH$2)*Q99</f>
        <v>3.7600571707682864</v>
      </c>
      <c r="T99" s="51">
        <f t="shared" si="47"/>
        <v>7.0767476585884062</v>
      </c>
      <c r="U99" s="14">
        <f t="shared" si="48"/>
        <v>1426.2297754450396</v>
      </c>
      <c r="V99" s="44">
        <f t="shared" si="49"/>
        <v>10093.068223989752</v>
      </c>
      <c r="W99" s="44">
        <f t="shared" si="50"/>
        <v>10531.353636330352</v>
      </c>
      <c r="X99" s="44">
        <f t="shared" si="51"/>
        <v>2330.8209690764261</v>
      </c>
      <c r="Y99" s="14">
        <f t="shared" si="52"/>
        <v>1426.2297754450396</v>
      </c>
      <c r="Z99" s="14">
        <f t="shared" si="53"/>
        <v>1368.5784225954071</v>
      </c>
      <c r="AA99" s="14">
        <f t="shared" si="54"/>
        <v>2267.0818757035959</v>
      </c>
      <c r="AB99" s="14">
        <f t="shared" si="55"/>
        <v>1824.9331671968882</v>
      </c>
      <c r="AC99" s="14">
        <f t="shared" si="56"/>
        <v>1469.0166687083909</v>
      </c>
      <c r="AD99" s="33">
        <f t="shared" si="57"/>
        <v>0.93851494051565398</v>
      </c>
      <c r="AE99" s="33">
        <f t="shared" si="58"/>
        <v>0.44751494051565405</v>
      </c>
      <c r="AF99" s="51">
        <f t="shared" si="59"/>
        <v>3.3208167039221959</v>
      </c>
      <c r="AG99" s="51">
        <f>APPLICANTS_PER_YEAR*($H99/Segments!$AH$2)*AE99</f>
        <v>3.7591255003314941</v>
      </c>
      <c r="AH99" s="51">
        <f t="shared" si="60"/>
        <v>7.0799422042536904</v>
      </c>
      <c r="AI99" s="14">
        <f t="shared" si="61"/>
        <v>1469.0166687083909</v>
      </c>
      <c r="AJ99" s="44">
        <f t="shared" si="62"/>
        <v>10400.553111540698</v>
      </c>
      <c r="AK99" s="44">
        <f t="shared" si="63"/>
        <v>10852.190870039867</v>
      </c>
      <c r="AL99" s="44">
        <f t="shared" si="64"/>
        <v>2394.5591503659339</v>
      </c>
      <c r="AM99" s="14">
        <f t="shared" si="65"/>
        <v>1469.0166687083909</v>
      </c>
      <c r="AN99" s="14">
        <f t="shared" si="66"/>
        <v>1409.6357752732692</v>
      </c>
      <c r="AO99" s="14">
        <f t="shared" si="67"/>
        <v>2333.8443319747034</v>
      </c>
      <c r="AP99" s="14">
        <f t="shared" si="68"/>
        <v>1879.1779885409157</v>
      </c>
      <c r="AQ99" s="14">
        <f t="shared" si="69"/>
        <v>1513.0871687696424</v>
      </c>
      <c r="AR99" s="33">
        <f t="shared" si="70"/>
        <v>0.93840717005085938</v>
      </c>
      <c r="AS99" s="33">
        <f t="shared" si="71"/>
        <v>0.44740717005085928</v>
      </c>
      <c r="AT99" s="51">
        <f t="shared" si="72"/>
        <v>3.3219342640086746</v>
      </c>
      <c r="AU99" s="51">
        <f>APPLICANTS_PER_YEAR*($H99/Segments!$AH$2)*AS99</f>
        <v>3.7582202284272181</v>
      </c>
      <c r="AV99" s="51">
        <f t="shared" si="73"/>
        <v>7.0801544924358932</v>
      </c>
      <c r="AW99" s="14">
        <f t="shared" si="74"/>
        <v>1513.0871687696424</v>
      </c>
      <c r="AX99" s="44">
        <f t="shared" si="75"/>
        <v>10712.89091541149</v>
      </c>
      <c r="AY99" s="44">
        <f t="shared" si="76"/>
        <v>11178.091755039319</v>
      </c>
      <c r="AZ99" s="44">
        <f t="shared" si="77"/>
        <v>2459.3229967487009</v>
      </c>
    </row>
    <row r="100" spans="1:52" ht="15" customHeight="1" x14ac:dyDescent="0.35">
      <c r="A100" s="61" t="str">
        <f>Segments!$A$80</f>
        <v>Non-greek</v>
      </c>
      <c r="B100" s="61" t="str">
        <f>Segments!$B$80</f>
        <v>Off 0-1mi</v>
      </c>
      <c r="C100" s="61" t="str">
        <f>Segments!$C$80</f>
        <v>No</v>
      </c>
      <c r="D100" s="61" t="str">
        <f>Segments!$D$80</f>
        <v>3.0+</v>
      </c>
      <c r="E100" s="61" t="str">
        <f>Segments!$E$80</f>
        <v>Freshman</v>
      </c>
      <c r="F100" s="61">
        <f>Segments!$F$80</f>
        <v>1</v>
      </c>
      <c r="G100" s="61" t="str">
        <f>Segments!$G$80</f>
        <v>Base</v>
      </c>
      <c r="H100" s="62">
        <f>Segments!$H$80</f>
        <v>4</v>
      </c>
      <c r="I100" s="63">
        <f>Segments!$Y$80</f>
        <v>884.43276648812105</v>
      </c>
      <c r="J100" s="42">
        <v>0</v>
      </c>
      <c r="K100" s="40">
        <f t="shared" si="39"/>
        <v>1479.8232950465513</v>
      </c>
      <c r="L100" s="40">
        <f t="shared" si="40"/>
        <v>884.43276648812105</v>
      </c>
      <c r="M100" s="40">
        <f t="shared" si="41"/>
        <v>1479.8232950465513</v>
      </c>
      <c r="N100" s="40">
        <f t="shared" si="42"/>
        <v>1452.7794209007029</v>
      </c>
      <c r="O100" s="40">
        <f t="shared" si="43"/>
        <v>1426.2297754450396</v>
      </c>
      <c r="P100" s="41">
        <f t="shared" si="44"/>
        <v>0.85913753494635914</v>
      </c>
      <c r="Q100" s="41">
        <f t="shared" si="45"/>
        <v>0.35913753494635914</v>
      </c>
      <c r="R100" s="64">
        <f t="shared" si="46"/>
        <v>0</v>
      </c>
      <c r="S100" s="64">
        <f>APPLICANTS_PER_YEAR*($H100/Segments!$AH$2)*Q100</f>
        <v>1.7238601677425238</v>
      </c>
      <c r="T100" s="64">
        <f t="shared" si="47"/>
        <v>1.7238601677425238</v>
      </c>
      <c r="U100" s="40">
        <f t="shared" si="48"/>
        <v>1426.2297754450399</v>
      </c>
      <c r="V100" s="65">
        <f t="shared" si="49"/>
        <v>2458.6206999380684</v>
      </c>
      <c r="W100" s="65">
        <f t="shared" si="50"/>
        <v>1707.5950272586206</v>
      </c>
      <c r="X100" s="65">
        <f t="shared" si="51"/>
        <v>628.30474433454083</v>
      </c>
      <c r="Y100" s="40">
        <f t="shared" si="52"/>
        <v>1522.967993897948</v>
      </c>
      <c r="Z100" s="40">
        <f t="shared" si="53"/>
        <v>910.96574948276475</v>
      </c>
      <c r="AA100" s="40">
        <f t="shared" si="54"/>
        <v>1522.967993897948</v>
      </c>
      <c r="AB100" s="40">
        <f t="shared" si="55"/>
        <v>1495.7490995970761</v>
      </c>
      <c r="AC100" s="40">
        <f t="shared" si="56"/>
        <v>1469.0166687083909</v>
      </c>
      <c r="AD100" s="41">
        <f t="shared" si="57"/>
        <v>0.85893613470865082</v>
      </c>
      <c r="AE100" s="41">
        <f t="shared" si="58"/>
        <v>0.35893613470865077</v>
      </c>
      <c r="AF100" s="64">
        <f t="shared" si="59"/>
        <v>0</v>
      </c>
      <c r="AG100" s="64">
        <f>APPLICANTS_PER_YEAR*($H100/Segments!$AH$2)*AE100</f>
        <v>1.7228934466015235</v>
      </c>
      <c r="AH100" s="64">
        <f t="shared" si="60"/>
        <v>1.7228934466015235</v>
      </c>
      <c r="AI100" s="40">
        <f t="shared" si="61"/>
        <v>1469.0166687083911</v>
      </c>
      <c r="AJ100" s="65">
        <f t="shared" si="62"/>
        <v>2530.9591914660882</v>
      </c>
      <c r="AK100" s="65">
        <f t="shared" si="63"/>
        <v>1757.8365502457771</v>
      </c>
      <c r="AL100" s="65">
        <f t="shared" si="64"/>
        <v>644.4650639854724</v>
      </c>
      <c r="AM100" s="40">
        <f t="shared" si="65"/>
        <v>1567.4070337148862</v>
      </c>
      <c r="AN100" s="40">
        <f t="shared" si="66"/>
        <v>938.2947219672476</v>
      </c>
      <c r="AO100" s="40">
        <f t="shared" si="67"/>
        <v>1567.4070337148862</v>
      </c>
      <c r="AP100" s="40">
        <f t="shared" si="68"/>
        <v>1540.0076204205227</v>
      </c>
      <c r="AQ100" s="40">
        <f t="shared" si="69"/>
        <v>1513.0871687696424</v>
      </c>
      <c r="AR100" s="41">
        <f t="shared" si="70"/>
        <v>0.85874036312999835</v>
      </c>
      <c r="AS100" s="41">
        <f t="shared" si="71"/>
        <v>0.35874036312999841</v>
      </c>
      <c r="AT100" s="64">
        <f t="shared" si="72"/>
        <v>0</v>
      </c>
      <c r="AU100" s="64">
        <f>APPLICANTS_PER_YEAR*($H100/Segments!$AH$2)*AS100</f>
        <v>1.7219537430239924</v>
      </c>
      <c r="AV100" s="64">
        <f t="shared" si="73"/>
        <v>1.7219537430239924</v>
      </c>
      <c r="AW100" s="40">
        <f t="shared" si="74"/>
        <v>1513.0871687696424</v>
      </c>
      <c r="AX100" s="65">
        <f t="shared" si="75"/>
        <v>2605.466113784461</v>
      </c>
      <c r="AY100" s="65">
        <f t="shared" si="76"/>
        <v>1809.5841215772975</v>
      </c>
      <c r="AZ100" s="65">
        <f t="shared" si="77"/>
        <v>661.11232792379894</v>
      </c>
    </row>
    <row r="101" spans="1:52" ht="15" customHeight="1" x14ac:dyDescent="0.35">
      <c r="A101" s="61" t="str">
        <f>Segments!$A$81</f>
        <v>Non-greek</v>
      </c>
      <c r="B101" s="61" t="str">
        <f>Segments!$B$81</f>
        <v>Off 0-1mi</v>
      </c>
      <c r="C101" s="61" t="str">
        <f>Segments!$C$81</f>
        <v>No</v>
      </c>
      <c r="D101" s="61" t="str">
        <f>Segments!$D$81</f>
        <v>3.0+</v>
      </c>
      <c r="E101" s="61" t="str">
        <f>Segments!$E$81</f>
        <v>Sophomore</v>
      </c>
      <c r="F101" s="61">
        <f>Segments!$F$81</f>
        <v>1</v>
      </c>
      <c r="G101" s="61" t="str">
        <f>Segments!$G$81</f>
        <v>Sophomore</v>
      </c>
      <c r="H101" s="62">
        <f>Segments!$H$81</f>
        <v>12</v>
      </c>
      <c r="I101" s="63">
        <f>Segments!$Y$81</f>
        <v>875.43476227974952</v>
      </c>
      <c r="J101" s="42">
        <v>1</v>
      </c>
      <c r="K101" s="40">
        <f t="shared" si="39"/>
        <v>1426.2297754450396</v>
      </c>
      <c r="L101" s="40">
        <f t="shared" si="40"/>
        <v>875.43476227974952</v>
      </c>
      <c r="M101" s="40">
        <f t="shared" si="41"/>
        <v>1465.1918387224675</v>
      </c>
      <c r="N101" s="40">
        <f t="shared" si="42"/>
        <v>1445.5795471453825</v>
      </c>
      <c r="O101" s="40">
        <f t="shared" si="43"/>
        <v>1426.2297754450396</v>
      </c>
      <c r="P101" s="41">
        <f t="shared" si="44"/>
        <v>0.8566927384724532</v>
      </c>
      <c r="Q101" s="41">
        <f t="shared" si="45"/>
        <v>0.35669273847245325</v>
      </c>
      <c r="R101" s="64">
        <f t="shared" si="46"/>
        <v>3.4267709538898128</v>
      </c>
      <c r="S101" s="64">
        <f>APPLICANTS_PER_YEAR*($H101/Segments!$AH$2)*Q101</f>
        <v>5.1363754340033267</v>
      </c>
      <c r="T101" s="64">
        <f t="shared" si="47"/>
        <v>8.5631463878931395</v>
      </c>
      <c r="U101" s="40">
        <f t="shared" si="48"/>
        <v>1426.2297754450396</v>
      </c>
      <c r="V101" s="65">
        <f t="shared" si="49"/>
        <v>12213.014349907835</v>
      </c>
      <c r="W101" s="65">
        <f t="shared" si="50"/>
        <v>8396.0531451461593</v>
      </c>
      <c r="X101" s="65">
        <f t="shared" si="51"/>
        <v>2864.3298311049261</v>
      </c>
      <c r="Y101" s="40">
        <f t="shared" si="52"/>
        <v>1426.2297754450399</v>
      </c>
      <c r="Z101" s="40">
        <f t="shared" si="53"/>
        <v>901.69780514814204</v>
      </c>
      <c r="AA101" s="40">
        <f t="shared" si="54"/>
        <v>1507.8975938841415</v>
      </c>
      <c r="AB101" s="40">
        <f t="shared" si="55"/>
        <v>1488.3301717431787</v>
      </c>
      <c r="AC101" s="40">
        <f t="shared" si="56"/>
        <v>1469.0166687083909</v>
      </c>
      <c r="AD101" s="41">
        <f t="shared" si="57"/>
        <v>0.84748831267465585</v>
      </c>
      <c r="AE101" s="41">
        <f t="shared" si="58"/>
        <v>0.35648831267465575</v>
      </c>
      <c r="AF101" s="64">
        <f t="shared" si="59"/>
        <v>1.4609513448471607</v>
      </c>
      <c r="AG101" s="64">
        <f>APPLICANTS_PER_YEAR*($H101/Segments!$AH$2)*AE101</f>
        <v>5.1334317025150424</v>
      </c>
      <c r="AH101" s="64">
        <f t="shared" si="60"/>
        <v>6.5943830473622036</v>
      </c>
      <c r="AI101" s="40">
        <f t="shared" si="61"/>
        <v>1469.0166687083909</v>
      </c>
      <c r="AJ101" s="65">
        <f t="shared" si="62"/>
        <v>9687.2586164231107</v>
      </c>
      <c r="AK101" s="65">
        <f t="shared" si="63"/>
        <v>6659.6776065261301</v>
      </c>
      <c r="AL101" s="65">
        <f t="shared" si="64"/>
        <v>2355.0537178675622</v>
      </c>
      <c r="AM101" s="40">
        <f t="shared" si="65"/>
        <v>1469.0166687083911</v>
      </c>
      <c r="AN101" s="40">
        <f t="shared" si="66"/>
        <v>928.74873930258627</v>
      </c>
      <c r="AO101" s="40">
        <f t="shared" si="67"/>
        <v>1551.8845217006658</v>
      </c>
      <c r="AP101" s="40">
        <f t="shared" si="68"/>
        <v>1532.3630631144472</v>
      </c>
      <c r="AQ101" s="40">
        <f t="shared" si="69"/>
        <v>1513.0871687696424</v>
      </c>
      <c r="AR101" s="41">
        <f t="shared" si="70"/>
        <v>0.84728959768373291</v>
      </c>
      <c r="AS101" s="41">
        <f t="shared" si="71"/>
        <v>0.35628959768373281</v>
      </c>
      <c r="AT101" s="64">
        <f t="shared" si="72"/>
        <v>1.4597896952229448</v>
      </c>
      <c r="AU101" s="64">
        <f>APPLICANTS_PER_YEAR*($H101/Segments!$AH$2)*AS101</f>
        <v>5.1305702066457517</v>
      </c>
      <c r="AV101" s="64">
        <f t="shared" si="73"/>
        <v>6.5903599018686965</v>
      </c>
      <c r="AW101" s="40">
        <f t="shared" si="74"/>
        <v>1513.0871687696424</v>
      </c>
      <c r="AX101" s="65">
        <f t="shared" si="75"/>
        <v>9971.7890050914848</v>
      </c>
      <c r="AY101" s="65">
        <f t="shared" si="76"/>
        <v>6855.2830644601727</v>
      </c>
      <c r="AZ101" s="65">
        <f t="shared" si="77"/>
        <v>2416.4445733509706</v>
      </c>
    </row>
    <row r="102" spans="1:52" ht="15" customHeight="1" x14ac:dyDescent="0.35">
      <c r="A102" s="61" t="str">
        <f>Segments!$A$82</f>
        <v>Non-greek</v>
      </c>
      <c r="B102" s="61" t="str">
        <f>Segments!$B$82</f>
        <v>Off 0-1mi</v>
      </c>
      <c r="C102" s="61" t="str">
        <f>Segments!$C$82</f>
        <v>No</v>
      </c>
      <c r="D102" s="61" t="str">
        <f>Segments!$D$82</f>
        <v>3.0+</v>
      </c>
      <c r="E102" s="61" t="str">
        <f>Segments!$E$82</f>
        <v>Junior</v>
      </c>
      <c r="F102" s="61">
        <f>Segments!$F$82</f>
        <v>2</v>
      </c>
      <c r="G102" s="61" t="str">
        <f>Segments!$G$82</f>
        <v>Base</v>
      </c>
      <c r="H102" s="62">
        <f>Segments!$H$82</f>
        <v>16</v>
      </c>
      <c r="I102" s="63">
        <f>Segments!$Y$82</f>
        <v>1046.5171468774547</v>
      </c>
      <c r="J102" s="42">
        <v>2</v>
      </c>
      <c r="K102" s="40">
        <f t="shared" si="39"/>
        <v>1426.2297754450396</v>
      </c>
      <c r="L102" s="40">
        <f t="shared" si="40"/>
        <v>1046.5171468774547</v>
      </c>
      <c r="M102" s="40">
        <f t="shared" si="41"/>
        <v>1743.3851336014072</v>
      </c>
      <c r="N102" s="40">
        <f t="shared" si="42"/>
        <v>1576.8537622780864</v>
      </c>
      <c r="O102" s="40">
        <f t="shared" si="43"/>
        <v>1426.2297754450396</v>
      </c>
      <c r="P102" s="41">
        <f t="shared" si="44"/>
        <v>0.89776092445485867</v>
      </c>
      <c r="Q102" s="41">
        <f t="shared" si="45"/>
        <v>0.39776092445485867</v>
      </c>
      <c r="R102" s="64">
        <f t="shared" si="46"/>
        <v>10.773131093458304</v>
      </c>
      <c r="S102" s="64">
        <f>APPLICANTS_PER_YEAR*($H102/Segments!$AH$2)*Q102</f>
        <v>7.637009749533286</v>
      </c>
      <c r="T102" s="64">
        <f t="shared" si="47"/>
        <v>18.410140842991588</v>
      </c>
      <c r="U102" s="40">
        <f t="shared" si="48"/>
        <v>1426.2297754450399</v>
      </c>
      <c r="V102" s="65">
        <f t="shared" si="49"/>
        <v>26257.091040411447</v>
      </c>
      <c r="W102" s="65">
        <f t="shared" si="50"/>
        <v>21578.511436854016</v>
      </c>
      <c r="X102" s="65">
        <f t="shared" si="51"/>
        <v>5902.9428417411227</v>
      </c>
      <c r="Y102" s="40">
        <f t="shared" si="52"/>
        <v>1426.2297754450396</v>
      </c>
      <c r="Z102" s="40">
        <f t="shared" si="53"/>
        <v>1077.9126612837783</v>
      </c>
      <c r="AA102" s="40">
        <f t="shared" si="54"/>
        <v>1794.4366876094496</v>
      </c>
      <c r="AB102" s="40">
        <f t="shared" si="55"/>
        <v>1623.5939778898396</v>
      </c>
      <c r="AC102" s="40">
        <f t="shared" si="56"/>
        <v>1469.0166687083909</v>
      </c>
      <c r="AD102" s="41">
        <f t="shared" si="57"/>
        <v>0.88860343758553184</v>
      </c>
      <c r="AE102" s="41">
        <f t="shared" si="58"/>
        <v>0.39760343758553185</v>
      </c>
      <c r="AF102" s="64">
        <f t="shared" si="59"/>
        <v>7.6092413168299737</v>
      </c>
      <c r="AG102" s="64">
        <f>APPLICANTS_PER_YEAR*($H102/Segments!$AH$2)*AE102</f>
        <v>7.633986001642211</v>
      </c>
      <c r="AH102" s="64">
        <f t="shared" si="60"/>
        <v>15.243227318472185</v>
      </c>
      <c r="AI102" s="40">
        <f t="shared" si="61"/>
        <v>1469.0166687083906</v>
      </c>
      <c r="AJ102" s="65">
        <f t="shared" si="62"/>
        <v>22392.555015746744</v>
      </c>
      <c r="AK102" s="65">
        <f t="shared" si="63"/>
        <v>18402.571852456898</v>
      </c>
      <c r="AL102" s="65">
        <f t="shared" si="64"/>
        <v>5120.412938365097</v>
      </c>
      <c r="AM102" s="40">
        <f t="shared" si="65"/>
        <v>1469.0166687083909</v>
      </c>
      <c r="AN102" s="40">
        <f t="shared" si="66"/>
        <v>1110.2500411222916</v>
      </c>
      <c r="AO102" s="40">
        <f t="shared" si="67"/>
        <v>1847.0197882377329</v>
      </c>
      <c r="AP102" s="40">
        <f t="shared" si="68"/>
        <v>1671.7362058788269</v>
      </c>
      <c r="AQ102" s="40">
        <f t="shared" si="69"/>
        <v>1513.0871687696424</v>
      </c>
      <c r="AR102" s="41">
        <f t="shared" si="70"/>
        <v>0.88845038019493727</v>
      </c>
      <c r="AS102" s="41">
        <f t="shared" si="71"/>
        <v>0.39745038019493723</v>
      </c>
      <c r="AT102" s="64">
        <f t="shared" si="72"/>
        <v>5.8587821255799986</v>
      </c>
      <c r="AU102" s="64">
        <f>APPLICANTS_PER_YEAR*($H102/Segments!$AH$2)*AS102</f>
        <v>7.6310472997427947</v>
      </c>
      <c r="AV102" s="64">
        <f t="shared" si="73"/>
        <v>13.489829425322792</v>
      </c>
      <c r="AW102" s="40">
        <f t="shared" si="74"/>
        <v>1513.0871687696426</v>
      </c>
      <c r="AX102" s="65">
        <f t="shared" si="75"/>
        <v>20411.28781234708</v>
      </c>
      <c r="AY102" s="65">
        <f t="shared" si="76"/>
        <v>16774.333715101009</v>
      </c>
      <c r="AZ102" s="65">
        <f t="shared" si="77"/>
        <v>4722.43155890665</v>
      </c>
    </row>
    <row r="103" spans="1:52" ht="15" customHeight="1" x14ac:dyDescent="0.35">
      <c r="A103" s="61" t="str">
        <f>Segments!$A$83</f>
        <v>Non-greek</v>
      </c>
      <c r="B103" s="61" t="str">
        <f>Segments!$B$83</f>
        <v>Off 0-1mi</v>
      </c>
      <c r="C103" s="61" t="str">
        <f>Segments!$C$83</f>
        <v>No</v>
      </c>
      <c r="D103" s="61" t="str">
        <f>Segments!$D$83</f>
        <v>3.0+</v>
      </c>
      <c r="E103" s="61" t="str">
        <f>Segments!$E$83</f>
        <v>Senior</v>
      </c>
      <c r="F103" s="61">
        <f>Segments!$F$83</f>
        <v>3</v>
      </c>
      <c r="G103" s="61" t="str">
        <f>Segments!$G$83</f>
        <v>Base</v>
      </c>
      <c r="H103" s="62">
        <f>Segments!$H$83</f>
        <v>22</v>
      </c>
      <c r="I103" s="63">
        <f>Segments!$Y$83</f>
        <v>978.16645014658025</v>
      </c>
      <c r="J103" s="42">
        <v>3</v>
      </c>
      <c r="K103" s="40">
        <f t="shared" si="39"/>
        <v>1426.2297754450396</v>
      </c>
      <c r="L103" s="40">
        <f t="shared" si="40"/>
        <v>978.16645014658025</v>
      </c>
      <c r="M103" s="40">
        <f t="shared" si="41"/>
        <v>1632.2415721205125</v>
      </c>
      <c r="N103" s="40">
        <f t="shared" si="42"/>
        <v>1525.7626063308464</v>
      </c>
      <c r="O103" s="40">
        <f t="shared" si="43"/>
        <v>1426.2297754450396</v>
      </c>
      <c r="P103" s="41">
        <f t="shared" si="44"/>
        <v>0.88261740406823952</v>
      </c>
      <c r="Q103" s="41">
        <f t="shared" si="45"/>
        <v>0.38261740406823946</v>
      </c>
      <c r="R103" s="64">
        <f t="shared" si="46"/>
        <v>14.121878465091832</v>
      </c>
      <c r="S103" s="64">
        <f>APPLICANTS_PER_YEAR*($H103/Segments!$AH$2)*Q103</f>
        <v>10.101099467401523</v>
      </c>
      <c r="T103" s="64">
        <f t="shared" si="47"/>
        <v>24.222977932493357</v>
      </c>
      <c r="U103" s="40">
        <f t="shared" si="48"/>
        <v>1426.2297754450396</v>
      </c>
      <c r="V103" s="65">
        <f t="shared" si="49"/>
        <v>34547.532377270152</v>
      </c>
      <c r="W103" s="65">
        <f t="shared" si="50"/>
        <v>26537.396856550695</v>
      </c>
      <c r="X103" s="65">
        <f t="shared" si="51"/>
        <v>7770.6977735188666</v>
      </c>
      <c r="Y103" s="40">
        <f t="shared" si="52"/>
        <v>1426.2297754450399</v>
      </c>
      <c r="Z103" s="40">
        <f t="shared" si="53"/>
        <v>1007.5114436509776</v>
      </c>
      <c r="AA103" s="40">
        <f t="shared" si="54"/>
        <v>1679.9588192841277</v>
      </c>
      <c r="AB103" s="40">
        <f t="shared" si="55"/>
        <v>1570.9511476401967</v>
      </c>
      <c r="AC103" s="40">
        <f t="shared" si="56"/>
        <v>1469.0166687083909</v>
      </c>
      <c r="AD103" s="41">
        <f t="shared" si="57"/>
        <v>0.87344355468498391</v>
      </c>
      <c r="AE103" s="41">
        <f t="shared" si="58"/>
        <v>0.38244355468498387</v>
      </c>
      <c r="AF103" s="64">
        <f t="shared" si="59"/>
        <v>16.080218860153778</v>
      </c>
      <c r="AG103" s="64">
        <f>APPLICANTS_PER_YEAR*($H103/Segments!$AH$2)*AE103</f>
        <v>10.096509843683576</v>
      </c>
      <c r="AH103" s="64">
        <f t="shared" si="60"/>
        <v>26.176728703837355</v>
      </c>
      <c r="AI103" s="40">
        <f t="shared" si="61"/>
        <v>1469.0166687083909</v>
      </c>
      <c r="AJ103" s="65">
        <f t="shared" si="62"/>
        <v>38454.050798194468</v>
      </c>
      <c r="AK103" s="65">
        <f t="shared" si="63"/>
        <v>29538.156173638741</v>
      </c>
      <c r="AL103" s="65">
        <f t="shared" si="64"/>
        <v>8562.8808649928251</v>
      </c>
      <c r="AM103" s="40">
        <f t="shared" si="65"/>
        <v>1469.0166687083906</v>
      </c>
      <c r="AN103" s="40">
        <f t="shared" si="66"/>
        <v>1037.7367869605068</v>
      </c>
      <c r="AO103" s="40">
        <f t="shared" si="67"/>
        <v>1729.1075838626514</v>
      </c>
      <c r="AP103" s="40">
        <f t="shared" si="68"/>
        <v>1617.495130924621</v>
      </c>
      <c r="AQ103" s="40">
        <f t="shared" si="69"/>
        <v>1513.0871687696424</v>
      </c>
      <c r="AR103" s="41">
        <f t="shared" si="70"/>
        <v>0.87327458313747597</v>
      </c>
      <c r="AS103" s="41">
        <f t="shared" si="71"/>
        <v>0.38227458313747598</v>
      </c>
      <c r="AT103" s="64">
        <f t="shared" si="72"/>
        <v>13.311522982208583</v>
      </c>
      <c r="AU103" s="64">
        <f>APPLICANTS_PER_YEAR*($H103/Segments!$AH$2)*AS103</f>
        <v>10.092048994829367</v>
      </c>
      <c r="AV103" s="64">
        <f t="shared" si="73"/>
        <v>23.403571977037949</v>
      </c>
      <c r="AW103" s="40">
        <f t="shared" si="74"/>
        <v>1513.0871687696426</v>
      </c>
      <c r="AX103" s="65">
        <f t="shared" si="75"/>
        <v>35411.644461832897</v>
      </c>
      <c r="AY103" s="65">
        <f t="shared" si="76"/>
        <v>27201.157297272359</v>
      </c>
      <c r="AZ103" s="65">
        <f t="shared" si="77"/>
        <v>7947.6287121213918</v>
      </c>
    </row>
    <row r="104" spans="1:52" ht="15" customHeight="1" x14ac:dyDescent="0.35">
      <c r="A104" s="61" t="str">
        <f>Segments!$A$84</f>
        <v>Non-greek</v>
      </c>
      <c r="B104" s="61" t="str">
        <f>Segments!$B$84</f>
        <v>Off 0-1mi</v>
      </c>
      <c r="C104" s="61" t="str">
        <f>Segments!$C$84</f>
        <v>No</v>
      </c>
      <c r="D104" s="61" t="str">
        <f>Segments!$D$84</f>
        <v>3.0+</v>
      </c>
      <c r="E104" s="61" t="str">
        <f>Segments!$E$84</f>
        <v>Grad student</v>
      </c>
      <c r="F104" s="61">
        <f>Segments!$F$84</f>
        <v>3</v>
      </c>
      <c r="G104" s="61" t="str">
        <f>Segments!$G$84</f>
        <v>Grad</v>
      </c>
      <c r="H104" s="62">
        <f>Segments!$H$84</f>
        <v>4</v>
      </c>
      <c r="I104" s="63">
        <f>Segments!$Y$84</f>
        <v>1164.6836465143435</v>
      </c>
      <c r="J104" s="42">
        <v>4</v>
      </c>
      <c r="K104" s="40">
        <f t="shared" si="39"/>
        <v>1426.2297754450396</v>
      </c>
      <c r="L104" s="40">
        <f t="shared" si="40"/>
        <v>1164.6836465143435</v>
      </c>
      <c r="M104" s="40">
        <f t="shared" si="41"/>
        <v>1935.5330742301123</v>
      </c>
      <c r="N104" s="40">
        <f t="shared" si="42"/>
        <v>1661.4797325955137</v>
      </c>
      <c r="O104" s="40">
        <f t="shared" si="43"/>
        <v>1426.2297754450396</v>
      </c>
      <c r="P104" s="41">
        <f t="shared" si="44"/>
        <v>0.92079531351940525</v>
      </c>
      <c r="Q104" s="41">
        <f t="shared" si="45"/>
        <v>0.42079531351940525</v>
      </c>
      <c r="R104" s="64">
        <f t="shared" si="46"/>
        <v>1.8415906270388105</v>
      </c>
      <c r="S104" s="64">
        <f>APPLICANTS_PER_YEAR*($H104/Segments!$AH$2)*Q104</f>
        <v>2.0198175048931453</v>
      </c>
      <c r="T104" s="64">
        <f t="shared" si="47"/>
        <v>3.861408131931956</v>
      </c>
      <c r="U104" s="40">
        <f t="shared" si="48"/>
        <v>1426.2297754450396</v>
      </c>
      <c r="V104" s="65">
        <f t="shared" si="49"/>
        <v>5507.2552529069635</v>
      </c>
      <c r="W104" s="65">
        <f t="shared" si="50"/>
        <v>5036.9971722320879</v>
      </c>
      <c r="X104" s="65">
        <f t="shared" si="51"/>
        <v>1269.4201783859137</v>
      </c>
      <c r="Y104" s="40">
        <f t="shared" si="52"/>
        <v>1426.2297754450396</v>
      </c>
      <c r="Z104" s="40">
        <f t="shared" si="53"/>
        <v>1199.6241559097739</v>
      </c>
      <c r="AA104" s="40">
        <f t="shared" si="54"/>
        <v>1992.3490664570159</v>
      </c>
      <c r="AB104" s="40">
        <f t="shared" si="55"/>
        <v>1710.7875345907094</v>
      </c>
      <c r="AC104" s="40">
        <f t="shared" si="56"/>
        <v>1469.0166687083909</v>
      </c>
      <c r="AD104" s="41">
        <f t="shared" si="57"/>
        <v>0.91166069310008158</v>
      </c>
      <c r="AE104" s="41">
        <f t="shared" si="58"/>
        <v>0.42066069310008153</v>
      </c>
      <c r="AF104" s="64">
        <f t="shared" si="59"/>
        <v>1.7601470069496892</v>
      </c>
      <c r="AG104" s="64">
        <f>APPLICANTS_PER_YEAR*($H104/Segments!$AH$2)*AE104</f>
        <v>2.0191713268803912</v>
      </c>
      <c r="AH104" s="64">
        <f t="shared" si="60"/>
        <v>3.7793183338300804</v>
      </c>
      <c r="AI104" s="40">
        <f t="shared" si="61"/>
        <v>1469.0166687083909</v>
      </c>
      <c r="AJ104" s="65">
        <f t="shared" si="62"/>
        <v>5551.8816287516111</v>
      </c>
      <c r="AK104" s="65">
        <f t="shared" si="63"/>
        <v>5077.8129540714726</v>
      </c>
      <c r="AL104" s="65">
        <f t="shared" si="64"/>
        <v>1279.1881494484524</v>
      </c>
      <c r="AM104" s="40">
        <f t="shared" si="65"/>
        <v>1469.0166687083909</v>
      </c>
      <c r="AN104" s="40">
        <f t="shared" si="66"/>
        <v>1235.6128805870669</v>
      </c>
      <c r="AO104" s="40">
        <f t="shared" si="67"/>
        <v>2050.8695384507259</v>
      </c>
      <c r="AP104" s="40">
        <f t="shared" si="68"/>
        <v>1761.574404744322</v>
      </c>
      <c r="AQ104" s="40">
        <f t="shared" si="69"/>
        <v>1513.0871687696424</v>
      </c>
      <c r="AR104" s="41">
        <f t="shared" si="70"/>
        <v>0.91152987239864713</v>
      </c>
      <c r="AS104" s="41">
        <f t="shared" si="71"/>
        <v>0.42052987239864709</v>
      </c>
      <c r="AT104" s="64">
        <f t="shared" si="72"/>
        <v>1.7224807792950005</v>
      </c>
      <c r="AU104" s="64">
        <f>APPLICANTS_PER_YEAR*($H104/Segments!$AH$2)*AS104</f>
        <v>2.0185433875135059</v>
      </c>
      <c r="AV104" s="64">
        <f t="shared" si="73"/>
        <v>3.7410241668085065</v>
      </c>
      <c r="AW104" s="40">
        <f t="shared" si="74"/>
        <v>1513.0871687696426</v>
      </c>
      <c r="AX104" s="65">
        <f t="shared" si="75"/>
        <v>5660.4956648550942</v>
      </c>
      <c r="AY104" s="65">
        <f t="shared" si="76"/>
        <v>5177.1525647476228</v>
      </c>
      <c r="AZ104" s="65">
        <f t="shared" si="77"/>
        <v>1302.0158721554228</v>
      </c>
    </row>
    <row r="105" spans="1:52" ht="15" customHeight="1" x14ac:dyDescent="0.35">
      <c r="A105" s="59" t="str">
        <f>Segments!$A$85</f>
        <v>Non-greek</v>
      </c>
      <c r="B105" s="59" t="str">
        <f>Segments!$B$85</f>
        <v>Off 1-3mi</v>
      </c>
      <c r="C105" s="59" t="str">
        <f>Segments!$C$85</f>
        <v>Yes</v>
      </c>
      <c r="D105" s="59" t="str">
        <f>Segments!$D$85</f>
        <v>&lt;1.0</v>
      </c>
      <c r="E105" s="59" t="str">
        <f>Segments!$E$85</f>
        <v>Freshman</v>
      </c>
      <c r="F105" s="59">
        <f>Segments!$F$85</f>
        <v>1</v>
      </c>
      <c r="G105" s="59" t="str">
        <f>Segments!$G$85</f>
        <v>Base</v>
      </c>
      <c r="H105" s="60">
        <f>Segments!$H$85</f>
        <v>11</v>
      </c>
      <c r="I105" s="26">
        <f>Segments!$Y$85</f>
        <v>631.9706680925641</v>
      </c>
      <c r="J105" s="29">
        <v>0</v>
      </c>
      <c r="K105" s="14">
        <f t="shared" si="39"/>
        <v>1069.3002411981824</v>
      </c>
      <c r="L105" s="14">
        <f t="shared" si="40"/>
        <v>631.9706680925641</v>
      </c>
      <c r="M105" s="14">
        <f t="shared" si="41"/>
        <v>1069.3002411981824</v>
      </c>
      <c r="N105" s="14">
        <f t="shared" si="42"/>
        <v>1234.9363719995497</v>
      </c>
      <c r="O105" s="14">
        <f t="shared" si="43"/>
        <v>1426.2297754450396</v>
      </c>
      <c r="P105" s="33">
        <f t="shared" si="44"/>
        <v>0.67241009740916569</v>
      </c>
      <c r="Q105" s="33">
        <f t="shared" si="45"/>
        <v>0.2725492876463923</v>
      </c>
      <c r="R105" s="51">
        <f t="shared" si="46"/>
        <v>0</v>
      </c>
      <c r="S105" s="51">
        <f>APPLICANTS_PER_YEAR*($H105/Segments!$AH$2)*Q105</f>
        <v>3.5976505969323789</v>
      </c>
      <c r="T105" s="51">
        <f t="shared" si="47"/>
        <v>3.5976505969323789</v>
      </c>
      <c r="U105" s="14">
        <f t="shared" si="48"/>
        <v>1426.2297754450396</v>
      </c>
      <c r="V105" s="44">
        <f t="shared" si="49"/>
        <v>5131.0764029925795</v>
      </c>
      <c r="W105" s="44">
        <f t="shared" si="50"/>
        <v>2546.4428094638038</v>
      </c>
      <c r="X105" s="44">
        <f t="shared" si="51"/>
        <v>1311.2553911322948</v>
      </c>
      <c r="Y105" s="14">
        <f t="shared" si="52"/>
        <v>1100.1292484341279</v>
      </c>
      <c r="Z105" s="14">
        <f t="shared" si="53"/>
        <v>650.92978813534103</v>
      </c>
      <c r="AA105" s="14">
        <f t="shared" si="54"/>
        <v>1100.1292484341279</v>
      </c>
      <c r="AB105" s="14">
        <f t="shared" si="55"/>
        <v>1271.2624448489651</v>
      </c>
      <c r="AC105" s="14">
        <f t="shared" si="56"/>
        <v>1469.0166687083909</v>
      </c>
      <c r="AD105" s="33">
        <f t="shared" si="57"/>
        <v>0.67162748188996335</v>
      </c>
      <c r="AE105" s="33">
        <f t="shared" si="58"/>
        <v>0.2722213223317077</v>
      </c>
      <c r="AF105" s="51">
        <f t="shared" si="59"/>
        <v>0</v>
      </c>
      <c r="AG105" s="51">
        <f>APPLICANTS_PER_YEAR*($H105/Segments!$AH$2)*AE105</f>
        <v>3.5933214547785419</v>
      </c>
      <c r="AH105" s="51">
        <f t="shared" si="60"/>
        <v>3.5933214547785419</v>
      </c>
      <c r="AI105" s="14">
        <f t="shared" si="61"/>
        <v>1469.0166687083906</v>
      </c>
      <c r="AJ105" s="44">
        <f t="shared" si="62"/>
        <v>5278.6491130971617</v>
      </c>
      <c r="AK105" s="44">
        <f t="shared" si="63"/>
        <v>2619.6799700525125</v>
      </c>
      <c r="AL105" s="44">
        <f t="shared" si="64"/>
        <v>1344.1168667987986</v>
      </c>
      <c r="AM105" s="14">
        <f t="shared" si="65"/>
        <v>1131.8831258871517</v>
      </c>
      <c r="AN105" s="14">
        <f t="shared" si="66"/>
        <v>670.45768177940124</v>
      </c>
      <c r="AO105" s="14">
        <f t="shared" si="67"/>
        <v>1131.8831258871517</v>
      </c>
      <c r="AP105" s="14">
        <f t="shared" si="68"/>
        <v>1308.6778955597604</v>
      </c>
      <c r="AQ105" s="14">
        <f t="shared" si="69"/>
        <v>1513.0871687696424</v>
      </c>
      <c r="AR105" s="33">
        <f t="shared" si="70"/>
        <v>0.67086613620807123</v>
      </c>
      <c r="AS105" s="33">
        <f t="shared" si="71"/>
        <v>0.27190237418106222</v>
      </c>
      <c r="AT105" s="51">
        <f t="shared" si="72"/>
        <v>0</v>
      </c>
      <c r="AU105" s="51">
        <f>APPLICANTS_PER_YEAR*($H105/Segments!$AH$2)*AS105</f>
        <v>3.5891113391900218</v>
      </c>
      <c r="AV105" s="51">
        <f t="shared" si="73"/>
        <v>3.5891113391900218</v>
      </c>
      <c r="AW105" s="14">
        <f t="shared" si="74"/>
        <v>1513.0871687696424</v>
      </c>
      <c r="AX105" s="44">
        <f t="shared" si="75"/>
        <v>5430.6383146140497</v>
      </c>
      <c r="AY105" s="44">
        <f t="shared" si="76"/>
        <v>2695.1089402960852</v>
      </c>
      <c r="AZ105" s="44">
        <f t="shared" si="77"/>
        <v>1377.9729927370981</v>
      </c>
    </row>
    <row r="106" spans="1:52" ht="15" customHeight="1" x14ac:dyDescent="0.35">
      <c r="A106" s="59" t="str">
        <f>Segments!$A$86</f>
        <v>Non-greek</v>
      </c>
      <c r="B106" s="59" t="str">
        <f>Segments!$B$86</f>
        <v>Off 1-3mi</v>
      </c>
      <c r="C106" s="59" t="str">
        <f>Segments!$C$86</f>
        <v>Yes</v>
      </c>
      <c r="D106" s="59" t="str">
        <f>Segments!$D$86</f>
        <v>&lt;1.0</v>
      </c>
      <c r="E106" s="59" t="str">
        <f>Segments!$E$86</f>
        <v>Sophomore</v>
      </c>
      <c r="F106" s="59">
        <f>Segments!$F$86</f>
        <v>1</v>
      </c>
      <c r="G106" s="59" t="str">
        <f>Segments!$G$86</f>
        <v>Sophomore</v>
      </c>
      <c r="H106" s="60">
        <f>Segments!$H$86</f>
        <v>12</v>
      </c>
      <c r="I106" s="26">
        <f>Segments!$Y$86</f>
        <v>625.54115197044666</v>
      </c>
      <c r="J106" s="29">
        <v>1</v>
      </c>
      <c r="K106" s="14">
        <f t="shared" si="39"/>
        <v>1426.2297754450396</v>
      </c>
      <c r="L106" s="14">
        <f t="shared" si="40"/>
        <v>625.54115197044666</v>
      </c>
      <c r="M106" s="14">
        <f t="shared" si="41"/>
        <v>1058.8453467407835</v>
      </c>
      <c r="N106" s="14">
        <f t="shared" si="42"/>
        <v>1228.8843562813927</v>
      </c>
      <c r="O106" s="14">
        <f t="shared" si="43"/>
        <v>1426.2297754450396</v>
      </c>
      <c r="P106" s="33">
        <f t="shared" si="44"/>
        <v>0.76970545553984637</v>
      </c>
      <c r="Q106" s="33">
        <f t="shared" si="45"/>
        <v>0.26970545553984637</v>
      </c>
      <c r="R106" s="51">
        <f t="shared" si="46"/>
        <v>8.4667600109383105</v>
      </c>
      <c r="S106" s="51">
        <f>APPLICANTS_PER_YEAR*($H106/Segments!$AH$2)*Q106</f>
        <v>3.8837585597737876</v>
      </c>
      <c r="T106" s="51">
        <f t="shared" si="47"/>
        <v>12.350518570712097</v>
      </c>
      <c r="U106" s="14">
        <f t="shared" si="48"/>
        <v>1426.2297754450396</v>
      </c>
      <c r="V106" s="44">
        <f t="shared" si="49"/>
        <v>17614.677327736506</v>
      </c>
      <c r="W106" s="44">
        <f t="shared" si="50"/>
        <v>8652.8485278543176</v>
      </c>
      <c r="X106" s="44">
        <f t="shared" si="51"/>
        <v>3867.1479738013991</v>
      </c>
      <c r="Y106" s="14">
        <f t="shared" si="52"/>
        <v>1426.2297754450396</v>
      </c>
      <c r="Z106" s="14">
        <f t="shared" si="53"/>
        <v>644.30738652956006</v>
      </c>
      <c r="AA106" s="14">
        <f t="shared" si="54"/>
        <v>1089.3607071430072</v>
      </c>
      <c r="AB106" s="14">
        <f t="shared" si="55"/>
        <v>1265.0253108254542</v>
      </c>
      <c r="AC106" s="14">
        <f t="shared" si="56"/>
        <v>1469.0166687083909</v>
      </c>
      <c r="AD106" s="33">
        <f t="shared" si="57"/>
        <v>0.7603726180269752</v>
      </c>
      <c r="AE106" s="33">
        <f t="shared" si="58"/>
        <v>0.26937261802697521</v>
      </c>
      <c r="AF106" s="51">
        <f t="shared" si="59"/>
        <v>2.7355550031357829</v>
      </c>
      <c r="AG106" s="51">
        <f>APPLICANTS_PER_YEAR*($H106/Segments!$AH$2)*AE106</f>
        <v>3.8789656995884427</v>
      </c>
      <c r="AH106" s="51">
        <f t="shared" si="60"/>
        <v>6.6145207027242261</v>
      </c>
      <c r="AI106" s="14">
        <f t="shared" si="61"/>
        <v>1469.0166687083909</v>
      </c>
      <c r="AJ106" s="44">
        <f t="shared" si="62"/>
        <v>9716.8411678186276</v>
      </c>
      <c r="AK106" s="44">
        <f t="shared" si="63"/>
        <v>4773.1986927720654</v>
      </c>
      <c r="AL106" s="44">
        <f t="shared" si="64"/>
        <v>2265.1868217134397</v>
      </c>
      <c r="AM106" s="14">
        <f t="shared" si="65"/>
        <v>1469.0166687083906</v>
      </c>
      <c r="AN106" s="14">
        <f t="shared" si="66"/>
        <v>663.63660812544686</v>
      </c>
      <c r="AO106" s="14">
        <f t="shared" si="67"/>
        <v>1120.7915283572972</v>
      </c>
      <c r="AP106" s="14">
        <f t="shared" si="68"/>
        <v>1302.2500836717745</v>
      </c>
      <c r="AQ106" s="14">
        <f t="shared" si="69"/>
        <v>1513.0871687696424</v>
      </c>
      <c r="AR106" s="33">
        <f t="shared" si="70"/>
        <v>0.7600489262617669</v>
      </c>
      <c r="AS106" s="33">
        <f t="shared" si="71"/>
        <v>0.26904892626176691</v>
      </c>
      <c r="AT106" s="51">
        <f t="shared" si="72"/>
        <v>2.731100113417801</v>
      </c>
      <c r="AU106" s="51">
        <f>APPLICANTS_PER_YEAR*($H106/Segments!$AH$2)*AS106</f>
        <v>3.8743045381694432</v>
      </c>
      <c r="AV106" s="51">
        <f t="shared" si="73"/>
        <v>6.6054046515872447</v>
      </c>
      <c r="AW106" s="14">
        <f t="shared" si="74"/>
        <v>1513.0871687696422</v>
      </c>
      <c r="AX106" s="44">
        <f t="shared" si="75"/>
        <v>9994.5530228479693</v>
      </c>
      <c r="AY106" s="44">
        <f t="shared" si="76"/>
        <v>4909.6189388684579</v>
      </c>
      <c r="AZ106" s="44">
        <f t="shared" si="77"/>
        <v>2323.1118447656031</v>
      </c>
    </row>
    <row r="107" spans="1:52" ht="15" customHeight="1" x14ac:dyDescent="0.35">
      <c r="A107" s="59" t="str">
        <f>Segments!$A$87</f>
        <v>Non-greek</v>
      </c>
      <c r="B107" s="59" t="str">
        <f>Segments!$B$87</f>
        <v>Off 1-3mi</v>
      </c>
      <c r="C107" s="59" t="str">
        <f>Segments!$C$87</f>
        <v>Yes</v>
      </c>
      <c r="D107" s="59" t="str">
        <f>Segments!$D$87</f>
        <v>&lt;1.0</v>
      </c>
      <c r="E107" s="59" t="str">
        <f>Segments!$E$87</f>
        <v>Junior</v>
      </c>
      <c r="F107" s="59">
        <f>Segments!$F$87</f>
        <v>2</v>
      </c>
      <c r="G107" s="59" t="str">
        <f>Segments!$G$87</f>
        <v>Base</v>
      </c>
      <c r="H107" s="60">
        <f>Segments!$H$87</f>
        <v>9</v>
      </c>
      <c r="I107" s="26">
        <f>Segments!$Y$87</f>
        <v>747.78792186613532</v>
      </c>
      <c r="J107" s="29">
        <v>2</v>
      </c>
      <c r="K107" s="14">
        <f t="shared" si="39"/>
        <v>1426.2297754450396</v>
      </c>
      <c r="L107" s="14">
        <f t="shared" si="40"/>
        <v>747.78792186613532</v>
      </c>
      <c r="M107" s="14">
        <f t="shared" si="41"/>
        <v>1257.6281249067445</v>
      </c>
      <c r="N107" s="14">
        <f t="shared" si="42"/>
        <v>1339.2784169765121</v>
      </c>
      <c r="O107" s="14">
        <f t="shared" si="43"/>
        <v>1426.2297754450396</v>
      </c>
      <c r="P107" s="33">
        <f t="shared" si="44"/>
        <v>0.81753798263066735</v>
      </c>
      <c r="Q107" s="33">
        <f t="shared" si="45"/>
        <v>0.31753798263066735</v>
      </c>
      <c r="R107" s="51">
        <f t="shared" si="46"/>
        <v>9.8104557915680086</v>
      </c>
      <c r="S107" s="51">
        <f>APPLICANTS_PER_YEAR*($H107/Segments!$AH$2)*Q107</f>
        <v>3.4294102124112071</v>
      </c>
      <c r="T107" s="51">
        <f t="shared" si="47"/>
        <v>13.239866003979216</v>
      </c>
      <c r="U107" s="14">
        <f t="shared" si="48"/>
        <v>1426.2297754450396</v>
      </c>
      <c r="V107" s="44">
        <f t="shared" si="49"/>
        <v>18883.091117777691</v>
      </c>
      <c r="W107" s="44">
        <f t="shared" si="50"/>
        <v>11088.685311089917</v>
      </c>
      <c r="X107" s="44">
        <f t="shared" si="51"/>
        <v>4090.6262401503136</v>
      </c>
      <c r="Y107" s="14">
        <f t="shared" si="52"/>
        <v>1426.2297754450396</v>
      </c>
      <c r="Z107" s="14">
        <f t="shared" si="53"/>
        <v>770.22155952211938</v>
      </c>
      <c r="AA107" s="14">
        <f t="shared" si="54"/>
        <v>1294.1069686539468</v>
      </c>
      <c r="AB107" s="14">
        <f t="shared" si="55"/>
        <v>1378.7910313185007</v>
      </c>
      <c r="AC107" s="14">
        <f t="shared" si="56"/>
        <v>1469.0166687083909</v>
      </c>
      <c r="AD107" s="33">
        <f t="shared" si="57"/>
        <v>0.80828088762529526</v>
      </c>
      <c r="AE107" s="33">
        <f t="shared" si="58"/>
        <v>0.31728088762529527</v>
      </c>
      <c r="AF107" s="51">
        <f t="shared" si="59"/>
        <v>9.9826881129678675</v>
      </c>
      <c r="AG107" s="51">
        <f>APPLICANTS_PER_YEAR*($H107/Segments!$AH$2)*AE107</f>
        <v>3.4266335863531885</v>
      </c>
      <c r="AH107" s="51">
        <f t="shared" si="60"/>
        <v>13.409321699321056</v>
      </c>
      <c r="AI107" s="14">
        <f t="shared" si="61"/>
        <v>1469.0166687083906</v>
      </c>
      <c r="AJ107" s="44">
        <f t="shared" si="62"/>
        <v>19698.517092375754</v>
      </c>
      <c r="AK107" s="44">
        <f t="shared" si="63"/>
        <v>11567.526511951046</v>
      </c>
      <c r="AL107" s="44">
        <f t="shared" si="64"/>
        <v>4253.0543690610793</v>
      </c>
      <c r="AM107" s="14">
        <f t="shared" si="65"/>
        <v>1469.0166687083909</v>
      </c>
      <c r="AN107" s="14">
        <f t="shared" si="66"/>
        <v>793.32820630778292</v>
      </c>
      <c r="AO107" s="14">
        <f t="shared" si="67"/>
        <v>1331.6801777135649</v>
      </c>
      <c r="AP107" s="14">
        <f t="shared" si="68"/>
        <v>1419.4887071770852</v>
      </c>
      <c r="AQ107" s="14">
        <f t="shared" si="69"/>
        <v>1513.0871687696424</v>
      </c>
      <c r="AR107" s="33">
        <f t="shared" si="70"/>
        <v>0.80803092419146649</v>
      </c>
      <c r="AS107" s="33">
        <f t="shared" si="71"/>
        <v>0.31703092419146639</v>
      </c>
      <c r="AT107" s="51">
        <f t="shared" si="72"/>
        <v>5.3447372765058452</v>
      </c>
      <c r="AU107" s="51">
        <f>APPLICANTS_PER_YEAR*($H107/Segments!$AH$2)*AS107</f>
        <v>3.4239339812678367</v>
      </c>
      <c r="AV107" s="51">
        <f t="shared" si="73"/>
        <v>8.7686712577736827</v>
      </c>
      <c r="AW107" s="14">
        <f t="shared" si="74"/>
        <v>1513.0871687696422</v>
      </c>
      <c r="AX107" s="44">
        <f t="shared" si="75"/>
        <v>13267.76396729652</v>
      </c>
      <c r="AY107" s="44">
        <f t="shared" si="76"/>
        <v>7791.206349508072</v>
      </c>
      <c r="AZ107" s="44">
        <f t="shared" si="77"/>
        <v>2949.9040345881872</v>
      </c>
    </row>
    <row r="108" spans="1:52" ht="15" customHeight="1" x14ac:dyDescent="0.35">
      <c r="A108" s="59" t="str">
        <f>Segments!$A$88</f>
        <v>Non-greek</v>
      </c>
      <c r="B108" s="59" t="str">
        <f>Segments!$B$88</f>
        <v>Off 1-3mi</v>
      </c>
      <c r="C108" s="59" t="str">
        <f>Segments!$C$88</f>
        <v>Yes</v>
      </c>
      <c r="D108" s="59" t="str">
        <f>Segments!$D$88</f>
        <v>&lt;1.0</v>
      </c>
      <c r="E108" s="59" t="str">
        <f>Segments!$E$88</f>
        <v>Senior</v>
      </c>
      <c r="F108" s="59">
        <f>Segments!$F$88</f>
        <v>3</v>
      </c>
      <c r="G108" s="59" t="str">
        <f>Segments!$G$88</f>
        <v>Base</v>
      </c>
      <c r="H108" s="60">
        <f>Segments!$H$88</f>
        <v>14</v>
      </c>
      <c r="I108" s="26">
        <f>Segments!$Y$88</f>
        <v>698.94799065336167</v>
      </c>
      <c r="J108" s="29">
        <v>3</v>
      </c>
      <c r="K108" s="14">
        <f t="shared" si="39"/>
        <v>1426.2297754450396</v>
      </c>
      <c r="L108" s="14">
        <f t="shared" si="40"/>
        <v>698.94799065336167</v>
      </c>
      <c r="M108" s="14">
        <f t="shared" si="41"/>
        <v>1178.2105892107606</v>
      </c>
      <c r="N108" s="14">
        <f t="shared" si="42"/>
        <v>1296.3020574222007</v>
      </c>
      <c r="O108" s="14">
        <f t="shared" si="43"/>
        <v>1426.2297754450396</v>
      </c>
      <c r="P108" s="33">
        <f t="shared" si="44"/>
        <v>0.79988524577319176</v>
      </c>
      <c r="Q108" s="33">
        <f t="shared" si="45"/>
        <v>0.29988524577319176</v>
      </c>
      <c r="R108" s="51">
        <f t="shared" si="46"/>
        <v>7.1989672119587258</v>
      </c>
      <c r="S108" s="51">
        <f>APPLICANTS_PER_YEAR*($H108/Segments!$AH$2)*Q108</f>
        <v>5.0380721289896213</v>
      </c>
      <c r="T108" s="51">
        <f t="shared" si="47"/>
        <v>12.237039340948346</v>
      </c>
      <c r="U108" s="14">
        <f t="shared" si="48"/>
        <v>1426.2297754450399</v>
      </c>
      <c r="V108" s="44">
        <f t="shared" si="49"/>
        <v>17452.829871352878</v>
      </c>
      <c r="W108" s="44">
        <f t="shared" si="50"/>
        <v>9579.4205459702225</v>
      </c>
      <c r="X108" s="44">
        <f t="shared" si="51"/>
        <v>3920.7681325715689</v>
      </c>
      <c r="Y108" s="14">
        <f t="shared" si="52"/>
        <v>1426.2297754450396</v>
      </c>
      <c r="Z108" s="14">
        <f t="shared" si="53"/>
        <v>719.91643037296251</v>
      </c>
      <c r="AA108" s="14">
        <f t="shared" si="54"/>
        <v>1212.3069068870834</v>
      </c>
      <c r="AB108" s="14">
        <f t="shared" si="55"/>
        <v>1334.5032985374883</v>
      </c>
      <c r="AC108" s="14">
        <f t="shared" si="56"/>
        <v>1469.0166687083909</v>
      </c>
      <c r="AD108" s="33">
        <f t="shared" si="57"/>
        <v>0.7906017093707004</v>
      </c>
      <c r="AE108" s="33">
        <f t="shared" si="58"/>
        <v>0.29960170937070041</v>
      </c>
      <c r="AF108" s="51">
        <f t="shared" si="59"/>
        <v>10.467460694584993</v>
      </c>
      <c r="AG108" s="51">
        <f>APPLICANTS_PER_YEAR*($H108/Segments!$AH$2)*AE108</f>
        <v>5.0333087174277669</v>
      </c>
      <c r="AH108" s="51">
        <f t="shared" si="60"/>
        <v>15.50076941201276</v>
      </c>
      <c r="AI108" s="14">
        <f t="shared" si="61"/>
        <v>1469.0166687083909</v>
      </c>
      <c r="AJ108" s="44">
        <f t="shared" si="62"/>
        <v>22770.888644051905</v>
      </c>
      <c r="AK108" s="44">
        <f t="shared" si="63"/>
        <v>12498.369613106308</v>
      </c>
      <c r="AL108" s="44">
        <f t="shared" si="64"/>
        <v>4998.3365640647426</v>
      </c>
      <c r="AM108" s="14">
        <f t="shared" si="65"/>
        <v>1469.0166687083906</v>
      </c>
      <c r="AN108" s="14">
        <f t="shared" si="66"/>
        <v>741.51392328415136</v>
      </c>
      <c r="AO108" s="14">
        <f t="shared" si="67"/>
        <v>1247.4261140936958</v>
      </c>
      <c r="AP108" s="14">
        <f t="shared" si="68"/>
        <v>1373.8502273622651</v>
      </c>
      <c r="AQ108" s="14">
        <f t="shared" si="69"/>
        <v>1513.0871687696424</v>
      </c>
      <c r="AR108" s="33">
        <f t="shared" si="70"/>
        <v>0.79032601144059689</v>
      </c>
      <c r="AS108" s="33">
        <f t="shared" si="71"/>
        <v>0.2993260114405969</v>
      </c>
      <c r="AT108" s="51">
        <f t="shared" si="72"/>
        <v>10.597735734748257</v>
      </c>
      <c r="AU108" s="51">
        <f>APPLICANTS_PER_YEAR*($H108/Segments!$AH$2)*AS108</f>
        <v>5.028676992202028</v>
      </c>
      <c r="AV108" s="51">
        <f t="shared" si="73"/>
        <v>15.626412726950285</v>
      </c>
      <c r="AW108" s="14">
        <f t="shared" si="74"/>
        <v>1513.0871687696424</v>
      </c>
      <c r="AX108" s="44">
        <f t="shared" si="75"/>
        <v>23644.124591047115</v>
      </c>
      <c r="AY108" s="44">
        <f t="shared" si="76"/>
        <v>12977.666920980499</v>
      </c>
      <c r="AZ108" s="44">
        <f t="shared" si="77"/>
        <v>5173.2936591995413</v>
      </c>
    </row>
    <row r="109" spans="1:52" ht="15" customHeight="1" x14ac:dyDescent="0.35">
      <c r="A109" s="59" t="str">
        <f>Segments!$A$89</f>
        <v>Non-greek</v>
      </c>
      <c r="B109" s="59" t="str">
        <f>Segments!$B$89</f>
        <v>Off 1-3mi</v>
      </c>
      <c r="C109" s="59" t="str">
        <f>Segments!$C$89</f>
        <v>Yes</v>
      </c>
      <c r="D109" s="59" t="str">
        <f>Segments!$D$89</f>
        <v>&lt;1.0</v>
      </c>
      <c r="E109" s="59" t="str">
        <f>Segments!$E$89</f>
        <v>Grad student</v>
      </c>
      <c r="F109" s="59">
        <f>Segments!$F$89</f>
        <v>3</v>
      </c>
      <c r="G109" s="59" t="str">
        <f>Segments!$G$89</f>
        <v>Grad</v>
      </c>
      <c r="H109" s="60">
        <f>Segments!$H$89</f>
        <v>4</v>
      </c>
      <c r="I109" s="26">
        <f>Segments!$Y$89</f>
        <v>832.22369194531575</v>
      </c>
      <c r="J109" s="29">
        <v>4</v>
      </c>
      <c r="K109" s="14">
        <f t="shared" si="39"/>
        <v>1426.2297754450396</v>
      </c>
      <c r="L109" s="14">
        <f t="shared" si="40"/>
        <v>832.22369194531575</v>
      </c>
      <c r="M109" s="14">
        <f t="shared" si="41"/>
        <v>1394.9272696386963</v>
      </c>
      <c r="N109" s="14">
        <f t="shared" si="42"/>
        <v>1410.49168963839</v>
      </c>
      <c r="O109" s="14">
        <f t="shared" si="43"/>
        <v>1426.2297754450396</v>
      </c>
      <c r="P109" s="33">
        <f t="shared" si="44"/>
        <v>0.844421063972846</v>
      </c>
      <c r="Q109" s="33">
        <f t="shared" si="45"/>
        <v>0.344421063972846</v>
      </c>
      <c r="R109" s="51">
        <f t="shared" si="46"/>
        <v>1.688842127945692</v>
      </c>
      <c r="S109" s="51">
        <f>APPLICANTS_PER_YEAR*($H109/Segments!$AH$2)*Q109</f>
        <v>1.6532211070696607</v>
      </c>
      <c r="T109" s="51">
        <f t="shared" si="47"/>
        <v>3.3420632350153525</v>
      </c>
      <c r="U109" s="14">
        <f t="shared" si="48"/>
        <v>1426.2297754450399</v>
      </c>
      <c r="V109" s="44">
        <f t="shared" si="49"/>
        <v>4766.5500971990696</v>
      </c>
      <c r="W109" s="44">
        <f t="shared" si="50"/>
        <v>3115.1055086582842</v>
      </c>
      <c r="X109" s="44">
        <f t="shared" si="51"/>
        <v>1091.575321638066</v>
      </c>
      <c r="Y109" s="14">
        <f t="shared" si="52"/>
        <v>1426.2297754450399</v>
      </c>
      <c r="Z109" s="14">
        <f t="shared" si="53"/>
        <v>857.1904027036752</v>
      </c>
      <c r="AA109" s="14">
        <f t="shared" si="54"/>
        <v>1435.5250877278572</v>
      </c>
      <c r="AB109" s="14">
        <f t="shared" si="55"/>
        <v>1452.1743291427849</v>
      </c>
      <c r="AC109" s="14">
        <f t="shared" si="56"/>
        <v>1469.0166687083909</v>
      </c>
      <c r="AD109" s="33">
        <f t="shared" si="57"/>
        <v>0.835200992529751</v>
      </c>
      <c r="AE109" s="33">
        <f t="shared" si="58"/>
        <v>0.34420099252975089</v>
      </c>
      <c r="AF109" s="51">
        <f t="shared" si="59"/>
        <v>1.3956472654910064</v>
      </c>
      <c r="AG109" s="51">
        <f>APPLICANTS_PER_YEAR*($H109/Segments!$AH$2)*AE109</f>
        <v>1.6521647641428043</v>
      </c>
      <c r="AH109" s="51">
        <f t="shared" si="60"/>
        <v>3.0478120296338105</v>
      </c>
      <c r="AI109" s="14">
        <f t="shared" si="61"/>
        <v>1469.0166687083911</v>
      </c>
      <c r="AJ109" s="44">
        <f t="shared" si="62"/>
        <v>4477.2866746220207</v>
      </c>
      <c r="AK109" s="44">
        <f t="shared" si="63"/>
        <v>2926.0618475725414</v>
      </c>
      <c r="AL109" s="44">
        <f t="shared" si="64"/>
        <v>1033.4145564290538</v>
      </c>
      <c r="AM109" s="14">
        <f t="shared" si="65"/>
        <v>1469.0166687083911</v>
      </c>
      <c r="AN109" s="14">
        <f t="shared" si="66"/>
        <v>882.90611478478547</v>
      </c>
      <c r="AO109" s="14">
        <f t="shared" si="67"/>
        <v>1477.3408403596929</v>
      </c>
      <c r="AP109" s="14">
        <f t="shared" si="68"/>
        <v>1495.1071765755164</v>
      </c>
      <c r="AQ109" s="14">
        <f t="shared" si="69"/>
        <v>1513.0871687696424</v>
      </c>
      <c r="AR109" s="33">
        <f t="shared" si="70"/>
        <v>0.83498705575231458</v>
      </c>
      <c r="AS109" s="33">
        <f t="shared" si="71"/>
        <v>0.34398705575231447</v>
      </c>
      <c r="AT109" s="51">
        <f t="shared" si="72"/>
        <v>1.2724417965552108</v>
      </c>
      <c r="AU109" s="51">
        <f>APPLICANTS_PER_YEAR*($H109/Segments!$AH$2)*AS109</f>
        <v>1.6511378676111095</v>
      </c>
      <c r="AV109" s="51">
        <f t="shared" si="73"/>
        <v>2.9235796641663203</v>
      </c>
      <c r="AW109" s="14">
        <f t="shared" si="74"/>
        <v>1513.0871687696424</v>
      </c>
      <c r="AX109" s="44">
        <f t="shared" si="75"/>
        <v>4423.6308767259197</v>
      </c>
      <c r="AY109" s="44">
        <f t="shared" si="76"/>
        <v>2890.9959260592414</v>
      </c>
      <c r="AZ109" s="44">
        <f t="shared" si="77"/>
        <v>1023.2573189221242</v>
      </c>
    </row>
    <row r="110" spans="1:52" ht="15" customHeight="1" x14ac:dyDescent="0.35">
      <c r="A110" s="61" t="str">
        <f>Segments!$A$90</f>
        <v>Non-greek</v>
      </c>
      <c r="B110" s="61" t="str">
        <f>Segments!$B$90</f>
        <v>Off 1-3mi</v>
      </c>
      <c r="C110" s="61" t="str">
        <f>Segments!$C$90</f>
        <v>Yes</v>
      </c>
      <c r="D110" s="61" t="str">
        <f>Segments!$D$90</f>
        <v>1.0-2.0</v>
      </c>
      <c r="E110" s="61" t="str">
        <f>Segments!$E$90</f>
        <v>Freshman</v>
      </c>
      <c r="F110" s="61">
        <f>Segments!$F$90</f>
        <v>1</v>
      </c>
      <c r="G110" s="61" t="str">
        <f>Segments!$G$90</f>
        <v>Base</v>
      </c>
      <c r="H110" s="62">
        <f>Segments!$H$90</f>
        <v>24</v>
      </c>
      <c r="I110" s="63">
        <f>Segments!$Y$90</f>
        <v>573.46350783562343</v>
      </c>
      <c r="J110" s="42">
        <v>0</v>
      </c>
      <c r="K110" s="40">
        <f t="shared" si="39"/>
        <v>974.16303742257617</v>
      </c>
      <c r="L110" s="40">
        <f t="shared" si="40"/>
        <v>573.46350783562343</v>
      </c>
      <c r="M110" s="40">
        <f t="shared" si="41"/>
        <v>974.16303742257617</v>
      </c>
      <c r="N110" s="40">
        <f t="shared" si="42"/>
        <v>1178.7197843890033</v>
      </c>
      <c r="O110" s="40">
        <f t="shared" si="43"/>
        <v>1426.2297754450396</v>
      </c>
      <c r="P110" s="41">
        <f t="shared" si="44"/>
        <v>0.60579201247526271</v>
      </c>
      <c r="Q110" s="41">
        <f t="shared" si="45"/>
        <v>0.24500897739476957</v>
      </c>
      <c r="R110" s="64">
        <f t="shared" si="46"/>
        <v>0</v>
      </c>
      <c r="S110" s="64">
        <f>APPLICANTS_PER_YEAR*($H110/Segments!$AH$2)*Q110</f>
        <v>7.056258548969363</v>
      </c>
      <c r="T110" s="64">
        <f t="shared" si="47"/>
        <v>7.056258548969363</v>
      </c>
      <c r="U110" s="40">
        <f t="shared" si="48"/>
        <v>1426.2297754450394</v>
      </c>
      <c r="V110" s="65">
        <f t="shared" si="49"/>
        <v>10063.846045778715</v>
      </c>
      <c r="W110" s="65">
        <f t="shared" si="50"/>
        <v>4532.0875932495264</v>
      </c>
      <c r="X110" s="65">
        <f t="shared" si="51"/>
        <v>2571.8331489580537</v>
      </c>
      <c r="Y110" s="40">
        <f t="shared" si="52"/>
        <v>1002.1379285452535</v>
      </c>
      <c r="Z110" s="40">
        <f t="shared" si="53"/>
        <v>590.66741307069219</v>
      </c>
      <c r="AA110" s="40">
        <f t="shared" si="54"/>
        <v>1002.1379285452535</v>
      </c>
      <c r="AB110" s="40">
        <f t="shared" si="55"/>
        <v>1213.3249034689247</v>
      </c>
      <c r="AC110" s="40">
        <f t="shared" si="56"/>
        <v>1469.0166687083909</v>
      </c>
      <c r="AD110" s="41">
        <f t="shared" si="57"/>
        <v>0.60486696739700951</v>
      </c>
      <c r="AE110" s="41">
        <f t="shared" si="58"/>
        <v>0.24463178225863602</v>
      </c>
      <c r="AF110" s="64">
        <f t="shared" si="59"/>
        <v>0</v>
      </c>
      <c r="AG110" s="64">
        <f>APPLICANTS_PER_YEAR*($H110/Segments!$AH$2)*AE110</f>
        <v>7.0453953290487163</v>
      </c>
      <c r="AH110" s="64">
        <f t="shared" si="60"/>
        <v>7.0453953290487163</v>
      </c>
      <c r="AI110" s="40">
        <f t="shared" si="61"/>
        <v>1469.0166687083909</v>
      </c>
      <c r="AJ110" s="65">
        <f t="shared" si="62"/>
        <v>10349.803176012803</v>
      </c>
      <c r="AK110" s="65">
        <f t="shared" si="63"/>
        <v>4660.8636850378889</v>
      </c>
      <c r="AL110" s="65">
        <f t="shared" si="64"/>
        <v>2635.3987012340599</v>
      </c>
      <c r="AM110" s="40">
        <f t="shared" si="65"/>
        <v>1030.9520664016111</v>
      </c>
      <c r="AN110" s="40">
        <f t="shared" si="66"/>
        <v>608.38743546281285</v>
      </c>
      <c r="AO110" s="40">
        <f t="shared" si="67"/>
        <v>1030.9520664016111</v>
      </c>
      <c r="AP110" s="40">
        <f t="shared" si="68"/>
        <v>1248.9677110673545</v>
      </c>
      <c r="AQ110" s="40">
        <f t="shared" si="69"/>
        <v>1513.0871687696424</v>
      </c>
      <c r="AR110" s="41">
        <f t="shared" si="70"/>
        <v>0.60396688041122637</v>
      </c>
      <c r="AS110" s="41">
        <f t="shared" si="71"/>
        <v>0.24426489757826708</v>
      </c>
      <c r="AT110" s="64">
        <f t="shared" si="72"/>
        <v>0</v>
      </c>
      <c r="AU110" s="64">
        <f>APPLICANTS_PER_YEAR*($H110/Segments!$AH$2)*AS110</f>
        <v>7.0348290502540909</v>
      </c>
      <c r="AV110" s="64">
        <f t="shared" si="73"/>
        <v>7.0348290502540909</v>
      </c>
      <c r="AW110" s="40">
        <f t="shared" si="74"/>
        <v>1513.0871687696424</v>
      </c>
      <c r="AX110" s="65">
        <f t="shared" si="75"/>
        <v>10644.309570427395</v>
      </c>
      <c r="AY110" s="65">
        <f t="shared" si="76"/>
        <v>4793.4897973797879</v>
      </c>
      <c r="AZ110" s="65">
        <f t="shared" si="77"/>
        <v>2700.8926510371707</v>
      </c>
    </row>
    <row r="111" spans="1:52" ht="15" customHeight="1" x14ac:dyDescent="0.35">
      <c r="A111" s="61" t="str">
        <f>Segments!$A$91</f>
        <v>Non-greek</v>
      </c>
      <c r="B111" s="61" t="str">
        <f>Segments!$B$91</f>
        <v>Off 1-3mi</v>
      </c>
      <c r="C111" s="61" t="str">
        <f>Segments!$C$91</f>
        <v>Yes</v>
      </c>
      <c r="D111" s="61" t="str">
        <f>Segments!$D$91</f>
        <v>1.0-2.0</v>
      </c>
      <c r="E111" s="61" t="str">
        <f>Segments!$E$91</f>
        <v>Sophomore</v>
      </c>
      <c r="F111" s="61">
        <f>Segments!$F$91</f>
        <v>1</v>
      </c>
      <c r="G111" s="61" t="str">
        <f>Segments!$G$91</f>
        <v>Sophomore</v>
      </c>
      <c r="H111" s="62">
        <f>Segments!$H$91</f>
        <v>33</v>
      </c>
      <c r="I111" s="63">
        <f>Segments!$Y$91</f>
        <v>567.62922935525717</v>
      </c>
      <c r="J111" s="42">
        <v>1</v>
      </c>
      <c r="K111" s="40">
        <f t="shared" si="39"/>
        <v>1426.2297754450396</v>
      </c>
      <c r="L111" s="40">
        <f t="shared" si="40"/>
        <v>567.62922935525717</v>
      </c>
      <c r="M111" s="40">
        <f t="shared" si="41"/>
        <v>964.67604577518387</v>
      </c>
      <c r="N111" s="40">
        <f t="shared" si="42"/>
        <v>1172.96619735743</v>
      </c>
      <c r="O111" s="40">
        <f t="shared" si="43"/>
        <v>1426.2297754450396</v>
      </c>
      <c r="P111" s="41">
        <f t="shared" si="44"/>
        <v>0.74204139954834758</v>
      </c>
      <c r="Q111" s="41">
        <f t="shared" si="45"/>
        <v>0.24204139954834758</v>
      </c>
      <c r="R111" s="64">
        <f t="shared" si="46"/>
        <v>17.808993589160341</v>
      </c>
      <c r="S111" s="64">
        <f>APPLICANTS_PER_YEAR*($H111/Segments!$AH$2)*Q111</f>
        <v>9.5848394221145643</v>
      </c>
      <c r="T111" s="64">
        <f t="shared" si="47"/>
        <v>27.393833011274907</v>
      </c>
      <c r="U111" s="40">
        <f t="shared" si="48"/>
        <v>1426.2297754450396</v>
      </c>
      <c r="V111" s="65">
        <f t="shared" si="49"/>
        <v>39069.900304249524</v>
      </c>
      <c r="W111" s="65">
        <f t="shared" si="50"/>
        <v>17415.485159829772</v>
      </c>
      <c r="X111" s="65">
        <f t="shared" si="51"/>
        <v>8650.1652214652968</v>
      </c>
      <c r="Y111" s="40">
        <f t="shared" si="52"/>
        <v>1426.2297754450394</v>
      </c>
      <c r="Z111" s="40">
        <f t="shared" si="53"/>
        <v>584.65810623591494</v>
      </c>
      <c r="AA111" s="40">
        <f t="shared" si="54"/>
        <v>992.3663271484395</v>
      </c>
      <c r="AB111" s="40">
        <f t="shared" si="55"/>
        <v>1207.3949958675419</v>
      </c>
      <c r="AC111" s="40">
        <f t="shared" si="56"/>
        <v>1469.0166687083909</v>
      </c>
      <c r="AD111" s="41">
        <f t="shared" si="57"/>
        <v>0.73265862301223639</v>
      </c>
      <c r="AE111" s="41">
        <f t="shared" si="58"/>
        <v>0.24165862301223651</v>
      </c>
      <c r="AF111" s="64">
        <f t="shared" si="59"/>
        <v>5.169828672106215</v>
      </c>
      <c r="AG111" s="64">
        <f>APPLICANTS_PER_YEAR*($H111/Segments!$AH$2)*AE111</f>
        <v>9.5696814712845661</v>
      </c>
      <c r="AH111" s="64">
        <f t="shared" si="60"/>
        <v>14.739510143390781</v>
      </c>
      <c r="AI111" s="40">
        <f t="shared" si="61"/>
        <v>1469.0166687083909</v>
      </c>
      <c r="AJ111" s="65">
        <f t="shared" si="62"/>
        <v>21652.586089237462</v>
      </c>
      <c r="AK111" s="65">
        <f t="shared" si="63"/>
        <v>9651.6829777535022</v>
      </c>
      <c r="AL111" s="65">
        <f t="shared" si="64"/>
        <v>5118.4017663599507</v>
      </c>
      <c r="AM111" s="40">
        <f t="shared" si="65"/>
        <v>1469.0166687083909</v>
      </c>
      <c r="AN111" s="40">
        <f t="shared" si="66"/>
        <v>602.19784942299225</v>
      </c>
      <c r="AO111" s="40">
        <f t="shared" si="67"/>
        <v>1020.8873169628924</v>
      </c>
      <c r="AP111" s="40">
        <f t="shared" si="68"/>
        <v>1242.8561863933492</v>
      </c>
      <c r="AQ111" s="40">
        <f t="shared" si="69"/>
        <v>1513.0871687696424</v>
      </c>
      <c r="AR111" s="41">
        <f t="shared" si="70"/>
        <v>0.73228630273769735</v>
      </c>
      <c r="AS111" s="41">
        <f t="shared" si="71"/>
        <v>0.24128630273769724</v>
      </c>
      <c r="AT111" s="64">
        <f t="shared" si="72"/>
        <v>5.1592464968345269</v>
      </c>
      <c r="AU111" s="64">
        <f>APPLICANTS_PER_YEAR*($H111/Segments!$AH$2)*AS111</f>
        <v>9.5549375884128107</v>
      </c>
      <c r="AV111" s="64">
        <f t="shared" si="73"/>
        <v>14.714184085247338</v>
      </c>
      <c r="AW111" s="40">
        <f t="shared" si="74"/>
        <v>1513.0871687696424</v>
      </c>
      <c r="AX111" s="65">
        <f t="shared" si="75"/>
        <v>22263.843138302225</v>
      </c>
      <c r="AY111" s="65">
        <f t="shared" si="76"/>
        <v>9924.1520136079616</v>
      </c>
      <c r="AZ111" s="65">
        <f t="shared" si="77"/>
        <v>5247.0343457741628</v>
      </c>
    </row>
    <row r="112" spans="1:52" ht="15" customHeight="1" x14ac:dyDescent="0.35">
      <c r="A112" s="61" t="str">
        <f>Segments!$A$92</f>
        <v>Non-greek</v>
      </c>
      <c r="B112" s="61" t="str">
        <f>Segments!$B$92</f>
        <v>Off 1-3mi</v>
      </c>
      <c r="C112" s="61" t="str">
        <f>Segments!$C$92</f>
        <v>Yes</v>
      </c>
      <c r="D112" s="61" t="str">
        <f>Segments!$D$92</f>
        <v>1.0-2.0</v>
      </c>
      <c r="E112" s="61" t="str">
        <f>Segments!$E$92</f>
        <v>Junior</v>
      </c>
      <c r="F112" s="61">
        <f>Segments!$F$92</f>
        <v>2</v>
      </c>
      <c r="G112" s="61" t="str">
        <f>Segments!$G$92</f>
        <v>Base</v>
      </c>
      <c r="H112" s="62">
        <f>Segments!$H$92</f>
        <v>37</v>
      </c>
      <c r="I112" s="63">
        <f>Segments!$Y$92</f>
        <v>678.5585256429257</v>
      </c>
      <c r="J112" s="42">
        <v>2</v>
      </c>
      <c r="K112" s="40">
        <f t="shared" si="39"/>
        <v>1426.2297754450396</v>
      </c>
      <c r="L112" s="40">
        <f t="shared" si="40"/>
        <v>678.5585256429257</v>
      </c>
      <c r="M112" s="40">
        <f t="shared" si="41"/>
        <v>1145.0557295482065</v>
      </c>
      <c r="N112" s="40">
        <f t="shared" si="42"/>
        <v>1277.9329309574875</v>
      </c>
      <c r="O112" s="40">
        <f t="shared" si="43"/>
        <v>1426.2297754450396</v>
      </c>
      <c r="P112" s="41">
        <f t="shared" si="44"/>
        <v>0.7919778452784525</v>
      </c>
      <c r="Q112" s="41">
        <f t="shared" si="45"/>
        <v>0.2919778452784525</v>
      </c>
      <c r="R112" s="64">
        <f t="shared" si="46"/>
        <v>26.135268894188933</v>
      </c>
      <c r="S112" s="64">
        <f>APPLICANTS_PER_YEAR*($H112/Segments!$AH$2)*Q112</f>
        <v>12.96381633036329</v>
      </c>
      <c r="T112" s="64">
        <f t="shared" si="47"/>
        <v>39.099085224552226</v>
      </c>
      <c r="U112" s="40">
        <f t="shared" si="48"/>
        <v>1426.2297754450396</v>
      </c>
      <c r="V112" s="65">
        <f t="shared" si="49"/>
        <v>55764.279539919589</v>
      </c>
      <c r="W112" s="65">
        <f t="shared" si="50"/>
        <v>29714.739738834371</v>
      </c>
      <c r="X112" s="65">
        <f t="shared" si="51"/>
        <v>12292.654275676696</v>
      </c>
      <c r="Y112" s="40">
        <f t="shared" si="52"/>
        <v>1426.2297754450396</v>
      </c>
      <c r="Z112" s="40">
        <f t="shared" si="53"/>
        <v>698.91528141221352</v>
      </c>
      <c r="AA112" s="40">
        <f t="shared" si="54"/>
        <v>1178.1574014346527</v>
      </c>
      <c r="AB112" s="40">
        <f t="shared" si="55"/>
        <v>1315.5732062753739</v>
      </c>
      <c r="AC112" s="40">
        <f t="shared" si="56"/>
        <v>1469.0166687083909</v>
      </c>
      <c r="AD112" s="41">
        <f t="shared" si="57"/>
        <v>0.78268189892395146</v>
      </c>
      <c r="AE112" s="41">
        <f t="shared" si="58"/>
        <v>0.29168189892395147</v>
      </c>
      <c r="AF112" s="64">
        <f t="shared" si="59"/>
        <v>21.440657240070273</v>
      </c>
      <c r="AG112" s="64">
        <f>APPLICANTS_PER_YEAR*($H112/Segments!$AH$2)*AE112</f>
        <v>12.950676312223445</v>
      </c>
      <c r="AH112" s="64">
        <f t="shared" si="60"/>
        <v>34.391333552293716</v>
      </c>
      <c r="AI112" s="40">
        <f t="shared" si="61"/>
        <v>1469.0166687083911</v>
      </c>
      <c r="AJ112" s="65">
        <f t="shared" si="62"/>
        <v>50521.44224742963</v>
      </c>
      <c r="AK112" s="65">
        <f t="shared" si="63"/>
        <v>26921.023995983785</v>
      </c>
      <c r="AL112" s="65">
        <f t="shared" si="64"/>
        <v>11226.012741695269</v>
      </c>
      <c r="AM112" s="40">
        <f t="shared" si="65"/>
        <v>1469.0166687083909</v>
      </c>
      <c r="AN112" s="40">
        <f t="shared" si="66"/>
        <v>719.88273985457988</v>
      </c>
      <c r="AO112" s="40">
        <f t="shared" si="67"/>
        <v>1212.2521234776923</v>
      </c>
      <c r="AP112" s="40">
        <f t="shared" si="68"/>
        <v>1354.3423250226836</v>
      </c>
      <c r="AQ112" s="40">
        <f t="shared" si="69"/>
        <v>1513.0871687696424</v>
      </c>
      <c r="AR112" s="41">
        <f t="shared" si="70"/>
        <v>0.78239412140711917</v>
      </c>
      <c r="AS112" s="41">
        <f t="shared" si="71"/>
        <v>0.29139412140711907</v>
      </c>
      <c r="AT112" s="64">
        <f t="shared" si="72"/>
        <v>11.532106088609551</v>
      </c>
      <c r="AU112" s="64">
        <f>APPLICANTS_PER_YEAR*($H112/Segments!$AH$2)*AS112</f>
        <v>12.937898990476086</v>
      </c>
      <c r="AV112" s="64">
        <f t="shared" si="73"/>
        <v>24.470005079085638</v>
      </c>
      <c r="AW112" s="40">
        <f t="shared" si="74"/>
        <v>1513.0871687696424</v>
      </c>
      <c r="AX112" s="65">
        <f t="shared" si="75"/>
        <v>37025.25070489246</v>
      </c>
      <c r="AY112" s="65">
        <f t="shared" si="76"/>
        <v>19729.398416658172</v>
      </c>
      <c r="AZ112" s="65">
        <f t="shared" si="77"/>
        <v>8495.7858729347372</v>
      </c>
    </row>
    <row r="113" spans="1:52" ht="15" customHeight="1" x14ac:dyDescent="0.35">
      <c r="A113" s="61" t="str">
        <f>Segments!$A$93</f>
        <v>Non-greek</v>
      </c>
      <c r="B113" s="61" t="str">
        <f>Segments!$B$93</f>
        <v>Off 1-3mi</v>
      </c>
      <c r="C113" s="61" t="str">
        <f>Segments!$C$93</f>
        <v>Yes</v>
      </c>
      <c r="D113" s="61" t="str">
        <f>Segments!$D$93</f>
        <v>1.0-2.0</v>
      </c>
      <c r="E113" s="61" t="str">
        <f>Segments!$E$93</f>
        <v>Senior</v>
      </c>
      <c r="F113" s="61">
        <f>Segments!$F$93</f>
        <v>3</v>
      </c>
      <c r="G113" s="61" t="str">
        <f>Segments!$G$93</f>
        <v>Base</v>
      </c>
      <c r="H113" s="62">
        <f>Segments!$H$93</f>
        <v>43</v>
      </c>
      <c r="I113" s="63">
        <f>Segments!$Y$93</f>
        <v>634.24014238589541</v>
      </c>
      <c r="J113" s="42">
        <v>3</v>
      </c>
      <c r="K113" s="40">
        <f t="shared" si="39"/>
        <v>1426.2297754450396</v>
      </c>
      <c r="L113" s="40">
        <f t="shared" si="40"/>
        <v>634.24014238589541</v>
      </c>
      <c r="M113" s="40">
        <f t="shared" si="41"/>
        <v>1072.9905833265639</v>
      </c>
      <c r="N113" s="40">
        <f t="shared" si="42"/>
        <v>1237.0655272508759</v>
      </c>
      <c r="O113" s="40">
        <f t="shared" si="43"/>
        <v>1426.2297754450396</v>
      </c>
      <c r="P113" s="41">
        <f t="shared" si="44"/>
        <v>0.77354315756638115</v>
      </c>
      <c r="Q113" s="41">
        <f t="shared" si="45"/>
        <v>0.27354315756638115</v>
      </c>
      <c r="R113" s="64">
        <f t="shared" si="46"/>
        <v>28.621096829956102</v>
      </c>
      <c r="S113" s="64">
        <f>APPLICANTS_PER_YEAR*($H113/Segments!$AH$2)*Q113</f>
        <v>14.114826930425268</v>
      </c>
      <c r="T113" s="64">
        <f t="shared" si="47"/>
        <v>42.735923760381368</v>
      </c>
      <c r="U113" s="40">
        <f t="shared" si="48"/>
        <v>1426.2297754450396</v>
      </c>
      <c r="V113" s="65">
        <f t="shared" si="49"/>
        <v>60951.246948205051</v>
      </c>
      <c r="W113" s="65">
        <f t="shared" si="50"/>
        <v>30357.418975270295</v>
      </c>
      <c r="X113" s="65">
        <f t="shared" si="51"/>
        <v>13431.959347198926</v>
      </c>
      <c r="Y113" s="40">
        <f t="shared" si="52"/>
        <v>1426.2297754450396</v>
      </c>
      <c r="Z113" s="40">
        <f t="shared" si="53"/>
        <v>653.26734665747233</v>
      </c>
      <c r="AA113" s="40">
        <f t="shared" si="54"/>
        <v>1103.930300826361</v>
      </c>
      <c r="AB113" s="40">
        <f t="shared" si="55"/>
        <v>1273.4567181518942</v>
      </c>
      <c r="AC113" s="40">
        <f t="shared" si="56"/>
        <v>1469.0166687083909</v>
      </c>
      <c r="AD113" s="41">
        <f t="shared" si="57"/>
        <v>0.76421688371148433</v>
      </c>
      <c r="AE113" s="41">
        <f t="shared" si="58"/>
        <v>0.27321688371148434</v>
      </c>
      <c r="AF113" s="64">
        <f t="shared" si="59"/>
        <v>29.880181066277043</v>
      </c>
      <c r="AG113" s="64">
        <f>APPLICANTS_PER_YEAR*($H113/Segments!$AH$2)*AE113</f>
        <v>14.097991199512592</v>
      </c>
      <c r="AH113" s="64">
        <f t="shared" si="60"/>
        <v>43.978172265789638</v>
      </c>
      <c r="AI113" s="40">
        <f t="shared" si="61"/>
        <v>1469.0166687083909</v>
      </c>
      <c r="AJ113" s="65">
        <f t="shared" si="62"/>
        <v>64604.668117774039</v>
      </c>
      <c r="AK113" s="65">
        <f t="shared" si="63"/>
        <v>32177.044375747755</v>
      </c>
      <c r="AL113" s="65">
        <f t="shared" si="64"/>
        <v>14167.151941921487</v>
      </c>
      <c r="AM113" s="40">
        <f t="shared" si="65"/>
        <v>1469.0166687083911</v>
      </c>
      <c r="AN113" s="40">
        <f t="shared" si="66"/>
        <v>672.86536705719641</v>
      </c>
      <c r="AO113" s="40">
        <f t="shared" si="67"/>
        <v>1135.7982098511516</v>
      </c>
      <c r="AP113" s="40">
        <f t="shared" si="68"/>
        <v>1310.9392425422727</v>
      </c>
      <c r="AQ113" s="40">
        <f t="shared" si="69"/>
        <v>1513.0871687696424</v>
      </c>
      <c r="AR113" s="41">
        <f t="shared" si="70"/>
        <v>0.7638995823500756</v>
      </c>
      <c r="AS113" s="41">
        <f t="shared" si="71"/>
        <v>0.2728995823500755</v>
      </c>
      <c r="AT113" s="64">
        <f t="shared" si="72"/>
        <v>26.271525337059312</v>
      </c>
      <c r="AU113" s="64">
        <f>APPLICANTS_PER_YEAR*($H113/Segments!$AH$2)*AS113</f>
        <v>14.081618449263896</v>
      </c>
      <c r="AV113" s="64">
        <f t="shared" si="73"/>
        <v>40.353143786323209</v>
      </c>
      <c r="AW113" s="40">
        <f t="shared" si="74"/>
        <v>1513.0871687696424</v>
      </c>
      <c r="AX113" s="65">
        <f t="shared" si="75"/>
        <v>61057.82408260207</v>
      </c>
      <c r="AY113" s="65">
        <f t="shared" si="76"/>
        <v>30410.500854379734</v>
      </c>
      <c r="AZ113" s="65">
        <f t="shared" si="77"/>
        <v>13444.76715525804</v>
      </c>
    </row>
    <row r="114" spans="1:52" ht="15" customHeight="1" x14ac:dyDescent="0.35">
      <c r="A114" s="61" t="str">
        <f>Segments!$A$94</f>
        <v>Non-greek</v>
      </c>
      <c r="B114" s="61" t="str">
        <f>Segments!$B$94</f>
        <v>Off 1-3mi</v>
      </c>
      <c r="C114" s="61" t="str">
        <f>Segments!$C$94</f>
        <v>Yes</v>
      </c>
      <c r="D114" s="61" t="str">
        <f>Segments!$D$94</f>
        <v>1.0-2.0</v>
      </c>
      <c r="E114" s="61" t="str">
        <f>Segments!$E$94</f>
        <v>Grad student</v>
      </c>
      <c r="F114" s="61">
        <f>Segments!$F$94</f>
        <v>3</v>
      </c>
      <c r="G114" s="61" t="str">
        <f>Segments!$G$94</f>
        <v>Grad</v>
      </c>
      <c r="H114" s="62">
        <f>Segments!$H$94</f>
        <v>14</v>
      </c>
      <c r="I114" s="63">
        <f>Segments!$Y$94</f>
        <v>755.17732354149666</v>
      </c>
      <c r="J114" s="42">
        <v>4</v>
      </c>
      <c r="K114" s="40">
        <f t="shared" si="39"/>
        <v>1426.2297754450396</v>
      </c>
      <c r="L114" s="40">
        <f t="shared" si="40"/>
        <v>755.17732354149666</v>
      </c>
      <c r="M114" s="40">
        <f t="shared" si="41"/>
        <v>1269.6438681060608</v>
      </c>
      <c r="N114" s="40">
        <f t="shared" si="42"/>
        <v>1345.6611345000936</v>
      </c>
      <c r="O114" s="40">
        <f t="shared" si="43"/>
        <v>1426.2297754450396</v>
      </c>
      <c r="P114" s="41">
        <f t="shared" si="44"/>
        <v>0.8200635476200786</v>
      </c>
      <c r="Q114" s="41">
        <f t="shared" si="45"/>
        <v>0.3200635476200786</v>
      </c>
      <c r="R114" s="64">
        <f t="shared" si="46"/>
        <v>5.7404448333405504</v>
      </c>
      <c r="S114" s="64">
        <f>APPLICANTS_PER_YEAR*($H114/Segments!$AH$2)*Q114</f>
        <v>5.3770676000173205</v>
      </c>
      <c r="T114" s="64">
        <f t="shared" si="47"/>
        <v>11.11751243335787</v>
      </c>
      <c r="U114" s="40">
        <f t="shared" si="48"/>
        <v>1426.2297754450399</v>
      </c>
      <c r="V114" s="65">
        <f t="shared" si="49"/>
        <v>15856.127261335434</v>
      </c>
      <c r="W114" s="65">
        <f t="shared" si="50"/>
        <v>9403.1764779260102</v>
      </c>
      <c r="X114" s="65">
        <f t="shared" si="51"/>
        <v>3621.9976781103801</v>
      </c>
      <c r="Y114" s="40">
        <f t="shared" si="52"/>
        <v>1426.2297754450399</v>
      </c>
      <c r="Z114" s="40">
        <f t="shared" si="53"/>
        <v>777.83264324774154</v>
      </c>
      <c r="AA114" s="40">
        <f t="shared" si="54"/>
        <v>1306.4831841492428</v>
      </c>
      <c r="AB114" s="40">
        <f t="shared" si="55"/>
        <v>1385.368389599839</v>
      </c>
      <c r="AC114" s="40">
        <f t="shared" si="56"/>
        <v>1469.0166687083909</v>
      </c>
      <c r="AD114" s="41">
        <f t="shared" si="57"/>
        <v>0.81081009537372462</v>
      </c>
      <c r="AE114" s="41">
        <f t="shared" si="58"/>
        <v>0.31981009537372451</v>
      </c>
      <c r="AF114" s="64">
        <f t="shared" si="59"/>
        <v>4.5070956582047321</v>
      </c>
      <c r="AG114" s="64">
        <f>APPLICANTS_PER_YEAR*($H114/Segments!$AH$2)*AE114</f>
        <v>5.3728096022785721</v>
      </c>
      <c r="AH114" s="64">
        <f t="shared" si="60"/>
        <v>9.8799052604833051</v>
      </c>
      <c r="AI114" s="40">
        <f t="shared" si="61"/>
        <v>1469.0166687083909</v>
      </c>
      <c r="AJ114" s="65">
        <f t="shared" si="62"/>
        <v>14513.745512909691</v>
      </c>
      <c r="AK114" s="65">
        <f t="shared" si="63"/>
        <v>8607.1023626548758</v>
      </c>
      <c r="AL114" s="65">
        <f t="shared" si="64"/>
        <v>3351.2623874305923</v>
      </c>
      <c r="AM114" s="40">
        <f t="shared" si="65"/>
        <v>1469.0166687083909</v>
      </c>
      <c r="AN114" s="40">
        <f t="shared" si="66"/>
        <v>801.1676225451738</v>
      </c>
      <c r="AO114" s="40">
        <f t="shared" si="67"/>
        <v>1344.4276796737199</v>
      </c>
      <c r="AP114" s="40">
        <f t="shared" si="68"/>
        <v>1426.2665499313405</v>
      </c>
      <c r="AQ114" s="40">
        <f t="shared" si="69"/>
        <v>1513.0871687696424</v>
      </c>
      <c r="AR114" s="41">
        <f t="shared" si="70"/>
        <v>0.8105636769850344</v>
      </c>
      <c r="AS114" s="41">
        <f t="shared" si="71"/>
        <v>0.3195636769850343</v>
      </c>
      <c r="AT114" s="64">
        <f t="shared" si="72"/>
        <v>4.0041461681005659</v>
      </c>
      <c r="AU114" s="64">
        <f>APPLICANTS_PER_YEAR*($H114/Segments!$AH$2)*AS114</f>
        <v>5.368669773348576</v>
      </c>
      <c r="AV114" s="64">
        <f t="shared" si="73"/>
        <v>9.3728159414491419</v>
      </c>
      <c r="AW114" s="40">
        <f t="shared" si="74"/>
        <v>1513.0871687696424</v>
      </c>
      <c r="AX114" s="65">
        <f t="shared" si="75"/>
        <v>14181.887536246253</v>
      </c>
      <c r="AY114" s="65">
        <f t="shared" si="76"/>
        <v>8410.3002640880313</v>
      </c>
      <c r="AZ114" s="65">
        <f t="shared" si="77"/>
        <v>3286.3640946727696</v>
      </c>
    </row>
    <row r="115" spans="1:52" ht="15" customHeight="1" x14ac:dyDescent="0.35">
      <c r="A115" s="59" t="str">
        <f>Segments!$A$95</f>
        <v>Non-greek</v>
      </c>
      <c r="B115" s="59" t="str">
        <f>Segments!$B$95</f>
        <v>Off 1-3mi</v>
      </c>
      <c r="C115" s="59" t="str">
        <f>Segments!$C$95</f>
        <v>Yes</v>
      </c>
      <c r="D115" s="59" t="str">
        <f>Segments!$D$95</f>
        <v>2.0-3.0</v>
      </c>
      <c r="E115" s="59" t="str">
        <f>Segments!$E$95</f>
        <v>Freshman</v>
      </c>
      <c r="F115" s="59">
        <f>Segments!$F$95</f>
        <v>1</v>
      </c>
      <c r="G115" s="59" t="str">
        <f>Segments!$G$95</f>
        <v>Base</v>
      </c>
      <c r="H115" s="60">
        <f>Segments!$H$95</f>
        <v>62</v>
      </c>
      <c r="I115" s="26">
        <f>Segments!$Y$95</f>
        <v>563.53095904182214</v>
      </c>
      <c r="J115" s="29">
        <v>0</v>
      </c>
      <c r="K115" s="14">
        <f t="shared" si="39"/>
        <v>958.01193874581338</v>
      </c>
      <c r="L115" s="14">
        <f t="shared" si="40"/>
        <v>563.53095904182214</v>
      </c>
      <c r="M115" s="14">
        <f t="shared" si="41"/>
        <v>958.01193874581338</v>
      </c>
      <c r="N115" s="14">
        <f t="shared" si="42"/>
        <v>1168.9076748277037</v>
      </c>
      <c r="O115" s="14">
        <f t="shared" si="43"/>
        <v>1426.2297754450396</v>
      </c>
      <c r="P115" s="33">
        <f t="shared" si="44"/>
        <v>0.59330881578297268</v>
      </c>
      <c r="Q115" s="33">
        <f t="shared" si="45"/>
        <v>0.23993052823643013</v>
      </c>
      <c r="R115" s="51">
        <f t="shared" si="46"/>
        <v>0</v>
      </c>
      <c r="S115" s="51">
        <f>APPLICANTS_PER_YEAR*($H115/Segments!$AH$2)*Q115</f>
        <v>17.8508313007904</v>
      </c>
      <c r="T115" s="51">
        <f t="shared" si="47"/>
        <v>17.8508313007904</v>
      </c>
      <c r="U115" s="14">
        <f t="shared" si="48"/>
        <v>1426.2297754450396</v>
      </c>
      <c r="V115" s="44">
        <f t="shared" si="49"/>
        <v>25459.387117633578</v>
      </c>
      <c r="W115" s="44">
        <f t="shared" si="50"/>
        <v>11266.635612543576</v>
      </c>
      <c r="X115" s="44">
        <f t="shared" si="51"/>
        <v>6506.1901228854904</v>
      </c>
      <c r="Y115" s="14">
        <f t="shared" si="52"/>
        <v>985.50229690818787</v>
      </c>
      <c r="Z115" s="14">
        <f t="shared" si="53"/>
        <v>580.43688781307685</v>
      </c>
      <c r="AA115" s="14">
        <f t="shared" si="54"/>
        <v>985.50229690818787</v>
      </c>
      <c r="AB115" s="14">
        <f t="shared" si="55"/>
        <v>1203.2120765719289</v>
      </c>
      <c r="AC115" s="14">
        <f t="shared" si="56"/>
        <v>1469.0166687083909</v>
      </c>
      <c r="AD115" s="33">
        <f t="shared" si="57"/>
        <v>0.59235554582823424</v>
      </c>
      <c r="AE115" s="33">
        <f t="shared" si="58"/>
        <v>0.23954374822526481</v>
      </c>
      <c r="AF115" s="51">
        <f t="shared" si="59"/>
        <v>0</v>
      </c>
      <c r="AG115" s="51">
        <f>APPLICANTS_PER_YEAR*($H115/Segments!$AH$2)*AE115</f>
        <v>17.8220548679597</v>
      </c>
      <c r="AH115" s="51">
        <f t="shared" si="60"/>
        <v>17.8220548679597</v>
      </c>
      <c r="AI115" s="14">
        <f t="shared" si="61"/>
        <v>1469.0166687083906</v>
      </c>
      <c r="AJ115" s="44">
        <f t="shared" si="62"/>
        <v>26180.895671668317</v>
      </c>
      <c r="AK115" s="44">
        <f t="shared" si="63"/>
        <v>11585.927429431516</v>
      </c>
      <c r="AL115" s="44">
        <f t="shared" si="64"/>
        <v>6666.5130995118898</v>
      </c>
      <c r="AM115" s="14">
        <f t="shared" si="65"/>
        <v>1013.8173658154334</v>
      </c>
      <c r="AN115" s="14">
        <f t="shared" si="66"/>
        <v>597.84999444746904</v>
      </c>
      <c r="AO115" s="14">
        <f t="shared" si="67"/>
        <v>1013.8173658154334</v>
      </c>
      <c r="AP115" s="14">
        <f t="shared" si="68"/>
        <v>1238.5451334897616</v>
      </c>
      <c r="AQ115" s="14">
        <f t="shared" si="69"/>
        <v>1513.0871687696424</v>
      </c>
      <c r="AR115" s="33">
        <f t="shared" si="70"/>
        <v>0.59142795974640039</v>
      </c>
      <c r="AS115" s="33">
        <f t="shared" si="71"/>
        <v>0.23916752895943205</v>
      </c>
      <c r="AT115" s="51">
        <f t="shared" si="72"/>
        <v>0</v>
      </c>
      <c r="AU115" s="51">
        <f>APPLICANTS_PER_YEAR*($H115/Segments!$AH$2)*AS115</f>
        <v>17.794064154581744</v>
      </c>
      <c r="AV115" s="51">
        <f t="shared" si="73"/>
        <v>17.794064154581744</v>
      </c>
      <c r="AW115" s="14">
        <f t="shared" si="74"/>
        <v>1513.0871687696424</v>
      </c>
      <c r="AX115" s="44">
        <f t="shared" si="75"/>
        <v>26923.970152561473</v>
      </c>
      <c r="AY115" s="44">
        <f t="shared" si="76"/>
        <v>11914.762894736357</v>
      </c>
      <c r="AZ115" s="44">
        <f t="shared" si="77"/>
        <v>6831.7022011299487</v>
      </c>
    </row>
    <row r="116" spans="1:52" ht="15" customHeight="1" x14ac:dyDescent="0.35">
      <c r="A116" s="59" t="str">
        <f>Segments!$A$96</f>
        <v>Non-greek</v>
      </c>
      <c r="B116" s="59" t="str">
        <f>Segments!$B$96</f>
        <v>Off 1-3mi</v>
      </c>
      <c r="C116" s="59" t="str">
        <f>Segments!$C$96</f>
        <v>Yes</v>
      </c>
      <c r="D116" s="59" t="str">
        <f>Segments!$D$96</f>
        <v>2.0-3.0</v>
      </c>
      <c r="E116" s="59" t="str">
        <f>Segments!$E$96</f>
        <v>Sophomore</v>
      </c>
      <c r="F116" s="59">
        <f>Segments!$F$96</f>
        <v>1</v>
      </c>
      <c r="G116" s="59" t="str">
        <f>Segments!$G$96</f>
        <v>Sophomore</v>
      </c>
      <c r="H116" s="60">
        <f>Segments!$H$96</f>
        <v>66</v>
      </c>
      <c r="I116" s="26">
        <f>Segments!$Y$96</f>
        <v>557.79773190106346</v>
      </c>
      <c r="J116" s="29">
        <v>1</v>
      </c>
      <c r="K116" s="14">
        <f t="shared" si="39"/>
        <v>1426.2297754450396</v>
      </c>
      <c r="L116" s="14">
        <f t="shared" si="40"/>
        <v>557.79773190106346</v>
      </c>
      <c r="M116" s="14">
        <f t="shared" si="41"/>
        <v>948.6892644545502</v>
      </c>
      <c r="N116" s="14">
        <f t="shared" si="42"/>
        <v>1163.2062915107247</v>
      </c>
      <c r="O116" s="14">
        <f t="shared" si="43"/>
        <v>1426.2297754450396</v>
      </c>
      <c r="P116" s="33">
        <f t="shared" si="44"/>
        <v>0.73694031065086874</v>
      </c>
      <c r="Q116" s="33">
        <f t="shared" si="45"/>
        <v>0.23694031065086874</v>
      </c>
      <c r="R116" s="51">
        <f t="shared" si="46"/>
        <v>45.690299260353861</v>
      </c>
      <c r="S116" s="51">
        <f>APPLICANTS_PER_YEAR*($H116/Segments!$AH$2)*Q116</f>
        <v>18.765672603548804</v>
      </c>
      <c r="T116" s="51">
        <f t="shared" si="47"/>
        <v>64.455971863902661</v>
      </c>
      <c r="U116" s="14">
        <f t="shared" si="48"/>
        <v>1426.2297754450399</v>
      </c>
      <c r="V116" s="44">
        <f t="shared" si="49"/>
        <v>91929.026277545694</v>
      </c>
      <c r="W116" s="44">
        <f t="shared" si="50"/>
        <v>40267.802302743316</v>
      </c>
      <c r="X116" s="44">
        <f t="shared" si="51"/>
        <v>20069.592854643117</v>
      </c>
      <c r="Y116" s="14">
        <f t="shared" si="52"/>
        <v>1426.2297754450396</v>
      </c>
      <c r="Z116" s="14">
        <f t="shared" si="53"/>
        <v>574.53166385809538</v>
      </c>
      <c r="AA116" s="14">
        <f t="shared" si="54"/>
        <v>975.89994238818679</v>
      </c>
      <c r="AB116" s="14">
        <f t="shared" si="55"/>
        <v>1197.3359104110277</v>
      </c>
      <c r="AC116" s="14">
        <f t="shared" si="56"/>
        <v>1469.0166687083909</v>
      </c>
      <c r="AD116" s="33">
        <f t="shared" si="57"/>
        <v>0.72754781171471783</v>
      </c>
      <c r="AE116" s="33">
        <f t="shared" si="58"/>
        <v>0.23654781171471784</v>
      </c>
      <c r="AF116" s="51">
        <f t="shared" si="59"/>
        <v>12.987333250178645</v>
      </c>
      <c r="AG116" s="51">
        <f>APPLICANTS_PER_YEAR*($H116/Segments!$AH$2)*AE116</f>
        <v>18.734586687805653</v>
      </c>
      <c r="AH116" s="51">
        <f t="shared" si="60"/>
        <v>31.721919937984296</v>
      </c>
      <c r="AI116" s="14">
        <f t="shared" si="61"/>
        <v>1469.0166687083909</v>
      </c>
      <c r="AJ116" s="44">
        <f t="shared" si="62"/>
        <v>46600.029152331976</v>
      </c>
      <c r="AK116" s="44">
        <f t="shared" si="63"/>
        <v>20412.277135872617</v>
      </c>
      <c r="AL116" s="44">
        <f t="shared" si="64"/>
        <v>10873.45828014678</v>
      </c>
      <c r="AM116" s="14">
        <f t="shared" si="65"/>
        <v>1469.0166687083906</v>
      </c>
      <c r="AN116" s="14">
        <f t="shared" si="66"/>
        <v>591.76761377383821</v>
      </c>
      <c r="AO116" s="14">
        <f t="shared" si="67"/>
        <v>1003.9269406598323</v>
      </c>
      <c r="AP116" s="14">
        <f t="shared" si="68"/>
        <v>1232.4889339440556</v>
      </c>
      <c r="AQ116" s="14">
        <f t="shared" si="69"/>
        <v>1513.0871687696424</v>
      </c>
      <c r="AR116" s="33">
        <f t="shared" si="70"/>
        <v>0.72716602263208485</v>
      </c>
      <c r="AS116" s="33">
        <f t="shared" si="71"/>
        <v>0.23616602263208486</v>
      </c>
      <c r="AT116" s="51">
        <f t="shared" si="72"/>
        <v>12.959592753465042</v>
      </c>
      <c r="AU116" s="51">
        <f>APPLICANTS_PER_YEAR*($H116/Segments!$AH$2)*AS116</f>
        <v>18.704348992461121</v>
      </c>
      <c r="AV116" s="51">
        <f t="shared" si="73"/>
        <v>31.663941745926163</v>
      </c>
      <c r="AW116" s="14">
        <f t="shared" si="74"/>
        <v>1513.0871687696424</v>
      </c>
      <c r="AX116" s="44">
        <f t="shared" si="75"/>
        <v>47910.303968430308</v>
      </c>
      <c r="AY116" s="44">
        <f t="shared" si="76"/>
        <v>20986.218679619811</v>
      </c>
      <c r="AZ116" s="44">
        <f t="shared" si="77"/>
        <v>11146.48087588726</v>
      </c>
    </row>
    <row r="117" spans="1:52" ht="15" customHeight="1" x14ac:dyDescent="0.35">
      <c r="A117" s="59" t="str">
        <f>Segments!$A$97</f>
        <v>Non-greek</v>
      </c>
      <c r="B117" s="59" t="str">
        <f>Segments!$B$97</f>
        <v>Off 1-3mi</v>
      </c>
      <c r="C117" s="59" t="str">
        <f>Segments!$C$97</f>
        <v>Yes</v>
      </c>
      <c r="D117" s="59" t="str">
        <f>Segments!$D$97</f>
        <v>2.0-3.0</v>
      </c>
      <c r="E117" s="59" t="str">
        <f>Segments!$E$97</f>
        <v>Junior</v>
      </c>
      <c r="F117" s="59">
        <f>Segments!$F$97</f>
        <v>2</v>
      </c>
      <c r="G117" s="59" t="str">
        <f>Segments!$G$97</f>
        <v>Base</v>
      </c>
      <c r="H117" s="60">
        <f>Segments!$H$97</f>
        <v>46</v>
      </c>
      <c r="I117" s="26">
        <f>Segments!$Y$97</f>
        <v>666.80570166492623</v>
      </c>
      <c r="J117" s="29">
        <v>2</v>
      </c>
      <c r="K117" s="14">
        <f t="shared" si="39"/>
        <v>1426.2297754450396</v>
      </c>
      <c r="L117" s="14">
        <f t="shared" si="40"/>
        <v>666.80570166492623</v>
      </c>
      <c r="M117" s="14">
        <f t="shared" si="41"/>
        <v>1125.9447215139185</v>
      </c>
      <c r="N117" s="14">
        <f t="shared" si="42"/>
        <v>1267.2236926953044</v>
      </c>
      <c r="O117" s="14">
        <f t="shared" si="43"/>
        <v>1426.2297754450396</v>
      </c>
      <c r="P117" s="33">
        <f t="shared" si="44"/>
        <v>0.78726203050562471</v>
      </c>
      <c r="Q117" s="33">
        <f t="shared" si="45"/>
        <v>0.28726203050562471</v>
      </c>
      <c r="R117" s="51">
        <f t="shared" si="46"/>
        <v>51.959294013371228</v>
      </c>
      <c r="S117" s="51">
        <f>APPLICANTS_PER_YEAR*($H117/Segments!$AH$2)*Q117</f>
        <v>15.856864083910482</v>
      </c>
      <c r="T117" s="51">
        <f t="shared" si="47"/>
        <v>67.816158097281715</v>
      </c>
      <c r="U117" s="14">
        <f t="shared" si="48"/>
        <v>1426.2297754450394</v>
      </c>
      <c r="V117" s="44">
        <f t="shared" si="49"/>
        <v>96721.423934631399</v>
      </c>
      <c r="W117" s="44">
        <f t="shared" si="50"/>
        <v>50646.62499039081</v>
      </c>
      <c r="X117" s="44">
        <f t="shared" si="51"/>
        <v>20824.637497246767</v>
      </c>
      <c r="Y117" s="14">
        <f t="shared" si="52"/>
        <v>1426.2297754450399</v>
      </c>
      <c r="Z117" s="14">
        <f t="shared" si="53"/>
        <v>686.80987271487402</v>
      </c>
      <c r="AA117" s="14">
        <f t="shared" si="54"/>
        <v>1158.4730631593361</v>
      </c>
      <c r="AB117" s="14">
        <f t="shared" si="55"/>
        <v>1304.5367913672396</v>
      </c>
      <c r="AC117" s="14">
        <f t="shared" si="56"/>
        <v>1469.0166687083909</v>
      </c>
      <c r="AD117" s="33">
        <f t="shared" si="57"/>
        <v>0.77795851338590249</v>
      </c>
      <c r="AE117" s="33">
        <f t="shared" si="58"/>
        <v>0.28695851338590239</v>
      </c>
      <c r="AF117" s="51">
        <f t="shared" si="59"/>
        <v>50.144072050085271</v>
      </c>
      <c r="AG117" s="51">
        <f>APPLICANTS_PER_YEAR*($H117/Segments!$AH$2)*AE117</f>
        <v>15.840109938901811</v>
      </c>
      <c r="AH117" s="51">
        <f t="shared" si="60"/>
        <v>65.984181988987075</v>
      </c>
      <c r="AI117" s="14">
        <f t="shared" si="61"/>
        <v>1469.0166687083911</v>
      </c>
      <c r="AJ117" s="44">
        <f t="shared" si="62"/>
        <v>96931.863212910015</v>
      </c>
      <c r="AK117" s="44">
        <f t="shared" si="63"/>
        <v>50756.818149017461</v>
      </c>
      <c r="AL117" s="44">
        <f t="shared" si="64"/>
        <v>20850.237029196989</v>
      </c>
      <c r="AM117" s="14">
        <f t="shared" si="65"/>
        <v>1469.0166687083909</v>
      </c>
      <c r="AN117" s="14">
        <f t="shared" si="66"/>
        <v>707.41416889632023</v>
      </c>
      <c r="AO117" s="14">
        <f t="shared" si="67"/>
        <v>1191.9772550541161</v>
      </c>
      <c r="AP117" s="14">
        <f t="shared" si="68"/>
        <v>1342.968908831341</v>
      </c>
      <c r="AQ117" s="14">
        <f t="shared" si="69"/>
        <v>1513.0871687696424</v>
      </c>
      <c r="AR117" s="33">
        <f t="shared" si="70"/>
        <v>0.77766336621063736</v>
      </c>
      <c r="AS117" s="33">
        <f t="shared" si="71"/>
        <v>0.28666336621063726</v>
      </c>
      <c r="AT117" s="51">
        <f t="shared" si="72"/>
        <v>24.6689750416372</v>
      </c>
      <c r="AU117" s="51">
        <f>APPLICANTS_PER_YEAR*($H117/Segments!$AH$2)*AS117</f>
        <v>15.823817814827176</v>
      </c>
      <c r="AV117" s="51">
        <f t="shared" si="73"/>
        <v>40.492792856464376</v>
      </c>
      <c r="AW117" s="14">
        <f t="shared" si="74"/>
        <v>1513.0871687696422</v>
      </c>
      <c r="AX117" s="44">
        <f t="shared" si="75"/>
        <v>61269.125298763276</v>
      </c>
      <c r="AY117" s="44">
        <f t="shared" si="76"/>
        <v>32082.596453428196</v>
      </c>
      <c r="AZ117" s="44">
        <f t="shared" si="77"/>
        <v>13623.314533345949</v>
      </c>
    </row>
    <row r="118" spans="1:52" ht="15" customHeight="1" x14ac:dyDescent="0.35">
      <c r="A118" s="59" t="str">
        <f>Segments!$A$98</f>
        <v>Non-greek</v>
      </c>
      <c r="B118" s="59" t="str">
        <f>Segments!$B$98</f>
        <v>Off 1-3mi</v>
      </c>
      <c r="C118" s="59" t="str">
        <f>Segments!$C$98</f>
        <v>Yes</v>
      </c>
      <c r="D118" s="59" t="str">
        <f>Segments!$D$98</f>
        <v>2.0-3.0</v>
      </c>
      <c r="E118" s="59" t="str">
        <f>Segments!$E$98</f>
        <v>Senior</v>
      </c>
      <c r="F118" s="59">
        <f>Segments!$F$98</f>
        <v>3</v>
      </c>
      <c r="G118" s="59" t="str">
        <f>Segments!$G$98</f>
        <v>Base</v>
      </c>
      <c r="H118" s="60">
        <f>Segments!$H$98</f>
        <v>52</v>
      </c>
      <c r="I118" s="26">
        <f>Segments!$Y$98</f>
        <v>623.25492523579021</v>
      </c>
      <c r="J118" s="29">
        <v>3</v>
      </c>
      <c r="K118" s="14">
        <f t="shared" si="39"/>
        <v>1426.2297754450396</v>
      </c>
      <c r="L118" s="14">
        <f t="shared" si="40"/>
        <v>623.25492523579021</v>
      </c>
      <c r="M118" s="14">
        <f t="shared" si="41"/>
        <v>1055.1277638367928</v>
      </c>
      <c r="N118" s="14">
        <f t="shared" si="42"/>
        <v>1226.7251663199772</v>
      </c>
      <c r="O118" s="14">
        <f t="shared" si="43"/>
        <v>1426.2297754450396</v>
      </c>
      <c r="P118" s="33">
        <f t="shared" si="44"/>
        <v>0.76868406444959814</v>
      </c>
      <c r="Q118" s="33">
        <f t="shared" si="45"/>
        <v>0.26868406444959814</v>
      </c>
      <c r="R118" s="51">
        <f t="shared" si="46"/>
        <v>35.359466964681516</v>
      </c>
      <c r="S118" s="51">
        <f>APPLICANTS_PER_YEAR*($H118/Segments!$AH$2)*Q118</f>
        <v>16.765885621654924</v>
      </c>
      <c r="T118" s="51">
        <f t="shared" si="47"/>
        <v>52.12535258633644</v>
      </c>
      <c r="U118" s="14">
        <f t="shared" si="48"/>
        <v>1426.2297754450394</v>
      </c>
      <c r="V118" s="44">
        <f t="shared" si="49"/>
        <v>74342.72991420413</v>
      </c>
      <c r="W118" s="44">
        <f t="shared" si="50"/>
        <v>36385.868656576684</v>
      </c>
      <c r="X118" s="44">
        <f t="shared" si="51"/>
        <v>16349.350331038539</v>
      </c>
      <c r="Y118" s="14">
        <f t="shared" si="52"/>
        <v>1426.2297754450394</v>
      </c>
      <c r="Z118" s="14">
        <f t="shared" si="53"/>
        <v>641.95257299286391</v>
      </c>
      <c r="AA118" s="14">
        <f t="shared" si="54"/>
        <v>1085.5315967518966</v>
      </c>
      <c r="AB118" s="14">
        <f t="shared" si="55"/>
        <v>1262.80006732585</v>
      </c>
      <c r="AC118" s="14">
        <f t="shared" si="56"/>
        <v>1469.0166687083909</v>
      </c>
      <c r="AD118" s="33">
        <f t="shared" si="57"/>
        <v>0.75934946531986147</v>
      </c>
      <c r="AE118" s="33">
        <f t="shared" si="58"/>
        <v>0.26834946531986159</v>
      </c>
      <c r="AF118" s="51">
        <f t="shared" si="59"/>
        <v>51.496163391218062</v>
      </c>
      <c r="AG118" s="51">
        <f>APPLICANTS_PER_YEAR*($H118/Segments!$AH$2)*AE118</f>
        <v>16.745006635959363</v>
      </c>
      <c r="AH118" s="51">
        <f t="shared" si="60"/>
        <v>68.241170027177418</v>
      </c>
      <c r="AI118" s="14">
        <f t="shared" si="61"/>
        <v>1469.0166687083911</v>
      </c>
      <c r="AJ118" s="44">
        <f t="shared" si="62"/>
        <v>100247.41626208708</v>
      </c>
      <c r="AK118" s="44">
        <f t="shared" si="63"/>
        <v>49064.506044948859</v>
      </c>
      <c r="AL118" s="44">
        <f t="shared" si="64"/>
        <v>21591.164525281984</v>
      </c>
      <c r="AM118" s="14">
        <f t="shared" si="65"/>
        <v>1469.0166687083911</v>
      </c>
      <c r="AN118" s="14">
        <f t="shared" si="66"/>
        <v>661.21115018264982</v>
      </c>
      <c r="AO118" s="14">
        <f t="shared" si="67"/>
        <v>1116.8475446544535</v>
      </c>
      <c r="AP118" s="14">
        <f t="shared" si="68"/>
        <v>1299.9568028548235</v>
      </c>
      <c r="AQ118" s="14">
        <f t="shared" si="69"/>
        <v>1513.0871687696424</v>
      </c>
      <c r="AR118" s="33">
        <f t="shared" si="70"/>
        <v>0.75902405839687714</v>
      </c>
      <c r="AS118" s="33">
        <f t="shared" si="71"/>
        <v>0.26802405839687704</v>
      </c>
      <c r="AT118" s="51">
        <f t="shared" si="72"/>
        <v>50.083581603279093</v>
      </c>
      <c r="AU118" s="51">
        <f>APPLICANTS_PER_YEAR*($H118/Segments!$AH$2)*AS118</f>
        <v>16.724701243965129</v>
      </c>
      <c r="AV118" s="51">
        <f t="shared" si="73"/>
        <v>66.808282847244215</v>
      </c>
      <c r="AW118" s="14">
        <f t="shared" si="74"/>
        <v>1513.0871687696429</v>
      </c>
      <c r="AX118" s="44">
        <f t="shared" si="75"/>
        <v>101086.75554369824</v>
      </c>
      <c r="AY118" s="44">
        <f t="shared" si="76"/>
        <v>49475.307328332645</v>
      </c>
      <c r="AZ118" s="44">
        <f t="shared" si="77"/>
        <v>21745.387565684203</v>
      </c>
    </row>
    <row r="119" spans="1:52" ht="15" customHeight="1" x14ac:dyDescent="0.35">
      <c r="A119" s="59" t="str">
        <f>Segments!$A$99</f>
        <v>Non-greek</v>
      </c>
      <c r="B119" s="59" t="str">
        <f>Segments!$B$99</f>
        <v>Off 1-3mi</v>
      </c>
      <c r="C119" s="59" t="str">
        <f>Segments!$C$99</f>
        <v>Yes</v>
      </c>
      <c r="D119" s="59" t="str">
        <f>Segments!$D$99</f>
        <v>2.0-3.0</v>
      </c>
      <c r="E119" s="59" t="str">
        <f>Segments!$E$99</f>
        <v>Grad student</v>
      </c>
      <c r="F119" s="59">
        <f>Segments!$F$99</f>
        <v>3</v>
      </c>
      <c r="G119" s="59" t="str">
        <f>Segments!$G$99</f>
        <v>Grad</v>
      </c>
      <c r="H119" s="60">
        <f>Segments!$H$99</f>
        <v>31</v>
      </c>
      <c r="I119" s="26">
        <f>Segments!$Y$99</f>
        <v>742.09744049478275</v>
      </c>
      <c r="J119" s="29">
        <v>4</v>
      </c>
      <c r="K119" s="14">
        <f t="shared" si="39"/>
        <v>1426.2297754450396</v>
      </c>
      <c r="L119" s="14">
        <f t="shared" si="40"/>
        <v>742.09744049478275</v>
      </c>
      <c r="M119" s="14">
        <f t="shared" si="41"/>
        <v>1248.3749585689809</v>
      </c>
      <c r="N119" s="14">
        <f t="shared" si="42"/>
        <v>1334.342361176864</v>
      </c>
      <c r="O119" s="14">
        <f t="shared" si="43"/>
        <v>1426.2297754450396</v>
      </c>
      <c r="P119" s="33">
        <f t="shared" si="44"/>
        <v>0.8155682765751614</v>
      </c>
      <c r="Q119" s="33">
        <f t="shared" si="45"/>
        <v>0.3155682765751614</v>
      </c>
      <c r="R119" s="51">
        <f t="shared" si="46"/>
        <v>12.641308286915002</v>
      </c>
      <c r="S119" s="51">
        <f>APPLICANTS_PER_YEAR*($H119/Segments!$AH$2)*Q119</f>
        <v>11.739139888596002</v>
      </c>
      <c r="T119" s="51">
        <f t="shared" si="47"/>
        <v>24.380448175511006</v>
      </c>
      <c r="U119" s="14">
        <f t="shared" si="48"/>
        <v>1426.2297754450396</v>
      </c>
      <c r="V119" s="44">
        <f t="shared" si="49"/>
        <v>34772.121126608487</v>
      </c>
      <c r="W119" s="44">
        <f t="shared" si="50"/>
        <v>20263.788371861905</v>
      </c>
      <c r="X119" s="44">
        <f t="shared" si="51"/>
        <v>7939.0132333071806</v>
      </c>
      <c r="Y119" s="14">
        <f t="shared" si="52"/>
        <v>1426.2297754450396</v>
      </c>
      <c r="Z119" s="14">
        <f t="shared" si="53"/>
        <v>764.3603637096262</v>
      </c>
      <c r="AA119" s="14">
        <f t="shared" si="54"/>
        <v>1284.5762073260503</v>
      </c>
      <c r="AB119" s="14">
        <f t="shared" si="55"/>
        <v>1373.704429922308</v>
      </c>
      <c r="AC119" s="14">
        <f t="shared" si="56"/>
        <v>1469.0166687083909</v>
      </c>
      <c r="AD119" s="33">
        <f t="shared" si="57"/>
        <v>0.80630831643620982</v>
      </c>
      <c r="AE119" s="33">
        <f t="shared" si="58"/>
        <v>0.31530831643620982</v>
      </c>
      <c r="AF119" s="51">
        <f t="shared" si="59"/>
        <v>9.8290790611782715</v>
      </c>
      <c r="AG119" s="51">
        <f>APPLICANTS_PER_YEAR*($H119/Segments!$AH$2)*AE119</f>
        <v>11.729469371427005</v>
      </c>
      <c r="AH119" s="51">
        <f t="shared" si="60"/>
        <v>21.558548432605278</v>
      </c>
      <c r="AI119" s="14">
        <f t="shared" si="61"/>
        <v>1469.0166687083909</v>
      </c>
      <c r="AJ119" s="44">
        <f t="shared" si="62"/>
        <v>31669.867000654307</v>
      </c>
      <c r="AK119" s="44">
        <f t="shared" si="63"/>
        <v>18455.919911517496</v>
      </c>
      <c r="AL119" s="44">
        <f t="shared" si="64"/>
        <v>7313.0900768220235</v>
      </c>
      <c r="AM119" s="14">
        <f t="shared" si="65"/>
        <v>1469.0166687083909</v>
      </c>
      <c r="AN119" s="14">
        <f t="shared" si="66"/>
        <v>787.29117462091494</v>
      </c>
      <c r="AO119" s="14">
        <f t="shared" si="67"/>
        <v>1321.8634935458317</v>
      </c>
      <c r="AP119" s="14">
        <f t="shared" si="68"/>
        <v>1414.2470402829952</v>
      </c>
      <c r="AQ119" s="14">
        <f t="shared" si="69"/>
        <v>1513.0871687696424</v>
      </c>
      <c r="AR119" s="33">
        <f t="shared" si="70"/>
        <v>0.80605556466751782</v>
      </c>
      <c r="AS119" s="33">
        <f t="shared" si="71"/>
        <v>0.31505556466751772</v>
      </c>
      <c r="AT119" s="51">
        <f t="shared" si="72"/>
        <v>8.6886939651278396</v>
      </c>
      <c r="AU119" s="51">
        <f>APPLICANTS_PER_YEAR*($H119/Segments!$AH$2)*AS119</f>
        <v>11.720067005631657</v>
      </c>
      <c r="AV119" s="51">
        <f t="shared" si="73"/>
        <v>20.408760970759495</v>
      </c>
      <c r="AW119" s="14">
        <f t="shared" si="74"/>
        <v>1513.0871687696426</v>
      </c>
      <c r="AX119" s="44">
        <f t="shared" si="75"/>
        <v>30880.234355342865</v>
      </c>
      <c r="AY119" s="44">
        <f t="shared" si="76"/>
        <v>17995.753884893937</v>
      </c>
      <c r="AZ119" s="44">
        <f t="shared" si="77"/>
        <v>7158.2130928327424</v>
      </c>
    </row>
    <row r="120" spans="1:52" ht="15" customHeight="1" x14ac:dyDescent="0.35">
      <c r="A120" s="61" t="str">
        <f>Segments!$A$100</f>
        <v>Non-greek</v>
      </c>
      <c r="B120" s="61" t="str">
        <f>Segments!$B$100</f>
        <v>Off 1-3mi</v>
      </c>
      <c r="C120" s="61" t="str">
        <f>Segments!$C$100</f>
        <v>Yes</v>
      </c>
      <c r="D120" s="61" t="str">
        <f>Segments!$D$100</f>
        <v>3.0+</v>
      </c>
      <c r="E120" s="61" t="str">
        <f>Segments!$E$100</f>
        <v>Freshman</v>
      </c>
      <c r="F120" s="61">
        <f>Segments!$F$100</f>
        <v>1</v>
      </c>
      <c r="G120" s="61" t="str">
        <f>Segments!$G$100</f>
        <v>Base</v>
      </c>
      <c r="H120" s="62">
        <f>Segments!$H$100</f>
        <v>29</v>
      </c>
      <c r="I120" s="63">
        <f>Segments!$Y$100</f>
        <v>493.96171962695377</v>
      </c>
      <c r="J120" s="42">
        <v>0</v>
      </c>
      <c r="K120" s="40">
        <f t="shared" si="39"/>
        <v>844.88693186358148</v>
      </c>
      <c r="L120" s="40">
        <f t="shared" si="40"/>
        <v>493.96171962695377</v>
      </c>
      <c r="M120" s="40">
        <f t="shared" si="41"/>
        <v>844.88693186358148</v>
      </c>
      <c r="N120" s="40">
        <f t="shared" si="42"/>
        <v>1097.7262405118338</v>
      </c>
      <c r="O120" s="40">
        <f t="shared" si="43"/>
        <v>1426.2297754450396</v>
      </c>
      <c r="P120" s="41">
        <f t="shared" si="44"/>
        <v>0.49394939008580208</v>
      </c>
      <c r="Q120" s="41">
        <f t="shared" si="45"/>
        <v>0.20037091999366097</v>
      </c>
      <c r="R120" s="64">
        <f t="shared" si="46"/>
        <v>0</v>
      </c>
      <c r="S120" s="64">
        <f>APPLICANTS_PER_YEAR*($H120/Segments!$AH$2)*Q120</f>
        <v>6.9729080157794012</v>
      </c>
      <c r="T120" s="64">
        <f t="shared" si="47"/>
        <v>6.9729080157794012</v>
      </c>
      <c r="U120" s="40">
        <f t="shared" si="48"/>
        <v>1426.2297754450396</v>
      </c>
      <c r="V120" s="65">
        <f t="shared" si="49"/>
        <v>9944.9690335439718</v>
      </c>
      <c r="W120" s="65">
        <f t="shared" si="50"/>
        <v>3857.671590387959</v>
      </c>
      <c r="X120" s="65">
        <f t="shared" si="51"/>
        <v>2541.4539242239225</v>
      </c>
      <c r="Y120" s="40">
        <f t="shared" si="52"/>
        <v>868.98353981948901</v>
      </c>
      <c r="Z120" s="40">
        <f t="shared" si="53"/>
        <v>508.78057121576239</v>
      </c>
      <c r="AA120" s="40">
        <f t="shared" si="54"/>
        <v>868.98353981948901</v>
      </c>
      <c r="AB120" s="40">
        <f t="shared" si="55"/>
        <v>1129.8456995661181</v>
      </c>
      <c r="AC120" s="40">
        <f t="shared" si="56"/>
        <v>1469.0166687083909</v>
      </c>
      <c r="AD120" s="41">
        <f t="shared" si="57"/>
        <v>0.49275385629919743</v>
      </c>
      <c r="AE120" s="41">
        <f t="shared" si="58"/>
        <v>0.19990385444998338</v>
      </c>
      <c r="AF120" s="64">
        <f t="shared" si="59"/>
        <v>0</v>
      </c>
      <c r="AG120" s="64">
        <f>APPLICANTS_PER_YEAR*($H120/Segments!$AH$2)*AE120</f>
        <v>6.9566541348594209</v>
      </c>
      <c r="AH120" s="64">
        <f t="shared" si="60"/>
        <v>6.9566541348594209</v>
      </c>
      <c r="AI120" s="40">
        <f t="shared" si="61"/>
        <v>1469.0166687083909</v>
      </c>
      <c r="AJ120" s="65">
        <f t="shared" si="62"/>
        <v>10219.440882547638</v>
      </c>
      <c r="AK120" s="65">
        <f t="shared" si="63"/>
        <v>3964.1397202223843</v>
      </c>
      <c r="AL120" s="65">
        <f t="shared" si="64"/>
        <v>2602.2041937593449</v>
      </c>
      <c r="AM120" s="40">
        <f t="shared" si="65"/>
        <v>893.80304601407363</v>
      </c>
      <c r="AN120" s="40">
        <f t="shared" si="66"/>
        <v>524.04398835223526</v>
      </c>
      <c r="AO120" s="40">
        <f t="shared" si="67"/>
        <v>893.80304601407363</v>
      </c>
      <c r="AP120" s="40">
        <f t="shared" si="68"/>
        <v>1162.9281664535936</v>
      </c>
      <c r="AQ120" s="40">
        <f t="shared" si="69"/>
        <v>1513.0871687696424</v>
      </c>
      <c r="AR120" s="41">
        <f t="shared" si="70"/>
        <v>0.49159017081556633</v>
      </c>
      <c r="AS120" s="41">
        <f t="shared" si="71"/>
        <v>0.19944942756701989</v>
      </c>
      <c r="AT120" s="64">
        <f t="shared" si="72"/>
        <v>0</v>
      </c>
      <c r="AU120" s="64">
        <f>APPLICANTS_PER_YEAR*($H120/Segments!$AH$2)*AS120</f>
        <v>6.9408400793322915</v>
      </c>
      <c r="AV120" s="64">
        <f t="shared" si="73"/>
        <v>6.9408400793322915</v>
      </c>
      <c r="AW120" s="40">
        <f t="shared" si="74"/>
        <v>1513.0871687696424</v>
      </c>
      <c r="AX120" s="65">
        <f t="shared" si="75"/>
        <v>10502.096064519757</v>
      </c>
      <c r="AY120" s="65">
        <f t="shared" si="76"/>
        <v>4073.7821798109403</v>
      </c>
      <c r="AZ120" s="65">
        <f t="shared" si="77"/>
        <v>2664.8073220223787</v>
      </c>
    </row>
    <row r="121" spans="1:52" ht="15" customHeight="1" x14ac:dyDescent="0.35">
      <c r="A121" s="61" t="str">
        <f>Segments!$A$101</f>
        <v>Non-greek</v>
      </c>
      <c r="B121" s="61" t="str">
        <f>Segments!$B$101</f>
        <v>Off 1-3mi</v>
      </c>
      <c r="C121" s="61" t="str">
        <f>Segments!$C$101</f>
        <v>Yes</v>
      </c>
      <c r="D121" s="61" t="str">
        <f>Segments!$D$101</f>
        <v>3.0+</v>
      </c>
      <c r="E121" s="61" t="str">
        <f>Segments!$E$101</f>
        <v>Sophomore</v>
      </c>
      <c r="F121" s="61">
        <f>Segments!$F$101</f>
        <v>1</v>
      </c>
      <c r="G121" s="61" t="str">
        <f>Segments!$G$101</f>
        <v>Sophomore</v>
      </c>
      <c r="H121" s="62">
        <f>Segments!$H$101</f>
        <v>30</v>
      </c>
      <c r="I121" s="63">
        <f>Segments!$Y$101</f>
        <v>488.936273035206</v>
      </c>
      <c r="J121" s="42">
        <v>1</v>
      </c>
      <c r="K121" s="40">
        <f t="shared" si="39"/>
        <v>1426.2297754450396</v>
      </c>
      <c r="L121" s="40">
        <f t="shared" si="40"/>
        <v>488.936273035206</v>
      </c>
      <c r="M121" s="40">
        <f t="shared" si="41"/>
        <v>836.71516392333501</v>
      </c>
      <c r="N121" s="40">
        <f t="shared" si="42"/>
        <v>1092.4047236962306</v>
      </c>
      <c r="O121" s="40">
        <f t="shared" si="43"/>
        <v>1426.2297754450396</v>
      </c>
      <c r="P121" s="41">
        <f t="shared" si="44"/>
        <v>0.6972063309012031</v>
      </c>
      <c r="Q121" s="41">
        <f t="shared" si="45"/>
        <v>0.1972063309012031</v>
      </c>
      <c r="R121" s="64">
        <f t="shared" si="46"/>
        <v>20.21898359613489</v>
      </c>
      <c r="S121" s="64">
        <f>APPLICANTS_PER_YEAR*($H121/Segments!$AH$2)*Q121</f>
        <v>7.0994279124433115</v>
      </c>
      <c r="T121" s="64">
        <f t="shared" si="47"/>
        <v>27.318411508578201</v>
      </c>
      <c r="U121" s="40">
        <f t="shared" si="48"/>
        <v>1426.2297754450399</v>
      </c>
      <c r="V121" s="65">
        <f t="shared" si="49"/>
        <v>38962.331911394678</v>
      </c>
      <c r="W121" s="65">
        <f t="shared" si="50"/>
        <v>14959.797785235864</v>
      </c>
      <c r="X121" s="65">
        <f t="shared" si="51"/>
        <v>8442.1242009435682</v>
      </c>
      <c r="Y121" s="40">
        <f t="shared" si="52"/>
        <v>1426.2297754450396</v>
      </c>
      <c r="Z121" s="40">
        <f t="shared" si="53"/>
        <v>503.6043612262622</v>
      </c>
      <c r="AA121" s="40">
        <f t="shared" si="54"/>
        <v>860.56661884103505</v>
      </c>
      <c r="AB121" s="40">
        <f t="shared" si="55"/>
        <v>1124.3605772222274</v>
      </c>
      <c r="AC121" s="40">
        <f t="shared" si="56"/>
        <v>1469.0166687083909</v>
      </c>
      <c r="AD121" s="41">
        <f t="shared" si="57"/>
        <v>0.68773240130063595</v>
      </c>
      <c r="AE121" s="41">
        <f t="shared" si="58"/>
        <v>0.19673240130063596</v>
      </c>
      <c r="AF121" s="64">
        <f t="shared" si="59"/>
        <v>4.7954947737404208</v>
      </c>
      <c r="AG121" s="64">
        <f>APPLICANTS_PER_YEAR*($H121/Segments!$AH$2)*AE121</f>
        <v>7.0823664468228946</v>
      </c>
      <c r="AH121" s="64">
        <f t="shared" si="60"/>
        <v>11.877861220563315</v>
      </c>
      <c r="AI121" s="40">
        <f t="shared" si="61"/>
        <v>1469.0166687083911</v>
      </c>
      <c r="AJ121" s="65">
        <f t="shared" si="62"/>
        <v>17448.776121612504</v>
      </c>
      <c r="AK121" s="65">
        <f t="shared" si="63"/>
        <v>6699.5518382418968</v>
      </c>
      <c r="AL121" s="65">
        <f t="shared" si="64"/>
        <v>4076.5790753165365</v>
      </c>
      <c r="AM121" s="40">
        <f t="shared" si="65"/>
        <v>1469.0166687083909</v>
      </c>
      <c r="AN121" s="40">
        <f t="shared" si="66"/>
        <v>518.71249206305004</v>
      </c>
      <c r="AO121" s="40">
        <f t="shared" si="67"/>
        <v>885.13361740626613</v>
      </c>
      <c r="AP121" s="40">
        <f t="shared" si="68"/>
        <v>1157.2745219454541</v>
      </c>
      <c r="AQ121" s="40">
        <f t="shared" si="69"/>
        <v>1513.0871687696424</v>
      </c>
      <c r="AR121" s="41">
        <f t="shared" si="70"/>
        <v>0.68727128651115388</v>
      </c>
      <c r="AS121" s="41">
        <f t="shared" si="71"/>
        <v>0.19627128651115378</v>
      </c>
      <c r="AT121" s="64">
        <f t="shared" si="72"/>
        <v>4.7811086370779723</v>
      </c>
      <c r="AU121" s="64">
        <f>APPLICANTS_PER_YEAR*($H121/Segments!$AH$2)*AS121</f>
        <v>7.0657663144015359</v>
      </c>
      <c r="AV121" s="64">
        <f t="shared" si="73"/>
        <v>11.846874951479508</v>
      </c>
      <c r="AW121" s="40">
        <f t="shared" si="74"/>
        <v>1513.0871687696426</v>
      </c>
      <c r="AX121" s="65">
        <f t="shared" si="75"/>
        <v>17925.354479102127</v>
      </c>
      <c r="AY121" s="65">
        <f t="shared" si="76"/>
        <v>6882.5366727502133</v>
      </c>
      <c r="AZ121" s="65">
        <f t="shared" si="77"/>
        <v>4175.6628656145313</v>
      </c>
    </row>
    <row r="122" spans="1:52" ht="15" customHeight="1" x14ac:dyDescent="0.35">
      <c r="A122" s="61" t="str">
        <f>Segments!$A$102</f>
        <v>Non-greek</v>
      </c>
      <c r="B122" s="61" t="str">
        <f>Segments!$B$102</f>
        <v>Off 1-3mi</v>
      </c>
      <c r="C122" s="61" t="str">
        <f>Segments!$C$102</f>
        <v>Yes</v>
      </c>
      <c r="D122" s="61" t="str">
        <f>Segments!$D$102</f>
        <v>3.0+</v>
      </c>
      <c r="E122" s="61" t="str">
        <f>Segments!$E$102</f>
        <v>Junior</v>
      </c>
      <c r="F122" s="61">
        <f>Segments!$F$102</f>
        <v>2</v>
      </c>
      <c r="G122" s="61" t="str">
        <f>Segments!$G$102</f>
        <v>Base</v>
      </c>
      <c r="H122" s="62">
        <f>Segments!$H$102</f>
        <v>39</v>
      </c>
      <c r="I122" s="63">
        <f>Segments!$Y$102</f>
        <v>584.48694923790333</v>
      </c>
      <c r="J122" s="42">
        <v>2</v>
      </c>
      <c r="K122" s="40">
        <f t="shared" si="39"/>
        <v>1426.2297754450396</v>
      </c>
      <c r="L122" s="40">
        <f t="shared" si="40"/>
        <v>584.48694923790333</v>
      </c>
      <c r="M122" s="40">
        <f t="shared" si="41"/>
        <v>992.0880125263327</v>
      </c>
      <c r="N122" s="40">
        <f t="shared" si="42"/>
        <v>1189.5148016427315</v>
      </c>
      <c r="O122" s="40">
        <f t="shared" si="43"/>
        <v>1426.2297754450396</v>
      </c>
      <c r="P122" s="41">
        <f t="shared" si="44"/>
        <v>0.75049935760555375</v>
      </c>
      <c r="Q122" s="41">
        <f t="shared" si="45"/>
        <v>0.25049935760555375</v>
      </c>
      <c r="R122" s="64">
        <f t="shared" si="46"/>
        <v>22.514980728166613</v>
      </c>
      <c r="S122" s="64">
        <f>APPLICANTS_PER_YEAR*($H122/Segments!$AH$2)*Q122</f>
        <v>11.723369935939916</v>
      </c>
      <c r="T122" s="64">
        <f t="shared" si="47"/>
        <v>34.238350664106527</v>
      </c>
      <c r="U122" s="40">
        <f t="shared" si="48"/>
        <v>1426.2297754450396</v>
      </c>
      <c r="V122" s="65">
        <f t="shared" si="49"/>
        <v>48831.755179277177</v>
      </c>
      <c r="W122" s="65">
        <f t="shared" si="50"/>
        <v>22413.293421793307</v>
      </c>
      <c r="X122" s="65">
        <f t="shared" si="51"/>
        <v>10792.26066505583</v>
      </c>
      <c r="Y122" s="40">
        <f t="shared" si="52"/>
        <v>1426.2297754450399</v>
      </c>
      <c r="Z122" s="40">
        <f t="shared" si="53"/>
        <v>602.02155771504044</v>
      </c>
      <c r="AA122" s="40">
        <f t="shared" si="54"/>
        <v>1020.6006529021228</v>
      </c>
      <c r="AB122" s="40">
        <f t="shared" si="55"/>
        <v>1224.4506405763709</v>
      </c>
      <c r="AC122" s="40">
        <f t="shared" si="56"/>
        <v>1469.0166687083909</v>
      </c>
      <c r="AD122" s="41">
        <f t="shared" si="57"/>
        <v>0.74113234505847536</v>
      </c>
      <c r="AE122" s="41">
        <f t="shared" si="58"/>
        <v>0.25013234505847526</v>
      </c>
      <c r="AF122" s="64">
        <f t="shared" si="59"/>
        <v>20.246558384625004</v>
      </c>
      <c r="AG122" s="64">
        <f>APPLICANTS_PER_YEAR*($H122/Segments!$AH$2)*AE122</f>
        <v>11.706193748736641</v>
      </c>
      <c r="AH122" s="64">
        <f t="shared" si="60"/>
        <v>31.952752133361646</v>
      </c>
      <c r="AI122" s="40">
        <f t="shared" si="61"/>
        <v>1469.0166687083909</v>
      </c>
      <c r="AJ122" s="65">
        <f t="shared" si="62"/>
        <v>46939.125495015855</v>
      </c>
      <c r="AK122" s="65">
        <f t="shared" si="63"/>
        <v>21544.595086122037</v>
      </c>
      <c r="AL122" s="65">
        <f t="shared" si="64"/>
        <v>10405.085385984488</v>
      </c>
      <c r="AM122" s="40">
        <f t="shared" si="65"/>
        <v>1469.0166687083911</v>
      </c>
      <c r="AN122" s="40">
        <f t="shared" si="66"/>
        <v>620.08220444649157</v>
      </c>
      <c r="AO122" s="40">
        <f t="shared" si="67"/>
        <v>1049.9686724891862</v>
      </c>
      <c r="AP122" s="40">
        <f t="shared" si="68"/>
        <v>1260.4341021860218</v>
      </c>
      <c r="AQ122" s="40">
        <f t="shared" si="69"/>
        <v>1513.0871687696424</v>
      </c>
      <c r="AR122" s="41">
        <f t="shared" si="70"/>
        <v>0.74077537653676861</v>
      </c>
      <c r="AS122" s="41">
        <f t="shared" si="71"/>
        <v>0.24977537653676851</v>
      </c>
      <c r="AT122" s="64">
        <f t="shared" si="72"/>
        <v>8.7988271181142714</v>
      </c>
      <c r="AU122" s="64">
        <f>APPLICANTS_PER_YEAR*($H122/Segments!$AH$2)*AS122</f>
        <v>11.689487621920765</v>
      </c>
      <c r="AV122" s="64">
        <f t="shared" si="73"/>
        <v>20.488314740035037</v>
      </c>
      <c r="AW122" s="40">
        <f t="shared" si="74"/>
        <v>1513.0871687696424</v>
      </c>
      <c r="AX122" s="65">
        <f t="shared" si="75"/>
        <v>31000.606142860946</v>
      </c>
      <c r="AY122" s="65">
        <f t="shared" si="76"/>
        <v>14228.972093721812</v>
      </c>
      <c r="AZ122" s="65">
        <f t="shared" si="77"/>
        <v>7180.1705269071344</v>
      </c>
    </row>
    <row r="123" spans="1:52" ht="15" customHeight="1" x14ac:dyDescent="0.35">
      <c r="A123" s="61" t="str">
        <f>Segments!$A$103</f>
        <v>Non-greek</v>
      </c>
      <c r="B123" s="61" t="str">
        <f>Segments!$B$103</f>
        <v>Off 1-3mi</v>
      </c>
      <c r="C123" s="61" t="str">
        <f>Segments!$C$103</f>
        <v>Yes</v>
      </c>
      <c r="D123" s="61" t="str">
        <f>Segments!$D$103</f>
        <v>3.0+</v>
      </c>
      <c r="E123" s="61" t="str">
        <f>Segments!$E$103</f>
        <v>Senior</v>
      </c>
      <c r="F123" s="61">
        <f>Segments!$F$103</f>
        <v>3</v>
      </c>
      <c r="G123" s="61" t="str">
        <f>Segments!$G$103</f>
        <v>Base</v>
      </c>
      <c r="H123" s="62">
        <f>Segments!$H$103</f>
        <v>35</v>
      </c>
      <c r="I123" s="63">
        <f>Segments!$Y$103</f>
        <v>546.31261991160909</v>
      </c>
      <c r="J123" s="42">
        <v>3</v>
      </c>
      <c r="K123" s="40">
        <f t="shared" si="39"/>
        <v>1426.2297754450396</v>
      </c>
      <c r="L123" s="40">
        <f t="shared" si="40"/>
        <v>546.31261991160909</v>
      </c>
      <c r="M123" s="40">
        <f t="shared" si="41"/>
        <v>930.01357698436993</v>
      </c>
      <c r="N123" s="40">
        <f t="shared" si="42"/>
        <v>1151.7000716606976</v>
      </c>
      <c r="O123" s="40">
        <f t="shared" si="43"/>
        <v>1426.2297754450396</v>
      </c>
      <c r="P123" s="41">
        <f t="shared" si="44"/>
        <v>0.73081545250384372</v>
      </c>
      <c r="Q123" s="41">
        <f t="shared" si="45"/>
        <v>0.23081545250384372</v>
      </c>
      <c r="R123" s="64">
        <f t="shared" si="46"/>
        <v>28.501802647649907</v>
      </c>
      <c r="S123" s="64">
        <f>APPLICANTS_PER_YEAR*($H123/Segments!$AH$2)*Q123</f>
        <v>9.6942490051614367</v>
      </c>
      <c r="T123" s="64">
        <f t="shared" si="47"/>
        <v>38.196051652811342</v>
      </c>
      <c r="U123" s="40">
        <f t="shared" si="48"/>
        <v>1426.2297754450396</v>
      </c>
      <c r="V123" s="65">
        <f t="shared" si="49"/>
        <v>54476.346171676254</v>
      </c>
      <c r="W123" s="65">
        <f t="shared" si="50"/>
        <v>23371.023254573694</v>
      </c>
      <c r="X123" s="65">
        <f t="shared" si="51"/>
        <v>11786.224614992967</v>
      </c>
      <c r="Y123" s="40">
        <f t="shared" si="52"/>
        <v>1426.2297754450396</v>
      </c>
      <c r="Z123" s="40">
        <f t="shared" si="53"/>
        <v>562.70199850895733</v>
      </c>
      <c r="AA123" s="40">
        <f t="shared" si="54"/>
        <v>956.66398429390097</v>
      </c>
      <c r="AB123" s="40">
        <f t="shared" si="55"/>
        <v>1185.4768404657775</v>
      </c>
      <c r="AC123" s="40">
        <f t="shared" si="56"/>
        <v>1469.0166687083909</v>
      </c>
      <c r="AD123" s="41">
        <f t="shared" si="57"/>
        <v>0.72141106390099963</v>
      </c>
      <c r="AE123" s="41">
        <f t="shared" si="58"/>
        <v>0.23041106390099964</v>
      </c>
      <c r="AF123" s="64">
        <f t="shared" si="59"/>
        <v>24.699924978808586</v>
      </c>
      <c r="AG123" s="64">
        <f>APPLICANTS_PER_YEAR*($H123/Segments!$AH$2)*AE123</f>
        <v>9.6772646838419849</v>
      </c>
      <c r="AH123" s="64">
        <f t="shared" si="60"/>
        <v>34.377189662650572</v>
      </c>
      <c r="AI123" s="40">
        <f t="shared" si="61"/>
        <v>1469.0166687083906</v>
      </c>
      <c r="AJ123" s="65">
        <f t="shared" si="62"/>
        <v>50500.66463778347</v>
      </c>
      <c r="AK123" s="65">
        <f t="shared" si="63"/>
        <v>21665.406925450341</v>
      </c>
      <c r="AL123" s="65">
        <f t="shared" si="64"/>
        <v>10971.663236372478</v>
      </c>
      <c r="AM123" s="40">
        <f t="shared" si="65"/>
        <v>1469.0166687083909</v>
      </c>
      <c r="AN123" s="40">
        <f t="shared" si="66"/>
        <v>579.58305846422604</v>
      </c>
      <c r="AO123" s="40">
        <f t="shared" si="67"/>
        <v>984.11390382271804</v>
      </c>
      <c r="AP123" s="40">
        <f t="shared" si="68"/>
        <v>1220.2664137318363</v>
      </c>
      <c r="AQ123" s="40">
        <f t="shared" si="69"/>
        <v>1513.0871687696424</v>
      </c>
      <c r="AR123" s="41">
        <f t="shared" si="70"/>
        <v>0.72101769460232168</v>
      </c>
      <c r="AS123" s="41">
        <f t="shared" si="71"/>
        <v>0.23001769460232158</v>
      </c>
      <c r="AT123" s="64">
        <f t="shared" si="72"/>
        <v>23.03849967939583</v>
      </c>
      <c r="AU123" s="64">
        <f>APPLICANTS_PER_YEAR*($H123/Segments!$AH$2)*AS123</f>
        <v>9.6607431732975062</v>
      </c>
      <c r="AV123" s="64">
        <f t="shared" si="73"/>
        <v>32.699242852693338</v>
      </c>
      <c r="AW123" s="40">
        <f t="shared" si="74"/>
        <v>1513.0871687696424</v>
      </c>
      <c r="AX123" s="65">
        <f t="shared" si="75"/>
        <v>49476.804788892725</v>
      </c>
      <c r="AY123" s="65">
        <f t="shared" si="76"/>
        <v>21226.158443871907</v>
      </c>
      <c r="AZ123" s="65">
        <f t="shared" si="77"/>
        <v>10758.233670257368</v>
      </c>
    </row>
    <row r="124" spans="1:52" ht="15" customHeight="1" x14ac:dyDescent="0.35">
      <c r="A124" s="61" t="str">
        <f>Segments!$A$104</f>
        <v>Non-greek</v>
      </c>
      <c r="B124" s="61" t="str">
        <f>Segments!$B$104</f>
        <v>Off 1-3mi</v>
      </c>
      <c r="C124" s="61" t="str">
        <f>Segments!$C$104</f>
        <v>Yes</v>
      </c>
      <c r="D124" s="61" t="str">
        <f>Segments!$D$104</f>
        <v>3.0+</v>
      </c>
      <c r="E124" s="61" t="str">
        <f>Segments!$E$104</f>
        <v>Grad student</v>
      </c>
      <c r="F124" s="61">
        <f>Segments!$F$104</f>
        <v>3</v>
      </c>
      <c r="G124" s="61" t="str">
        <f>Segments!$G$104</f>
        <v>Grad</v>
      </c>
      <c r="H124" s="62">
        <f>Segments!$H$104</f>
        <v>13</v>
      </c>
      <c r="I124" s="63">
        <f>Segments!$Y$104</f>
        <v>650.48374353885197</v>
      </c>
      <c r="J124" s="42">
        <v>4</v>
      </c>
      <c r="K124" s="40">
        <f t="shared" si="39"/>
        <v>1426.2297754450396</v>
      </c>
      <c r="L124" s="40">
        <f t="shared" si="40"/>
        <v>650.48374353885197</v>
      </c>
      <c r="M124" s="40">
        <f t="shared" si="41"/>
        <v>1099.4039451467554</v>
      </c>
      <c r="N124" s="40">
        <f t="shared" si="42"/>
        <v>1252.1991222685183</v>
      </c>
      <c r="O124" s="40">
        <f t="shared" si="43"/>
        <v>1426.2297754450396</v>
      </c>
      <c r="P124" s="41">
        <f t="shared" si="44"/>
        <v>0.780509992348005</v>
      </c>
      <c r="Q124" s="41">
        <f t="shared" si="45"/>
        <v>0.280509992348005</v>
      </c>
      <c r="R124" s="64">
        <f t="shared" si="46"/>
        <v>5.0733149502620325</v>
      </c>
      <c r="S124" s="64">
        <f>APPLICANTS_PER_YEAR*($H124/Segments!$AH$2)*Q124</f>
        <v>4.3759558806288776</v>
      </c>
      <c r="T124" s="64">
        <f t="shared" si="47"/>
        <v>9.4492708308909101</v>
      </c>
      <c r="U124" s="40">
        <f t="shared" si="48"/>
        <v>1426.2297754450396</v>
      </c>
      <c r="V124" s="65">
        <f t="shared" si="49"/>
        <v>13476.831415260905</v>
      </c>
      <c r="W124" s="65">
        <f t="shared" si="50"/>
        <v>6884.1887114452456</v>
      </c>
      <c r="X124" s="65">
        <f t="shared" si="51"/>
        <v>3063.9446011723871</v>
      </c>
      <c r="Y124" s="40">
        <f t="shared" si="52"/>
        <v>1426.2297754450396</v>
      </c>
      <c r="Z124" s="40">
        <f t="shared" si="53"/>
        <v>669.99825584501752</v>
      </c>
      <c r="AA124" s="40">
        <f t="shared" si="54"/>
        <v>1131.1360635011581</v>
      </c>
      <c r="AB124" s="40">
        <f t="shared" si="55"/>
        <v>1289.0530368686907</v>
      </c>
      <c r="AC124" s="40">
        <f t="shared" si="56"/>
        <v>1469.0166687083909</v>
      </c>
      <c r="AD124" s="41">
        <f t="shared" si="57"/>
        <v>0.77119541217758592</v>
      </c>
      <c r="AE124" s="41">
        <f t="shared" si="58"/>
        <v>0.28019541217758592</v>
      </c>
      <c r="AF124" s="64">
        <f t="shared" si="59"/>
        <v>3.6436171566032778</v>
      </c>
      <c r="AG124" s="64">
        <f>APPLICANTS_PER_YEAR*($H124/Segments!$AH$2)*AE124</f>
        <v>4.3710484299703403</v>
      </c>
      <c r="AH124" s="64">
        <f t="shared" si="60"/>
        <v>8.0146655865736172</v>
      </c>
      <c r="AI124" s="40">
        <f t="shared" si="61"/>
        <v>1469.0166687083909</v>
      </c>
      <c r="AJ124" s="65">
        <f t="shared" si="62"/>
        <v>11773.677340800157</v>
      </c>
      <c r="AK124" s="65">
        <f t="shared" si="63"/>
        <v>6014.1893998876576</v>
      </c>
      <c r="AL124" s="65">
        <f t="shared" si="64"/>
        <v>2719.5345450094933</v>
      </c>
      <c r="AM124" s="40">
        <f t="shared" si="65"/>
        <v>1469.0166687083909</v>
      </c>
      <c r="AN124" s="40">
        <f t="shared" si="66"/>
        <v>690.09820352036797</v>
      </c>
      <c r="AO124" s="40">
        <f t="shared" si="67"/>
        <v>1163.8201454061925</v>
      </c>
      <c r="AP124" s="40">
        <f t="shared" si="68"/>
        <v>1327.0121810931992</v>
      </c>
      <c r="AQ124" s="40">
        <f t="shared" si="69"/>
        <v>1513.0871687696424</v>
      </c>
      <c r="AR124" s="41">
        <f t="shared" si="70"/>
        <v>0.77088949524067163</v>
      </c>
      <c r="AS124" s="41">
        <f t="shared" si="71"/>
        <v>0.27988949524067153</v>
      </c>
      <c r="AT124" s="64">
        <f t="shared" si="72"/>
        <v>3.0892107542782585</v>
      </c>
      <c r="AU124" s="64">
        <f>APPLICANTS_PER_YEAR*($H124/Segments!$AH$2)*AS124</f>
        <v>4.3662761257544753</v>
      </c>
      <c r="AV124" s="64">
        <f t="shared" si="73"/>
        <v>7.4554868800327334</v>
      </c>
      <c r="AW124" s="40">
        <f t="shared" si="74"/>
        <v>1513.0871687696426</v>
      </c>
      <c r="AX124" s="65">
        <f t="shared" si="75"/>
        <v>11280.801535107945</v>
      </c>
      <c r="AY124" s="65">
        <f t="shared" si="76"/>
        <v>5762.4202745538951</v>
      </c>
      <c r="AZ124" s="65">
        <f t="shared" si="77"/>
        <v>2621.567604221369</v>
      </c>
    </row>
    <row r="125" spans="1:52" ht="15" customHeight="1" x14ac:dyDescent="0.35">
      <c r="A125" s="59" t="str">
        <f>Segments!$A$105</f>
        <v>Non-greek</v>
      </c>
      <c r="B125" s="59" t="str">
        <f>Segments!$B$105</f>
        <v>Off 1-3mi</v>
      </c>
      <c r="C125" s="59" t="str">
        <f>Segments!$C$105</f>
        <v>No</v>
      </c>
      <c r="D125" s="59" t="str">
        <f>Segments!$D$105</f>
        <v>&lt;1.0</v>
      </c>
      <c r="E125" s="59" t="str">
        <f>Segments!$E$105</f>
        <v>Freshman</v>
      </c>
      <c r="F125" s="59">
        <f>Segments!$F$105</f>
        <v>1</v>
      </c>
      <c r="G125" s="59" t="str">
        <f>Segments!$G$105</f>
        <v>Base</v>
      </c>
      <c r="H125" s="60">
        <f>Segments!$H$105</f>
        <v>5</v>
      </c>
      <c r="I125" s="26">
        <f>Segments!$Y$105</f>
        <v>973.28207195701339</v>
      </c>
      <c r="J125" s="29">
        <v>0</v>
      </c>
      <c r="K125" s="14">
        <f t="shared" si="39"/>
        <v>1624.2991923998554</v>
      </c>
      <c r="L125" s="14">
        <f t="shared" si="40"/>
        <v>973.28207195701339</v>
      </c>
      <c r="M125" s="14">
        <f t="shared" si="41"/>
        <v>1624.2991923998554</v>
      </c>
      <c r="N125" s="14">
        <f t="shared" si="42"/>
        <v>1522.0459495140103</v>
      </c>
      <c r="O125" s="14">
        <f t="shared" si="43"/>
        <v>1426.2297754450396</v>
      </c>
      <c r="P125" s="33">
        <f t="shared" si="44"/>
        <v>0.88147611085577426</v>
      </c>
      <c r="Q125" s="33">
        <f t="shared" si="45"/>
        <v>0.38147611085577432</v>
      </c>
      <c r="R125" s="51">
        <f t="shared" si="46"/>
        <v>0</v>
      </c>
      <c r="S125" s="51">
        <f>APPLICANTS_PER_YEAR*($H125/Segments!$AH$2)*Q125</f>
        <v>2.288856665134646</v>
      </c>
      <c r="T125" s="51">
        <f t="shared" si="47"/>
        <v>2.288856665134646</v>
      </c>
      <c r="U125" s="14">
        <f t="shared" si="48"/>
        <v>1426.2297754450396</v>
      </c>
      <c r="V125" s="44">
        <f t="shared" si="49"/>
        <v>3264.4355275408684</v>
      </c>
      <c r="W125" s="44">
        <f t="shared" si="50"/>
        <v>2495.0275363494525</v>
      </c>
      <c r="X125" s="44">
        <f t="shared" si="51"/>
        <v>834.23210810021362</v>
      </c>
      <c r="Y125" s="14">
        <f t="shared" si="52"/>
        <v>1671.7781681718511</v>
      </c>
      <c r="Z125" s="14">
        <f t="shared" si="53"/>
        <v>1002.4805341157238</v>
      </c>
      <c r="AA125" s="14">
        <f t="shared" si="54"/>
        <v>1671.7781681718511</v>
      </c>
      <c r="AB125" s="14">
        <f t="shared" si="55"/>
        <v>1567.1215637043695</v>
      </c>
      <c r="AC125" s="14">
        <f t="shared" si="56"/>
        <v>1469.0166687083909</v>
      </c>
      <c r="AD125" s="33">
        <f t="shared" si="57"/>
        <v>0.8813009843231554</v>
      </c>
      <c r="AE125" s="33">
        <f t="shared" si="58"/>
        <v>0.3813009843231554</v>
      </c>
      <c r="AF125" s="51">
        <f t="shared" si="59"/>
        <v>0</v>
      </c>
      <c r="AG125" s="51">
        <f>APPLICANTS_PER_YEAR*($H125/Segments!$AH$2)*AE125</f>
        <v>2.2878059059389324</v>
      </c>
      <c r="AH125" s="51">
        <f t="shared" si="60"/>
        <v>2.2878059059389324</v>
      </c>
      <c r="AI125" s="14">
        <f t="shared" si="61"/>
        <v>1469.0166687083909</v>
      </c>
      <c r="AJ125" s="44">
        <f t="shared" si="62"/>
        <v>3360.8250105937927</v>
      </c>
      <c r="AK125" s="44">
        <f t="shared" si="63"/>
        <v>2568.6985929234206</v>
      </c>
      <c r="AL125" s="44">
        <f t="shared" si="64"/>
        <v>855.77606814026149</v>
      </c>
      <c r="AM125" s="14">
        <f t="shared" si="65"/>
        <v>1720.6815132170066</v>
      </c>
      <c r="AN125" s="14">
        <f t="shared" si="66"/>
        <v>1032.5549501391954</v>
      </c>
      <c r="AO125" s="14">
        <f t="shared" si="67"/>
        <v>1720.6815132170066</v>
      </c>
      <c r="AP125" s="14">
        <f t="shared" si="68"/>
        <v>1613.5492304816069</v>
      </c>
      <c r="AQ125" s="14">
        <f t="shared" si="69"/>
        <v>1513.0871687696424</v>
      </c>
      <c r="AR125" s="33">
        <f t="shared" si="70"/>
        <v>0.88113077054425504</v>
      </c>
      <c r="AS125" s="33">
        <f t="shared" si="71"/>
        <v>0.38113077054425504</v>
      </c>
      <c r="AT125" s="51">
        <f t="shared" si="72"/>
        <v>0</v>
      </c>
      <c r="AU125" s="51">
        <f>APPLICANTS_PER_YEAR*($H125/Segments!$AH$2)*AS125</f>
        <v>2.2867846232655302</v>
      </c>
      <c r="AV125" s="51">
        <f t="shared" si="73"/>
        <v>2.2867846232655302</v>
      </c>
      <c r="AW125" s="14">
        <f t="shared" si="74"/>
        <v>1513.0871687696424</v>
      </c>
      <c r="AX125" s="44">
        <f t="shared" si="75"/>
        <v>3460.1044712027947</v>
      </c>
      <c r="AY125" s="44">
        <f t="shared" si="76"/>
        <v>2644.5784765736207</v>
      </c>
      <c r="AZ125" s="44">
        <f t="shared" si="77"/>
        <v>877.96870959637488</v>
      </c>
    </row>
    <row r="126" spans="1:52" ht="15" customHeight="1" x14ac:dyDescent="0.35">
      <c r="A126" s="59" t="str">
        <f>Segments!$A$106</f>
        <v>Non-greek</v>
      </c>
      <c r="B126" s="59" t="str">
        <f>Segments!$B$106</f>
        <v>Off 1-3mi</v>
      </c>
      <c r="C126" s="59" t="str">
        <f>Segments!$C$106</f>
        <v>No</v>
      </c>
      <c r="D126" s="59" t="str">
        <f>Segments!$D$106</f>
        <v>&lt;1.0</v>
      </c>
      <c r="E126" s="59" t="str">
        <f>Segments!$E$106</f>
        <v>Sophomore</v>
      </c>
      <c r="F126" s="59">
        <f>Segments!$F$106</f>
        <v>1</v>
      </c>
      <c r="G126" s="59" t="str">
        <f>Segments!$G$106</f>
        <v>Sophomore</v>
      </c>
      <c r="H126" s="60">
        <f>Segments!$H$106</f>
        <v>5</v>
      </c>
      <c r="I126" s="26">
        <f>Segments!$Y$106</f>
        <v>963.38013648918104</v>
      </c>
      <c r="J126" s="29">
        <v>1</v>
      </c>
      <c r="K126" s="14">
        <f t="shared" si="39"/>
        <v>1426.2297754450396</v>
      </c>
      <c r="L126" s="14">
        <f t="shared" si="40"/>
        <v>963.38013648918104</v>
      </c>
      <c r="M126" s="14">
        <f t="shared" si="41"/>
        <v>1608.1978733777225</v>
      </c>
      <c r="N126" s="14">
        <f t="shared" si="42"/>
        <v>1514.4833085308994</v>
      </c>
      <c r="O126" s="14">
        <f t="shared" si="43"/>
        <v>1426.2297754450396</v>
      </c>
      <c r="P126" s="33">
        <f t="shared" si="44"/>
        <v>0.87913651559866601</v>
      </c>
      <c r="Q126" s="33">
        <f t="shared" si="45"/>
        <v>0.37913651559866601</v>
      </c>
      <c r="R126" s="51">
        <f t="shared" si="46"/>
        <v>4.3956825779933304</v>
      </c>
      <c r="S126" s="51">
        <f>APPLICANTS_PER_YEAR*($H126/Segments!$AH$2)*Q126</f>
        <v>2.2748190935919963</v>
      </c>
      <c r="T126" s="51">
        <f t="shared" si="47"/>
        <v>6.6705016715853267</v>
      </c>
      <c r="U126" s="14">
        <f t="shared" si="48"/>
        <v>1426.2297754450396</v>
      </c>
      <c r="V126" s="44">
        <f t="shared" si="49"/>
        <v>9513.6681011709024</v>
      </c>
      <c r="W126" s="44">
        <f t="shared" si="50"/>
        <v>7197.376268121965</v>
      </c>
      <c r="X126" s="44">
        <f t="shared" si="51"/>
        <v>2101.91829726892</v>
      </c>
      <c r="Y126" s="14">
        <f t="shared" si="52"/>
        <v>1426.2297754450396</v>
      </c>
      <c r="Z126" s="14">
        <f t="shared" si="53"/>
        <v>992.28154058385655</v>
      </c>
      <c r="AA126" s="14">
        <f t="shared" si="54"/>
        <v>1655.1938095790542</v>
      </c>
      <c r="AB126" s="14">
        <f t="shared" si="55"/>
        <v>1559.329117349693</v>
      </c>
      <c r="AC126" s="14">
        <f t="shared" si="56"/>
        <v>1469.0166687083909</v>
      </c>
      <c r="AD126" s="33">
        <f t="shared" si="57"/>
        <v>0.86995875143882428</v>
      </c>
      <c r="AE126" s="33">
        <f t="shared" si="58"/>
        <v>0.37895875143882429</v>
      </c>
      <c r="AF126" s="51">
        <f t="shared" si="59"/>
        <v>1.9912108866229679</v>
      </c>
      <c r="AG126" s="51">
        <f>APPLICANTS_PER_YEAR*($H126/Segments!$AH$2)*AE126</f>
        <v>2.2737525086329455</v>
      </c>
      <c r="AH126" s="51">
        <f t="shared" si="60"/>
        <v>4.2649633952559132</v>
      </c>
      <c r="AI126" s="14">
        <f t="shared" si="61"/>
        <v>1469.0166687083909</v>
      </c>
      <c r="AJ126" s="44">
        <f t="shared" si="62"/>
        <v>6265.3023190620697</v>
      </c>
      <c r="AK126" s="44">
        <f t="shared" si="63"/>
        <v>4739.889782183689</v>
      </c>
      <c r="AL126" s="44">
        <f t="shared" si="64"/>
        <v>1443.1915306731494</v>
      </c>
      <c r="AM126" s="14">
        <f t="shared" si="65"/>
        <v>1469.0166687083909</v>
      </c>
      <c r="AN126" s="14">
        <f t="shared" si="66"/>
        <v>1022.0499868013721</v>
      </c>
      <c r="AO126" s="14">
        <f t="shared" si="67"/>
        <v>1703.5996238664256</v>
      </c>
      <c r="AP126" s="14">
        <f t="shared" si="68"/>
        <v>1605.5200813422043</v>
      </c>
      <c r="AQ126" s="14">
        <f t="shared" si="69"/>
        <v>1513.0871687696424</v>
      </c>
      <c r="AR126" s="33">
        <f t="shared" si="70"/>
        <v>0.86978597211169384</v>
      </c>
      <c r="AS126" s="33">
        <f t="shared" si="71"/>
        <v>0.37878597211169374</v>
      </c>
      <c r="AT126" s="51">
        <f t="shared" si="72"/>
        <v>1.9899014838999687</v>
      </c>
      <c r="AU126" s="51">
        <f>APPLICANTS_PER_YEAR*($H126/Segments!$AH$2)*AS126</f>
        <v>2.2727158326701624</v>
      </c>
      <c r="AV126" s="51">
        <f t="shared" si="73"/>
        <v>4.2626173165701307</v>
      </c>
      <c r="AW126" s="14">
        <f t="shared" si="74"/>
        <v>1513.0871687696429</v>
      </c>
      <c r="AX126" s="44">
        <f t="shared" si="75"/>
        <v>6449.7115670775511</v>
      </c>
      <c r="AY126" s="44">
        <f t="shared" si="76"/>
        <v>4879.4009287965791</v>
      </c>
      <c r="AZ126" s="44">
        <f t="shared" si="77"/>
        <v>1481.424329089363</v>
      </c>
    </row>
    <row r="127" spans="1:52" ht="15" customHeight="1" x14ac:dyDescent="0.35">
      <c r="A127" s="59" t="str">
        <f>Segments!$A$107</f>
        <v>Non-greek</v>
      </c>
      <c r="B127" s="59" t="str">
        <f>Segments!$B$107</f>
        <v>Off 1-3mi</v>
      </c>
      <c r="C127" s="59" t="str">
        <f>Segments!$C$107</f>
        <v>No</v>
      </c>
      <c r="D127" s="59" t="str">
        <f>Segments!$D$107</f>
        <v>&lt;1.0</v>
      </c>
      <c r="E127" s="59" t="str">
        <f>Segments!$E$107</f>
        <v>Junior</v>
      </c>
      <c r="F127" s="59">
        <f>Segments!$F$107</f>
        <v>2</v>
      </c>
      <c r="G127" s="59" t="str">
        <f>Segments!$G$107</f>
        <v>Base</v>
      </c>
      <c r="H127" s="60">
        <f>Segments!$H$107</f>
        <v>5</v>
      </c>
      <c r="I127" s="26">
        <f>Segments!$Y$107</f>
        <v>1151.649300710425</v>
      </c>
      <c r="J127" s="29">
        <v>2</v>
      </c>
      <c r="K127" s="14">
        <f t="shared" si="39"/>
        <v>1426.2297754450396</v>
      </c>
      <c r="L127" s="14">
        <f t="shared" si="40"/>
        <v>1151.649300710425</v>
      </c>
      <c r="M127" s="14">
        <f t="shared" si="41"/>
        <v>1914.3382117998851</v>
      </c>
      <c r="N127" s="14">
        <f t="shared" si="42"/>
        <v>1652.3577572490797</v>
      </c>
      <c r="O127" s="14">
        <f t="shared" si="43"/>
        <v>1426.2297754450396</v>
      </c>
      <c r="P127" s="33">
        <f t="shared" si="44"/>
        <v>0.91842585415052858</v>
      </c>
      <c r="Q127" s="33">
        <f t="shared" si="45"/>
        <v>0.41842585415052852</v>
      </c>
      <c r="R127" s="51">
        <f t="shared" si="46"/>
        <v>4.5921292707526433</v>
      </c>
      <c r="S127" s="51">
        <f>APPLICANTS_PER_YEAR*($H127/Segments!$AH$2)*Q127</f>
        <v>2.510555124903171</v>
      </c>
      <c r="T127" s="51">
        <f t="shared" si="47"/>
        <v>7.1026843956558139</v>
      </c>
      <c r="U127" s="14">
        <f t="shared" si="48"/>
        <v>1426.2297754450396</v>
      </c>
      <c r="V127" s="44">
        <f t="shared" si="49"/>
        <v>10130.059970673179</v>
      </c>
      <c r="W127" s="44">
        <f t="shared" si="50"/>
        <v>9161.3776995147309</v>
      </c>
      <c r="X127" s="44">
        <f t="shared" si="51"/>
        <v>2244.7208970140828</v>
      </c>
      <c r="Y127" s="14">
        <f t="shared" si="52"/>
        <v>1426.2297754450396</v>
      </c>
      <c r="Z127" s="14">
        <f t="shared" si="53"/>
        <v>1186.1987797317379</v>
      </c>
      <c r="AA127" s="14">
        <f t="shared" si="54"/>
        <v>1970.518358153882</v>
      </c>
      <c r="AB127" s="14">
        <f t="shared" si="55"/>
        <v>1701.388936758419</v>
      </c>
      <c r="AC127" s="14">
        <f t="shared" si="56"/>
        <v>1469.0166687083909</v>
      </c>
      <c r="AD127" s="33">
        <f t="shared" si="57"/>
        <v>0.90928899113825101</v>
      </c>
      <c r="AE127" s="33">
        <f t="shared" si="58"/>
        <v>0.41828899113825108</v>
      </c>
      <c r="AF127" s="51">
        <f t="shared" si="59"/>
        <v>6.0654137353418385</v>
      </c>
      <c r="AG127" s="51">
        <f>APPLICANTS_PER_YEAR*($H127/Segments!$AH$2)*AE127</f>
        <v>2.5097339468295066</v>
      </c>
      <c r="AH127" s="51">
        <f t="shared" si="60"/>
        <v>8.5751476821713446</v>
      </c>
      <c r="AI127" s="14">
        <f t="shared" si="61"/>
        <v>1469.0166687083911</v>
      </c>
      <c r="AJ127" s="44">
        <f t="shared" si="62"/>
        <v>12597.034881745829</v>
      </c>
      <c r="AK127" s="44">
        <f t="shared" si="63"/>
        <v>11392.449282604421</v>
      </c>
      <c r="AL127" s="44">
        <f t="shared" si="64"/>
        <v>2744.1253300311805</v>
      </c>
      <c r="AM127" s="14">
        <f t="shared" si="65"/>
        <v>1469.0166687083909</v>
      </c>
      <c r="AN127" s="14">
        <f t="shared" si="66"/>
        <v>1221.7847431236899</v>
      </c>
      <c r="AO127" s="14">
        <f t="shared" si="67"/>
        <v>2028.3839088984982</v>
      </c>
      <c r="AP127" s="14">
        <f t="shared" si="68"/>
        <v>1751.8908829870454</v>
      </c>
      <c r="AQ127" s="14">
        <f t="shared" si="69"/>
        <v>1513.0871687696424</v>
      </c>
      <c r="AR127" s="33">
        <f t="shared" si="70"/>
        <v>0.9091559897755257</v>
      </c>
      <c r="AS127" s="33">
        <f t="shared" si="71"/>
        <v>0.41815598977552554</v>
      </c>
      <c r="AT127" s="51">
        <f t="shared" si="72"/>
        <v>3.8775170169702764</v>
      </c>
      <c r="AU127" s="51">
        <f>APPLICANTS_PER_YEAR*($H127/Segments!$AH$2)*AS127</f>
        <v>2.5089359386531531</v>
      </c>
      <c r="AV127" s="51">
        <f t="shared" si="73"/>
        <v>6.3864529556234295</v>
      </c>
      <c r="AW127" s="14">
        <f t="shared" si="74"/>
        <v>1513.0871687696424</v>
      </c>
      <c r="AX127" s="44">
        <f t="shared" si="75"/>
        <v>9663.2600211047702</v>
      </c>
      <c r="AY127" s="44">
        <f t="shared" si="76"/>
        <v>8739.2152779208518</v>
      </c>
      <c r="AZ127" s="44">
        <f t="shared" si="77"/>
        <v>2149.6769587290378</v>
      </c>
    </row>
    <row r="128" spans="1:52" ht="15" customHeight="1" x14ac:dyDescent="0.35">
      <c r="A128" s="59" t="str">
        <f>Segments!$A$108</f>
        <v>Non-greek</v>
      </c>
      <c r="B128" s="59" t="str">
        <f>Segments!$B$108</f>
        <v>Off 1-3mi</v>
      </c>
      <c r="C128" s="59" t="str">
        <f>Segments!$C$108</f>
        <v>No</v>
      </c>
      <c r="D128" s="59" t="str">
        <f>Segments!$D$108</f>
        <v>&lt;1.0</v>
      </c>
      <c r="E128" s="59" t="str">
        <f>Segments!$E$108</f>
        <v>Senior</v>
      </c>
      <c r="F128" s="59">
        <f>Segments!$F$108</f>
        <v>3</v>
      </c>
      <c r="G128" s="59" t="str">
        <f>Segments!$G$108</f>
        <v>Base</v>
      </c>
      <c r="H128" s="60">
        <f>Segments!$H$108</f>
        <v>7</v>
      </c>
      <c r="I128" s="26">
        <f>Segments!$Y$108</f>
        <v>1076.4321556038676</v>
      </c>
      <c r="J128" s="29">
        <v>3</v>
      </c>
      <c r="K128" s="14">
        <f t="shared" si="39"/>
        <v>1426.2297754450396</v>
      </c>
      <c r="L128" s="14">
        <f t="shared" si="40"/>
        <v>1076.4321556038676</v>
      </c>
      <c r="M128" s="14">
        <f t="shared" si="41"/>
        <v>1792.0292699542078</v>
      </c>
      <c r="N128" s="14">
        <f t="shared" si="42"/>
        <v>1598.7011926178475</v>
      </c>
      <c r="O128" s="14">
        <f t="shared" si="43"/>
        <v>1426.2297754450396</v>
      </c>
      <c r="P128" s="33">
        <f t="shared" si="44"/>
        <v>0.90394110480720558</v>
      </c>
      <c r="Q128" s="33">
        <f t="shared" si="45"/>
        <v>0.40394110480720558</v>
      </c>
      <c r="R128" s="51">
        <f t="shared" si="46"/>
        <v>4.519705524036028</v>
      </c>
      <c r="S128" s="51">
        <f>APPLICANTS_PER_YEAR*($H128/Segments!$AH$2)*Q128</f>
        <v>3.3931052803805271</v>
      </c>
      <c r="T128" s="51">
        <f t="shared" si="47"/>
        <v>7.912810804416555</v>
      </c>
      <c r="U128" s="14">
        <f t="shared" si="48"/>
        <v>1426.2297754450396</v>
      </c>
      <c r="V128" s="44">
        <f t="shared" si="49"/>
        <v>11285.486376722107</v>
      </c>
      <c r="W128" s="44">
        <f t="shared" si="50"/>
        <v>9539.7164700137291</v>
      </c>
      <c r="X128" s="44">
        <f t="shared" si="51"/>
        <v>2545.4179456717702</v>
      </c>
      <c r="Y128" s="14">
        <f t="shared" si="52"/>
        <v>1426.2297754450396</v>
      </c>
      <c r="Z128" s="14">
        <f t="shared" si="53"/>
        <v>1108.7251202719838</v>
      </c>
      <c r="AA128" s="14">
        <f t="shared" si="54"/>
        <v>1844.5401480528344</v>
      </c>
      <c r="AB128" s="14">
        <f t="shared" si="55"/>
        <v>1646.104560345866</v>
      </c>
      <c r="AC128" s="14">
        <f t="shared" si="56"/>
        <v>1469.0166687083909</v>
      </c>
      <c r="AD128" s="33">
        <f t="shared" si="57"/>
        <v>0.89478998877211879</v>
      </c>
      <c r="AE128" s="33">
        <f t="shared" si="58"/>
        <v>0.40378998877211875</v>
      </c>
      <c r="AF128" s="51">
        <f t="shared" si="59"/>
        <v>6.3554108906407691</v>
      </c>
      <c r="AG128" s="51">
        <f>APPLICANTS_PER_YEAR*($H128/Segments!$AH$2)*AE128</f>
        <v>3.3918359056857974</v>
      </c>
      <c r="AH128" s="51">
        <f t="shared" si="60"/>
        <v>9.7472467963265661</v>
      </c>
      <c r="AI128" s="14">
        <f t="shared" si="61"/>
        <v>1469.0166687083911</v>
      </c>
      <c r="AJ128" s="44">
        <f t="shared" si="62"/>
        <v>14318.868017818189</v>
      </c>
      <c r="AK128" s="44">
        <f t="shared" si="63"/>
        <v>12103.859461767226</v>
      </c>
      <c r="AL128" s="44">
        <f t="shared" si="64"/>
        <v>3160.4001108404759</v>
      </c>
      <c r="AM128" s="14">
        <f t="shared" si="65"/>
        <v>1469.0166687083911</v>
      </c>
      <c r="AN128" s="14">
        <f t="shared" si="66"/>
        <v>1141.9868738801431</v>
      </c>
      <c r="AO128" s="14">
        <f t="shared" si="67"/>
        <v>1898.6263524944191</v>
      </c>
      <c r="AP128" s="14">
        <f t="shared" si="68"/>
        <v>1694.9298428687878</v>
      </c>
      <c r="AQ128" s="14">
        <f t="shared" si="69"/>
        <v>1513.0871687696424</v>
      </c>
      <c r="AR128" s="33">
        <f t="shared" si="70"/>
        <v>0.89464312713715755</v>
      </c>
      <c r="AS128" s="33">
        <f t="shared" si="71"/>
        <v>0.40364312713715744</v>
      </c>
      <c r="AT128" s="51">
        <f t="shared" si="72"/>
        <v>7.6716969380407205</v>
      </c>
      <c r="AU128" s="51">
        <f>APPLICANTS_PER_YEAR*($H128/Segments!$AH$2)*AS128</f>
        <v>3.3906022679521226</v>
      </c>
      <c r="AV128" s="51">
        <f t="shared" si="73"/>
        <v>11.062299205992844</v>
      </c>
      <c r="AW128" s="14">
        <f t="shared" si="74"/>
        <v>1513.0871687696424</v>
      </c>
      <c r="AX128" s="44">
        <f t="shared" si="75"/>
        <v>16738.222985678374</v>
      </c>
      <c r="AY128" s="44">
        <f t="shared" si="76"/>
        <v>14148.960546759985</v>
      </c>
      <c r="AZ128" s="44">
        <f t="shared" si="77"/>
        <v>3649.0948726232591</v>
      </c>
    </row>
    <row r="129" spans="1:52" ht="15" customHeight="1" x14ac:dyDescent="0.35">
      <c r="A129" s="59" t="str">
        <f>Segments!$A$109</f>
        <v>Non-greek</v>
      </c>
      <c r="B129" s="59" t="str">
        <f>Segments!$B$109</f>
        <v>Off 1-3mi</v>
      </c>
      <c r="C129" s="59" t="str">
        <f>Segments!$C$109</f>
        <v>No</v>
      </c>
      <c r="D129" s="59" t="str">
        <f>Segments!$D$109</f>
        <v>&lt;1.0</v>
      </c>
      <c r="E129" s="59" t="str">
        <f>Segments!$E$109</f>
        <v>Grad student</v>
      </c>
      <c r="F129" s="59">
        <f>Segments!$F$109</f>
        <v>3</v>
      </c>
      <c r="G129" s="59" t="str">
        <f>Segments!$G$109</f>
        <v>Grad</v>
      </c>
      <c r="H129" s="60">
        <f>Segments!$H$109</f>
        <v>1</v>
      </c>
      <c r="I129" s="26">
        <f>Segments!$Y$109</f>
        <v>1281.6866986453458</v>
      </c>
      <c r="J129" s="29">
        <v>4</v>
      </c>
      <c r="K129" s="14">
        <f t="shared" si="39"/>
        <v>1426.2297754450396</v>
      </c>
      <c r="L129" s="14">
        <f t="shared" si="40"/>
        <v>1281.6866986453458</v>
      </c>
      <c r="M129" s="14">
        <f t="shared" si="41"/>
        <v>2125.7891585122838</v>
      </c>
      <c r="N129" s="14">
        <f t="shared" si="42"/>
        <v>1741.2247971438021</v>
      </c>
      <c r="O129" s="14">
        <f t="shared" si="43"/>
        <v>1426.2297754450396</v>
      </c>
      <c r="P129" s="33">
        <f t="shared" si="44"/>
        <v>0.94045214099163443</v>
      </c>
      <c r="Q129" s="33">
        <f t="shared" si="45"/>
        <v>0.44045214099163438</v>
      </c>
      <c r="R129" s="51">
        <f t="shared" si="46"/>
        <v>0.47022607049581722</v>
      </c>
      <c r="S129" s="51">
        <f>APPLICANTS_PER_YEAR*($H129/Segments!$AH$2)*Q129</f>
        <v>0.52854256918996123</v>
      </c>
      <c r="T129" s="51">
        <f t="shared" si="47"/>
        <v>0.99876863968577845</v>
      </c>
      <c r="U129" s="14">
        <f t="shared" si="48"/>
        <v>1426.2297754450396</v>
      </c>
      <c r="V129" s="44">
        <f t="shared" si="49"/>
        <v>1424.4735727005955</v>
      </c>
      <c r="W129" s="44">
        <f t="shared" si="50"/>
        <v>1433.7214981704926</v>
      </c>
      <c r="X129" s="44">
        <f t="shared" si="51"/>
        <v>328.79825250579012</v>
      </c>
      <c r="Y129" s="14">
        <f t="shared" si="52"/>
        <v>1426.2297754450396</v>
      </c>
      <c r="Z129" s="14">
        <f t="shared" si="53"/>
        <v>1320.1372996047062</v>
      </c>
      <c r="AA129" s="14">
        <f t="shared" si="54"/>
        <v>2188.3128332676524</v>
      </c>
      <c r="AB129" s="14">
        <f t="shared" si="55"/>
        <v>1792.9495331488465</v>
      </c>
      <c r="AC129" s="14">
        <f t="shared" si="56"/>
        <v>1469.0166687083909</v>
      </c>
      <c r="AD129" s="33">
        <f t="shared" si="57"/>
        <v>0.93133518748058464</v>
      </c>
      <c r="AE129" s="33">
        <f t="shared" si="58"/>
        <v>0.44033518748058464</v>
      </c>
      <c r="AF129" s="51">
        <f t="shared" si="59"/>
        <v>0.46509418914574147</v>
      </c>
      <c r="AG129" s="51">
        <f>APPLICANTS_PER_YEAR*($H129/Segments!$AH$2)*AE129</f>
        <v>0.52840222497670153</v>
      </c>
      <c r="AH129" s="51">
        <f t="shared" si="60"/>
        <v>0.99349641412244294</v>
      </c>
      <c r="AI129" s="14">
        <f t="shared" si="61"/>
        <v>1469.0166687083909</v>
      </c>
      <c r="AJ129" s="44">
        <f t="shared" si="62"/>
        <v>1459.4627926478831</v>
      </c>
      <c r="AK129" s="44">
        <f t="shared" si="63"/>
        <v>1468.9378741033483</v>
      </c>
      <c r="AL129" s="44">
        <f t="shared" si="64"/>
        <v>336.08656038688451</v>
      </c>
      <c r="AM129" s="14">
        <f t="shared" si="65"/>
        <v>1469.0166687083909</v>
      </c>
      <c r="AN129" s="14">
        <f t="shared" si="66"/>
        <v>1359.7414185928474</v>
      </c>
      <c r="AO129" s="14">
        <f t="shared" si="67"/>
        <v>2252.7122182656817</v>
      </c>
      <c r="AP129" s="14">
        <f t="shared" si="68"/>
        <v>1846.225867110631</v>
      </c>
      <c r="AQ129" s="14">
        <f t="shared" si="69"/>
        <v>1513.0871687696424</v>
      </c>
      <c r="AR129" s="33">
        <f t="shared" si="70"/>
        <v>0.93122154446962535</v>
      </c>
      <c r="AS129" s="33">
        <f t="shared" si="71"/>
        <v>0.44022154446962525</v>
      </c>
      <c r="AT129" s="51">
        <f t="shared" si="72"/>
        <v>0.46258263259206789</v>
      </c>
      <c r="AU129" s="51">
        <f>APPLICANTS_PER_YEAR*($H129/Segments!$AH$2)*AS129</f>
        <v>0.52826585336355025</v>
      </c>
      <c r="AV129" s="51">
        <f t="shared" si="73"/>
        <v>0.99084848595561814</v>
      </c>
      <c r="AW129" s="14">
        <f t="shared" si="74"/>
        <v>1513.0871687696424</v>
      </c>
      <c r="AX129" s="44">
        <f t="shared" si="75"/>
        <v>1499.2401302942731</v>
      </c>
      <c r="AY129" s="44">
        <f t="shared" si="76"/>
        <v>1508.9734530123312</v>
      </c>
      <c r="AZ129" s="44">
        <f t="shared" si="77"/>
        <v>344.3559306336424</v>
      </c>
    </row>
    <row r="130" spans="1:52" ht="15" customHeight="1" x14ac:dyDescent="0.35">
      <c r="A130" s="61" t="str">
        <f>Segments!$A$110</f>
        <v>Non-greek</v>
      </c>
      <c r="B130" s="61" t="str">
        <f>Segments!$B$110</f>
        <v>Off 1-3mi</v>
      </c>
      <c r="C130" s="61" t="str">
        <f>Segments!$C$110</f>
        <v>No</v>
      </c>
      <c r="D130" s="61" t="str">
        <f>Segments!$D$110</f>
        <v>1.0-2.0</v>
      </c>
      <c r="E130" s="61" t="str">
        <f>Segments!$E$110</f>
        <v>Freshman</v>
      </c>
      <c r="F130" s="61">
        <f>Segments!$F$110</f>
        <v>1</v>
      </c>
      <c r="G130" s="61" t="str">
        <f>Segments!$G$110</f>
        <v>Base</v>
      </c>
      <c r="H130" s="62">
        <f>Segments!$H$110</f>
        <v>14</v>
      </c>
      <c r="I130" s="63">
        <f>Segments!$Y$110</f>
        <v>883.17667144678626</v>
      </c>
      <c r="J130" s="42">
        <v>0</v>
      </c>
      <c r="K130" s="40">
        <f t="shared" si="39"/>
        <v>1477.7807865846094</v>
      </c>
      <c r="L130" s="40">
        <f t="shared" si="40"/>
        <v>883.17667144678626</v>
      </c>
      <c r="M130" s="40">
        <f t="shared" si="41"/>
        <v>1477.7807865846094</v>
      </c>
      <c r="N130" s="40">
        <f t="shared" si="42"/>
        <v>1451.7764839697472</v>
      </c>
      <c r="O130" s="40">
        <f t="shared" si="43"/>
        <v>1426.2297754450396</v>
      </c>
      <c r="P130" s="41">
        <f t="shared" si="44"/>
        <v>0.85879843033923942</v>
      </c>
      <c r="Q130" s="41">
        <f t="shared" si="45"/>
        <v>0.35879843033923942</v>
      </c>
      <c r="R130" s="64">
        <f t="shared" si="46"/>
        <v>0</v>
      </c>
      <c r="S130" s="64">
        <f>APPLICANTS_PER_YEAR*($H130/Segments!$AH$2)*Q130</f>
        <v>6.0278136296992226</v>
      </c>
      <c r="T130" s="64">
        <f t="shared" si="47"/>
        <v>6.0278136296992226</v>
      </c>
      <c r="U130" s="40">
        <f t="shared" si="48"/>
        <v>1426.2297754450399</v>
      </c>
      <c r="V130" s="65">
        <f t="shared" si="49"/>
        <v>8597.0472795104724</v>
      </c>
      <c r="W130" s="65">
        <f t="shared" si="50"/>
        <v>5962.4593028888503</v>
      </c>
      <c r="X130" s="65">
        <f t="shared" si="51"/>
        <v>2196.9902039468111</v>
      </c>
      <c r="Y130" s="40">
        <f t="shared" si="52"/>
        <v>1520.8642101821476</v>
      </c>
      <c r="Z130" s="40">
        <f t="shared" si="53"/>
        <v>909.67197159018986</v>
      </c>
      <c r="AA130" s="40">
        <f t="shared" si="54"/>
        <v>1520.8642101821476</v>
      </c>
      <c r="AB130" s="40">
        <f t="shared" si="55"/>
        <v>1494.7156504163581</v>
      </c>
      <c r="AC130" s="40">
        <f t="shared" si="56"/>
        <v>1469.0166687083909</v>
      </c>
      <c r="AD130" s="41">
        <f t="shared" si="57"/>
        <v>0.85859661223885919</v>
      </c>
      <c r="AE130" s="41">
        <f t="shared" si="58"/>
        <v>0.35859661223885919</v>
      </c>
      <c r="AF130" s="64">
        <f t="shared" si="59"/>
        <v>0</v>
      </c>
      <c r="AG130" s="64">
        <f>APPLICANTS_PER_YEAR*($H130/Segments!$AH$2)*AE130</f>
        <v>6.0244230856128347</v>
      </c>
      <c r="AH130" s="64">
        <f t="shared" si="60"/>
        <v>6.0244230856128347</v>
      </c>
      <c r="AI130" s="40">
        <f t="shared" si="61"/>
        <v>1469.0166687083909</v>
      </c>
      <c r="AJ130" s="65">
        <f t="shared" si="62"/>
        <v>8849.9779321168917</v>
      </c>
      <c r="AK130" s="65">
        <f t="shared" si="63"/>
        <v>6137.878685100829</v>
      </c>
      <c r="AL130" s="65">
        <f t="shared" si="64"/>
        <v>2253.4940956467613</v>
      </c>
      <c r="AM130" s="40">
        <f t="shared" si="65"/>
        <v>1565.2401364876118</v>
      </c>
      <c r="AN130" s="40">
        <f t="shared" si="66"/>
        <v>936.96213073789545</v>
      </c>
      <c r="AO130" s="40">
        <f t="shared" si="67"/>
        <v>1565.2401364876118</v>
      </c>
      <c r="AP130" s="40">
        <f t="shared" si="68"/>
        <v>1538.9427431073093</v>
      </c>
      <c r="AQ130" s="40">
        <f t="shared" si="69"/>
        <v>1513.0871687696424</v>
      </c>
      <c r="AR130" s="41">
        <f t="shared" si="70"/>
        <v>0.85840043414658207</v>
      </c>
      <c r="AS130" s="41">
        <f t="shared" si="71"/>
        <v>0.35840043414658213</v>
      </c>
      <c r="AT130" s="64">
        <f t="shared" si="72"/>
        <v>0</v>
      </c>
      <c r="AU130" s="64">
        <f>APPLICANTS_PER_YEAR*($H130/Segments!$AH$2)*AS130</f>
        <v>6.0211272936625804</v>
      </c>
      <c r="AV130" s="64">
        <f t="shared" si="73"/>
        <v>6.0211272936625804</v>
      </c>
      <c r="AW130" s="40">
        <f t="shared" si="74"/>
        <v>1513.0871687696422</v>
      </c>
      <c r="AX130" s="65">
        <f t="shared" si="75"/>
        <v>9110.4904495695318</v>
      </c>
      <c r="AY130" s="65">
        <f t="shared" si="76"/>
        <v>6318.5564495358931</v>
      </c>
      <c r="AZ130" s="65">
        <f t="shared" si="77"/>
        <v>2311.7005889183911</v>
      </c>
    </row>
    <row r="131" spans="1:52" ht="15" customHeight="1" x14ac:dyDescent="0.35">
      <c r="A131" s="61" t="str">
        <f>Segments!$A$111</f>
        <v>Non-greek</v>
      </c>
      <c r="B131" s="61" t="str">
        <f>Segments!$B$111</f>
        <v>Off 1-3mi</v>
      </c>
      <c r="C131" s="61" t="str">
        <f>Segments!$C$111</f>
        <v>No</v>
      </c>
      <c r="D131" s="61" t="str">
        <f>Segments!$D$111</f>
        <v>1.0-2.0</v>
      </c>
      <c r="E131" s="61" t="str">
        <f>Segments!$E$111</f>
        <v>Sophomore</v>
      </c>
      <c r="F131" s="61">
        <f>Segments!$F$111</f>
        <v>1</v>
      </c>
      <c r="G131" s="61" t="str">
        <f>Segments!$G$111</f>
        <v>Sophomore</v>
      </c>
      <c r="H131" s="62">
        <f>Segments!$H$111</f>
        <v>11</v>
      </c>
      <c r="I131" s="63">
        <f>Segments!$Y$111</f>
        <v>874.19144644436039</v>
      </c>
      <c r="J131" s="42">
        <v>1</v>
      </c>
      <c r="K131" s="40">
        <f t="shared" si="39"/>
        <v>1426.2297754450396</v>
      </c>
      <c r="L131" s="40">
        <f t="shared" si="40"/>
        <v>874.19144644436039</v>
      </c>
      <c r="M131" s="40">
        <f t="shared" si="41"/>
        <v>1463.1701102456557</v>
      </c>
      <c r="N131" s="40">
        <f t="shared" si="42"/>
        <v>1444.5818695295727</v>
      </c>
      <c r="O131" s="40">
        <f t="shared" si="43"/>
        <v>1426.2297754450396</v>
      </c>
      <c r="P131" s="41">
        <f t="shared" si="44"/>
        <v>0.85635204361609119</v>
      </c>
      <c r="Q131" s="41">
        <f t="shared" si="45"/>
        <v>0.35635204361609124</v>
      </c>
      <c r="R131" s="64">
        <f t="shared" si="46"/>
        <v>11.988928610625276</v>
      </c>
      <c r="S131" s="64">
        <f>APPLICANTS_PER_YEAR*($H131/Segments!$AH$2)*Q131</f>
        <v>4.7038469757324046</v>
      </c>
      <c r="T131" s="64">
        <f t="shared" si="47"/>
        <v>16.69277558635768</v>
      </c>
      <c r="U131" s="40">
        <f t="shared" si="48"/>
        <v>1426.2297754450396</v>
      </c>
      <c r="V131" s="65">
        <f t="shared" si="49"/>
        <v>23807.733576085353</v>
      </c>
      <c r="W131" s="65">
        <f t="shared" si="50"/>
        <v>16343.803431210223</v>
      </c>
      <c r="X131" s="65">
        <f t="shared" si="51"/>
        <v>5185.9201635580284</v>
      </c>
      <c r="Y131" s="40">
        <f t="shared" si="52"/>
        <v>1426.2297754450399</v>
      </c>
      <c r="Z131" s="40">
        <f t="shared" si="53"/>
        <v>900.41718983769124</v>
      </c>
      <c r="AA131" s="40">
        <f t="shared" si="54"/>
        <v>1505.8152135530254</v>
      </c>
      <c r="AB131" s="40">
        <f t="shared" si="55"/>
        <v>1487.3021376654035</v>
      </c>
      <c r="AC131" s="40">
        <f t="shared" si="56"/>
        <v>1469.0166687083909</v>
      </c>
      <c r="AD131" s="41">
        <f t="shared" si="57"/>
        <v>0.84714719379941028</v>
      </c>
      <c r="AE131" s="41">
        <f t="shared" si="58"/>
        <v>0.35614719379941018</v>
      </c>
      <c r="AF131" s="64">
        <f t="shared" si="59"/>
        <v>5.1064454011455345</v>
      </c>
      <c r="AG131" s="64">
        <f>APPLICANTS_PER_YEAR*($H131/Segments!$AH$2)*AE131</f>
        <v>4.7011429581522144</v>
      </c>
      <c r="AH131" s="64">
        <f t="shared" si="60"/>
        <v>9.8075883592977497</v>
      </c>
      <c r="AI131" s="40">
        <f t="shared" si="61"/>
        <v>1469.0166687083906</v>
      </c>
      <c r="AJ131" s="65">
        <f t="shared" si="62"/>
        <v>14407.510779638771</v>
      </c>
      <c r="AK131" s="65">
        <f t="shared" si="63"/>
        <v>9890.6316875113807</v>
      </c>
      <c r="AL131" s="65">
        <f t="shared" si="64"/>
        <v>3278.4118863542221</v>
      </c>
      <c r="AM131" s="40">
        <f t="shared" si="65"/>
        <v>1469.0166687083909</v>
      </c>
      <c r="AN131" s="40">
        <f t="shared" si="66"/>
        <v>927.42970553282191</v>
      </c>
      <c r="AO131" s="40">
        <f t="shared" si="67"/>
        <v>1549.7396699596159</v>
      </c>
      <c r="AP131" s="40">
        <f t="shared" si="68"/>
        <v>1531.303761358012</v>
      </c>
      <c r="AQ131" s="40">
        <f t="shared" si="69"/>
        <v>1513.0871687696424</v>
      </c>
      <c r="AR131" s="41">
        <f t="shared" si="70"/>
        <v>0.84694806629751063</v>
      </c>
      <c r="AS131" s="41">
        <f t="shared" si="71"/>
        <v>0.35594806629751058</v>
      </c>
      <c r="AT131" s="64">
        <f t="shared" si="72"/>
        <v>5.1023734829178728</v>
      </c>
      <c r="AU131" s="64">
        <f>APPLICANTS_PER_YEAR*($H131/Segments!$AH$2)*AS131</f>
        <v>4.6985144751271397</v>
      </c>
      <c r="AV131" s="64">
        <f t="shared" si="73"/>
        <v>9.8008879580450134</v>
      </c>
      <c r="AW131" s="40">
        <f t="shared" si="74"/>
        <v>1513.0871687696422</v>
      </c>
      <c r="AX131" s="65">
        <f t="shared" si="75"/>
        <v>14829.59781186681</v>
      </c>
      <c r="AY131" s="65">
        <f t="shared" si="76"/>
        <v>10180.390788836652</v>
      </c>
      <c r="AZ131" s="65">
        <f t="shared" si="77"/>
        <v>3365.0987762426716</v>
      </c>
    </row>
    <row r="132" spans="1:52" ht="15" customHeight="1" x14ac:dyDescent="0.35">
      <c r="A132" s="61" t="str">
        <f>Segments!$A$112</f>
        <v>Non-greek</v>
      </c>
      <c r="B132" s="61" t="str">
        <f>Segments!$B$112</f>
        <v>Off 1-3mi</v>
      </c>
      <c r="C132" s="61" t="str">
        <f>Segments!$C$112</f>
        <v>No</v>
      </c>
      <c r="D132" s="61" t="str">
        <f>Segments!$D$112</f>
        <v>1.0-2.0</v>
      </c>
      <c r="E132" s="61" t="str">
        <f>Segments!$E$112</f>
        <v>Junior</v>
      </c>
      <c r="F132" s="61">
        <f>Segments!$F$112</f>
        <v>2</v>
      </c>
      <c r="G132" s="61" t="str">
        <f>Segments!$G$112</f>
        <v>Base</v>
      </c>
      <c r="H132" s="62">
        <f>Segments!$H$112</f>
        <v>14</v>
      </c>
      <c r="I132" s="63">
        <f>Segments!$Y$112</f>
        <v>1045.0308552692363</v>
      </c>
      <c r="J132" s="42">
        <v>2</v>
      </c>
      <c r="K132" s="40">
        <f t="shared" si="39"/>
        <v>1426.2297754450396</v>
      </c>
      <c r="L132" s="40">
        <f t="shared" si="40"/>
        <v>1045.0308552692363</v>
      </c>
      <c r="M132" s="40">
        <f t="shared" si="41"/>
        <v>1740.9683075756684</v>
      </c>
      <c r="N132" s="40">
        <f t="shared" si="42"/>
        <v>1575.7604000515357</v>
      </c>
      <c r="O132" s="40">
        <f t="shared" si="43"/>
        <v>1426.2297754450396</v>
      </c>
      <c r="P132" s="41">
        <f t="shared" si="44"/>
        <v>0.89744713238180296</v>
      </c>
      <c r="Q132" s="41">
        <f t="shared" si="45"/>
        <v>0.39744713238180296</v>
      </c>
      <c r="R132" s="64">
        <f t="shared" si="46"/>
        <v>9.8719184561998325</v>
      </c>
      <c r="S132" s="64">
        <f>APPLICANTS_PER_YEAR*($H132/Segments!$AH$2)*Q132</f>
        <v>6.6771118240142897</v>
      </c>
      <c r="T132" s="64">
        <f t="shared" si="47"/>
        <v>16.549030280214122</v>
      </c>
      <c r="U132" s="40">
        <f t="shared" si="48"/>
        <v>1426.2297754450396</v>
      </c>
      <c r="V132" s="65">
        <f t="shared" si="49"/>
        <v>23602.719740382949</v>
      </c>
      <c r="W132" s="65">
        <f t="shared" si="50"/>
        <v>19369.556939721693</v>
      </c>
      <c r="X132" s="65">
        <f t="shared" si="51"/>
        <v>5292.1307815455029</v>
      </c>
      <c r="Y132" s="40">
        <f t="shared" si="52"/>
        <v>1426.2297754450396</v>
      </c>
      <c r="Z132" s="40">
        <f t="shared" si="53"/>
        <v>1076.3817809273135</v>
      </c>
      <c r="AA132" s="40">
        <f t="shared" si="54"/>
        <v>1791.9473568029387</v>
      </c>
      <c r="AB132" s="40">
        <f t="shared" si="55"/>
        <v>1622.4674223513575</v>
      </c>
      <c r="AC132" s="40">
        <f t="shared" si="56"/>
        <v>1469.0166687083909</v>
      </c>
      <c r="AD132" s="41">
        <f t="shared" si="57"/>
        <v>0.88828931734745664</v>
      </c>
      <c r="AE132" s="41">
        <f t="shared" si="58"/>
        <v>0.39728931734745665</v>
      </c>
      <c r="AF132" s="64">
        <f t="shared" si="59"/>
        <v>14.828014230239953</v>
      </c>
      <c r="AG132" s="64">
        <f>APPLICANTS_PER_YEAR*($H132/Segments!$AH$2)*AE132</f>
        <v>6.6744605314372718</v>
      </c>
      <c r="AH132" s="64">
        <f t="shared" si="60"/>
        <v>21.502474761677224</v>
      </c>
      <c r="AI132" s="40">
        <f t="shared" si="61"/>
        <v>1469.0166687083909</v>
      </c>
      <c r="AJ132" s="65">
        <f t="shared" si="62"/>
        <v>31587.493843385324</v>
      </c>
      <c r="AK132" s="65">
        <f t="shared" si="63"/>
        <v>25922.256727716995</v>
      </c>
      <c r="AL132" s="65">
        <f t="shared" si="64"/>
        <v>6910.1186270554208</v>
      </c>
      <c r="AM132" s="40">
        <f t="shared" si="65"/>
        <v>1469.0166687083906</v>
      </c>
      <c r="AN132" s="40">
        <f t="shared" si="66"/>
        <v>1108.6732343551328</v>
      </c>
      <c r="AO132" s="40">
        <f t="shared" si="67"/>
        <v>1844.4557775070266</v>
      </c>
      <c r="AP132" s="40">
        <f t="shared" si="68"/>
        <v>1670.5754608244779</v>
      </c>
      <c r="AQ132" s="40">
        <f t="shared" si="69"/>
        <v>1513.0871687696424</v>
      </c>
      <c r="AR132" s="41">
        <f t="shared" si="70"/>
        <v>0.88813594080243174</v>
      </c>
      <c r="AS132" s="41">
        <f t="shared" si="71"/>
        <v>0.39713594080243175</v>
      </c>
      <c r="AT132" s="64">
        <f t="shared" si="72"/>
        <v>8.7104717144878858</v>
      </c>
      <c r="AU132" s="64">
        <f>APPLICANTS_PER_YEAR*($H132/Segments!$AH$2)*AS132</f>
        <v>6.6718838054808538</v>
      </c>
      <c r="AV132" s="64">
        <f t="shared" si="73"/>
        <v>15.382355519968741</v>
      </c>
      <c r="AW132" s="40">
        <f t="shared" si="74"/>
        <v>1513.0871687696424</v>
      </c>
      <c r="AX132" s="65">
        <f t="shared" si="75"/>
        <v>23274.844762717581</v>
      </c>
      <c r="AY132" s="65">
        <f t="shared" si="76"/>
        <v>19100.486547883189</v>
      </c>
      <c r="AZ132" s="65">
        <f t="shared" si="77"/>
        <v>5226.7198279058457</v>
      </c>
    </row>
    <row r="133" spans="1:52" ht="15" customHeight="1" x14ac:dyDescent="0.35">
      <c r="A133" s="61" t="str">
        <f>Segments!$A$113</f>
        <v>Non-greek</v>
      </c>
      <c r="B133" s="61" t="str">
        <f>Segments!$B$113</f>
        <v>Off 1-3mi</v>
      </c>
      <c r="C133" s="61" t="str">
        <f>Segments!$C$113</f>
        <v>No</v>
      </c>
      <c r="D133" s="61" t="str">
        <f>Segments!$D$113</f>
        <v>1.0-2.0</v>
      </c>
      <c r="E133" s="61" t="str">
        <f>Segments!$E$113</f>
        <v>Senior</v>
      </c>
      <c r="F133" s="61">
        <f>Segments!$F$113</f>
        <v>3</v>
      </c>
      <c r="G133" s="61" t="str">
        <f>Segments!$G$113</f>
        <v>Base</v>
      </c>
      <c r="H133" s="62">
        <f>Segments!$H$113</f>
        <v>17</v>
      </c>
      <c r="I133" s="63">
        <f>Segments!$Y$113</f>
        <v>976.77723202375114</v>
      </c>
      <c r="J133" s="42">
        <v>3</v>
      </c>
      <c r="K133" s="40">
        <f t="shared" si="39"/>
        <v>1426.2297754450396</v>
      </c>
      <c r="L133" s="40">
        <f t="shared" si="40"/>
        <v>976.77723202375114</v>
      </c>
      <c r="M133" s="40">
        <f t="shared" si="41"/>
        <v>1629.9825951498317</v>
      </c>
      <c r="N133" s="40">
        <f t="shared" si="42"/>
        <v>1524.7064342554168</v>
      </c>
      <c r="O133" s="40">
        <f t="shared" si="43"/>
        <v>1426.2297754450396</v>
      </c>
      <c r="P133" s="41">
        <f t="shared" si="44"/>
        <v>0.88229364571366409</v>
      </c>
      <c r="Q133" s="41">
        <f t="shared" si="45"/>
        <v>0.38229364571366409</v>
      </c>
      <c r="R133" s="64">
        <f t="shared" si="46"/>
        <v>12.352111039991296</v>
      </c>
      <c r="S133" s="64">
        <f>APPLICANTS_PER_YEAR*($H133/Segments!$AH$2)*Q133</f>
        <v>7.7987903725587469</v>
      </c>
      <c r="T133" s="64">
        <f t="shared" si="47"/>
        <v>20.150901412550041</v>
      </c>
      <c r="U133" s="40">
        <f t="shared" si="48"/>
        <v>1426.2297754450399</v>
      </c>
      <c r="V133" s="65">
        <f t="shared" si="49"/>
        <v>28739.815596636381</v>
      </c>
      <c r="W133" s="65">
        <f t="shared" si="50"/>
        <v>22044.894709078224</v>
      </c>
      <c r="X133" s="65">
        <f t="shared" si="51"/>
        <v>6419.1132817921552</v>
      </c>
      <c r="Y133" s="40">
        <f t="shared" si="52"/>
        <v>1426.2297754450396</v>
      </c>
      <c r="Z133" s="40">
        <f t="shared" si="53"/>
        <v>1006.0805489844637</v>
      </c>
      <c r="AA133" s="40">
        <f t="shared" si="54"/>
        <v>1677.6320730043267</v>
      </c>
      <c r="AB133" s="40">
        <f t="shared" si="55"/>
        <v>1569.8628854785909</v>
      </c>
      <c r="AC133" s="40">
        <f t="shared" si="56"/>
        <v>1469.0166687083909</v>
      </c>
      <c r="AD133" s="41">
        <f t="shared" si="57"/>
        <v>0.87311943466624975</v>
      </c>
      <c r="AE133" s="41">
        <f t="shared" si="58"/>
        <v>0.38211943466624981</v>
      </c>
      <c r="AF133" s="64">
        <f t="shared" si="59"/>
        <v>14.449279962535202</v>
      </c>
      <c r="AG133" s="64">
        <f>APPLICANTS_PER_YEAR*($H133/Segments!$AH$2)*AE133</f>
        <v>7.7952364671914953</v>
      </c>
      <c r="AH133" s="64">
        <f t="shared" si="60"/>
        <v>22.244516429726698</v>
      </c>
      <c r="AI133" s="40">
        <f t="shared" si="61"/>
        <v>1469.0166687083909</v>
      </c>
      <c r="AJ133" s="65">
        <f t="shared" si="62"/>
        <v>32677.565422626179</v>
      </c>
      <c r="AK133" s="65">
        <f t="shared" si="63"/>
        <v>25065.348337694963</v>
      </c>
      <c r="AL133" s="65">
        <f t="shared" si="64"/>
        <v>7216.6277358896432</v>
      </c>
      <c r="AM133" s="40">
        <f t="shared" si="65"/>
        <v>1469.0166687083909</v>
      </c>
      <c r="AN133" s="40">
        <f t="shared" si="66"/>
        <v>1036.2629654539976</v>
      </c>
      <c r="AO133" s="40">
        <f t="shared" si="67"/>
        <v>1726.7110351944564</v>
      </c>
      <c r="AP133" s="40">
        <f t="shared" si="68"/>
        <v>1616.3738155283506</v>
      </c>
      <c r="AQ133" s="40">
        <f t="shared" si="69"/>
        <v>1513.0871687696424</v>
      </c>
      <c r="AR133" s="41">
        <f t="shared" si="70"/>
        <v>0.87295011134381273</v>
      </c>
      <c r="AS133" s="41">
        <f t="shared" si="71"/>
        <v>0.38195011134381263</v>
      </c>
      <c r="AT133" s="64">
        <f t="shared" si="72"/>
        <v>18.770587737373656</v>
      </c>
      <c r="AU133" s="64">
        <f>APPLICANTS_PER_YEAR*($H133/Segments!$AH$2)*AS133</f>
        <v>7.7917822714137772</v>
      </c>
      <c r="AV133" s="64">
        <f t="shared" si="73"/>
        <v>26.562370008787433</v>
      </c>
      <c r="AW133" s="40">
        <f t="shared" si="74"/>
        <v>1513.0871687696426</v>
      </c>
      <c r="AX133" s="65">
        <f t="shared" si="75"/>
        <v>40191.181232407842</v>
      </c>
      <c r="AY133" s="65">
        <f t="shared" si="76"/>
        <v>30828.672352567486</v>
      </c>
      <c r="AZ133" s="65">
        <f t="shared" si="77"/>
        <v>8734.8128120714791</v>
      </c>
    </row>
    <row r="134" spans="1:52" ht="15" customHeight="1" x14ac:dyDescent="0.35">
      <c r="A134" s="61" t="str">
        <f>Segments!$A$114</f>
        <v>Non-greek</v>
      </c>
      <c r="B134" s="61" t="str">
        <f>Segments!$B$114</f>
        <v>Off 1-3mi</v>
      </c>
      <c r="C134" s="61" t="str">
        <f>Segments!$C$114</f>
        <v>No</v>
      </c>
      <c r="D134" s="61" t="str">
        <f>Segments!$D$114</f>
        <v>1.0-2.0</v>
      </c>
      <c r="E134" s="61" t="str">
        <f>Segments!$E$114</f>
        <v>Grad student</v>
      </c>
      <c r="F134" s="61">
        <f>Segments!$F$114</f>
        <v>3</v>
      </c>
      <c r="G134" s="61" t="str">
        <f>Segments!$G$114</f>
        <v>Grad</v>
      </c>
      <c r="H134" s="62">
        <f>Segments!$H$114</f>
        <v>11</v>
      </c>
      <c r="I134" s="63">
        <f>Segments!$Y$114</f>
        <v>1163.0295316866902</v>
      </c>
      <c r="J134" s="42">
        <v>4</v>
      </c>
      <c r="K134" s="40">
        <f t="shared" si="39"/>
        <v>1426.2297754450396</v>
      </c>
      <c r="L134" s="40">
        <f t="shared" si="40"/>
        <v>1163.0295316866902</v>
      </c>
      <c r="M134" s="40">
        <f t="shared" si="41"/>
        <v>1932.8433545661328</v>
      </c>
      <c r="N134" s="40">
        <f t="shared" si="42"/>
        <v>1660.3248909636009</v>
      </c>
      <c r="O134" s="40">
        <f t="shared" si="43"/>
        <v>1426.2297754450396</v>
      </c>
      <c r="P134" s="41">
        <f t="shared" si="44"/>
        <v>0.92049677951364672</v>
      </c>
      <c r="Q134" s="41">
        <f t="shared" si="45"/>
        <v>0.42049677951364678</v>
      </c>
      <c r="R134" s="64">
        <f t="shared" si="46"/>
        <v>5.0627322873250566</v>
      </c>
      <c r="S134" s="64">
        <f>APPLICANTS_PER_YEAR*($H134/Segments!$AH$2)*Q134</f>
        <v>5.5505574895801377</v>
      </c>
      <c r="T134" s="64">
        <f t="shared" si="47"/>
        <v>10.613289776905194</v>
      </c>
      <c r="U134" s="40">
        <f t="shared" si="48"/>
        <v>1426.2297754450396</v>
      </c>
      <c r="V134" s="65">
        <f t="shared" si="49"/>
        <v>15136.989895248631</v>
      </c>
      <c r="W134" s="65">
        <f t="shared" si="50"/>
        <v>13824.79777155589</v>
      </c>
      <c r="X134" s="65">
        <f t="shared" si="51"/>
        <v>3488.993785648152</v>
      </c>
      <c r="Y134" s="40">
        <f t="shared" si="52"/>
        <v>1426.2297754450396</v>
      </c>
      <c r="Z134" s="40">
        <f t="shared" si="53"/>
        <v>1197.9204176372909</v>
      </c>
      <c r="AA134" s="40">
        <f t="shared" si="54"/>
        <v>1989.5786552031168</v>
      </c>
      <c r="AB134" s="40">
        <f t="shared" si="55"/>
        <v>1709.5976743666336</v>
      </c>
      <c r="AC134" s="40">
        <f t="shared" si="56"/>
        <v>1469.0166687083909</v>
      </c>
      <c r="AD134" s="41">
        <f t="shared" si="57"/>
        <v>0.91136187790421863</v>
      </c>
      <c r="AE134" s="41">
        <f t="shared" si="58"/>
        <v>0.42036187790421869</v>
      </c>
      <c r="AF134" s="64">
        <f t="shared" si="59"/>
        <v>4.8362738509109819</v>
      </c>
      <c r="AG134" s="64">
        <f>APPLICANTS_PER_YEAR*($H134/Segments!$AH$2)*AE134</f>
        <v>5.5487767883356875</v>
      </c>
      <c r="AH134" s="64">
        <f t="shared" si="60"/>
        <v>10.385050639246669</v>
      </c>
      <c r="AI134" s="40">
        <f t="shared" si="61"/>
        <v>1469.0166687083911</v>
      </c>
      <c r="AJ134" s="65">
        <f t="shared" si="62"/>
        <v>15255.812494434089</v>
      </c>
      <c r="AK134" s="65">
        <f t="shared" si="63"/>
        <v>13933.319902824882</v>
      </c>
      <c r="AL134" s="65">
        <f t="shared" si="64"/>
        <v>3515.0625896966253</v>
      </c>
      <c r="AM134" s="40">
        <f t="shared" si="65"/>
        <v>1469.0166687083911</v>
      </c>
      <c r="AN134" s="40">
        <f t="shared" si="66"/>
        <v>1233.8580301664097</v>
      </c>
      <c r="AO134" s="40">
        <f t="shared" si="67"/>
        <v>2048.0160148592099</v>
      </c>
      <c r="AP134" s="40">
        <f t="shared" si="68"/>
        <v>1760.3484750236835</v>
      </c>
      <c r="AQ134" s="40">
        <f t="shared" si="69"/>
        <v>1513.0871687696424</v>
      </c>
      <c r="AR134" s="41">
        <f t="shared" si="70"/>
        <v>0.91123078378010203</v>
      </c>
      <c r="AS134" s="41">
        <f t="shared" si="71"/>
        <v>0.42023078378010192</v>
      </c>
      <c r="AT134" s="64">
        <f t="shared" si="72"/>
        <v>4.7315889167983958</v>
      </c>
      <c r="AU134" s="64">
        <f>APPLICANTS_PER_YEAR*($H134/Segments!$AH$2)*AS134</f>
        <v>5.5470463458973462</v>
      </c>
      <c r="AV134" s="64">
        <f t="shared" si="73"/>
        <v>10.278635262695742</v>
      </c>
      <c r="AW134" s="40">
        <f t="shared" si="74"/>
        <v>1513.0871687696424</v>
      </c>
      <c r="AX134" s="65">
        <f t="shared" si="75"/>
        <v>15552.471128448111</v>
      </c>
      <c r="AY134" s="65">
        <f t="shared" si="76"/>
        <v>14204.261856992218</v>
      </c>
      <c r="AZ134" s="65">
        <f t="shared" si="77"/>
        <v>3577.426669947215</v>
      </c>
    </row>
    <row r="135" spans="1:52" ht="15" customHeight="1" x14ac:dyDescent="0.35">
      <c r="A135" s="59" t="str">
        <f>Segments!$A$115</f>
        <v>Non-greek</v>
      </c>
      <c r="B135" s="59" t="str">
        <f>Segments!$B$115</f>
        <v>Off 1-3mi</v>
      </c>
      <c r="C135" s="59" t="str">
        <f>Segments!$C$115</f>
        <v>No</v>
      </c>
      <c r="D135" s="59" t="str">
        <f>Segments!$D$115</f>
        <v>2.0-3.0</v>
      </c>
      <c r="E135" s="59" t="str">
        <f>Segments!$E$115</f>
        <v>Freshman</v>
      </c>
      <c r="F135" s="59">
        <f>Segments!$F$115</f>
        <v>1</v>
      </c>
      <c r="G135" s="59" t="str">
        <f>Segments!$G$115</f>
        <v>Base</v>
      </c>
      <c r="H135" s="60">
        <f>Segments!$H$115</f>
        <v>24</v>
      </c>
      <c r="I135" s="26">
        <f>Segments!$Y$115</f>
        <v>867.87980379464852</v>
      </c>
      <c r="J135" s="29">
        <v>0</v>
      </c>
      <c r="K135" s="14">
        <f t="shared" si="39"/>
        <v>1452.9068872437631</v>
      </c>
      <c r="L135" s="14">
        <f t="shared" si="40"/>
        <v>867.87980379464852</v>
      </c>
      <c r="M135" s="14">
        <f t="shared" si="41"/>
        <v>1452.9068872437631</v>
      </c>
      <c r="N135" s="14">
        <f t="shared" si="42"/>
        <v>1439.5065347320322</v>
      </c>
      <c r="O135" s="14">
        <f t="shared" si="43"/>
        <v>1426.2297754450396</v>
      </c>
      <c r="P135" s="33">
        <f t="shared" si="44"/>
        <v>0.85461156617446821</v>
      </c>
      <c r="Q135" s="33">
        <f t="shared" si="45"/>
        <v>0.35461156617446821</v>
      </c>
      <c r="R135" s="51">
        <f t="shared" si="46"/>
        <v>0</v>
      </c>
      <c r="S135" s="51">
        <f>APPLICANTS_PER_YEAR*($H135/Segments!$AH$2)*Q135</f>
        <v>10.212813105824683</v>
      </c>
      <c r="T135" s="51">
        <f t="shared" si="47"/>
        <v>10.212813105824683</v>
      </c>
      <c r="U135" s="14">
        <f t="shared" si="48"/>
        <v>1426.2297754450396</v>
      </c>
      <c r="V135" s="44">
        <f t="shared" si="49"/>
        <v>14565.818142582495</v>
      </c>
      <c r="W135" s="44">
        <f t="shared" si="50"/>
        <v>9927.113542611487</v>
      </c>
      <c r="X135" s="44">
        <f t="shared" si="51"/>
        <v>3722.3198537005892</v>
      </c>
      <c r="Y135" s="14">
        <f t="shared" si="52"/>
        <v>1495.244093861076</v>
      </c>
      <c r="Z135" s="14">
        <f t="shared" si="53"/>
        <v>893.91619790848802</v>
      </c>
      <c r="AA135" s="14">
        <f t="shared" si="54"/>
        <v>1495.244093861076</v>
      </c>
      <c r="AB135" s="14">
        <f t="shared" si="55"/>
        <v>1482.0723658680417</v>
      </c>
      <c r="AC135" s="14">
        <f t="shared" si="56"/>
        <v>1469.0166687083909</v>
      </c>
      <c r="AD135" s="33">
        <f t="shared" si="57"/>
        <v>0.85440454105356867</v>
      </c>
      <c r="AE135" s="33">
        <f t="shared" si="58"/>
        <v>0.35440454105356867</v>
      </c>
      <c r="AF135" s="51">
        <f t="shared" si="59"/>
        <v>0</v>
      </c>
      <c r="AG135" s="51">
        <f>APPLICANTS_PER_YEAR*($H135/Segments!$AH$2)*AE135</f>
        <v>10.206850782342777</v>
      </c>
      <c r="AH135" s="51">
        <f t="shared" si="60"/>
        <v>10.206850782342777</v>
      </c>
      <c r="AI135" s="14">
        <f t="shared" si="61"/>
        <v>1469.0166687083909</v>
      </c>
      <c r="AJ135" s="44">
        <f t="shared" si="62"/>
        <v>14994.033934280818</v>
      </c>
      <c r="AK135" s="44">
        <f t="shared" si="63"/>
        <v>10218.957553247668</v>
      </c>
      <c r="AL135" s="44">
        <f t="shared" si="64"/>
        <v>3817.9718864843285</v>
      </c>
      <c r="AM135" s="14">
        <f t="shared" si="65"/>
        <v>1538.8514166769082</v>
      </c>
      <c r="AN135" s="14">
        <f t="shared" si="66"/>
        <v>920.73368384574258</v>
      </c>
      <c r="AO135" s="14">
        <f t="shared" si="67"/>
        <v>1538.8514166769082</v>
      </c>
      <c r="AP135" s="14">
        <f t="shared" si="68"/>
        <v>1525.914916768565</v>
      </c>
      <c r="AQ135" s="14">
        <f t="shared" si="69"/>
        <v>1513.0871687696424</v>
      </c>
      <c r="AR135" s="33">
        <f t="shared" si="70"/>
        <v>0.85420329726708744</v>
      </c>
      <c r="AS135" s="33">
        <f t="shared" si="71"/>
        <v>0.35420329726708744</v>
      </c>
      <c r="AT135" s="51">
        <f t="shared" si="72"/>
        <v>0</v>
      </c>
      <c r="AU135" s="51">
        <f>APPLICANTS_PER_YEAR*($H135/Segments!$AH$2)*AS135</f>
        <v>10.201054961292117</v>
      </c>
      <c r="AV135" s="51">
        <f t="shared" si="73"/>
        <v>10.201054961292117</v>
      </c>
      <c r="AW135" s="14">
        <f t="shared" si="74"/>
        <v>1513.0871687696424</v>
      </c>
      <c r="AX135" s="44">
        <f t="shared" si="75"/>
        <v>15435.085369845005</v>
      </c>
      <c r="AY135" s="44">
        <f t="shared" si="76"/>
        <v>10519.549503258186</v>
      </c>
      <c r="AZ135" s="44">
        <f t="shared" si="77"/>
        <v>3916.5065961034261</v>
      </c>
    </row>
    <row r="136" spans="1:52" ht="15" customHeight="1" x14ac:dyDescent="0.35">
      <c r="A136" s="59" t="str">
        <f>Segments!$A$116</f>
        <v>Non-greek</v>
      </c>
      <c r="B136" s="59" t="str">
        <f>Segments!$B$116</f>
        <v>Off 1-3mi</v>
      </c>
      <c r="C136" s="59" t="str">
        <f>Segments!$C$116</f>
        <v>No</v>
      </c>
      <c r="D136" s="59" t="str">
        <f>Segments!$D$116</f>
        <v>2.0-3.0</v>
      </c>
      <c r="E136" s="59" t="str">
        <f>Segments!$E$116</f>
        <v>Sophomore</v>
      </c>
      <c r="F136" s="59">
        <f>Segments!$F$116</f>
        <v>1</v>
      </c>
      <c r="G136" s="59" t="str">
        <f>Segments!$G$116</f>
        <v>Sophomore</v>
      </c>
      <c r="H136" s="60">
        <f>Segments!$H$116</f>
        <v>20</v>
      </c>
      <c r="I136" s="26">
        <f>Segments!$Y$116</f>
        <v>859.05020540933162</v>
      </c>
      <c r="J136" s="29">
        <v>1</v>
      </c>
      <c r="K136" s="14">
        <f t="shared" si="39"/>
        <v>1426.2297754450396</v>
      </c>
      <c r="L136" s="14">
        <f t="shared" si="40"/>
        <v>859.05020540933162</v>
      </c>
      <c r="M136" s="14">
        <f t="shared" si="41"/>
        <v>1438.5492719168253</v>
      </c>
      <c r="N136" s="14">
        <f t="shared" si="42"/>
        <v>1432.3762791433537</v>
      </c>
      <c r="O136" s="14">
        <f t="shared" si="43"/>
        <v>1426.2297754450396</v>
      </c>
      <c r="P136" s="33">
        <f t="shared" si="44"/>
        <v>0.85214556181494083</v>
      </c>
      <c r="Q136" s="33">
        <f t="shared" si="45"/>
        <v>0.35214556181494083</v>
      </c>
      <c r="R136" s="51">
        <f t="shared" si="46"/>
        <v>20.451493483558579</v>
      </c>
      <c r="S136" s="51">
        <f>APPLICANTS_PER_YEAR*($H136/Segments!$AH$2)*Q136</f>
        <v>8.4514934835585791</v>
      </c>
      <c r="T136" s="51">
        <f t="shared" si="47"/>
        <v>28.902986967117158</v>
      </c>
      <c r="U136" s="14">
        <f t="shared" si="48"/>
        <v>1426.2297754450396</v>
      </c>
      <c r="V136" s="44">
        <f t="shared" si="49"/>
        <v>41222.300611802413</v>
      </c>
      <c r="W136" s="44">
        <f t="shared" si="50"/>
        <v>27808.610917970658</v>
      </c>
      <c r="X136" s="44">
        <f t="shared" si="51"/>
        <v>9002.243899925048</v>
      </c>
      <c r="Y136" s="14">
        <f t="shared" si="52"/>
        <v>1426.2297754450396</v>
      </c>
      <c r="Z136" s="14">
        <f t="shared" si="53"/>
        <v>884.82171157161156</v>
      </c>
      <c r="AA136" s="14">
        <f t="shared" si="54"/>
        <v>1480.4557500743301</v>
      </c>
      <c r="AB136" s="14">
        <f t="shared" si="55"/>
        <v>1474.7251181641866</v>
      </c>
      <c r="AC136" s="14">
        <f t="shared" si="56"/>
        <v>1469.0166687083909</v>
      </c>
      <c r="AD136" s="33">
        <f t="shared" si="57"/>
        <v>0.84293542829964874</v>
      </c>
      <c r="AE136" s="33">
        <f t="shared" si="58"/>
        <v>0.35193542829964874</v>
      </c>
      <c r="AF136" s="51">
        <f t="shared" si="59"/>
        <v>8.6087419895025956</v>
      </c>
      <c r="AG136" s="51">
        <f>APPLICANTS_PER_YEAR*($H136/Segments!$AH$2)*AE136</f>
        <v>8.4464502791915699</v>
      </c>
      <c r="AH136" s="51">
        <f t="shared" si="60"/>
        <v>17.055192268694164</v>
      </c>
      <c r="AI136" s="14">
        <f t="shared" si="61"/>
        <v>1469.0166687083911</v>
      </c>
      <c r="AJ136" s="44">
        <f t="shared" si="62"/>
        <v>25054.361730738208</v>
      </c>
      <c r="AK136" s="44">
        <f t="shared" si="63"/>
        <v>16901.700944093154</v>
      </c>
      <c r="AL136" s="44">
        <f t="shared" si="64"/>
        <v>5721.8186382674094</v>
      </c>
      <c r="AM136" s="14">
        <f t="shared" si="65"/>
        <v>1469.0166687083909</v>
      </c>
      <c r="AN136" s="14">
        <f t="shared" si="66"/>
        <v>911.36636291875993</v>
      </c>
      <c r="AO136" s="14">
        <f t="shared" si="67"/>
        <v>1523.6194225765601</v>
      </c>
      <c r="AP136" s="14">
        <f t="shared" si="68"/>
        <v>1518.344163353225</v>
      </c>
      <c r="AQ136" s="14">
        <f t="shared" si="69"/>
        <v>1513.0871687696424</v>
      </c>
      <c r="AR136" s="33">
        <f t="shared" si="70"/>
        <v>0.84273116040172757</v>
      </c>
      <c r="AS136" s="33">
        <f t="shared" si="71"/>
        <v>0.35173116040172753</v>
      </c>
      <c r="AT136" s="51">
        <f t="shared" si="72"/>
        <v>8.6016312038510083</v>
      </c>
      <c r="AU136" s="51">
        <f>APPLICANTS_PER_YEAR*($H136/Segments!$AH$2)*AS136</f>
        <v>8.4415478496414611</v>
      </c>
      <c r="AV136" s="51">
        <f t="shared" si="73"/>
        <v>17.043179053492469</v>
      </c>
      <c r="AW136" s="14">
        <f t="shared" si="74"/>
        <v>1513.0871687696424</v>
      </c>
      <c r="AX136" s="44">
        <f t="shared" si="75"/>
        <v>25787.815540882995</v>
      </c>
      <c r="AY136" s="44">
        <f t="shared" si="76"/>
        <v>17396.489719341182</v>
      </c>
      <c r="AZ136" s="44">
        <f t="shared" si="77"/>
        <v>5872.8473352924339</v>
      </c>
    </row>
    <row r="137" spans="1:52" ht="15" customHeight="1" x14ac:dyDescent="0.35">
      <c r="A137" s="59" t="str">
        <f>Segments!$A$117</f>
        <v>Non-greek</v>
      </c>
      <c r="B137" s="59" t="str">
        <f>Segments!$B$117</f>
        <v>Off 1-3mi</v>
      </c>
      <c r="C137" s="59" t="str">
        <f>Segments!$C$117</f>
        <v>No</v>
      </c>
      <c r="D137" s="59" t="str">
        <f>Segments!$D$117</f>
        <v>2.0-3.0</v>
      </c>
      <c r="E137" s="59" t="str">
        <f>Segments!$E$117</f>
        <v>Junior</v>
      </c>
      <c r="F137" s="59">
        <f>Segments!$F$117</f>
        <v>2</v>
      </c>
      <c r="G137" s="59" t="str">
        <f>Segments!$G$117</f>
        <v>Base</v>
      </c>
      <c r="H137" s="60">
        <f>Segments!$H$117</f>
        <v>24</v>
      </c>
      <c r="I137" s="26">
        <f>Segments!$Y$117</f>
        <v>1026.9306277583955</v>
      </c>
      <c r="J137" s="29">
        <v>2</v>
      </c>
      <c r="K137" s="14">
        <f t="shared" si="39"/>
        <v>1426.2297754450396</v>
      </c>
      <c r="L137" s="14">
        <f t="shared" si="40"/>
        <v>1026.9306277583955</v>
      </c>
      <c r="M137" s="14">
        <f t="shared" si="41"/>
        <v>1711.5359265556135</v>
      </c>
      <c r="N137" s="14">
        <f t="shared" si="42"/>
        <v>1562.3839157510329</v>
      </c>
      <c r="O137" s="14">
        <f t="shared" si="43"/>
        <v>1426.2297754450396</v>
      </c>
      <c r="P137" s="33">
        <f t="shared" si="44"/>
        <v>0.89357256207433</v>
      </c>
      <c r="Q137" s="33">
        <f t="shared" si="45"/>
        <v>0.39357256207432995</v>
      </c>
      <c r="R137" s="51">
        <f t="shared" si="46"/>
        <v>17.8714512414866</v>
      </c>
      <c r="S137" s="51">
        <f>APPLICANTS_PER_YEAR*($H137/Segments!$AH$2)*Q137</f>
        <v>11.334889787740702</v>
      </c>
      <c r="T137" s="51">
        <f t="shared" si="47"/>
        <v>29.206341029227303</v>
      </c>
      <c r="U137" s="14">
        <f t="shared" si="48"/>
        <v>1426.2297754450394</v>
      </c>
      <c r="V137" s="44">
        <f t="shared" si="49"/>
        <v>41654.9532076861</v>
      </c>
      <c r="W137" s="44">
        <f t="shared" si="50"/>
        <v>33592.032462990603</v>
      </c>
      <c r="X137" s="44">
        <f t="shared" si="51"/>
        <v>9306.1007276139662</v>
      </c>
      <c r="Y137" s="14">
        <f t="shared" si="52"/>
        <v>1426.2297754450396</v>
      </c>
      <c r="Z137" s="14">
        <f t="shared" si="53"/>
        <v>1057.7385465911475</v>
      </c>
      <c r="AA137" s="14">
        <f t="shared" si="54"/>
        <v>1761.6320043522821</v>
      </c>
      <c r="AB137" s="14">
        <f t="shared" si="55"/>
        <v>1608.6847977536415</v>
      </c>
      <c r="AC137" s="14">
        <f t="shared" si="56"/>
        <v>1469.0166687083909</v>
      </c>
      <c r="AD137" s="33">
        <f t="shared" si="57"/>
        <v>0.88441065733954916</v>
      </c>
      <c r="AE137" s="33">
        <f t="shared" si="58"/>
        <v>0.39341065733954916</v>
      </c>
      <c r="AF137" s="51">
        <f t="shared" si="59"/>
        <v>25.562109702664507</v>
      </c>
      <c r="AG137" s="51">
        <f>APPLICANTS_PER_YEAR*($H137/Segments!$AH$2)*AE137</f>
        <v>11.330226931379014</v>
      </c>
      <c r="AH137" s="51">
        <f t="shared" si="60"/>
        <v>36.892336634043524</v>
      </c>
      <c r="AI137" s="14">
        <f t="shared" si="61"/>
        <v>1469.0166687083909</v>
      </c>
      <c r="AJ137" s="44">
        <f t="shared" si="62"/>
        <v>54195.457463011146</v>
      </c>
      <c r="AK137" s="44">
        <f t="shared" si="63"/>
        <v>43705.140115441893</v>
      </c>
      <c r="AL137" s="44">
        <f t="shared" si="64"/>
        <v>11846.59409426001</v>
      </c>
      <c r="AM137" s="14">
        <f t="shared" si="65"/>
        <v>1469.0166687083911</v>
      </c>
      <c r="AN137" s="14">
        <f t="shared" si="66"/>
        <v>1089.4707029888818</v>
      </c>
      <c r="AO137" s="14">
        <f t="shared" si="67"/>
        <v>1813.2309644828504</v>
      </c>
      <c r="AP137" s="14">
        <f t="shared" si="68"/>
        <v>1656.3745066786087</v>
      </c>
      <c r="AQ137" s="14">
        <f t="shared" si="69"/>
        <v>1513.0871687696424</v>
      </c>
      <c r="AR137" s="33">
        <f t="shared" si="70"/>
        <v>0.8842533033233797</v>
      </c>
      <c r="AS137" s="33">
        <f t="shared" si="71"/>
        <v>0.3932533033233796</v>
      </c>
      <c r="AT137" s="51">
        <f t="shared" si="72"/>
        <v>15.08111010240818</v>
      </c>
      <c r="AU137" s="51">
        <f>APPLICANTS_PER_YEAR*($H137/Segments!$AH$2)*AS137</f>
        <v>11.325695135713332</v>
      </c>
      <c r="AV137" s="51">
        <f t="shared" si="73"/>
        <v>26.406805238121514</v>
      </c>
      <c r="AW137" s="14">
        <f t="shared" si="74"/>
        <v>1513.0871687696424</v>
      </c>
      <c r="AX137" s="44">
        <f t="shared" si="75"/>
        <v>39955.798174000643</v>
      </c>
      <c r="AY137" s="44">
        <f t="shared" si="76"/>
        <v>32221.773546442742</v>
      </c>
      <c r="AZ137" s="44">
        <f t="shared" si="77"/>
        <v>8962.7110775949459</v>
      </c>
    </row>
    <row r="138" spans="1:52" ht="15" customHeight="1" x14ac:dyDescent="0.35">
      <c r="A138" s="59" t="str">
        <f>Segments!$A$118</f>
        <v>Non-greek</v>
      </c>
      <c r="B138" s="59" t="str">
        <f>Segments!$B$118</f>
        <v>Off 1-3mi</v>
      </c>
      <c r="C138" s="59" t="str">
        <f>Segments!$C$118</f>
        <v>No</v>
      </c>
      <c r="D138" s="59" t="str">
        <f>Segments!$D$118</f>
        <v>2.0-3.0</v>
      </c>
      <c r="E138" s="59" t="str">
        <f>Segments!$E$118</f>
        <v>Senior</v>
      </c>
      <c r="F138" s="59">
        <f>Segments!$F$118</f>
        <v>3</v>
      </c>
      <c r="G138" s="59" t="str">
        <f>Segments!$G$118</f>
        <v>Base</v>
      </c>
      <c r="H138" s="60">
        <f>Segments!$H$118</f>
        <v>16</v>
      </c>
      <c r="I138" s="26">
        <f>Segments!$Y$118</f>
        <v>959.85917641047035</v>
      </c>
      <c r="J138" s="29">
        <v>3</v>
      </c>
      <c r="K138" s="14">
        <f t="shared" si="39"/>
        <v>1426.2297754450396</v>
      </c>
      <c r="L138" s="14">
        <f t="shared" si="40"/>
        <v>959.85917641047035</v>
      </c>
      <c r="M138" s="14">
        <f t="shared" si="41"/>
        <v>1602.4725177969185</v>
      </c>
      <c r="N138" s="14">
        <f t="shared" si="42"/>
        <v>1511.7850439842123</v>
      </c>
      <c r="O138" s="14">
        <f t="shared" si="43"/>
        <v>1426.2297754450396</v>
      </c>
      <c r="P138" s="33">
        <f t="shared" si="44"/>
        <v>0.87829610892091414</v>
      </c>
      <c r="Q138" s="33">
        <f t="shared" si="45"/>
        <v>0.37829610892091414</v>
      </c>
      <c r="R138" s="51">
        <f t="shared" si="46"/>
        <v>21.079106614101939</v>
      </c>
      <c r="S138" s="51">
        <f>APPLICANTS_PER_YEAR*($H138/Segments!$AH$2)*Q138</f>
        <v>7.2632852912815515</v>
      </c>
      <c r="T138" s="51">
        <f t="shared" si="47"/>
        <v>28.34239190538349</v>
      </c>
      <c r="U138" s="14">
        <f t="shared" si="48"/>
        <v>1426.2297754450396</v>
      </c>
      <c r="V138" s="44">
        <f t="shared" si="49"/>
        <v>40422.763242790403</v>
      </c>
      <c r="W138" s="44">
        <f t="shared" si="50"/>
        <v>30469.269546020681</v>
      </c>
      <c r="X138" s="44">
        <f t="shared" si="51"/>
        <v>8750.9012045263171</v>
      </c>
      <c r="Y138" s="14">
        <f t="shared" si="52"/>
        <v>1426.2297754450394</v>
      </c>
      <c r="Z138" s="14">
        <f t="shared" si="53"/>
        <v>988.6549517027845</v>
      </c>
      <c r="AA138" s="14">
        <f t="shared" si="54"/>
        <v>1649.296693330826</v>
      </c>
      <c r="AB138" s="14">
        <f t="shared" si="55"/>
        <v>1556.5488537622628</v>
      </c>
      <c r="AC138" s="14">
        <f t="shared" si="56"/>
        <v>1469.0166687083909</v>
      </c>
      <c r="AD138" s="33">
        <f t="shared" si="57"/>
        <v>0.86911739086836293</v>
      </c>
      <c r="AE138" s="33">
        <f t="shared" si="58"/>
        <v>0.37811739086836299</v>
      </c>
      <c r="AF138" s="51">
        <f t="shared" si="59"/>
        <v>25.383738912133651</v>
      </c>
      <c r="AG138" s="51">
        <f>APPLICANTS_PER_YEAR*($H138/Segments!$AH$2)*AE138</f>
        <v>7.2598539046725694</v>
      </c>
      <c r="AH138" s="51">
        <f t="shared" si="60"/>
        <v>32.643592816806219</v>
      </c>
      <c r="AI138" s="14">
        <f t="shared" si="61"/>
        <v>1469.0166687083909</v>
      </c>
      <c r="AJ138" s="44">
        <f t="shared" si="62"/>
        <v>47953.981974417831</v>
      </c>
      <c r="AK138" s="44">
        <f t="shared" si="63"/>
        <v>36146.039641269512</v>
      </c>
      <c r="AL138" s="44">
        <f t="shared" si="64"/>
        <v>10270.940421060217</v>
      </c>
      <c r="AM138" s="14">
        <f t="shared" si="65"/>
        <v>1469.0166687083909</v>
      </c>
      <c r="AN138" s="14">
        <f t="shared" si="66"/>
        <v>1018.314600253868</v>
      </c>
      <c r="AO138" s="14">
        <f t="shared" si="67"/>
        <v>1697.5255941307507</v>
      </c>
      <c r="AP138" s="14">
        <f t="shared" si="68"/>
        <v>1602.6553575667176</v>
      </c>
      <c r="AQ138" s="14">
        <f t="shared" si="69"/>
        <v>1513.0871687696424</v>
      </c>
      <c r="AR138" s="33">
        <f t="shared" si="70"/>
        <v>0.86894368370410757</v>
      </c>
      <c r="AS138" s="33">
        <f t="shared" si="71"/>
        <v>0.37794368370410741</v>
      </c>
      <c r="AT138" s="51">
        <f t="shared" si="72"/>
        <v>32.057362895237773</v>
      </c>
      <c r="AU138" s="51">
        <f>APPLICANTS_PER_YEAR*($H138/Segments!$AH$2)*AS138</f>
        <v>7.2565187271188618</v>
      </c>
      <c r="AV138" s="51">
        <f t="shared" si="73"/>
        <v>39.313881622356632</v>
      </c>
      <c r="AW138" s="14">
        <f t="shared" si="74"/>
        <v>1513.0871687696426</v>
      </c>
      <c r="AX138" s="44">
        <f t="shared" si="75"/>
        <v>59485.32983731648</v>
      </c>
      <c r="AY138" s="44">
        <f t="shared" si="76"/>
        <v>44837.967606541744</v>
      </c>
      <c r="AZ138" s="44">
        <f t="shared" si="77"/>
        <v>12594.709028035824</v>
      </c>
    </row>
    <row r="139" spans="1:52" ht="15" customHeight="1" x14ac:dyDescent="0.35">
      <c r="A139" s="59" t="str">
        <f>Segments!$A$119</f>
        <v>Non-greek</v>
      </c>
      <c r="B139" s="59" t="str">
        <f>Segments!$B$119</f>
        <v>Off 1-3mi</v>
      </c>
      <c r="C139" s="59" t="str">
        <f>Segments!$C$119</f>
        <v>No</v>
      </c>
      <c r="D139" s="59" t="str">
        <f>Segments!$D$119</f>
        <v>2.0-3.0</v>
      </c>
      <c r="E139" s="59" t="str">
        <f>Segments!$E$119</f>
        <v>Grad student</v>
      </c>
      <c r="F139" s="59">
        <f>Segments!$F$119</f>
        <v>3</v>
      </c>
      <c r="G139" s="59" t="str">
        <f>Segments!$G$119</f>
        <v>Grad</v>
      </c>
      <c r="H139" s="60">
        <f>Segments!$H$119</f>
        <v>13</v>
      </c>
      <c r="I139" s="26">
        <f>Segments!$Y$119</f>
        <v>1142.8855340054617</v>
      </c>
      <c r="J139" s="29">
        <v>4</v>
      </c>
      <c r="K139" s="14">
        <f t="shared" si="39"/>
        <v>1426.2297754450396</v>
      </c>
      <c r="L139" s="14">
        <f t="shared" si="40"/>
        <v>1142.8855340054617</v>
      </c>
      <c r="M139" s="14">
        <f t="shared" si="41"/>
        <v>1900.0876439174174</v>
      </c>
      <c r="N139" s="14">
        <f t="shared" si="42"/>
        <v>1646.1960921197185</v>
      </c>
      <c r="O139" s="14">
        <f t="shared" si="43"/>
        <v>1426.2297754450396</v>
      </c>
      <c r="P139" s="33">
        <f t="shared" si="44"/>
        <v>0.91681048440330093</v>
      </c>
      <c r="Q139" s="33">
        <f t="shared" si="45"/>
        <v>0.41681048440330093</v>
      </c>
      <c r="R139" s="51">
        <f t="shared" si="46"/>
        <v>5.9592681486214563</v>
      </c>
      <c r="S139" s="51">
        <f>APPLICANTS_PER_YEAR*($H139/Segments!$AH$2)*Q139</f>
        <v>6.5022435566914947</v>
      </c>
      <c r="T139" s="51">
        <f t="shared" si="47"/>
        <v>12.461511705312951</v>
      </c>
      <c r="U139" s="14">
        <f t="shared" si="48"/>
        <v>1426.2297754450394</v>
      </c>
      <c r="V139" s="44">
        <f t="shared" si="49"/>
        <v>17772.979041174221</v>
      </c>
      <c r="W139" s="44">
        <f t="shared" si="50"/>
        <v>15951.131235022935</v>
      </c>
      <c r="X139" s="44">
        <f t="shared" si="51"/>
        <v>4095.4586296766925</v>
      </c>
      <c r="Y139" s="14">
        <f t="shared" si="52"/>
        <v>1426.2297754450394</v>
      </c>
      <c r="Z139" s="14">
        <f t="shared" si="53"/>
        <v>1177.1721000256257</v>
      </c>
      <c r="AA139" s="14">
        <f t="shared" si="54"/>
        <v>1955.84027323494</v>
      </c>
      <c r="AB139" s="14">
        <f t="shared" si="55"/>
        <v>1695.0404014988258</v>
      </c>
      <c r="AC139" s="14">
        <f t="shared" si="56"/>
        <v>1469.0166687083909</v>
      </c>
      <c r="AD139" s="33">
        <f t="shared" si="57"/>
        <v>0.90767207831464514</v>
      </c>
      <c r="AE139" s="33">
        <f t="shared" si="58"/>
        <v>0.41667207831464526</v>
      </c>
      <c r="AF139" s="51">
        <f t="shared" si="59"/>
        <v>5.655483114251842</v>
      </c>
      <c r="AG139" s="51">
        <f>APPLICANTS_PER_YEAR*($H139/Segments!$AH$2)*AE139</f>
        <v>6.5000844217084657</v>
      </c>
      <c r="AH139" s="51">
        <f t="shared" si="60"/>
        <v>12.155567535960309</v>
      </c>
      <c r="AI139" s="14">
        <f t="shared" si="61"/>
        <v>1469.0166687083909</v>
      </c>
      <c r="AJ139" s="44">
        <f t="shared" si="62"/>
        <v>17856.731327936275</v>
      </c>
      <c r="AK139" s="44">
        <f t="shared" si="63"/>
        <v>16026.298358906884</v>
      </c>
      <c r="AL139" s="44">
        <f t="shared" si="64"/>
        <v>4114.7413149644253</v>
      </c>
      <c r="AM139" s="14">
        <f t="shared" si="65"/>
        <v>1469.0166687083909</v>
      </c>
      <c r="AN139" s="14">
        <f t="shared" si="66"/>
        <v>1212.4872630263944</v>
      </c>
      <c r="AO139" s="14">
        <f t="shared" si="67"/>
        <v>2013.2654814319881</v>
      </c>
      <c r="AP139" s="14">
        <f t="shared" si="68"/>
        <v>1745.3498695910737</v>
      </c>
      <c r="AQ139" s="14">
        <f t="shared" si="69"/>
        <v>1513.0871687696424</v>
      </c>
      <c r="AR139" s="33">
        <f t="shared" si="70"/>
        <v>0.9075375764676481</v>
      </c>
      <c r="AS139" s="33">
        <f t="shared" si="71"/>
        <v>0.41653757646764805</v>
      </c>
      <c r="AT139" s="51">
        <f t="shared" si="72"/>
        <v>5.5158171510871199</v>
      </c>
      <c r="AU139" s="51">
        <f>APPLICANTS_PER_YEAR*($H139/Segments!$AH$2)*AS139</f>
        <v>6.4979861928953095</v>
      </c>
      <c r="AV139" s="51">
        <f t="shared" si="73"/>
        <v>12.013803343982429</v>
      </c>
      <c r="AW139" s="14">
        <f t="shared" si="74"/>
        <v>1513.0871687696424</v>
      </c>
      <c r="AX139" s="44">
        <f t="shared" si="75"/>
        <v>18177.931687901637</v>
      </c>
      <c r="AY139" s="44">
        <f t="shared" si="76"/>
        <v>16314.573559292514</v>
      </c>
      <c r="AZ139" s="44">
        <f t="shared" si="77"/>
        <v>4182.4754943113676</v>
      </c>
    </row>
    <row r="140" spans="1:52" ht="15" customHeight="1" x14ac:dyDescent="0.35">
      <c r="A140" s="61" t="str">
        <f>Segments!$A$120</f>
        <v>Non-greek</v>
      </c>
      <c r="B140" s="61" t="str">
        <f>Segments!$B$120</f>
        <v>Off 1-3mi</v>
      </c>
      <c r="C140" s="61" t="str">
        <f>Segments!$C$120</f>
        <v>No</v>
      </c>
      <c r="D140" s="61" t="str">
        <f>Segments!$D$120</f>
        <v>3.0+</v>
      </c>
      <c r="E140" s="61" t="str">
        <f>Segments!$E$120</f>
        <v>Freshman</v>
      </c>
      <c r="F140" s="61">
        <f>Segments!$F$120</f>
        <v>1</v>
      </c>
      <c r="G140" s="61" t="str">
        <f>Segments!$G$120</f>
        <v>Base</v>
      </c>
      <c r="H140" s="62">
        <f>Segments!$H$120</f>
        <v>12</v>
      </c>
      <c r="I140" s="63">
        <f>Segments!$Y$120</f>
        <v>760.73797443325952</v>
      </c>
      <c r="J140" s="42">
        <v>0</v>
      </c>
      <c r="K140" s="40">
        <f t="shared" si="39"/>
        <v>1278.6859199624726</v>
      </c>
      <c r="L140" s="40">
        <f t="shared" si="40"/>
        <v>760.73797443325952</v>
      </c>
      <c r="M140" s="40">
        <f t="shared" si="41"/>
        <v>1278.6859199624726</v>
      </c>
      <c r="N140" s="40">
        <f t="shared" si="42"/>
        <v>1350.4443463145053</v>
      </c>
      <c r="O140" s="40">
        <f t="shared" si="43"/>
        <v>1426.2297754450396</v>
      </c>
      <c r="P140" s="41">
        <f t="shared" si="44"/>
        <v>0.78732442926787016</v>
      </c>
      <c r="Q140" s="41">
        <f t="shared" si="45"/>
        <v>0.32194055818095713</v>
      </c>
      <c r="R140" s="64">
        <f t="shared" si="46"/>
        <v>0</v>
      </c>
      <c r="S140" s="64">
        <f>APPLICANTS_PER_YEAR*($H140/Segments!$AH$2)*Q140</f>
        <v>4.6359440378057819</v>
      </c>
      <c r="T140" s="64">
        <f t="shared" si="47"/>
        <v>4.6359440378057819</v>
      </c>
      <c r="U140" s="40">
        <f t="shared" si="48"/>
        <v>1426.2297754450396</v>
      </c>
      <c r="V140" s="65">
        <f t="shared" si="49"/>
        <v>6611.9214240155106</v>
      </c>
      <c r="W140" s="65">
        <f t="shared" si="50"/>
        <v>3949.9473181350754</v>
      </c>
      <c r="X140" s="65">
        <f t="shared" si="51"/>
        <v>1689.6878806807347</v>
      </c>
      <c r="Y140" s="40">
        <f t="shared" si="52"/>
        <v>1315.7964975613468</v>
      </c>
      <c r="Z140" s="40">
        <f t="shared" si="53"/>
        <v>783.56011366625728</v>
      </c>
      <c r="AA140" s="40">
        <f t="shared" si="54"/>
        <v>1315.7964975613468</v>
      </c>
      <c r="AB140" s="40">
        <f t="shared" si="55"/>
        <v>1390.2974457092762</v>
      </c>
      <c r="AC140" s="40">
        <f t="shared" si="56"/>
        <v>1469.0166687083909</v>
      </c>
      <c r="AD140" s="41">
        <f t="shared" si="57"/>
        <v>0.7867557782891893</v>
      </c>
      <c r="AE140" s="41">
        <f t="shared" si="58"/>
        <v>0.32168979082783422</v>
      </c>
      <c r="AF140" s="64">
        <f t="shared" si="59"/>
        <v>0</v>
      </c>
      <c r="AG140" s="64">
        <f>APPLICANTS_PER_YEAR*($H140/Segments!$AH$2)*AE140</f>
        <v>4.6323329879208126</v>
      </c>
      <c r="AH140" s="64">
        <f t="shared" si="60"/>
        <v>4.6323329879208126</v>
      </c>
      <c r="AI140" s="40">
        <f t="shared" si="61"/>
        <v>1469.0166687083909</v>
      </c>
      <c r="AJ140" s="65">
        <f t="shared" si="62"/>
        <v>6804.9743742634182</v>
      </c>
      <c r="AK140" s="65">
        <f t="shared" si="63"/>
        <v>4065.2767260618079</v>
      </c>
      <c r="AL140" s="65">
        <f t="shared" si="64"/>
        <v>1732.7692442914422</v>
      </c>
      <c r="AM140" s="40">
        <f t="shared" si="65"/>
        <v>1354.0203924881871</v>
      </c>
      <c r="AN140" s="40">
        <f t="shared" si="66"/>
        <v>807.06691707624498</v>
      </c>
      <c r="AO140" s="40">
        <f t="shared" si="67"/>
        <v>1354.0203924881871</v>
      </c>
      <c r="AP140" s="40">
        <f t="shared" si="68"/>
        <v>1431.3458289757621</v>
      </c>
      <c r="AQ140" s="40">
        <f t="shared" si="69"/>
        <v>1513.0871687696424</v>
      </c>
      <c r="AR140" s="41">
        <f t="shared" si="70"/>
        <v>0.78620276946532219</v>
      </c>
      <c r="AS140" s="41">
        <f t="shared" si="71"/>
        <v>0.32144598526116763</v>
      </c>
      <c r="AT140" s="64">
        <f t="shared" si="72"/>
        <v>0</v>
      </c>
      <c r="AU140" s="64">
        <f>APPLICANTS_PER_YEAR*($H140/Segments!$AH$2)*AS140</f>
        <v>4.6288221877608136</v>
      </c>
      <c r="AV140" s="64">
        <f t="shared" si="73"/>
        <v>4.6288221877608136</v>
      </c>
      <c r="AW140" s="40">
        <f t="shared" si="74"/>
        <v>1513.0871687696424</v>
      </c>
      <c r="AX140" s="65">
        <f t="shared" si="75"/>
        <v>7003.811458817112</v>
      </c>
      <c r="AY140" s="65">
        <f t="shared" si="76"/>
        <v>4184.0615631026685</v>
      </c>
      <c r="AZ140" s="65">
        <f t="shared" si="77"/>
        <v>1777.1507652242699</v>
      </c>
    </row>
    <row r="141" spans="1:52" ht="15" customHeight="1" x14ac:dyDescent="0.35">
      <c r="A141" s="61" t="str">
        <f>Segments!$A$121</f>
        <v>Non-greek</v>
      </c>
      <c r="B141" s="61" t="str">
        <f>Segments!$B$121</f>
        <v>Off 1-3mi</v>
      </c>
      <c r="C141" s="61" t="str">
        <f>Segments!$C$121</f>
        <v>No</v>
      </c>
      <c r="D141" s="61" t="str">
        <f>Segments!$D$121</f>
        <v>3.0+</v>
      </c>
      <c r="E141" s="61" t="str">
        <f>Segments!$E$121</f>
        <v>Sophomore</v>
      </c>
      <c r="F141" s="61">
        <f>Segments!$F$121</f>
        <v>1</v>
      </c>
      <c r="G141" s="61" t="str">
        <f>Segments!$G$121</f>
        <v>Sophomore</v>
      </c>
      <c r="H141" s="62">
        <f>Segments!$H$121</f>
        <v>18</v>
      </c>
      <c r="I141" s="63">
        <f>Segments!$Y$121</f>
        <v>752.99841100369667</v>
      </c>
      <c r="J141" s="42">
        <v>1</v>
      </c>
      <c r="K141" s="40">
        <f t="shared" si="39"/>
        <v>1426.2297754450396</v>
      </c>
      <c r="L141" s="40">
        <f t="shared" si="40"/>
        <v>752.99841100369667</v>
      </c>
      <c r="M141" s="40">
        <f t="shared" si="41"/>
        <v>1266.1007864523363</v>
      </c>
      <c r="N141" s="40">
        <f t="shared" si="42"/>
        <v>1343.7822146288081</v>
      </c>
      <c r="O141" s="40">
        <f t="shared" si="43"/>
        <v>1426.2297754450396</v>
      </c>
      <c r="P141" s="41">
        <f t="shared" si="44"/>
        <v>0.81932257328654778</v>
      </c>
      <c r="Q141" s="41">
        <f t="shared" si="45"/>
        <v>0.31932257328654778</v>
      </c>
      <c r="R141" s="64">
        <f t="shared" si="46"/>
        <v>9.8318708794385739</v>
      </c>
      <c r="S141" s="64">
        <f>APPLICANTS_PER_YEAR*($H141/Segments!$AH$2)*Q141</f>
        <v>6.8973675829894319</v>
      </c>
      <c r="T141" s="64">
        <f t="shared" si="47"/>
        <v>16.729238462428007</v>
      </c>
      <c r="U141" s="40">
        <f t="shared" si="48"/>
        <v>1426.2297754450394</v>
      </c>
      <c r="V141" s="65">
        <f t="shared" si="49"/>
        <v>23859.738015635216</v>
      </c>
      <c r="W141" s="65">
        <f t="shared" si="50"/>
        <v>14108.740777051444</v>
      </c>
      <c r="X141" s="65">
        <f t="shared" si="51"/>
        <v>5360.8125294450647</v>
      </c>
      <c r="Y141" s="40">
        <f t="shared" si="52"/>
        <v>1426.2297754450396</v>
      </c>
      <c r="Z141" s="40">
        <f t="shared" si="53"/>
        <v>775.58836333380759</v>
      </c>
      <c r="AA141" s="40">
        <f t="shared" si="54"/>
        <v>1302.8338100459064</v>
      </c>
      <c r="AB141" s="40">
        <f t="shared" si="55"/>
        <v>1383.4321752490428</v>
      </c>
      <c r="AC141" s="40">
        <f t="shared" si="56"/>
        <v>1469.0166687083909</v>
      </c>
      <c r="AD141" s="41">
        <f t="shared" si="57"/>
        <v>0.81006805588646169</v>
      </c>
      <c r="AE141" s="41">
        <f t="shared" si="58"/>
        <v>0.3190680558864617</v>
      </c>
      <c r="AF141" s="64">
        <f t="shared" si="59"/>
        <v>3.755430173903763</v>
      </c>
      <c r="AG141" s="64">
        <f>APPLICANTS_PER_YEAR*($H141/Segments!$AH$2)*AE141</f>
        <v>6.8918700071475723</v>
      </c>
      <c r="AH141" s="64">
        <f t="shared" si="60"/>
        <v>10.647300181051335</v>
      </c>
      <c r="AI141" s="40">
        <f t="shared" si="61"/>
        <v>1469.0166687083909</v>
      </c>
      <c r="AJ141" s="65">
        <f t="shared" si="62"/>
        <v>15641.061442706279</v>
      </c>
      <c r="AK141" s="65">
        <f t="shared" si="63"/>
        <v>9248.8727759068024</v>
      </c>
      <c r="AL141" s="65">
        <f t="shared" si="64"/>
        <v>3695.7528836386941</v>
      </c>
      <c r="AM141" s="40">
        <f t="shared" si="65"/>
        <v>1469.0166687083909</v>
      </c>
      <c r="AN141" s="40">
        <f t="shared" si="66"/>
        <v>798.85601423382172</v>
      </c>
      <c r="AO141" s="40">
        <f t="shared" si="67"/>
        <v>1340.6688243472834</v>
      </c>
      <c r="AP141" s="40">
        <f t="shared" si="68"/>
        <v>1424.2713209530536</v>
      </c>
      <c r="AQ141" s="40">
        <f t="shared" si="69"/>
        <v>1513.0871687696424</v>
      </c>
      <c r="AR141" s="41">
        <f t="shared" si="70"/>
        <v>0.80982060092414232</v>
      </c>
      <c r="AS141" s="41">
        <f t="shared" si="71"/>
        <v>0.31882060092414222</v>
      </c>
      <c r="AT141" s="64">
        <f t="shared" si="72"/>
        <v>3.75135868395876</v>
      </c>
      <c r="AU141" s="64">
        <f>APPLICANTS_PER_YEAR*($H141/Segments!$AH$2)*AS141</f>
        <v>6.8865249799614716</v>
      </c>
      <c r="AV141" s="64">
        <f t="shared" si="73"/>
        <v>10.637883663920231</v>
      </c>
      <c r="AW141" s="40">
        <f t="shared" si="74"/>
        <v>1513.0871687696424</v>
      </c>
      <c r="AX141" s="65">
        <f t="shared" si="75"/>
        <v>16096.045274741893</v>
      </c>
      <c r="AY141" s="65">
        <f t="shared" si="76"/>
        <v>9517.9138248794898</v>
      </c>
      <c r="AZ141" s="65">
        <f t="shared" si="77"/>
        <v>3791.7702951643555</v>
      </c>
    </row>
    <row r="142" spans="1:52" ht="15" customHeight="1" x14ac:dyDescent="0.35">
      <c r="A142" s="61" t="str">
        <f>Segments!$A$122</f>
        <v>Non-greek</v>
      </c>
      <c r="B142" s="61" t="str">
        <f>Segments!$B$122</f>
        <v>Off 1-3mi</v>
      </c>
      <c r="C142" s="61" t="str">
        <f>Segments!$C$122</f>
        <v>No</v>
      </c>
      <c r="D142" s="61" t="str">
        <f>Segments!$D$122</f>
        <v>3.0+</v>
      </c>
      <c r="E142" s="61" t="str">
        <f>Segments!$E$122</f>
        <v>Junior</v>
      </c>
      <c r="F142" s="61">
        <f>Segments!$F$122</f>
        <v>2</v>
      </c>
      <c r="G142" s="61" t="str">
        <f>Segments!$G$122</f>
        <v>Base</v>
      </c>
      <c r="H142" s="62">
        <f>Segments!$H$122</f>
        <v>15</v>
      </c>
      <c r="I142" s="63">
        <f>Segments!$Y$122</f>
        <v>900.1535952658777</v>
      </c>
      <c r="J142" s="42">
        <v>2</v>
      </c>
      <c r="K142" s="40">
        <f t="shared" si="39"/>
        <v>1426.2297754450396</v>
      </c>
      <c r="L142" s="40">
        <f t="shared" si="40"/>
        <v>900.1535952658777</v>
      </c>
      <c r="M142" s="40">
        <f t="shared" si="41"/>
        <v>1505.3865882295156</v>
      </c>
      <c r="N142" s="40">
        <f t="shared" si="42"/>
        <v>1465.2737545211669</v>
      </c>
      <c r="O142" s="40">
        <f t="shared" si="43"/>
        <v>1426.2297754450396</v>
      </c>
      <c r="P142" s="41">
        <f t="shared" si="44"/>
        <v>0.86332310053177963</v>
      </c>
      <c r="Q142" s="41">
        <f t="shared" si="45"/>
        <v>0.36332310053177957</v>
      </c>
      <c r="R142" s="64">
        <f t="shared" si="46"/>
        <v>15.539815809572033</v>
      </c>
      <c r="S142" s="64">
        <f>APPLICANTS_PER_YEAR*($H142/Segments!$AH$2)*Q142</f>
        <v>6.5398158095720325</v>
      </c>
      <c r="T142" s="64">
        <f t="shared" si="47"/>
        <v>22.079631619144067</v>
      </c>
      <c r="U142" s="40">
        <f t="shared" si="48"/>
        <v>1426.2297754450396</v>
      </c>
      <c r="V142" s="65">
        <f t="shared" si="49"/>
        <v>31490.628046081038</v>
      </c>
      <c r="W142" s="65">
        <f t="shared" si="50"/>
        <v>22260.066958212927</v>
      </c>
      <c r="X142" s="65">
        <f t="shared" si="51"/>
        <v>6883.2715295053231</v>
      </c>
      <c r="Y142" s="40">
        <f t="shared" si="52"/>
        <v>1426.2297754450394</v>
      </c>
      <c r="Z142" s="40">
        <f t="shared" si="53"/>
        <v>927.15820312385404</v>
      </c>
      <c r="AA142" s="40">
        <f t="shared" si="54"/>
        <v>1549.298185876401</v>
      </c>
      <c r="AB142" s="40">
        <f t="shared" si="55"/>
        <v>1508.6234983759546</v>
      </c>
      <c r="AC142" s="40">
        <f t="shared" si="56"/>
        <v>1469.0166687083909</v>
      </c>
      <c r="AD142" s="41">
        <f t="shared" si="57"/>
        <v>0.85412681053629358</v>
      </c>
      <c r="AE142" s="41">
        <f t="shared" si="58"/>
        <v>0.36312681053629375</v>
      </c>
      <c r="AF142" s="64">
        <f t="shared" si="59"/>
        <v>14.288891090614722</v>
      </c>
      <c r="AG142" s="64">
        <f>APPLICANTS_PER_YEAR*($H142/Segments!$AH$2)*AE142</f>
        <v>6.5362825896532879</v>
      </c>
      <c r="AH142" s="64">
        <f t="shared" si="60"/>
        <v>20.825173680268009</v>
      </c>
      <c r="AI142" s="40">
        <f t="shared" si="61"/>
        <v>1469.0166687083911</v>
      </c>
      <c r="AJ142" s="65">
        <f t="shared" si="62"/>
        <v>30592.527265060977</v>
      </c>
      <c r="AK142" s="65">
        <f t="shared" si="63"/>
        <v>21625.218282236201</v>
      </c>
      <c r="AL142" s="65">
        <f t="shared" si="64"/>
        <v>6697.9649740888362</v>
      </c>
      <c r="AM142" s="40">
        <f t="shared" si="65"/>
        <v>1469.0166687083909</v>
      </c>
      <c r="AN142" s="40">
        <f t="shared" si="66"/>
        <v>954.97294921756964</v>
      </c>
      <c r="AO142" s="40">
        <f t="shared" si="67"/>
        <v>1594.5271314526931</v>
      </c>
      <c r="AP142" s="40">
        <f t="shared" si="68"/>
        <v>1553.273492613627</v>
      </c>
      <c r="AQ142" s="40">
        <f t="shared" si="69"/>
        <v>1513.0871687696424</v>
      </c>
      <c r="AR142" s="41">
        <f t="shared" si="70"/>
        <v>0.85393601031469513</v>
      </c>
      <c r="AS142" s="41">
        <f t="shared" si="71"/>
        <v>0.36293601031469502</v>
      </c>
      <c r="AT142" s="64">
        <f t="shared" si="72"/>
        <v>9.0921130372299075</v>
      </c>
      <c r="AU142" s="64">
        <f>APPLICANTS_PER_YEAR*($H142/Segments!$AH$2)*AS142</f>
        <v>6.5328481856645109</v>
      </c>
      <c r="AV142" s="64">
        <f t="shared" si="73"/>
        <v>15.624961222894418</v>
      </c>
      <c r="AW142" s="40">
        <f t="shared" si="74"/>
        <v>1513.0871687696424</v>
      </c>
      <c r="AX142" s="65">
        <f t="shared" si="75"/>
        <v>23641.928338884765</v>
      </c>
      <c r="AY142" s="65">
        <f t="shared" si="76"/>
        <v>16711.985136490166</v>
      </c>
      <c r="AZ142" s="65">
        <f t="shared" si="77"/>
        <v>5290.111791932437</v>
      </c>
    </row>
    <row r="143" spans="1:52" ht="15" customHeight="1" x14ac:dyDescent="0.35">
      <c r="A143" s="61" t="str">
        <f>Segments!$A$123</f>
        <v>Non-greek</v>
      </c>
      <c r="B143" s="61" t="str">
        <f>Segments!$B$123</f>
        <v>Off 1-3mi</v>
      </c>
      <c r="C143" s="61" t="str">
        <f>Segments!$C$123</f>
        <v>No</v>
      </c>
      <c r="D143" s="61" t="str">
        <f>Segments!$D$123</f>
        <v>3.0+</v>
      </c>
      <c r="E143" s="61" t="str">
        <f>Segments!$E$123</f>
        <v>Senior</v>
      </c>
      <c r="F143" s="61">
        <f>Segments!$F$123</f>
        <v>3</v>
      </c>
      <c r="G143" s="61" t="str">
        <f>Segments!$G$123</f>
        <v>Base</v>
      </c>
      <c r="H143" s="62">
        <f>Segments!$H$123</f>
        <v>15</v>
      </c>
      <c r="I143" s="63">
        <f>Segments!$Y$123</f>
        <v>841.36227437371372</v>
      </c>
      <c r="J143" s="42">
        <v>3</v>
      </c>
      <c r="K143" s="40">
        <f t="shared" si="39"/>
        <v>1426.2297754450396</v>
      </c>
      <c r="L143" s="40">
        <f t="shared" si="40"/>
        <v>841.36227437371372</v>
      </c>
      <c r="M143" s="40">
        <f t="shared" si="41"/>
        <v>1409.7873171079723</v>
      </c>
      <c r="N143" s="40">
        <f t="shared" si="42"/>
        <v>1417.9847138471446</v>
      </c>
      <c r="O143" s="40">
        <f t="shared" si="43"/>
        <v>1426.2297754450396</v>
      </c>
      <c r="P143" s="41">
        <f t="shared" si="44"/>
        <v>0.84709268318713904</v>
      </c>
      <c r="Q143" s="41">
        <f t="shared" si="45"/>
        <v>0.34709268318713904</v>
      </c>
      <c r="R143" s="64">
        <f t="shared" si="46"/>
        <v>12.706390247807086</v>
      </c>
      <c r="S143" s="64">
        <f>APPLICANTS_PER_YEAR*($H143/Segments!$AH$2)*Q143</f>
        <v>6.2476682973685023</v>
      </c>
      <c r="T143" s="64">
        <f t="shared" si="47"/>
        <v>18.954058545175588</v>
      </c>
      <c r="U143" s="40">
        <f t="shared" si="48"/>
        <v>1426.2297754450396</v>
      </c>
      <c r="V143" s="65">
        <f t="shared" si="49"/>
        <v>27032.842662657913</v>
      </c>
      <c r="W143" s="65">
        <f t="shared" si="50"/>
        <v>17860.897382923235</v>
      </c>
      <c r="X143" s="65">
        <f t="shared" si="51"/>
        <v>5956.3515109284544</v>
      </c>
      <c r="Y143" s="40">
        <f t="shared" si="52"/>
        <v>1426.2297754450396</v>
      </c>
      <c r="Z143" s="40">
        <f t="shared" si="53"/>
        <v>866.6031426049251</v>
      </c>
      <c r="AA143" s="40">
        <f t="shared" si="54"/>
        <v>1450.8309366212113</v>
      </c>
      <c r="AB143" s="40">
        <f t="shared" si="55"/>
        <v>1459.8954857709391</v>
      </c>
      <c r="AC143" s="40">
        <f t="shared" si="56"/>
        <v>1469.0166687083909</v>
      </c>
      <c r="AD143" s="41">
        <f t="shared" si="57"/>
        <v>0.83787608358736887</v>
      </c>
      <c r="AE143" s="41">
        <f t="shared" si="58"/>
        <v>0.34687608358736888</v>
      </c>
      <c r="AF143" s="64">
        <f t="shared" si="59"/>
        <v>18.499995268100268</v>
      </c>
      <c r="AG143" s="64">
        <f>APPLICANTS_PER_YEAR*($H143/Segments!$AH$2)*AE143</f>
        <v>6.24376950457264</v>
      </c>
      <c r="AH143" s="64">
        <f t="shared" si="60"/>
        <v>24.743764772672908</v>
      </c>
      <c r="AI143" s="40">
        <f t="shared" si="61"/>
        <v>1469.0166687083906</v>
      </c>
      <c r="AJ143" s="65">
        <f t="shared" si="62"/>
        <v>36349.002897655984</v>
      </c>
      <c r="AK143" s="65">
        <f t="shared" si="63"/>
        <v>24016.187229300431</v>
      </c>
      <c r="AL143" s="65">
        <f t="shared" si="64"/>
        <v>7841.9581324474175</v>
      </c>
      <c r="AM143" s="40">
        <f t="shared" si="65"/>
        <v>1469.0166687083911</v>
      </c>
      <c r="AN143" s="40">
        <f t="shared" si="66"/>
        <v>892.60123688307283</v>
      </c>
      <c r="AO143" s="40">
        <f t="shared" si="67"/>
        <v>1493.1058647198477</v>
      </c>
      <c r="AP143" s="40">
        <f t="shared" si="68"/>
        <v>1503.0633138767985</v>
      </c>
      <c r="AQ143" s="40">
        <f t="shared" si="69"/>
        <v>1513.0871687696424</v>
      </c>
      <c r="AR143" s="41">
        <f t="shared" si="70"/>
        <v>0.8376655247319591</v>
      </c>
      <c r="AS143" s="41">
        <f t="shared" si="71"/>
        <v>0.346665524731959</v>
      </c>
      <c r="AT143" s="64">
        <f t="shared" si="72"/>
        <v>17.444530038515886</v>
      </c>
      <c r="AU143" s="64">
        <f>APPLICANTS_PER_YEAR*($H143/Segments!$AH$2)*AS143</f>
        <v>6.2399794451752619</v>
      </c>
      <c r="AV143" s="64">
        <f t="shared" si="73"/>
        <v>23.684509483691148</v>
      </c>
      <c r="AW143" s="40">
        <f t="shared" si="74"/>
        <v>1513.0871687696422</v>
      </c>
      <c r="AX143" s="65">
        <f t="shared" si="75"/>
        <v>35836.727398375981</v>
      </c>
      <c r="AY143" s="65">
        <f t="shared" si="76"/>
        <v>23677.72115532498</v>
      </c>
      <c r="AZ143" s="65">
        <f t="shared" si="77"/>
        <v>7733.2883032121008</v>
      </c>
    </row>
    <row r="144" spans="1:52" ht="15" customHeight="1" x14ac:dyDescent="0.35">
      <c r="A144" s="61" t="str">
        <f>Segments!$A$124</f>
        <v>Non-greek</v>
      </c>
      <c r="B144" s="61" t="str">
        <f>Segments!$B$124</f>
        <v>Off 1-3mi</v>
      </c>
      <c r="C144" s="61" t="str">
        <f>Segments!$C$124</f>
        <v>No</v>
      </c>
      <c r="D144" s="61" t="str">
        <f>Segments!$D$124</f>
        <v>3.0+</v>
      </c>
      <c r="E144" s="61" t="str">
        <f>Segments!$E$124</f>
        <v>Grad student</v>
      </c>
      <c r="F144" s="61">
        <f>Segments!$F$124</f>
        <v>3</v>
      </c>
      <c r="G144" s="61" t="str">
        <f>Segments!$G$124</f>
        <v>Grad</v>
      </c>
      <c r="H144" s="62">
        <f>Segments!$H$124</f>
        <v>5</v>
      </c>
      <c r="I144" s="63">
        <f>Segments!$Y$124</f>
        <v>1001.7935920929772</v>
      </c>
      <c r="J144" s="42">
        <v>4</v>
      </c>
      <c r="K144" s="40">
        <f t="shared" si="39"/>
        <v>1426.2297754450396</v>
      </c>
      <c r="L144" s="40">
        <f t="shared" si="40"/>
        <v>1001.7935920929772</v>
      </c>
      <c r="M144" s="40">
        <f t="shared" si="41"/>
        <v>1670.6611468891047</v>
      </c>
      <c r="N144" s="40">
        <f t="shared" si="42"/>
        <v>1543.6148069944136</v>
      </c>
      <c r="O144" s="40">
        <f t="shared" si="43"/>
        <v>1426.2297754450396</v>
      </c>
      <c r="P144" s="41">
        <f t="shared" si="44"/>
        <v>0.88802277323898426</v>
      </c>
      <c r="Q144" s="41">
        <f t="shared" si="45"/>
        <v>0.38802277323898421</v>
      </c>
      <c r="R144" s="64">
        <f t="shared" si="46"/>
        <v>2.2200569330974607</v>
      </c>
      <c r="S144" s="64">
        <f>APPLICANTS_PER_YEAR*($H144/Segments!$AH$2)*Q144</f>
        <v>2.3281366394339051</v>
      </c>
      <c r="T144" s="64">
        <f t="shared" si="47"/>
        <v>4.5481935725313658</v>
      </c>
      <c r="U144" s="40">
        <f t="shared" si="48"/>
        <v>1426.2297754450396</v>
      </c>
      <c r="V144" s="65">
        <f t="shared" si="49"/>
        <v>6486.7690976319827</v>
      </c>
      <c r="W144" s="65">
        <f t="shared" si="50"/>
        <v>5103.1133177476349</v>
      </c>
      <c r="X144" s="65">
        <f t="shared" si="51"/>
        <v>1491.3826697652012</v>
      </c>
      <c r="Y144" s="40">
        <f t="shared" si="52"/>
        <v>1426.2297754450396</v>
      </c>
      <c r="Z144" s="40">
        <f t="shared" si="53"/>
        <v>1031.8473998557665</v>
      </c>
      <c r="AA144" s="40">
        <f t="shared" si="54"/>
        <v>1719.5309812957778</v>
      </c>
      <c r="AB144" s="40">
        <f t="shared" si="55"/>
        <v>1589.3456747617849</v>
      </c>
      <c r="AC144" s="40">
        <f t="shared" si="56"/>
        <v>1469.0166687083909</v>
      </c>
      <c r="AD144" s="41">
        <f t="shared" si="57"/>
        <v>0.87885488832422476</v>
      </c>
      <c r="AE144" s="41">
        <f t="shared" si="58"/>
        <v>0.38785488832422477</v>
      </c>
      <c r="AF144" s="64">
        <f t="shared" si="59"/>
        <v>1.9986010771320051</v>
      </c>
      <c r="AG144" s="64">
        <f>APPLICANTS_PER_YEAR*($H144/Segments!$AH$2)*AE144</f>
        <v>2.3271293299453486</v>
      </c>
      <c r="AH144" s="64">
        <f t="shared" si="60"/>
        <v>4.3257304070773532</v>
      </c>
      <c r="AI144" s="40">
        <f t="shared" si="61"/>
        <v>1469.0166687083911</v>
      </c>
      <c r="AJ144" s="65">
        <f t="shared" si="62"/>
        <v>6354.5700723353657</v>
      </c>
      <c r="AK144" s="65">
        <f t="shared" si="63"/>
        <v>4999.112913782169</v>
      </c>
      <c r="AL144" s="65">
        <f t="shared" si="64"/>
        <v>1465.3572972191116</v>
      </c>
      <c r="AM144" s="40">
        <f t="shared" si="65"/>
        <v>1469.0166687083911</v>
      </c>
      <c r="AN144" s="40">
        <f t="shared" si="66"/>
        <v>1062.8028218514394</v>
      </c>
      <c r="AO144" s="40">
        <f t="shared" si="67"/>
        <v>1769.8669107346509</v>
      </c>
      <c r="AP144" s="40">
        <f t="shared" si="68"/>
        <v>1636.4482616516073</v>
      </c>
      <c r="AQ144" s="40">
        <f t="shared" si="69"/>
        <v>1513.0871687696424</v>
      </c>
      <c r="AR144" s="41">
        <f t="shared" si="70"/>
        <v>0.87869171802518875</v>
      </c>
      <c r="AS144" s="41">
        <f t="shared" si="71"/>
        <v>0.38769171802518859</v>
      </c>
      <c r="AT144" s="64">
        <f t="shared" si="72"/>
        <v>1.9004917415542992</v>
      </c>
      <c r="AU144" s="64">
        <f>APPLICANTS_PER_YEAR*($H144/Segments!$AH$2)*AS144</f>
        <v>2.3261503081511314</v>
      </c>
      <c r="AV144" s="64">
        <f t="shared" si="73"/>
        <v>4.2266420497054309</v>
      </c>
      <c r="AW144" s="40">
        <f t="shared" si="74"/>
        <v>1513.0871687696424</v>
      </c>
      <c r="AX144" s="65">
        <f t="shared" si="75"/>
        <v>6395.2778523915085</v>
      </c>
      <c r="AY144" s="65">
        <f t="shared" si="76"/>
        <v>5031.1375490688297</v>
      </c>
      <c r="AZ144" s="65">
        <f t="shared" si="77"/>
        <v>1474.5824992361381</v>
      </c>
    </row>
    <row r="145" spans="1:52" ht="15" customHeight="1" x14ac:dyDescent="0.35">
      <c r="A145" s="59" t="str">
        <f>Segments!$A$125</f>
        <v>Non-greek</v>
      </c>
      <c r="B145" s="59" t="str">
        <f>Segments!$B$125</f>
        <v>Off 3-6mi</v>
      </c>
      <c r="C145" s="59" t="str">
        <f>Segments!$C$125</f>
        <v>Yes</v>
      </c>
      <c r="D145" s="59" t="str">
        <f>Segments!$D$125</f>
        <v>&lt;1.0</v>
      </c>
      <c r="E145" s="59" t="str">
        <f>Segments!$E$125</f>
        <v>Freshman</v>
      </c>
      <c r="F145" s="59">
        <f>Segments!$F$125</f>
        <v>1</v>
      </c>
      <c r="G145" s="59" t="str">
        <f>Segments!$G$125</f>
        <v>Base</v>
      </c>
      <c r="H145" s="60">
        <f>Segments!$H$125</f>
        <v>11</v>
      </c>
      <c r="I145" s="26">
        <f>Segments!$Y$125</f>
        <v>724.93010578381279</v>
      </c>
      <c r="J145" s="29">
        <v>0</v>
      </c>
      <c r="K145" s="14">
        <f t="shared" si="39"/>
        <v>1220.4595339695134</v>
      </c>
      <c r="L145" s="14">
        <f t="shared" si="40"/>
        <v>724.93010578381279</v>
      </c>
      <c r="M145" s="14">
        <f t="shared" si="41"/>
        <v>1220.4595339695134</v>
      </c>
      <c r="N145" s="14">
        <f t="shared" si="42"/>
        <v>1319.3391251202613</v>
      </c>
      <c r="O145" s="14">
        <f t="shared" si="43"/>
        <v>1426.2297754450396</v>
      </c>
      <c r="P145" s="33">
        <f t="shared" si="44"/>
        <v>0.75891064806020103</v>
      </c>
      <c r="Q145" s="33">
        <f t="shared" si="45"/>
        <v>0.30949083587018045</v>
      </c>
      <c r="R145" s="51">
        <f t="shared" si="46"/>
        <v>0</v>
      </c>
      <c r="S145" s="51">
        <f>APPLICANTS_PER_YEAR*($H145/Segments!$AH$2)*Q145</f>
        <v>4.0852790334863824</v>
      </c>
      <c r="T145" s="51">
        <f t="shared" si="47"/>
        <v>4.0852790334863824</v>
      </c>
      <c r="U145" s="14">
        <f t="shared" si="48"/>
        <v>1426.2297754450396</v>
      </c>
      <c r="V145" s="44">
        <f t="shared" si="49"/>
        <v>5826.546598559612</v>
      </c>
      <c r="W145" s="44">
        <f t="shared" si="50"/>
        <v>3316.9267733298771</v>
      </c>
      <c r="X145" s="44">
        <f t="shared" si="51"/>
        <v>1488.9839945842405</v>
      </c>
      <c r="Y145" s="14">
        <f t="shared" si="52"/>
        <v>1255.8233199885988</v>
      </c>
      <c r="Z145" s="14">
        <f t="shared" si="53"/>
        <v>746.67800895732717</v>
      </c>
      <c r="AA145" s="14">
        <f t="shared" si="54"/>
        <v>1255.8233199885988</v>
      </c>
      <c r="AB145" s="14">
        <f t="shared" si="55"/>
        <v>1358.2434943764549</v>
      </c>
      <c r="AC145" s="14">
        <f t="shared" si="56"/>
        <v>1469.0166687083909</v>
      </c>
      <c r="AD145" s="33">
        <f t="shared" si="57"/>
        <v>0.75829275903961446</v>
      </c>
      <c r="AE145" s="33">
        <f t="shared" si="58"/>
        <v>0.30922190137829819</v>
      </c>
      <c r="AF145" s="51">
        <f t="shared" si="59"/>
        <v>0</v>
      </c>
      <c r="AG145" s="51">
        <f>APPLICANTS_PER_YEAR*($H145/Segments!$AH$2)*AE145</f>
        <v>4.0817290981935361</v>
      </c>
      <c r="AH145" s="51">
        <f t="shared" si="60"/>
        <v>4.0817290981935361</v>
      </c>
      <c r="AI145" s="14">
        <f t="shared" si="61"/>
        <v>1469.0166687083911</v>
      </c>
      <c r="AJ145" s="44">
        <f t="shared" si="62"/>
        <v>5996.1280823983734</v>
      </c>
      <c r="AK145" s="44">
        <f t="shared" si="63"/>
        <v>3413.4658388794169</v>
      </c>
      <c r="AL145" s="44">
        <f t="shared" si="64"/>
        <v>1526.8104998759447</v>
      </c>
      <c r="AM145" s="14">
        <f t="shared" si="65"/>
        <v>1292.2480195882567</v>
      </c>
      <c r="AN145" s="14">
        <f t="shared" si="66"/>
        <v>769.07834922604695</v>
      </c>
      <c r="AO145" s="14">
        <f t="shared" si="67"/>
        <v>1292.2480195882567</v>
      </c>
      <c r="AP145" s="14">
        <f t="shared" si="68"/>
        <v>1398.3146631952957</v>
      </c>
      <c r="AQ145" s="14">
        <f t="shared" si="69"/>
        <v>1513.0871687696424</v>
      </c>
      <c r="AR145" s="33">
        <f t="shared" si="70"/>
        <v>0.75769181708946065</v>
      </c>
      <c r="AS145" s="33">
        <f t="shared" si="71"/>
        <v>0.30896041549329123</v>
      </c>
      <c r="AT145" s="51">
        <f t="shared" si="72"/>
        <v>0</v>
      </c>
      <c r="AU145" s="51">
        <f>APPLICANTS_PER_YEAR*($H145/Segments!$AH$2)*AS145</f>
        <v>4.0782774845114442</v>
      </c>
      <c r="AV145" s="51">
        <f t="shared" si="73"/>
        <v>4.0782774845114442</v>
      </c>
      <c r="AW145" s="14">
        <f t="shared" si="74"/>
        <v>1513.0871687696424</v>
      </c>
      <c r="AX145" s="44">
        <f t="shared" si="75"/>
        <v>6170.7893324964007</v>
      </c>
      <c r="AY145" s="44">
        <f t="shared" si="76"/>
        <v>3512.8967053306751</v>
      </c>
      <c r="AZ145" s="44">
        <f t="shared" si="77"/>
        <v>1565.7792972822087</v>
      </c>
    </row>
    <row r="146" spans="1:52" ht="15" customHeight="1" x14ac:dyDescent="0.35">
      <c r="A146" s="59" t="str">
        <f>Segments!$A$126</f>
        <v>Non-greek</v>
      </c>
      <c r="B146" s="59" t="str">
        <f>Segments!$B$126</f>
        <v>Off 3-6mi</v>
      </c>
      <c r="C146" s="59" t="str">
        <f>Segments!$C$126</f>
        <v>Yes</v>
      </c>
      <c r="D146" s="59" t="str">
        <f>Segments!$D$126</f>
        <v>&lt;1.0</v>
      </c>
      <c r="E146" s="59" t="str">
        <f>Segments!$E$126</f>
        <v>Sophomore</v>
      </c>
      <c r="F146" s="59">
        <f>Segments!$F$126</f>
        <v>1</v>
      </c>
      <c r="G146" s="59" t="str">
        <f>Segments!$G$126</f>
        <v>Sophomore</v>
      </c>
      <c r="H146" s="60">
        <f>Segments!$H$126</f>
        <v>11</v>
      </c>
      <c r="I146" s="26">
        <f>Segments!$Y$126</f>
        <v>717.55484291502614</v>
      </c>
      <c r="J146" s="29">
        <v>1</v>
      </c>
      <c r="K146" s="14">
        <f t="shared" si="39"/>
        <v>1426.2297754450396</v>
      </c>
      <c r="L146" s="14">
        <f t="shared" si="40"/>
        <v>717.55484291502614</v>
      </c>
      <c r="M146" s="14">
        <f t="shared" si="41"/>
        <v>1208.4667815719438</v>
      </c>
      <c r="N146" s="14">
        <f t="shared" si="42"/>
        <v>1312.8409296309067</v>
      </c>
      <c r="O146" s="14">
        <f t="shared" si="43"/>
        <v>1426.2297754450396</v>
      </c>
      <c r="P146" s="33">
        <f t="shared" si="44"/>
        <v>0.80681546665138959</v>
      </c>
      <c r="Q146" s="33">
        <f t="shared" si="45"/>
        <v>0.30681546665138959</v>
      </c>
      <c r="R146" s="51">
        <f t="shared" si="46"/>
        <v>8.8749701331652862</v>
      </c>
      <c r="S146" s="51">
        <f>APPLICANTS_PER_YEAR*($H146/Segments!$AH$2)*Q146</f>
        <v>4.0499641597983427</v>
      </c>
      <c r="T146" s="51">
        <f t="shared" si="47"/>
        <v>12.924934292963629</v>
      </c>
      <c r="U146" s="14">
        <f t="shared" si="48"/>
        <v>1426.2297754450396</v>
      </c>
      <c r="V146" s="44">
        <f t="shared" si="49"/>
        <v>18433.926134295409</v>
      </c>
      <c r="W146" s="44">
        <f t="shared" si="50"/>
        <v>10387.2710998275</v>
      </c>
      <c r="X146" s="44">
        <f t="shared" si="51"/>
        <v>4045.9261108327009</v>
      </c>
      <c r="Y146" s="14">
        <f t="shared" si="52"/>
        <v>1426.2297754450396</v>
      </c>
      <c r="Z146" s="14">
        <f t="shared" si="53"/>
        <v>739.08148820247698</v>
      </c>
      <c r="AA146" s="14">
        <f t="shared" si="54"/>
        <v>1243.4707850191021</v>
      </c>
      <c r="AB146" s="14">
        <f t="shared" si="55"/>
        <v>1351.5470063023959</v>
      </c>
      <c r="AC146" s="14">
        <f t="shared" si="56"/>
        <v>1469.0166687083909</v>
      </c>
      <c r="AD146" s="33">
        <f t="shared" si="57"/>
        <v>0.79754251688686273</v>
      </c>
      <c r="AE146" s="33">
        <f t="shared" si="58"/>
        <v>0.30654251688686274</v>
      </c>
      <c r="AF146" s="51">
        <f t="shared" si="59"/>
        <v>3.2581837225518595</v>
      </c>
      <c r="AG146" s="51">
        <f>APPLICANTS_PER_YEAR*($H146/Segments!$AH$2)*AE146</f>
        <v>4.0463612229065884</v>
      </c>
      <c r="AH146" s="51">
        <f t="shared" si="60"/>
        <v>7.3045449454584475</v>
      </c>
      <c r="AI146" s="14">
        <f t="shared" si="61"/>
        <v>1469.0166687083909</v>
      </c>
      <c r="AJ146" s="44">
        <f t="shared" si="62"/>
        <v>10730.498282208084</v>
      </c>
      <c r="AK146" s="44">
        <f t="shared" si="63"/>
        <v>6046.4924228030677</v>
      </c>
      <c r="AL146" s="44">
        <f t="shared" si="64"/>
        <v>2483.360127761438</v>
      </c>
      <c r="AM146" s="14">
        <f t="shared" si="65"/>
        <v>1469.0166687083911</v>
      </c>
      <c r="AN146" s="14">
        <f t="shared" si="66"/>
        <v>761.25393284855124</v>
      </c>
      <c r="AO146" s="14">
        <f t="shared" si="67"/>
        <v>1279.5249085696753</v>
      </c>
      <c r="AP146" s="14">
        <f t="shared" si="68"/>
        <v>1391.4139288069264</v>
      </c>
      <c r="AQ146" s="14">
        <f t="shared" si="69"/>
        <v>1513.0871687696424</v>
      </c>
      <c r="AR146" s="33">
        <f t="shared" si="70"/>
        <v>0.79727712306033727</v>
      </c>
      <c r="AS146" s="33">
        <f t="shared" si="71"/>
        <v>0.30627712306033716</v>
      </c>
      <c r="AT146" s="51">
        <f t="shared" si="72"/>
        <v>3.2542692325194076</v>
      </c>
      <c r="AU146" s="51">
        <f>APPLICANTS_PER_YEAR*($H146/Segments!$AH$2)*AS146</f>
        <v>4.0428580243964509</v>
      </c>
      <c r="AV146" s="51">
        <f t="shared" si="73"/>
        <v>7.297127256915859</v>
      </c>
      <c r="AW146" s="14">
        <f t="shared" si="74"/>
        <v>1513.0871687696422</v>
      </c>
      <c r="AX146" s="44">
        <f t="shared" si="75"/>
        <v>11041.189621318603</v>
      </c>
      <c r="AY146" s="44">
        <f t="shared" si="76"/>
        <v>6221.562841562386</v>
      </c>
      <c r="AZ146" s="44">
        <f t="shared" si="77"/>
        <v>2547.9007152429522</v>
      </c>
    </row>
    <row r="147" spans="1:52" ht="15" customHeight="1" x14ac:dyDescent="0.35">
      <c r="A147" s="59" t="str">
        <f>Segments!$A$127</f>
        <v>Non-greek</v>
      </c>
      <c r="B147" s="59" t="str">
        <f>Segments!$B$127</f>
        <v>Off 3-6mi</v>
      </c>
      <c r="C147" s="59" t="str">
        <f>Segments!$C$127</f>
        <v>Yes</v>
      </c>
      <c r="D147" s="59" t="str">
        <f>Segments!$D$127</f>
        <v>&lt;1.0</v>
      </c>
      <c r="E147" s="59" t="str">
        <f>Segments!$E$127</f>
        <v>Junior</v>
      </c>
      <c r="F147" s="59">
        <f>Segments!$F$127</f>
        <v>2</v>
      </c>
      <c r="G147" s="59" t="str">
        <f>Segments!$G$127</f>
        <v>Base</v>
      </c>
      <c r="H147" s="60">
        <f>Segments!$H$127</f>
        <v>5</v>
      </c>
      <c r="I147" s="26">
        <f>Segments!$Y$127</f>
        <v>857.78344577042151</v>
      </c>
      <c r="J147" s="29">
        <v>2</v>
      </c>
      <c r="K147" s="14">
        <f t="shared" si="39"/>
        <v>1426.2297754450396</v>
      </c>
      <c r="L147" s="14">
        <f t="shared" si="40"/>
        <v>857.78344577042151</v>
      </c>
      <c r="M147" s="14">
        <f t="shared" si="41"/>
        <v>1436.4894219878177</v>
      </c>
      <c r="N147" s="14">
        <f t="shared" si="42"/>
        <v>1431.3504063473974</v>
      </c>
      <c r="O147" s="14">
        <f t="shared" si="43"/>
        <v>1426.2297754450396</v>
      </c>
      <c r="P147" s="33">
        <f t="shared" si="44"/>
        <v>0.8517887412053855</v>
      </c>
      <c r="Q147" s="33">
        <f t="shared" si="45"/>
        <v>0.3517887412053855</v>
      </c>
      <c r="R147" s="51">
        <f t="shared" si="46"/>
        <v>9.3696761532592401</v>
      </c>
      <c r="S147" s="51">
        <f>APPLICANTS_PER_YEAR*($H147/Segments!$AH$2)*Q147</f>
        <v>2.110732447232313</v>
      </c>
      <c r="T147" s="51">
        <f t="shared" si="47"/>
        <v>11.480408600491554</v>
      </c>
      <c r="U147" s="14">
        <f t="shared" si="48"/>
        <v>1426.2297754450396</v>
      </c>
      <c r="V147" s="44">
        <f t="shared" si="49"/>
        <v>16373.70058029637</v>
      </c>
      <c r="W147" s="44">
        <f t="shared" si="50"/>
        <v>11029.428981963871</v>
      </c>
      <c r="X147" s="44">
        <f t="shared" si="51"/>
        <v>3482.3695241150772</v>
      </c>
      <c r="Y147" s="14">
        <f t="shared" si="52"/>
        <v>1426.2297754450396</v>
      </c>
      <c r="Z147" s="14">
        <f t="shared" si="53"/>
        <v>883.51694914353413</v>
      </c>
      <c r="AA147" s="14">
        <f t="shared" si="54"/>
        <v>1478.334104647452</v>
      </c>
      <c r="AB147" s="14">
        <f t="shared" si="55"/>
        <v>1473.6680228759806</v>
      </c>
      <c r="AC147" s="14">
        <f t="shared" si="56"/>
        <v>1469.0166687083909</v>
      </c>
      <c r="AD147" s="33">
        <f t="shared" si="57"/>
        <v>0.84257815535635772</v>
      </c>
      <c r="AE147" s="33">
        <f t="shared" si="58"/>
        <v>0.35157815535635772</v>
      </c>
      <c r="AF147" s="51">
        <f t="shared" si="59"/>
        <v>10.890267294667424</v>
      </c>
      <c r="AG147" s="51">
        <f>APPLICANTS_PER_YEAR*($H147/Segments!$AH$2)*AE147</f>
        <v>2.1094689321381463</v>
      </c>
      <c r="AH147" s="51">
        <f t="shared" si="60"/>
        <v>12.99973622680557</v>
      </c>
      <c r="AI147" s="14">
        <f t="shared" si="61"/>
        <v>1469.0166687083909</v>
      </c>
      <c r="AJ147" s="44">
        <f t="shared" si="62"/>
        <v>19096.829205989707</v>
      </c>
      <c r="AK147" s="44">
        <f t="shared" si="63"/>
        <v>12863.745765671289</v>
      </c>
      <c r="AL147" s="44">
        <f t="shared" si="64"/>
        <v>4030.4917435917896</v>
      </c>
      <c r="AM147" s="14">
        <f t="shared" si="65"/>
        <v>1469.0166687083909</v>
      </c>
      <c r="AN147" s="14">
        <f t="shared" si="66"/>
        <v>910.02245761784013</v>
      </c>
      <c r="AO147" s="14">
        <f t="shared" si="67"/>
        <v>1521.4341277868755</v>
      </c>
      <c r="AP147" s="14">
        <f t="shared" si="68"/>
        <v>1517.2549083402412</v>
      </c>
      <c r="AQ147" s="14">
        <f t="shared" si="69"/>
        <v>1513.0871687696424</v>
      </c>
      <c r="AR147" s="33">
        <f t="shared" si="70"/>
        <v>0.84237344738438125</v>
      </c>
      <c r="AS147" s="33">
        <f t="shared" si="71"/>
        <v>0.35137344738438114</v>
      </c>
      <c r="AT147" s="51">
        <f t="shared" si="72"/>
        <v>6.153154707279989</v>
      </c>
      <c r="AU147" s="51">
        <f>APPLICANTS_PER_YEAR*($H147/Segments!$AH$2)*AS147</f>
        <v>2.1082406843062866</v>
      </c>
      <c r="AV147" s="51">
        <f t="shared" si="73"/>
        <v>8.2613953915862766</v>
      </c>
      <c r="AW147" s="14">
        <f t="shared" si="74"/>
        <v>1513.0871687696422</v>
      </c>
      <c r="AX147" s="44">
        <f t="shared" si="75"/>
        <v>12500.211363141849</v>
      </c>
      <c r="AY147" s="44">
        <f t="shared" si="76"/>
        <v>8420.2219781165277</v>
      </c>
      <c r="AZ147" s="44">
        <f t="shared" si="77"/>
        <v>2692.1221900567612</v>
      </c>
    </row>
    <row r="148" spans="1:52" ht="15" customHeight="1" x14ac:dyDescent="0.35">
      <c r="A148" s="59" t="str">
        <f>Segments!$A$128</f>
        <v>Non-greek</v>
      </c>
      <c r="B148" s="59" t="str">
        <f>Segments!$B$128</f>
        <v>Off 3-6mi</v>
      </c>
      <c r="C148" s="59" t="str">
        <f>Segments!$C$128</f>
        <v>Yes</v>
      </c>
      <c r="D148" s="59" t="str">
        <f>Segments!$D$128</f>
        <v>&lt;1.0</v>
      </c>
      <c r="E148" s="59" t="str">
        <f>Segments!$E$128</f>
        <v>Senior</v>
      </c>
      <c r="F148" s="59">
        <f>Segments!$F$128</f>
        <v>3</v>
      </c>
      <c r="G148" s="59" t="str">
        <f>Segments!$G$128</f>
        <v>Base</v>
      </c>
      <c r="H148" s="60">
        <f>Segments!$H$128</f>
        <v>4</v>
      </c>
      <c r="I148" s="26">
        <f>Segments!$Y$128</f>
        <v>801.75942711238417</v>
      </c>
      <c r="J148" s="29">
        <v>3</v>
      </c>
      <c r="K148" s="14">
        <f t="shared" si="39"/>
        <v>1426.2297754450396</v>
      </c>
      <c r="L148" s="14">
        <f t="shared" si="40"/>
        <v>801.75942711238417</v>
      </c>
      <c r="M148" s="14">
        <f t="shared" si="41"/>
        <v>1345.3900000368819</v>
      </c>
      <c r="N148" s="14">
        <f t="shared" si="42"/>
        <v>1385.2202993165399</v>
      </c>
      <c r="O148" s="14">
        <f t="shared" si="43"/>
        <v>1426.2297754450396</v>
      </c>
      <c r="P148" s="33">
        <f t="shared" si="44"/>
        <v>0.83519748947198735</v>
      </c>
      <c r="Q148" s="33">
        <f t="shared" si="45"/>
        <v>0.33519748947198735</v>
      </c>
      <c r="R148" s="51">
        <f t="shared" si="46"/>
        <v>4.1759874473599368</v>
      </c>
      <c r="S148" s="51">
        <f>APPLICANTS_PER_YEAR*($H148/Segments!$AH$2)*Q148</f>
        <v>1.6089479494655392</v>
      </c>
      <c r="T148" s="51">
        <f t="shared" si="47"/>
        <v>5.7849353968254764</v>
      </c>
      <c r="U148" s="14">
        <f t="shared" si="48"/>
        <v>1426.2297754450396</v>
      </c>
      <c r="V148" s="44">
        <f t="shared" si="49"/>
        <v>8250.6471119784601</v>
      </c>
      <c r="W148" s="44">
        <f t="shared" si="50"/>
        <v>5194.7016683978609</v>
      </c>
      <c r="X148" s="44">
        <f t="shared" si="51"/>
        <v>1795.6102423804916</v>
      </c>
      <c r="Y148" s="14">
        <f t="shared" si="52"/>
        <v>1426.2297754450396</v>
      </c>
      <c r="Z148" s="14">
        <f t="shared" si="53"/>
        <v>825.81220992575572</v>
      </c>
      <c r="AA148" s="14">
        <f t="shared" si="54"/>
        <v>1384.5017000379883</v>
      </c>
      <c r="AB148" s="14">
        <f t="shared" si="55"/>
        <v>1426.1332599763982</v>
      </c>
      <c r="AC148" s="14">
        <f t="shared" si="56"/>
        <v>1469.0166687083909</v>
      </c>
      <c r="AD148" s="33">
        <f t="shared" si="57"/>
        <v>0.82596514668878052</v>
      </c>
      <c r="AE148" s="33">
        <f t="shared" si="58"/>
        <v>0.33496514668878052</v>
      </c>
      <c r="AF148" s="51">
        <f t="shared" si="59"/>
        <v>9.4824173737521438</v>
      </c>
      <c r="AG148" s="51">
        <f>APPLICANTS_PER_YEAR*($H148/Segments!$AH$2)*AE148</f>
        <v>1.6078327041061464</v>
      </c>
      <c r="AH148" s="51">
        <f t="shared" si="60"/>
        <v>11.09025007785829</v>
      </c>
      <c r="AI148" s="14">
        <f t="shared" si="61"/>
        <v>1469.0166687083909</v>
      </c>
      <c r="AJ148" s="44">
        <f t="shared" si="62"/>
        <v>16291.762224518357</v>
      </c>
      <c r="AK148" s="44">
        <f t="shared" si="63"/>
        <v>10257.479596476491</v>
      </c>
      <c r="AL148" s="44">
        <f t="shared" si="64"/>
        <v>3423.8115360927136</v>
      </c>
      <c r="AM148" s="14">
        <f t="shared" si="65"/>
        <v>1469.0166687083909</v>
      </c>
      <c r="AN148" s="14">
        <f t="shared" si="66"/>
        <v>850.58657622352837</v>
      </c>
      <c r="AO148" s="14">
        <f t="shared" si="67"/>
        <v>1424.7867510391279</v>
      </c>
      <c r="AP148" s="14">
        <f t="shared" si="68"/>
        <v>1468.2733230670274</v>
      </c>
      <c r="AQ148" s="14">
        <f t="shared" si="69"/>
        <v>1513.0871687696424</v>
      </c>
      <c r="AR148" s="33">
        <f t="shared" si="70"/>
        <v>0.82573926993068136</v>
      </c>
      <c r="AS148" s="33">
        <f t="shared" si="71"/>
        <v>0.33473926993068126</v>
      </c>
      <c r="AT148" s="51">
        <f t="shared" si="72"/>
        <v>10.734392701213862</v>
      </c>
      <c r="AU148" s="51">
        <f>APPLICANTS_PER_YEAR*($H148/Segments!$AH$2)*AS148</f>
        <v>1.60674849566727</v>
      </c>
      <c r="AV148" s="51">
        <f t="shared" si="73"/>
        <v>12.341141196881132</v>
      </c>
      <c r="AW148" s="14">
        <f t="shared" si="74"/>
        <v>1513.0871687696424</v>
      </c>
      <c r="AX148" s="44">
        <f t="shared" si="75"/>
        <v>18673.222392975269</v>
      </c>
      <c r="AY148" s="44">
        <f t="shared" si="76"/>
        <v>11756.874121827812</v>
      </c>
      <c r="AZ148" s="44">
        <f t="shared" si="77"/>
        <v>3901.3208372298227</v>
      </c>
    </row>
    <row r="149" spans="1:52" ht="15" customHeight="1" x14ac:dyDescent="0.35">
      <c r="A149" s="59" t="str">
        <f>Segments!$A$129</f>
        <v>Non-greek</v>
      </c>
      <c r="B149" s="59" t="str">
        <f>Segments!$B$129</f>
        <v>Off 3-6mi</v>
      </c>
      <c r="C149" s="59" t="str">
        <f>Segments!$C$129</f>
        <v>Yes</v>
      </c>
      <c r="D149" s="59" t="str">
        <f>Segments!$D$129</f>
        <v>&lt;1.0</v>
      </c>
      <c r="E149" s="59" t="str">
        <f>Segments!$E$129</f>
        <v>Grad student</v>
      </c>
      <c r="F149" s="59">
        <f>Segments!$F$129</f>
        <v>3</v>
      </c>
      <c r="G149" s="59" t="str">
        <f>Segments!$G$129</f>
        <v>Grad</v>
      </c>
      <c r="H149" s="60">
        <f>Segments!$H$129</f>
        <v>2</v>
      </c>
      <c r="I149" s="26">
        <f>Segments!$Y$129</f>
        <v>954.6392570063831</v>
      </c>
      <c r="J149" s="29">
        <v>4</v>
      </c>
      <c r="K149" s="14">
        <f t="shared" si="39"/>
        <v>1426.2297754450396</v>
      </c>
      <c r="L149" s="14">
        <f t="shared" si="40"/>
        <v>954.6392570063831</v>
      </c>
      <c r="M149" s="14">
        <f t="shared" si="41"/>
        <v>1593.9845219027752</v>
      </c>
      <c r="N149" s="14">
        <f t="shared" si="42"/>
        <v>1507.7759073338</v>
      </c>
      <c r="O149" s="14">
        <f t="shared" si="43"/>
        <v>1426.2297754450396</v>
      </c>
      <c r="P149" s="33">
        <f t="shared" si="44"/>
        <v>0.87704186062800216</v>
      </c>
      <c r="Q149" s="33">
        <f t="shared" si="45"/>
        <v>0.37704186062800216</v>
      </c>
      <c r="R149" s="51">
        <f t="shared" si="46"/>
        <v>0.87704186062800216</v>
      </c>
      <c r="S149" s="51">
        <f>APPLICANTS_PER_YEAR*($H149/Segments!$AH$2)*Q149</f>
        <v>0.90490046550720515</v>
      </c>
      <c r="T149" s="51">
        <f t="shared" si="47"/>
        <v>1.7819423261352072</v>
      </c>
      <c r="U149" s="14">
        <f t="shared" si="48"/>
        <v>1426.2297754450396</v>
      </c>
      <c r="V149" s="44">
        <f t="shared" si="49"/>
        <v>2541.4592036598283</v>
      </c>
      <c r="W149" s="44">
        <f t="shared" si="50"/>
        <v>1905.2455500399331</v>
      </c>
      <c r="X149" s="44">
        <f t="shared" si="51"/>
        <v>583.76800722230769</v>
      </c>
      <c r="Y149" s="14">
        <f t="shared" si="52"/>
        <v>1426.2297754450396</v>
      </c>
      <c r="Z149" s="14">
        <f t="shared" si="53"/>
        <v>983.27843471657468</v>
      </c>
      <c r="AA149" s="14">
        <f t="shared" si="54"/>
        <v>1640.5540575598586</v>
      </c>
      <c r="AB149" s="14">
        <f t="shared" si="55"/>
        <v>1552.4178743085308</v>
      </c>
      <c r="AC149" s="14">
        <f t="shared" si="56"/>
        <v>1469.0166687083909</v>
      </c>
      <c r="AD149" s="33">
        <f t="shared" si="57"/>
        <v>0.86786171261629153</v>
      </c>
      <c r="AE149" s="33">
        <f t="shared" si="58"/>
        <v>0.37686171261629153</v>
      </c>
      <c r="AF149" s="51">
        <f t="shared" si="59"/>
        <v>0.77323975947157964</v>
      </c>
      <c r="AG149" s="51">
        <f>APPLICANTS_PER_YEAR*($H149/Segments!$AH$2)*AE149</f>
        <v>0.90446811027909968</v>
      </c>
      <c r="AH149" s="51">
        <f t="shared" si="60"/>
        <v>1.6777078697506793</v>
      </c>
      <c r="AI149" s="14">
        <f t="shared" si="61"/>
        <v>1469.0166687083909</v>
      </c>
      <c r="AJ149" s="44">
        <f t="shared" si="62"/>
        <v>2464.5808258869938</v>
      </c>
      <c r="AK149" s="44">
        <f t="shared" si="63"/>
        <v>1847.6124442497423</v>
      </c>
      <c r="AL149" s="44">
        <f t="shared" si="64"/>
        <v>568.47539180566412</v>
      </c>
      <c r="AM149" s="14">
        <f t="shared" si="65"/>
        <v>1469.0166687083909</v>
      </c>
      <c r="AN149" s="14">
        <f t="shared" si="66"/>
        <v>1012.7767877580718</v>
      </c>
      <c r="AO149" s="14">
        <f t="shared" si="67"/>
        <v>1688.5206792866543</v>
      </c>
      <c r="AP149" s="14">
        <f t="shared" si="68"/>
        <v>1598.3988782625061</v>
      </c>
      <c r="AQ149" s="14">
        <f t="shared" si="69"/>
        <v>1513.0871687696424</v>
      </c>
      <c r="AR149" s="33">
        <f t="shared" si="70"/>
        <v>0.86768661454067075</v>
      </c>
      <c r="AS149" s="33">
        <f t="shared" si="71"/>
        <v>0.37668661454067059</v>
      </c>
      <c r="AT149" s="51">
        <f t="shared" si="72"/>
        <v>0.72786233084610374</v>
      </c>
      <c r="AU149" s="51">
        <f>APPLICANTS_PER_YEAR*($H149/Segments!$AH$2)*AS149</f>
        <v>0.9040478748976094</v>
      </c>
      <c r="AV149" s="51">
        <f t="shared" si="73"/>
        <v>1.6319102057437131</v>
      </c>
      <c r="AW149" s="14">
        <f t="shared" si="74"/>
        <v>1513.0871687696426</v>
      </c>
      <c r="AX149" s="44">
        <f t="shared" si="75"/>
        <v>2469.2223928950398</v>
      </c>
      <c r="AY149" s="44">
        <f t="shared" si="76"/>
        <v>1851.0920692126599</v>
      </c>
      <c r="AZ149" s="44">
        <f t="shared" si="77"/>
        <v>569.7990466256133</v>
      </c>
    </row>
    <row r="150" spans="1:52" ht="15" customHeight="1" x14ac:dyDescent="0.35">
      <c r="A150" s="61" t="str">
        <f>Segments!$A$130</f>
        <v>Non-greek</v>
      </c>
      <c r="B150" s="61" t="str">
        <f>Segments!$B$130</f>
        <v>Off 3-6mi</v>
      </c>
      <c r="C150" s="61" t="str">
        <f>Segments!$C$130</f>
        <v>Yes</v>
      </c>
      <c r="D150" s="61" t="str">
        <f>Segments!$D$130</f>
        <v>1.0-2.0</v>
      </c>
      <c r="E150" s="61" t="str">
        <f>Segments!$E$130</f>
        <v>Freshman</v>
      </c>
      <c r="F150" s="61">
        <f>Segments!$F$130</f>
        <v>1</v>
      </c>
      <c r="G150" s="61" t="str">
        <f>Segments!$G$130</f>
        <v>Base</v>
      </c>
      <c r="H150" s="62">
        <f>Segments!$H$130</f>
        <v>16</v>
      </c>
      <c r="I150" s="63">
        <f>Segments!$Y$130</f>
        <v>657.81686142677847</v>
      </c>
      <c r="J150" s="42">
        <v>0</v>
      </c>
      <c r="K150" s="40">
        <f t="shared" si="39"/>
        <v>1111.3281665198383</v>
      </c>
      <c r="L150" s="40">
        <f t="shared" si="40"/>
        <v>657.81686142677847</v>
      </c>
      <c r="M150" s="40">
        <f t="shared" si="41"/>
        <v>1111.3281665198383</v>
      </c>
      <c r="N150" s="40">
        <f t="shared" si="42"/>
        <v>1258.971533189427</v>
      </c>
      <c r="O150" s="40">
        <f t="shared" si="43"/>
        <v>1426.2297754450396</v>
      </c>
      <c r="P150" s="41">
        <f t="shared" si="44"/>
        <v>0.69856663307709788</v>
      </c>
      <c r="Q150" s="41">
        <f t="shared" si="45"/>
        <v>0.2835734614142198</v>
      </c>
      <c r="R150" s="64">
        <f t="shared" si="46"/>
        <v>0</v>
      </c>
      <c r="S150" s="64">
        <f>APPLICANTS_PER_YEAR*($H150/Segments!$AH$2)*Q150</f>
        <v>5.4446104591530196</v>
      </c>
      <c r="T150" s="64">
        <f t="shared" si="47"/>
        <v>5.4446104591530196</v>
      </c>
      <c r="U150" s="40">
        <f t="shared" si="48"/>
        <v>1426.2297754450396</v>
      </c>
      <c r="V150" s="65">
        <f t="shared" si="49"/>
        <v>7765.2655525435257</v>
      </c>
      <c r="W150" s="65">
        <f t="shared" si="50"/>
        <v>4011.3433516032251</v>
      </c>
      <c r="X150" s="65">
        <f t="shared" si="51"/>
        <v>1984.4269544316357</v>
      </c>
      <c r="Y150" s="40">
        <f t="shared" si="52"/>
        <v>1143.4180115154336</v>
      </c>
      <c r="Z150" s="40">
        <f t="shared" si="53"/>
        <v>677.55136726958187</v>
      </c>
      <c r="AA150" s="40">
        <f t="shared" si="54"/>
        <v>1143.4180115154336</v>
      </c>
      <c r="AB150" s="40">
        <f t="shared" si="55"/>
        <v>1296.0324526097231</v>
      </c>
      <c r="AC150" s="40">
        <f t="shared" si="56"/>
        <v>1469.0166687083909</v>
      </c>
      <c r="AD150" s="41">
        <f t="shared" si="57"/>
        <v>0.69783621042103572</v>
      </c>
      <c r="AE150" s="41">
        <f t="shared" si="58"/>
        <v>0.28326393341835598</v>
      </c>
      <c r="AF150" s="64">
        <f t="shared" si="59"/>
        <v>0</v>
      </c>
      <c r="AG150" s="64">
        <f>APPLICANTS_PER_YEAR*($H150/Segments!$AH$2)*AE150</f>
        <v>5.4386675216324347</v>
      </c>
      <c r="AH150" s="64">
        <f t="shared" si="60"/>
        <v>5.4386675216324347</v>
      </c>
      <c r="AI150" s="40">
        <f t="shared" si="61"/>
        <v>1469.0166687083909</v>
      </c>
      <c r="AJ150" s="65">
        <f t="shared" si="62"/>
        <v>7989.4932448409991</v>
      </c>
      <c r="AK150" s="65">
        <f t="shared" si="63"/>
        <v>4127.1738092555315</v>
      </c>
      <c r="AL150" s="65">
        <f t="shared" si="64"/>
        <v>2034.3865253178433</v>
      </c>
      <c r="AM150" s="40">
        <f t="shared" si="65"/>
        <v>1176.4705518608964</v>
      </c>
      <c r="AN150" s="40">
        <f t="shared" si="66"/>
        <v>697.87790828766924</v>
      </c>
      <c r="AO150" s="40">
        <f t="shared" si="67"/>
        <v>1176.4705518608964</v>
      </c>
      <c r="AP150" s="40">
        <f t="shared" si="68"/>
        <v>1334.2048180305987</v>
      </c>
      <c r="AQ150" s="40">
        <f t="shared" si="69"/>
        <v>1513.0871687696424</v>
      </c>
      <c r="AR150" s="41">
        <f t="shared" si="70"/>
        <v>0.69712569483954223</v>
      </c>
      <c r="AS150" s="41">
        <f t="shared" si="71"/>
        <v>0.28296293480520873</v>
      </c>
      <c r="AT150" s="64">
        <f t="shared" si="72"/>
        <v>0</v>
      </c>
      <c r="AU150" s="64">
        <f>APPLICANTS_PER_YEAR*($H150/Segments!$AH$2)*AS150</f>
        <v>5.4328883482600077</v>
      </c>
      <c r="AV150" s="64">
        <f t="shared" si="73"/>
        <v>5.4328883482600077</v>
      </c>
      <c r="AW150" s="40">
        <f t="shared" si="74"/>
        <v>1513.0871687696426</v>
      </c>
      <c r="AX150" s="65">
        <f t="shared" si="75"/>
        <v>8220.4336491103149</v>
      </c>
      <c r="AY150" s="65">
        <f t="shared" si="76"/>
        <v>4246.4718872174426</v>
      </c>
      <c r="AZ150" s="65">
        <f t="shared" si="77"/>
        <v>2085.8571130724108</v>
      </c>
    </row>
    <row r="151" spans="1:52" ht="15" customHeight="1" x14ac:dyDescent="0.35">
      <c r="A151" s="61" t="str">
        <f>Segments!$A$131</f>
        <v>Non-greek</v>
      </c>
      <c r="B151" s="61" t="str">
        <f>Segments!$B$131</f>
        <v>Off 3-6mi</v>
      </c>
      <c r="C151" s="61" t="str">
        <f>Segments!$C$131</f>
        <v>Yes</v>
      </c>
      <c r="D151" s="61" t="str">
        <f>Segments!$D$131</f>
        <v>1.0-2.0</v>
      </c>
      <c r="E151" s="61" t="str">
        <f>Segments!$E$131</f>
        <v>Sophomore</v>
      </c>
      <c r="F151" s="61">
        <f>Segments!$F$131</f>
        <v>1</v>
      </c>
      <c r="G151" s="61" t="str">
        <f>Segments!$G$131</f>
        <v>Sophomore</v>
      </c>
      <c r="H151" s="62">
        <f>Segments!$H$131</f>
        <v>33</v>
      </c>
      <c r="I151" s="63">
        <f>Segments!$Y$131</f>
        <v>651.12439240964886</v>
      </c>
      <c r="J151" s="42">
        <v>1</v>
      </c>
      <c r="K151" s="40">
        <f t="shared" si="39"/>
        <v>1426.2297754450396</v>
      </c>
      <c r="L151" s="40">
        <f t="shared" si="40"/>
        <v>651.12439240964886</v>
      </c>
      <c r="M151" s="40">
        <f t="shared" si="41"/>
        <v>1100.4456901554338</v>
      </c>
      <c r="N151" s="40">
        <f t="shared" si="42"/>
        <v>1252.7922451707011</v>
      </c>
      <c r="O151" s="40">
        <f t="shared" si="43"/>
        <v>1426.2297754450396</v>
      </c>
      <c r="P151" s="41">
        <f t="shared" si="44"/>
        <v>0.78077961212527036</v>
      </c>
      <c r="Q151" s="41">
        <f t="shared" si="45"/>
        <v>0.28077961212527036</v>
      </c>
      <c r="R151" s="64">
        <f t="shared" si="46"/>
        <v>12.492473794004326</v>
      </c>
      <c r="S151" s="64">
        <f>APPLICANTS_PER_YEAR*($H151/Segments!$AH$2)*Q151</f>
        <v>11.118872640160706</v>
      </c>
      <c r="T151" s="64">
        <f t="shared" si="47"/>
        <v>23.611346434165032</v>
      </c>
      <c r="U151" s="40">
        <f t="shared" si="48"/>
        <v>1426.2297754450399</v>
      </c>
      <c r="V151" s="65">
        <f t="shared" si="49"/>
        <v>33675.205322754235</v>
      </c>
      <c r="W151" s="65">
        <f t="shared" si="50"/>
        <v>17218.794433029769</v>
      </c>
      <c r="X151" s="65">
        <f t="shared" si="51"/>
        <v>7669.8449036951115</v>
      </c>
      <c r="Y151" s="40">
        <f t="shared" si="52"/>
        <v>1426.2297754450396</v>
      </c>
      <c r="Z151" s="40">
        <f t="shared" si="53"/>
        <v>670.65812418193832</v>
      </c>
      <c r="AA151" s="40">
        <f t="shared" si="54"/>
        <v>1132.2090608600968</v>
      </c>
      <c r="AB151" s="40">
        <f t="shared" si="55"/>
        <v>1289.664290761807</v>
      </c>
      <c r="AC151" s="40">
        <f t="shared" si="56"/>
        <v>1469.0166687083909</v>
      </c>
      <c r="AD151" s="41">
        <f t="shared" si="57"/>
        <v>0.77146547879501259</v>
      </c>
      <c r="AE151" s="41">
        <f t="shared" si="58"/>
        <v>0.2804654787950126</v>
      </c>
      <c r="AF151" s="64">
        <f t="shared" si="59"/>
        <v>4.2003290147228176</v>
      </c>
      <c r="AG151" s="64">
        <f>APPLICANTS_PER_YEAR*($H151/Segments!$AH$2)*AE151</f>
        <v>11.106432960282499</v>
      </c>
      <c r="AH151" s="64">
        <f t="shared" si="60"/>
        <v>15.306761975005315</v>
      </c>
      <c r="AI151" s="40">
        <f t="shared" si="61"/>
        <v>1469.0166687083911</v>
      </c>
      <c r="AJ151" s="65">
        <f t="shared" si="62"/>
        <v>22485.88848523458</v>
      </c>
      <c r="AK151" s="65">
        <f t="shared" si="63"/>
        <v>11497.476786271267</v>
      </c>
      <c r="AL151" s="65">
        <f t="shared" si="64"/>
        <v>5404.6727174156595</v>
      </c>
      <c r="AM151" s="40">
        <f t="shared" si="65"/>
        <v>1469.0166687083909</v>
      </c>
      <c r="AN151" s="40">
        <f t="shared" si="66"/>
        <v>690.7778679073964</v>
      </c>
      <c r="AO151" s="40">
        <f t="shared" si="67"/>
        <v>1164.9253326858995</v>
      </c>
      <c r="AP151" s="40">
        <f t="shared" si="68"/>
        <v>1327.6421104581391</v>
      </c>
      <c r="AQ151" s="40">
        <f t="shared" si="69"/>
        <v>1513.0871687696424</v>
      </c>
      <c r="AR151" s="41">
        <f t="shared" si="70"/>
        <v>0.77115999686560477</v>
      </c>
      <c r="AS151" s="41">
        <f t="shared" si="71"/>
        <v>0.28015999686560467</v>
      </c>
      <c r="AT151" s="64">
        <f t="shared" si="72"/>
        <v>4.1940828289351346</v>
      </c>
      <c r="AU151" s="64">
        <f>APPLICANTS_PER_YEAR*($H151/Segments!$AH$2)*AS151</f>
        <v>11.094335875877945</v>
      </c>
      <c r="AV151" s="64">
        <f t="shared" si="73"/>
        <v>15.288418704813079</v>
      </c>
      <c r="AW151" s="40">
        <f t="shared" si="74"/>
        <v>1513.0871687696426</v>
      </c>
      <c r="AX151" s="65">
        <f t="shared" si="75"/>
        <v>23132.710173030468</v>
      </c>
      <c r="AY151" s="65">
        <f t="shared" si="76"/>
        <v>11828.209429776698</v>
      </c>
      <c r="AZ151" s="65">
        <f t="shared" si="77"/>
        <v>5542.7433977893761</v>
      </c>
    </row>
    <row r="152" spans="1:52" ht="15" customHeight="1" x14ac:dyDescent="0.35">
      <c r="A152" s="61" t="str">
        <f>Segments!$A$132</f>
        <v>Non-greek</v>
      </c>
      <c r="B152" s="61" t="str">
        <f>Segments!$B$132</f>
        <v>Off 3-6mi</v>
      </c>
      <c r="C152" s="61" t="str">
        <f>Segments!$C$132</f>
        <v>Yes</v>
      </c>
      <c r="D152" s="61" t="str">
        <f>Segments!$D$132</f>
        <v>1.0-2.0</v>
      </c>
      <c r="E152" s="61" t="str">
        <f>Segments!$E$132</f>
        <v>Junior</v>
      </c>
      <c r="F152" s="61">
        <f>Segments!$F$132</f>
        <v>2</v>
      </c>
      <c r="G152" s="61" t="str">
        <f>Segments!$G$132</f>
        <v>Base</v>
      </c>
      <c r="H152" s="62">
        <f>Segments!$H$132</f>
        <v>27</v>
      </c>
      <c r="I152" s="63">
        <f>Segments!$Y$132</f>
        <v>778.37078302941904</v>
      </c>
      <c r="J152" s="42">
        <v>2</v>
      </c>
      <c r="K152" s="40">
        <f t="shared" si="39"/>
        <v>1426.2297754450396</v>
      </c>
      <c r="L152" s="40">
        <f t="shared" si="40"/>
        <v>778.37078302941904</v>
      </c>
      <c r="M152" s="40">
        <f t="shared" si="41"/>
        <v>1307.3582413874401</v>
      </c>
      <c r="N152" s="40">
        <f t="shared" si="42"/>
        <v>1365.5010988791735</v>
      </c>
      <c r="O152" s="40">
        <f t="shared" si="43"/>
        <v>1426.2297754450396</v>
      </c>
      <c r="P152" s="41">
        <f t="shared" si="44"/>
        <v>0.82776322676865166</v>
      </c>
      <c r="Q152" s="41">
        <f t="shared" si="45"/>
        <v>0.32776322676865166</v>
      </c>
      <c r="R152" s="64">
        <f t="shared" si="46"/>
        <v>27.316186483365506</v>
      </c>
      <c r="S152" s="64">
        <f>APPLICANTS_PER_YEAR*($H152/Segments!$AH$2)*Q152</f>
        <v>10.619528547304313</v>
      </c>
      <c r="T152" s="64">
        <f t="shared" si="47"/>
        <v>37.935715030669819</v>
      </c>
      <c r="U152" s="40">
        <f t="shared" si="48"/>
        <v>1426.2297754450396</v>
      </c>
      <c r="V152" s="65">
        <f t="shared" si="49"/>
        <v>54105.046329539233</v>
      </c>
      <c r="W152" s="65">
        <f t="shared" si="50"/>
        <v>33071.418478787775</v>
      </c>
      <c r="X152" s="65">
        <f t="shared" si="51"/>
        <v>11780.162344116308</v>
      </c>
      <c r="Y152" s="40">
        <f t="shared" si="52"/>
        <v>1426.2297754450399</v>
      </c>
      <c r="Z152" s="40">
        <f t="shared" si="53"/>
        <v>801.72190652030167</v>
      </c>
      <c r="AA152" s="40">
        <f t="shared" si="54"/>
        <v>1345.3289886290634</v>
      </c>
      <c r="AB152" s="40">
        <f t="shared" si="55"/>
        <v>1405.8131843145786</v>
      </c>
      <c r="AC152" s="40">
        <f t="shared" si="56"/>
        <v>1469.0166687083909</v>
      </c>
      <c r="AD152" s="41">
        <f t="shared" si="57"/>
        <v>0.81852066736213336</v>
      </c>
      <c r="AE152" s="41">
        <f t="shared" si="58"/>
        <v>0.32752066736213326</v>
      </c>
      <c r="AF152" s="64">
        <f t="shared" si="59"/>
        <v>19.326375040611289</v>
      </c>
      <c r="AG152" s="64">
        <f>APPLICANTS_PER_YEAR*($H152/Segments!$AH$2)*AE152</f>
        <v>10.611669622533118</v>
      </c>
      <c r="AH152" s="64">
        <f t="shared" si="60"/>
        <v>29.938044663144407</v>
      </c>
      <c r="AI152" s="40">
        <f t="shared" si="61"/>
        <v>1469.0166687083909</v>
      </c>
      <c r="AJ152" s="65">
        <f t="shared" si="62"/>
        <v>43979.486638695416</v>
      </c>
      <c r="AK152" s="65">
        <f t="shared" si="63"/>
        <v>26882.224594205207</v>
      </c>
      <c r="AL152" s="65">
        <f t="shared" si="64"/>
        <v>9721.7807930811177</v>
      </c>
      <c r="AM152" s="40">
        <f t="shared" si="65"/>
        <v>1469.0166687083911</v>
      </c>
      <c r="AN152" s="40">
        <f t="shared" si="66"/>
        <v>825.77356371591065</v>
      </c>
      <c r="AO152" s="40">
        <f t="shared" si="67"/>
        <v>1384.4388582879353</v>
      </c>
      <c r="AP152" s="40">
        <f t="shared" si="68"/>
        <v>1447.3343333250853</v>
      </c>
      <c r="AQ152" s="40">
        <f t="shared" si="69"/>
        <v>1513.0871687696424</v>
      </c>
      <c r="AR152" s="41">
        <f t="shared" si="70"/>
        <v>0.81828484914280408</v>
      </c>
      <c r="AS152" s="41">
        <f t="shared" si="71"/>
        <v>0.32728484914280398</v>
      </c>
      <c r="AT152" s="64">
        <f t="shared" si="72"/>
        <v>12.525291413582034</v>
      </c>
      <c r="AU152" s="64">
        <f>APPLICANTS_PER_YEAR*($H152/Segments!$AH$2)*AS152</f>
        <v>10.604029112226849</v>
      </c>
      <c r="AV152" s="64">
        <f t="shared" si="73"/>
        <v>23.129320525808883</v>
      </c>
      <c r="AW152" s="40">
        <f t="shared" si="74"/>
        <v>1513.0871687696424</v>
      </c>
      <c r="AX152" s="65">
        <f t="shared" si="75"/>
        <v>34996.678109961736</v>
      </c>
      <c r="AY152" s="65">
        <f t="shared" si="76"/>
        <v>21391.531209355733</v>
      </c>
      <c r="AZ152" s="65">
        <f t="shared" si="77"/>
        <v>7903.6280146485742</v>
      </c>
    </row>
    <row r="153" spans="1:52" ht="15" customHeight="1" x14ac:dyDescent="0.35">
      <c r="A153" s="61" t="str">
        <f>Segments!$A$133</f>
        <v>Non-greek</v>
      </c>
      <c r="B153" s="61" t="str">
        <f>Segments!$B$133</f>
        <v>Off 3-6mi</v>
      </c>
      <c r="C153" s="61" t="str">
        <f>Segments!$C$133</f>
        <v>Yes</v>
      </c>
      <c r="D153" s="61" t="str">
        <f>Segments!$D$133</f>
        <v>1.0-2.0</v>
      </c>
      <c r="E153" s="61" t="str">
        <f>Segments!$E$133</f>
        <v>Senior</v>
      </c>
      <c r="F153" s="61">
        <f>Segments!$F$133</f>
        <v>3</v>
      </c>
      <c r="G153" s="61" t="str">
        <f>Segments!$G$133</f>
        <v>Base</v>
      </c>
      <c r="H153" s="62">
        <f>Segments!$H$133</f>
        <v>25</v>
      </c>
      <c r="I153" s="63">
        <f>Segments!$Y$133</f>
        <v>727.53340736504583</v>
      </c>
      <c r="J153" s="42">
        <v>3</v>
      </c>
      <c r="K153" s="40">
        <f t="shared" ref="K153:K216" si="78">IF($J153=0,M153,CURRENT_FLAT)</f>
        <v>1426.2297754450396</v>
      </c>
      <c r="L153" s="40">
        <f t="shared" ref="L153:L216" si="79">$I153*(1+LOSS_TREND)^0</f>
        <v>727.53340736504583</v>
      </c>
      <c r="M153" s="40">
        <f t="shared" ref="M153:M216" si="80">L153*GROSS_MULT+POLICY_FEE</f>
        <v>1224.6927052930823</v>
      </c>
      <c r="N153" s="40">
        <f t="shared" ref="N153:N216" si="81">M153^MARKET_RISK_WEIGHT*(CURRENT_FLAT*(1+LOSS_TREND)^0)^(1-MARKET_RISK_WEIGHT)</f>
        <v>1321.6252124030211</v>
      </c>
      <c r="O153" s="40">
        <f t="shared" ref="O153:O216" si="82">CURRENT_FLAT*(1+LOSS_TREND)^0</f>
        <v>1426.2297754450396</v>
      </c>
      <c r="P153" s="41">
        <f t="shared" ref="P153:P216" si="83">MEDIAN(RET_FLOOR,BASE_RETENTION-ELAST_MARKET*(O153/N153-1)-ELAST_INCREASE*MAX(O153/K153-1,0),RET_CEIL)</f>
        <v>0.81042578407995747</v>
      </c>
      <c r="Q153" s="41">
        <f t="shared" ref="Q153:Q216" si="84">MEDIAN(CONV_FLOOR,BASE_CONVERSION-ELAST_MARKET*(CURRENT_FLAT*(1+LOSS_TREND)^0/N153-1),CONV_CEIL)</f>
        <v>0.31042578407995747</v>
      </c>
      <c r="R153" s="64">
        <f t="shared" ref="R153:R216" si="85">IF($J153=0,0,IF($J153=4,$H153*GRAD_CONTINUE,$H152)*P153)</f>
        <v>21.881496170158851</v>
      </c>
      <c r="S153" s="64">
        <f>APPLICANTS_PER_YEAR*($H153/Segments!$AH$2)*Q153</f>
        <v>9.3127735223987234</v>
      </c>
      <c r="T153" s="64">
        <f t="shared" ref="T153:T216" si="86">R153+S153</f>
        <v>31.194269692557576</v>
      </c>
      <c r="U153" s="40">
        <f t="shared" ref="U153:U216" si="87">IFERROR((R153*O153+S153*CURRENT_FLAT*(1+LOSS_TREND)^0)/T153,M153)</f>
        <v>1426.2297754450396</v>
      </c>
      <c r="V153" s="65">
        <f t="shared" ref="V153:V216" si="88">R153*O153+S153*CURRENT_FLAT*(1+LOSS_TREND)^0</f>
        <v>44490.196258788397</v>
      </c>
      <c r="W153" s="65">
        <f t="shared" ref="W153:W216" si="89">T153*L153*(1+LAE_RATIO)</f>
        <v>25418.258118053465</v>
      </c>
      <c r="X153" s="65">
        <f t="shared" ref="X153:X216" si="90">R153*O153*(PREMIUM_TAX+OTHER_VARIABLE+COMMISSION_RN)+S153*CURRENT_FLAT*(1+LOSS_TREND)^0*(PREMIUM_TAX+OTHER_VARIABLE+COMMISSION_NB)+T153*FIXED_PER_POLICY+S153*NB_ACQUISITION</f>
        <v>9730.2272459588694</v>
      </c>
      <c r="Y153" s="40">
        <f t="shared" ref="Y153:Y216" si="91">IF($J153=0,AA153,IF($J153=4,U153,U152))</f>
        <v>1426.2297754450396</v>
      </c>
      <c r="Z153" s="40">
        <f t="shared" ref="Z153:Z216" si="92">$I153*(1+LOSS_TREND)^1</f>
        <v>749.35940958599724</v>
      </c>
      <c r="AA153" s="40">
        <f t="shared" ref="AA153:AA216" si="93">Z153*GROSS_MULT+POLICY_FEE</f>
        <v>1260.1834864518748</v>
      </c>
      <c r="AB153" s="40">
        <f t="shared" ref="AB153:AB216" si="94">AA153^MARKET_RISK_WEIGHT*(CURRENT_FLAT*(1+LOSS_TREND)^1)^(1-MARKET_RISK_WEIGHT)</f>
        <v>1360.5993338337553</v>
      </c>
      <c r="AC153" s="40">
        <f t="shared" ref="AC153:AC216" si="95">CURRENT_FLAT*(1+LOSS_TREND)^1</f>
        <v>1469.0166687083909</v>
      </c>
      <c r="AD153" s="41">
        <f t="shared" ref="AD153:AD216" si="96">MEDIAN(RET_FLOOR,BASE_RETENTION-ELAST_MARKET*(AC153/AB153-1)-ELAST_INCREASE*MAX(AC153/Y153-1,0),RET_CEIL)</f>
        <v>0.80115824343778397</v>
      </c>
      <c r="AE153" s="41">
        <f t="shared" ref="AE153:AE216" si="97">MEDIAN(CONV_FLOOR,BASE_CONVERSION-ELAST_MARKET*(CURRENT_FLAT*(1+LOSS_TREND)^1/AB153-1),CONV_CEIL)</f>
        <v>0.31015824343778398</v>
      </c>
      <c r="AF153" s="64">
        <f t="shared" ref="AF153:AF216" si="98">IF($J153=0,0,IF($J153=4,T153*GRAD_CONTINUE,T152)*AD153)</f>
        <v>30.392510817527771</v>
      </c>
      <c r="AG153" s="64">
        <f>APPLICANTS_PER_YEAR*($H153/Segments!$AH$2)*AE153</f>
        <v>9.3047473031335191</v>
      </c>
      <c r="AH153" s="64">
        <f t="shared" ref="AH153:AH216" si="99">AF153+AG153</f>
        <v>39.697258120661289</v>
      </c>
      <c r="AI153" s="40">
        <f t="shared" ref="AI153:AI216" si="100">IFERROR((AF153*AC153+AG153*CURRENT_FLAT*(1+LOSS_TREND)^1)/AH153,AA153)</f>
        <v>1469.0166687083909</v>
      </c>
      <c r="AJ153" s="65">
        <f t="shared" ref="AJ153:AJ216" si="101">AF153*AC153+AG153*CURRENT_FLAT*(1+LOSS_TREND)^1</f>
        <v>58315.933881270961</v>
      </c>
      <c r="AK153" s="65">
        <f t="shared" ref="AK153:AK216" si="102">AH153*Z153*(1+LAE_RATIO)</f>
        <v>33317.21557637948</v>
      </c>
      <c r="AL153" s="65">
        <f t="shared" ref="AL153:AL216" si="103">AF153*AC153*(PREMIUM_TAX+OTHER_VARIABLE+COMMISSION_RN)+AG153*CURRENT_FLAT*(1+LOSS_TREND)^1*(PREMIUM_TAX+OTHER_VARIABLE+COMMISSION_NB)+AH153*FIXED_PER_POLICY+AG153*NB_ACQUISITION</f>
        <v>12526.684359576568</v>
      </c>
      <c r="AM153" s="40">
        <f t="shared" ref="AM153:AM216" si="104">IF($J153=0,AO153,IF($J153=4,AI153,AI152))</f>
        <v>1469.0166687083909</v>
      </c>
      <c r="AN153" s="40">
        <f t="shared" ref="AN153:AN216" si="105">$I153*(1+LOSS_TREND)^2</f>
        <v>771.84019187357706</v>
      </c>
      <c r="AO153" s="40">
        <f t="shared" ref="AO153:AO216" si="106">AN153*GROSS_MULT+POLICY_FEE</f>
        <v>1296.7389910454308</v>
      </c>
      <c r="AP153" s="40">
        <f t="shared" ref="AP153:AP216" si="107">AO153^MARKET_RISK_WEIGHT*(CURRENT_FLAT*(1+LOSS_TREND)^2)^(1-MARKET_RISK_WEIGHT)</f>
        <v>1400.7423491114039</v>
      </c>
      <c r="AQ153" s="40">
        <f t="shared" ref="AQ153:AQ216" si="108">CURRENT_FLAT*(1+LOSS_TREND)^2</f>
        <v>1513.0871687696424</v>
      </c>
      <c r="AR153" s="41">
        <f t="shared" ref="AR153:AR216" si="109">MEDIAN(RET_FLOOR,BASE_RETENTION-ELAST_MARKET*(AQ153/AP153-1)-ELAST_INCREASE*MAX(AQ153/AM153-1,0),RET_CEIL)</f>
        <v>0.80089811412159162</v>
      </c>
      <c r="AS153" s="41">
        <f t="shared" ref="AS153:AS216" si="110">MEDIAN(CONV_FLOOR,BASE_CONVERSION-ELAST_MARKET*(CURRENT_FLAT*(1+LOSS_TREND)^2/AP153-1),CONV_CEIL)</f>
        <v>0.30989811412159152</v>
      </c>
      <c r="AT153" s="64">
        <f t="shared" ref="AT153:AT216" si="111">IF($J153=0,0,IF($J153=4,AH153*GRAD_CONTINUE,AH152)*AR153)</f>
        <v>23.977323511200336</v>
      </c>
      <c r="AU153" s="64">
        <f>APPLICANTS_PER_YEAR*($H153/Segments!$AH$2)*AS153</f>
        <v>9.2969434236477451</v>
      </c>
      <c r="AV153" s="64">
        <f t="shared" ref="AV153:AV216" si="112">AT153+AU153</f>
        <v>33.274266934848079</v>
      </c>
      <c r="AW153" s="40">
        <f t="shared" ref="AW153:AW216" si="113">IFERROR((AT153*AQ153+AU153*CURRENT_FLAT*(1+LOSS_TREND)^2)/AV153,AO153)</f>
        <v>1513.0871687696424</v>
      </c>
      <c r="AX153" s="65">
        <f t="shared" ref="AX153:AX216" si="114">AT153*AQ153+AU153*CURRENT_FLAT*(1+LOSS_TREND)^2</f>
        <v>50346.86634933461</v>
      </c>
      <c r="AY153" s="65">
        <f t="shared" ref="AY153:AY216" si="115">AV153*AN153*(1+LAE_RATIO)</f>
        <v>28764.306564499257</v>
      </c>
      <c r="AZ153" s="65">
        <f t="shared" ref="AZ153:AZ216" si="116">AT153*AQ153*(PREMIUM_TAX+OTHER_VARIABLE+COMMISSION_RN)+AU153*CURRENT_FLAT*(1+LOSS_TREND)^2*(PREMIUM_TAX+OTHER_VARIABLE+COMMISSION_NB)+AV153*FIXED_PER_POLICY+AU153*NB_ACQUISITION</f>
        <v>10905.814667420851</v>
      </c>
    </row>
    <row r="154" spans="1:52" ht="15" customHeight="1" x14ac:dyDescent="0.35">
      <c r="A154" s="61" t="str">
        <f>Segments!$A$134</f>
        <v>Non-greek</v>
      </c>
      <c r="B154" s="61" t="str">
        <f>Segments!$B$134</f>
        <v>Off 3-6mi</v>
      </c>
      <c r="C154" s="61" t="str">
        <f>Segments!$C$134</f>
        <v>Yes</v>
      </c>
      <c r="D154" s="61" t="str">
        <f>Segments!$D$134</f>
        <v>1.0-2.0</v>
      </c>
      <c r="E154" s="61" t="str">
        <f>Segments!$E$134</f>
        <v>Grad student</v>
      </c>
      <c r="F154" s="61">
        <f>Segments!$F$134</f>
        <v>3</v>
      </c>
      <c r="G154" s="61" t="str">
        <f>Segments!$G$134</f>
        <v>Grad</v>
      </c>
      <c r="H154" s="62">
        <f>Segments!$H$134</f>
        <v>13</v>
      </c>
      <c r="I154" s="63">
        <f>Segments!$Y$134</f>
        <v>866.25978812087692</v>
      </c>
      <c r="J154" s="42">
        <v>4</v>
      </c>
      <c r="K154" s="40">
        <f t="shared" si="78"/>
        <v>1426.2297754450396</v>
      </c>
      <c r="L154" s="40">
        <f t="shared" si="79"/>
        <v>866.25978812087692</v>
      </c>
      <c r="M154" s="40">
        <f t="shared" si="80"/>
        <v>1450.2726154623531</v>
      </c>
      <c r="N154" s="40">
        <f t="shared" si="81"/>
        <v>1438.2009549033689</v>
      </c>
      <c r="O154" s="40">
        <f t="shared" si="82"/>
        <v>1426.2297754450396</v>
      </c>
      <c r="P154" s="41">
        <f t="shared" si="83"/>
        <v>0.85416185909817233</v>
      </c>
      <c r="Q154" s="41">
        <f t="shared" si="84"/>
        <v>0.35416185909817227</v>
      </c>
      <c r="R154" s="64">
        <f t="shared" si="85"/>
        <v>5.5520520841381202</v>
      </c>
      <c r="S154" s="64">
        <f>APPLICANTS_PER_YEAR*($H154/Segments!$AH$2)*Q154</f>
        <v>5.5249250019314875</v>
      </c>
      <c r="T154" s="64">
        <f t="shared" si="86"/>
        <v>11.076977086069608</v>
      </c>
      <c r="U154" s="40">
        <f t="shared" si="87"/>
        <v>1426.2297754450396</v>
      </c>
      <c r="V154" s="65">
        <f t="shared" si="88"/>
        <v>15798.314542074906</v>
      </c>
      <c r="W154" s="65">
        <f t="shared" si="89"/>
        <v>10747.004602430283</v>
      </c>
      <c r="X154" s="65">
        <f t="shared" si="90"/>
        <v>3621.3375542917765</v>
      </c>
      <c r="Y154" s="40">
        <f t="shared" si="91"/>
        <v>1426.2297754450396</v>
      </c>
      <c r="Z154" s="40">
        <f t="shared" si="92"/>
        <v>892.24758176450325</v>
      </c>
      <c r="AA154" s="40">
        <f t="shared" si="93"/>
        <v>1492.5307939262239</v>
      </c>
      <c r="AB154" s="40">
        <f t="shared" si="94"/>
        <v>1480.7270561579508</v>
      </c>
      <c r="AC154" s="40">
        <f t="shared" si="95"/>
        <v>1469.0166687083909</v>
      </c>
      <c r="AD154" s="41">
        <f t="shared" si="96"/>
        <v>0.84495426942489482</v>
      </c>
      <c r="AE154" s="41">
        <f t="shared" si="97"/>
        <v>0.35395426942489483</v>
      </c>
      <c r="AF154" s="64">
        <f t="shared" si="98"/>
        <v>4.679769540598123</v>
      </c>
      <c r="AG154" s="64">
        <f>APPLICANTS_PER_YEAR*($H154/Segments!$AH$2)*AE154</f>
        <v>5.5216866030283596</v>
      </c>
      <c r="AH154" s="64">
        <f t="shared" si="99"/>
        <v>10.201456143626483</v>
      </c>
      <c r="AI154" s="40">
        <f t="shared" si="100"/>
        <v>1469.0166687083906</v>
      </c>
      <c r="AJ154" s="65">
        <f t="shared" si="101"/>
        <v>14986.109120084922</v>
      </c>
      <c r="AK154" s="65">
        <f t="shared" si="102"/>
        <v>10194.49152358265</v>
      </c>
      <c r="AL154" s="65">
        <f t="shared" si="103"/>
        <v>3458.3466497174254</v>
      </c>
      <c r="AM154" s="40">
        <f t="shared" si="104"/>
        <v>1469.0166687083906</v>
      </c>
      <c r="AN154" s="40">
        <f t="shared" si="105"/>
        <v>919.01500921743832</v>
      </c>
      <c r="AO154" s="40">
        <f t="shared" si="106"/>
        <v>1536.0567177440105</v>
      </c>
      <c r="AP154" s="40">
        <f t="shared" si="107"/>
        <v>1524.5286845844767</v>
      </c>
      <c r="AQ154" s="40">
        <f t="shared" si="108"/>
        <v>1513.0871687696424</v>
      </c>
      <c r="AR154" s="41">
        <f t="shared" si="109"/>
        <v>0.84475247639828843</v>
      </c>
      <c r="AS154" s="41">
        <f t="shared" si="110"/>
        <v>0.3537524763982885</v>
      </c>
      <c r="AT154" s="64">
        <f t="shared" si="111"/>
        <v>4.3088526700985028</v>
      </c>
      <c r="AU154" s="64">
        <f>APPLICANTS_PER_YEAR*($H154/Segments!$AH$2)*AS154</f>
        <v>5.5185386318133007</v>
      </c>
      <c r="AV154" s="64">
        <f t="shared" si="112"/>
        <v>9.8273913019118027</v>
      </c>
      <c r="AW154" s="40">
        <f t="shared" si="113"/>
        <v>1513.0871687696426</v>
      </c>
      <c r="AX154" s="65">
        <f t="shared" si="114"/>
        <v>14869.699681401142</v>
      </c>
      <c r="AY154" s="65">
        <f t="shared" si="115"/>
        <v>10115.30252085903</v>
      </c>
      <c r="AZ154" s="65">
        <f t="shared" si="116"/>
        <v>3437.1355814138542</v>
      </c>
    </row>
    <row r="155" spans="1:52" ht="15" customHeight="1" x14ac:dyDescent="0.35">
      <c r="A155" s="59" t="str">
        <f>Segments!$A$135</f>
        <v>Non-greek</v>
      </c>
      <c r="B155" s="59" t="str">
        <f>Segments!$B$135</f>
        <v>Off 3-6mi</v>
      </c>
      <c r="C155" s="59" t="str">
        <f>Segments!$C$135</f>
        <v>Yes</v>
      </c>
      <c r="D155" s="59" t="str">
        <f>Segments!$D$135</f>
        <v>2.0-3.0</v>
      </c>
      <c r="E155" s="59" t="str">
        <f>Segments!$E$135</f>
        <v>Freshman</v>
      </c>
      <c r="F155" s="59">
        <f>Segments!$F$135</f>
        <v>1</v>
      </c>
      <c r="G155" s="59" t="str">
        <f>Segments!$G$135</f>
        <v>Base</v>
      </c>
      <c r="H155" s="60">
        <f>Segments!$H$135</f>
        <v>46</v>
      </c>
      <c r="I155" s="26">
        <f>Segments!$Y$135</f>
        <v>646.42328889037287</v>
      </c>
      <c r="J155" s="29">
        <v>0</v>
      </c>
      <c r="K155" s="14">
        <f t="shared" si="78"/>
        <v>1092.8013293366992</v>
      </c>
      <c r="L155" s="14">
        <f t="shared" si="79"/>
        <v>646.42328889037287</v>
      </c>
      <c r="M155" s="14">
        <f t="shared" si="80"/>
        <v>1092.8013293366992</v>
      </c>
      <c r="N155" s="14">
        <f t="shared" si="81"/>
        <v>1248.433336043988</v>
      </c>
      <c r="O155" s="14">
        <f t="shared" si="82"/>
        <v>1426.2297754450396</v>
      </c>
      <c r="P155" s="33">
        <f t="shared" si="83"/>
        <v>0.68725812513964135</v>
      </c>
      <c r="Q155" s="33">
        <f t="shared" si="84"/>
        <v>0.27879217725615624</v>
      </c>
      <c r="R155" s="51">
        <f t="shared" si="85"/>
        <v>0</v>
      </c>
      <c r="S155" s="51">
        <f>APPLICANTS_PER_YEAR*($H155/Segments!$AH$2)*Q155</f>
        <v>15.389328184539822</v>
      </c>
      <c r="T155" s="51">
        <f t="shared" si="86"/>
        <v>15.389328184539822</v>
      </c>
      <c r="U155" s="14">
        <f t="shared" si="87"/>
        <v>1426.2297754450396</v>
      </c>
      <c r="V155" s="44">
        <f t="shared" si="88"/>
        <v>21948.71808088625</v>
      </c>
      <c r="W155" s="44">
        <f t="shared" si="89"/>
        <v>11141.78255552717</v>
      </c>
      <c r="X155" s="44">
        <f t="shared" si="90"/>
        <v>5609.0326184228115</v>
      </c>
      <c r="Y155" s="14">
        <f t="shared" si="91"/>
        <v>1124.3353692168002</v>
      </c>
      <c r="Z155" s="14">
        <f t="shared" si="92"/>
        <v>665.8159875570841</v>
      </c>
      <c r="AA155" s="14">
        <f t="shared" si="93"/>
        <v>1124.3353692168002</v>
      </c>
      <c r="AB155" s="14">
        <f t="shared" si="94"/>
        <v>1285.1721280038259</v>
      </c>
      <c r="AC155" s="14">
        <f t="shared" si="95"/>
        <v>1469.0166687083909</v>
      </c>
      <c r="AD155" s="33">
        <f t="shared" si="96"/>
        <v>0.68650539307587644</v>
      </c>
      <c r="AE155" s="33">
        <f t="shared" si="97"/>
        <v>0.27847474019292706</v>
      </c>
      <c r="AF155" s="51">
        <f t="shared" si="98"/>
        <v>0</v>
      </c>
      <c r="AG155" s="51">
        <f>APPLICANTS_PER_YEAR*($H155/Segments!$AH$2)*AE155</f>
        <v>15.371805658649572</v>
      </c>
      <c r="AH155" s="51">
        <f t="shared" si="99"/>
        <v>15.371805658649572</v>
      </c>
      <c r="AI155" s="14">
        <f t="shared" si="100"/>
        <v>1469.0166687083909</v>
      </c>
      <c r="AJ155" s="44">
        <f t="shared" si="101"/>
        <v>22581.438740702186</v>
      </c>
      <c r="AK155" s="44">
        <f t="shared" si="102"/>
        <v>11462.969240967259</v>
      </c>
      <c r="AL155" s="44">
        <f t="shared" si="103"/>
        <v>5749.9735325565198</v>
      </c>
      <c r="AM155" s="14">
        <f t="shared" si="104"/>
        <v>1156.8154302933042</v>
      </c>
      <c r="AN155" s="14">
        <f t="shared" si="105"/>
        <v>685.79046718379652</v>
      </c>
      <c r="AO155" s="14">
        <f t="shared" si="106"/>
        <v>1156.8154302933042</v>
      </c>
      <c r="AP155" s="14">
        <f t="shared" si="107"/>
        <v>1323.0126923848959</v>
      </c>
      <c r="AQ155" s="14">
        <f t="shared" si="108"/>
        <v>1513.0871687696424</v>
      </c>
      <c r="AR155" s="33">
        <f t="shared" si="109"/>
        <v>0.68577315134832795</v>
      </c>
      <c r="AS155" s="33">
        <f t="shared" si="110"/>
        <v>0.27816604198932005</v>
      </c>
      <c r="AT155" s="51">
        <f t="shared" si="111"/>
        <v>0</v>
      </c>
      <c r="AU155" s="51">
        <f>APPLICANTS_PER_YEAR*($H155/Segments!$AH$2)*AS155</f>
        <v>15.354765517810465</v>
      </c>
      <c r="AV155" s="51">
        <f t="shared" si="112"/>
        <v>15.354765517810465</v>
      </c>
      <c r="AW155" s="14">
        <f t="shared" si="113"/>
        <v>1513.0871687696426</v>
      </c>
      <c r="AX155" s="44">
        <f t="shared" si="114"/>
        <v>23233.098684465571</v>
      </c>
      <c r="AY155" s="44">
        <f t="shared" si="115"/>
        <v>11793.770036111717</v>
      </c>
      <c r="AZ155" s="44">
        <f t="shared" si="116"/>
        <v>5895.1785536217594</v>
      </c>
    </row>
    <row r="156" spans="1:52" ht="15" customHeight="1" x14ac:dyDescent="0.35">
      <c r="A156" s="59" t="str">
        <f>Segments!$A$136</f>
        <v>Non-greek</v>
      </c>
      <c r="B156" s="59" t="str">
        <f>Segments!$B$136</f>
        <v>Off 3-6mi</v>
      </c>
      <c r="C156" s="59" t="str">
        <f>Segments!$C$136</f>
        <v>Yes</v>
      </c>
      <c r="D156" s="59" t="str">
        <f>Segments!$D$136</f>
        <v>2.0-3.0</v>
      </c>
      <c r="E156" s="59" t="str">
        <f>Segments!$E$136</f>
        <v>Sophomore</v>
      </c>
      <c r="F156" s="59">
        <f>Segments!$F$136</f>
        <v>1</v>
      </c>
      <c r="G156" s="59" t="str">
        <f>Segments!$G$136</f>
        <v>Sophomore</v>
      </c>
      <c r="H156" s="60">
        <f>Segments!$H$136</f>
        <v>52</v>
      </c>
      <c r="I156" s="26">
        <f>Segments!$Y$136</f>
        <v>639.84673531364251</v>
      </c>
      <c r="J156" s="29">
        <v>1</v>
      </c>
      <c r="K156" s="14">
        <f t="shared" si="78"/>
        <v>1426.2297754450396</v>
      </c>
      <c r="L156" s="14">
        <f t="shared" si="79"/>
        <v>639.84673531364251</v>
      </c>
      <c r="M156" s="14">
        <f t="shared" si="80"/>
        <v>1082.1073405151112</v>
      </c>
      <c r="N156" s="14">
        <f t="shared" si="81"/>
        <v>1242.3098282112624</v>
      </c>
      <c r="O156" s="14">
        <f t="shared" si="82"/>
        <v>1426.2297754450396</v>
      </c>
      <c r="P156" s="33">
        <f t="shared" si="83"/>
        <v>0.77597661909404914</v>
      </c>
      <c r="Q156" s="33">
        <f t="shared" si="84"/>
        <v>0.27597661909404914</v>
      </c>
      <c r="R156" s="51">
        <f t="shared" si="85"/>
        <v>35.694924478326257</v>
      </c>
      <c r="S156" s="51">
        <f>APPLICANTS_PER_YEAR*($H156/Segments!$AH$2)*Q156</f>
        <v>17.220941031468666</v>
      </c>
      <c r="T156" s="51">
        <f t="shared" si="86"/>
        <v>52.915865509794926</v>
      </c>
      <c r="U156" s="14">
        <f t="shared" si="87"/>
        <v>1426.2297754450396</v>
      </c>
      <c r="V156" s="44">
        <f t="shared" si="88"/>
        <v>75470.182983514736</v>
      </c>
      <c r="W156" s="44">
        <f t="shared" si="89"/>
        <v>37921.009047866632</v>
      </c>
      <c r="X156" s="44">
        <f t="shared" si="90"/>
        <v>16612.341079976133</v>
      </c>
      <c r="Y156" s="14">
        <f t="shared" si="91"/>
        <v>1426.2297754450396</v>
      </c>
      <c r="Z156" s="14">
        <f t="shared" si="92"/>
        <v>659.04213737305179</v>
      </c>
      <c r="AA156" s="14">
        <f t="shared" si="93"/>
        <v>1113.3205607305645</v>
      </c>
      <c r="AB156" s="14">
        <f t="shared" si="94"/>
        <v>1278.8613925398527</v>
      </c>
      <c r="AC156" s="14">
        <f t="shared" si="95"/>
        <v>1469.0166687083909</v>
      </c>
      <c r="AD156" s="33">
        <f t="shared" si="96"/>
        <v>0.76665446213413135</v>
      </c>
      <c r="AE156" s="33">
        <f t="shared" si="97"/>
        <v>0.27565446213413136</v>
      </c>
      <c r="AF156" s="51">
        <f t="shared" si="98"/>
        <v>11.798297121924005</v>
      </c>
      <c r="AG156" s="51">
        <f>APPLICANTS_PER_YEAR*($H156/Segments!$AH$2)*AE156</f>
        <v>17.200838437169796</v>
      </c>
      <c r="AH156" s="51">
        <f t="shared" si="99"/>
        <v>28.999135559093801</v>
      </c>
      <c r="AI156" s="14">
        <f t="shared" si="100"/>
        <v>1469.0166687083911</v>
      </c>
      <c r="AJ156" s="44">
        <f t="shared" si="101"/>
        <v>42600.213514443021</v>
      </c>
      <c r="AK156" s="44">
        <f t="shared" si="102"/>
        <v>21405.050554536378</v>
      </c>
      <c r="AL156" s="44">
        <f t="shared" si="103"/>
        <v>9945.8351696395366</v>
      </c>
      <c r="AM156" s="14">
        <f t="shared" si="104"/>
        <v>1469.0166687083909</v>
      </c>
      <c r="AN156" s="14">
        <f t="shared" si="105"/>
        <v>678.81340149424329</v>
      </c>
      <c r="AO156" s="14">
        <f t="shared" si="106"/>
        <v>1145.4701775524813</v>
      </c>
      <c r="AP156" s="14">
        <f t="shared" si="107"/>
        <v>1316.5091066388202</v>
      </c>
      <c r="AQ156" s="14">
        <f t="shared" si="108"/>
        <v>1513.0871687696424</v>
      </c>
      <c r="AR156" s="33">
        <f t="shared" si="109"/>
        <v>0.76634116887626191</v>
      </c>
      <c r="AS156" s="33">
        <f t="shared" si="110"/>
        <v>0.27534116887626181</v>
      </c>
      <c r="AT156" s="51">
        <f t="shared" si="111"/>
        <v>11.780047516188251</v>
      </c>
      <c r="AU156" s="51">
        <f>APPLICANTS_PER_YEAR*($H156/Segments!$AH$2)*AS156</f>
        <v>17.181288937878737</v>
      </c>
      <c r="AV156" s="51">
        <f t="shared" si="112"/>
        <v>28.961336454066988</v>
      </c>
      <c r="AW156" s="14">
        <f t="shared" si="113"/>
        <v>1513.0871687696424</v>
      </c>
      <c r="AX156" s="44">
        <f t="shared" si="114"/>
        <v>43821.02657906925</v>
      </c>
      <c r="AY156" s="44">
        <f t="shared" si="115"/>
        <v>22018.464507428977</v>
      </c>
      <c r="AZ156" s="44">
        <f t="shared" si="116"/>
        <v>10200.82055019138</v>
      </c>
    </row>
    <row r="157" spans="1:52" ht="15" customHeight="1" x14ac:dyDescent="0.35">
      <c r="A157" s="59" t="str">
        <f>Segments!$A$137</f>
        <v>Non-greek</v>
      </c>
      <c r="B157" s="59" t="str">
        <f>Segments!$B$137</f>
        <v>Off 3-6mi</v>
      </c>
      <c r="C157" s="59" t="str">
        <f>Segments!$C$137</f>
        <v>Yes</v>
      </c>
      <c r="D157" s="59" t="str">
        <f>Segments!$D$137</f>
        <v>2.0-3.0</v>
      </c>
      <c r="E157" s="59" t="str">
        <f>Segments!$E$137</f>
        <v>Junior</v>
      </c>
      <c r="F157" s="59">
        <f>Segments!$F$137</f>
        <v>2</v>
      </c>
      <c r="G157" s="59" t="str">
        <f>Segments!$G$137</f>
        <v>Base</v>
      </c>
      <c r="H157" s="60">
        <f>Segments!$H$137</f>
        <v>38</v>
      </c>
      <c r="I157" s="26">
        <f>Segments!$Y$137</f>
        <v>764.88918275935407</v>
      </c>
      <c r="J157" s="29">
        <v>2</v>
      </c>
      <c r="K157" s="14">
        <f t="shared" si="78"/>
        <v>1426.2297754450396</v>
      </c>
      <c r="L157" s="14">
        <f t="shared" si="79"/>
        <v>764.88918275935407</v>
      </c>
      <c r="M157" s="14">
        <f t="shared" si="80"/>
        <v>1285.4361083274566</v>
      </c>
      <c r="N157" s="14">
        <f t="shared" si="81"/>
        <v>1354.0041551372042</v>
      </c>
      <c r="O157" s="14">
        <f t="shared" si="82"/>
        <v>1426.2297754450396</v>
      </c>
      <c r="P157" s="33">
        <f t="shared" si="83"/>
        <v>0.82332887789383602</v>
      </c>
      <c r="Q157" s="33">
        <f t="shared" si="84"/>
        <v>0.32332887789383602</v>
      </c>
      <c r="R157" s="51">
        <f t="shared" si="85"/>
        <v>42.813101650479474</v>
      </c>
      <c r="S157" s="51">
        <f>APPLICANTS_PER_YEAR*($H157/Segments!$AH$2)*Q157</f>
        <v>14.743796831958923</v>
      </c>
      <c r="T157" s="51">
        <f t="shared" si="86"/>
        <v>57.556898482438399</v>
      </c>
      <c r="U157" s="14">
        <f t="shared" si="87"/>
        <v>1426.2297754450399</v>
      </c>
      <c r="V157" s="44">
        <f t="shared" si="88"/>
        <v>82089.362397921068</v>
      </c>
      <c r="W157" s="44">
        <f t="shared" si="89"/>
        <v>49307.60692748287</v>
      </c>
      <c r="X157" s="44">
        <f t="shared" si="90"/>
        <v>17770.603855224643</v>
      </c>
      <c r="Y157" s="14">
        <f t="shared" si="91"/>
        <v>1426.2297754450396</v>
      </c>
      <c r="Z157" s="14">
        <f t="shared" si="92"/>
        <v>787.83585824213469</v>
      </c>
      <c r="AA157" s="14">
        <f t="shared" si="93"/>
        <v>1322.7491915772803</v>
      </c>
      <c r="AB157" s="14">
        <f t="shared" si="94"/>
        <v>1393.9657854293171</v>
      </c>
      <c r="AC157" s="14">
        <f t="shared" si="95"/>
        <v>1469.0166687083909</v>
      </c>
      <c r="AD157" s="33">
        <f t="shared" si="96"/>
        <v>0.8140800841514344</v>
      </c>
      <c r="AE157" s="33">
        <f t="shared" si="97"/>
        <v>0.32308008415143441</v>
      </c>
      <c r="AF157" s="51">
        <f t="shared" si="98"/>
        <v>43.077752247159836</v>
      </c>
      <c r="AG157" s="51">
        <f>APPLICANTS_PER_YEAR*($H157/Segments!$AH$2)*AE157</f>
        <v>14.73245183730541</v>
      </c>
      <c r="AH157" s="51">
        <f t="shared" si="99"/>
        <v>57.810204084465248</v>
      </c>
      <c r="AI157" s="14">
        <f t="shared" si="100"/>
        <v>1469.0166687083909</v>
      </c>
      <c r="AJ157" s="44">
        <f t="shared" si="101"/>
        <v>84924.153421513343</v>
      </c>
      <c r="AK157" s="44">
        <f t="shared" si="102"/>
        <v>51010.345960042163</v>
      </c>
      <c r="AL157" s="44">
        <f t="shared" si="103"/>
        <v>18332.657980486048</v>
      </c>
      <c r="AM157" s="14">
        <f t="shared" si="104"/>
        <v>1469.0166687083911</v>
      </c>
      <c r="AN157" s="14">
        <f t="shared" si="105"/>
        <v>811.47093398939865</v>
      </c>
      <c r="AO157" s="14">
        <f t="shared" si="106"/>
        <v>1361.1816673245985</v>
      </c>
      <c r="AP157" s="14">
        <f t="shared" si="107"/>
        <v>1435.1259579539765</v>
      </c>
      <c r="AQ157" s="14">
        <f t="shared" si="108"/>
        <v>1513.0871687696424</v>
      </c>
      <c r="AR157" s="33">
        <f t="shared" si="109"/>
        <v>0.81383819918956346</v>
      </c>
      <c r="AS157" s="33">
        <f t="shared" si="110"/>
        <v>0.32283819918956336</v>
      </c>
      <c r="AT157" s="51">
        <f t="shared" si="111"/>
        <v>23.600604261466934</v>
      </c>
      <c r="AU157" s="51">
        <f>APPLICANTS_PER_YEAR*($H157/Segments!$AH$2)*AS157</f>
        <v>14.721421883044089</v>
      </c>
      <c r="AV157" s="51">
        <f t="shared" si="112"/>
        <v>38.322026144511021</v>
      </c>
      <c r="AW157" s="14">
        <f t="shared" si="113"/>
        <v>1513.0871687696426</v>
      </c>
      <c r="AX157" s="44">
        <f t="shared" si="114"/>
        <v>57984.566040514401</v>
      </c>
      <c r="AY157" s="44">
        <f t="shared" si="115"/>
        <v>34828.87558959482</v>
      </c>
      <c r="AZ157" s="44">
        <f t="shared" si="116"/>
        <v>12873.176861128295</v>
      </c>
    </row>
    <row r="158" spans="1:52" ht="15" customHeight="1" x14ac:dyDescent="0.35">
      <c r="A158" s="59" t="str">
        <f>Segments!$A$138</f>
        <v>Non-greek</v>
      </c>
      <c r="B158" s="59" t="str">
        <f>Segments!$B$138</f>
        <v>Off 3-6mi</v>
      </c>
      <c r="C158" s="59" t="str">
        <f>Segments!$C$138</f>
        <v>Yes</v>
      </c>
      <c r="D158" s="59" t="str">
        <f>Segments!$D$138</f>
        <v>2.0-3.0</v>
      </c>
      <c r="E158" s="59" t="str">
        <f>Segments!$E$138</f>
        <v>Senior</v>
      </c>
      <c r="F158" s="59">
        <f>Segments!$F$138</f>
        <v>3</v>
      </c>
      <c r="G158" s="59" t="str">
        <f>Segments!$G$138</f>
        <v>Base</v>
      </c>
      <c r="H158" s="60">
        <f>Segments!$H$138</f>
        <v>44</v>
      </c>
      <c r="I158" s="26">
        <f>Segments!$Y$138</f>
        <v>714.9323246997385</v>
      </c>
      <c r="J158" s="29">
        <v>3</v>
      </c>
      <c r="K158" s="14">
        <f t="shared" si="78"/>
        <v>1426.2297754450396</v>
      </c>
      <c r="L158" s="14">
        <f t="shared" si="79"/>
        <v>714.9323246997385</v>
      </c>
      <c r="M158" s="14">
        <f t="shared" si="80"/>
        <v>1204.20236250328</v>
      </c>
      <c r="N158" s="14">
        <f t="shared" si="81"/>
        <v>1310.5225160459622</v>
      </c>
      <c r="O158" s="14">
        <f t="shared" si="82"/>
        <v>1426.2297754450396</v>
      </c>
      <c r="P158" s="33">
        <f t="shared" si="83"/>
        <v>0.80585453207313706</v>
      </c>
      <c r="Q158" s="33">
        <f t="shared" si="84"/>
        <v>0.30585453207313706</v>
      </c>
      <c r="R158" s="51">
        <f t="shared" si="85"/>
        <v>30.622472218779208</v>
      </c>
      <c r="S158" s="51">
        <f>APPLICANTS_PER_YEAR*($H158/Segments!$AH$2)*Q158</f>
        <v>16.149119293461638</v>
      </c>
      <c r="T158" s="51">
        <f t="shared" si="86"/>
        <v>46.771591512240846</v>
      </c>
      <c r="U158" s="14">
        <f t="shared" si="87"/>
        <v>1426.2297754450394</v>
      </c>
      <c r="V158" s="44">
        <f t="shared" si="88"/>
        <v>66707.036459710376</v>
      </c>
      <c r="W158" s="44">
        <f t="shared" si="89"/>
        <v>37451.145367723257</v>
      </c>
      <c r="X158" s="44">
        <f t="shared" si="90"/>
        <v>14752.922120890835</v>
      </c>
      <c r="Y158" s="14">
        <f t="shared" si="91"/>
        <v>1426.2297754450399</v>
      </c>
      <c r="Z158" s="14">
        <f t="shared" si="92"/>
        <v>736.38029444073072</v>
      </c>
      <c r="AA158" s="14">
        <f t="shared" si="93"/>
        <v>1239.0784333783786</v>
      </c>
      <c r="AB158" s="14">
        <f t="shared" si="94"/>
        <v>1349.1578382346215</v>
      </c>
      <c r="AC158" s="14">
        <f t="shared" si="95"/>
        <v>1469.0166687083909</v>
      </c>
      <c r="AD158" s="33">
        <f t="shared" si="96"/>
        <v>0.79658013040542208</v>
      </c>
      <c r="AE158" s="33">
        <f t="shared" si="97"/>
        <v>0.30558013040542198</v>
      </c>
      <c r="AF158" s="51">
        <f t="shared" si="98"/>
        <v>45.848681698872419</v>
      </c>
      <c r="AG158" s="51">
        <f>APPLICANTS_PER_YEAR*($H158/Segments!$AH$2)*AE158</f>
        <v>16.134630885406281</v>
      </c>
      <c r="AH158" s="51">
        <f t="shared" si="99"/>
        <v>61.9833125842787</v>
      </c>
      <c r="AI158" s="14">
        <f t="shared" si="100"/>
        <v>1469.0166687083906</v>
      </c>
      <c r="AJ158" s="44">
        <f t="shared" si="101"/>
        <v>91054.519368067966</v>
      </c>
      <c r="AK158" s="44">
        <f t="shared" si="102"/>
        <v>51120.484767769762</v>
      </c>
      <c r="AL158" s="44">
        <f t="shared" si="103"/>
        <v>19681.907644379746</v>
      </c>
      <c r="AM158" s="14">
        <f t="shared" si="104"/>
        <v>1469.0166687083909</v>
      </c>
      <c r="AN158" s="14">
        <f t="shared" si="105"/>
        <v>758.47170327395258</v>
      </c>
      <c r="AO158" s="14">
        <f t="shared" si="106"/>
        <v>1275.00078637973</v>
      </c>
      <c r="AP158" s="14">
        <f t="shared" si="107"/>
        <v>1388.9518818311792</v>
      </c>
      <c r="AQ158" s="14">
        <f t="shared" si="108"/>
        <v>1513.0871687696424</v>
      </c>
      <c r="AR158" s="33">
        <f t="shared" si="109"/>
        <v>0.79631332346272343</v>
      </c>
      <c r="AS158" s="33">
        <f t="shared" si="110"/>
        <v>0.30531332346272333</v>
      </c>
      <c r="AT158" s="51">
        <f t="shared" si="111"/>
        <v>46.035035744558833</v>
      </c>
      <c r="AU158" s="51">
        <f>APPLICANTS_PER_YEAR*($H158/Segments!$AH$2)*AS158</f>
        <v>16.120543478831792</v>
      </c>
      <c r="AV158" s="51">
        <f t="shared" si="112"/>
        <v>62.155579223390625</v>
      </c>
      <c r="AW158" s="14">
        <f t="shared" si="113"/>
        <v>1513.0871687696424</v>
      </c>
      <c r="AX158" s="44">
        <f t="shared" si="114"/>
        <v>94046.809390357332</v>
      </c>
      <c r="AY158" s="44">
        <f t="shared" si="115"/>
        <v>52800.437806529495</v>
      </c>
      <c r="AZ158" s="44">
        <f t="shared" si="116"/>
        <v>20274.684708415618</v>
      </c>
    </row>
    <row r="159" spans="1:52" ht="15" customHeight="1" x14ac:dyDescent="0.35">
      <c r="A159" s="59" t="str">
        <f>Segments!$A$139</f>
        <v>Non-greek</v>
      </c>
      <c r="B159" s="59" t="str">
        <f>Segments!$B$139</f>
        <v>Off 3-6mi</v>
      </c>
      <c r="C159" s="59" t="str">
        <f>Segments!$C$139</f>
        <v>Yes</v>
      </c>
      <c r="D159" s="59" t="str">
        <f>Segments!$D$139</f>
        <v>2.0-3.0</v>
      </c>
      <c r="E159" s="59" t="str">
        <f>Segments!$E$139</f>
        <v>Grad student</v>
      </c>
      <c r="F159" s="59">
        <f>Segments!$F$139</f>
        <v>3</v>
      </c>
      <c r="G159" s="59" t="str">
        <f>Segments!$G$139</f>
        <v>Grad</v>
      </c>
      <c r="H159" s="60">
        <f>Segments!$H$139</f>
        <v>19</v>
      </c>
      <c r="I159" s="26">
        <f>Segments!$Y$139</f>
        <v>851.25592563258613</v>
      </c>
      <c r="J159" s="29">
        <v>4</v>
      </c>
      <c r="K159" s="14">
        <f t="shared" si="78"/>
        <v>1426.2297754450396</v>
      </c>
      <c r="L159" s="14">
        <f t="shared" si="79"/>
        <v>851.25592563258613</v>
      </c>
      <c r="M159" s="14">
        <f t="shared" si="80"/>
        <v>1425.8751653605025</v>
      </c>
      <c r="N159" s="14">
        <f t="shared" si="81"/>
        <v>1426.0524593803582</v>
      </c>
      <c r="O159" s="14">
        <f t="shared" si="82"/>
        <v>1426.2297754450396</v>
      </c>
      <c r="P159" s="33">
        <f t="shared" si="83"/>
        <v>0.8499378297539073</v>
      </c>
      <c r="Q159" s="33">
        <f t="shared" si="84"/>
        <v>0.3499378297539073</v>
      </c>
      <c r="R159" s="51">
        <f t="shared" si="85"/>
        <v>8.0744093826621199</v>
      </c>
      <c r="S159" s="51">
        <f>APPLICANTS_PER_YEAR*($H159/Segments!$AH$2)*Q159</f>
        <v>7.9785825183890866</v>
      </c>
      <c r="T159" s="51">
        <f t="shared" si="86"/>
        <v>16.052991901051207</v>
      </c>
      <c r="U159" s="14">
        <f t="shared" si="87"/>
        <v>1426.2297754450394</v>
      </c>
      <c r="V159" s="44">
        <f t="shared" si="88"/>
        <v>22895.255034257301</v>
      </c>
      <c r="W159" s="44">
        <f t="shared" si="89"/>
        <v>15305.029017489967</v>
      </c>
      <c r="X159" s="44">
        <f t="shared" si="90"/>
        <v>5246.0028208303938</v>
      </c>
      <c r="Y159" s="14">
        <f t="shared" si="91"/>
        <v>1426.2297754450394</v>
      </c>
      <c r="Z159" s="14">
        <f t="shared" si="92"/>
        <v>876.7936034015637</v>
      </c>
      <c r="AA159" s="14">
        <f t="shared" si="93"/>
        <v>1467.4014203213176</v>
      </c>
      <c r="AB159" s="14">
        <f t="shared" si="94"/>
        <v>1468.2088223881449</v>
      </c>
      <c r="AC159" s="14">
        <f t="shared" si="95"/>
        <v>1469.0166687083909</v>
      </c>
      <c r="AD159" s="33">
        <f t="shared" si="96"/>
        <v>0.8407248871182601</v>
      </c>
      <c r="AE159" s="33">
        <f t="shared" si="97"/>
        <v>0.34972488711826022</v>
      </c>
      <c r="AF159" s="51">
        <f t="shared" si="98"/>
        <v>6.7480749019608099</v>
      </c>
      <c r="AG159" s="51">
        <f>APPLICANTS_PER_YEAR*($H159/Segments!$AH$2)*AE159</f>
        <v>7.9737274262963336</v>
      </c>
      <c r="AH159" s="51">
        <f t="shared" si="99"/>
        <v>14.721802328257144</v>
      </c>
      <c r="AI159" s="14">
        <f t="shared" si="100"/>
        <v>1469.0166687083906</v>
      </c>
      <c r="AJ159" s="44">
        <f t="shared" si="101"/>
        <v>21626.57301363974</v>
      </c>
      <c r="AK159" s="44">
        <f t="shared" si="102"/>
        <v>14456.939965393087</v>
      </c>
      <c r="AL159" s="44">
        <f t="shared" si="103"/>
        <v>4991.1753793342923</v>
      </c>
      <c r="AM159" s="14">
        <f t="shared" si="104"/>
        <v>1469.0166687083906</v>
      </c>
      <c r="AN159" s="14">
        <f t="shared" si="105"/>
        <v>903.0974115036106</v>
      </c>
      <c r="AO159" s="14">
        <f t="shared" si="106"/>
        <v>1510.1734629309572</v>
      </c>
      <c r="AP159" s="14">
        <f t="shared" si="107"/>
        <v>1511.6296138198832</v>
      </c>
      <c r="AQ159" s="14">
        <f t="shared" si="108"/>
        <v>1513.0871687696424</v>
      </c>
      <c r="AR159" s="33">
        <f t="shared" si="109"/>
        <v>0.84051788621483936</v>
      </c>
      <c r="AS159" s="33">
        <f t="shared" si="110"/>
        <v>0.34951788621483937</v>
      </c>
      <c r="AT159" s="51">
        <f t="shared" si="111"/>
        <v>6.1869690871096976</v>
      </c>
      <c r="AU159" s="51">
        <f>APPLICANTS_PER_YEAR*($H159/Segments!$AH$2)*AS159</f>
        <v>7.9690078056983378</v>
      </c>
      <c r="AV159" s="51">
        <f t="shared" si="112"/>
        <v>14.155976892808035</v>
      </c>
      <c r="AW159" s="14">
        <f t="shared" si="113"/>
        <v>1513.0871687696424</v>
      </c>
      <c r="AX159" s="44">
        <f t="shared" si="114"/>
        <v>21419.22699790739</v>
      </c>
      <c r="AY159" s="44">
        <f t="shared" si="115"/>
        <v>14318.333219903847</v>
      </c>
      <c r="AZ159" s="44">
        <f t="shared" si="116"/>
        <v>4952.6017566550709</v>
      </c>
    </row>
    <row r="160" spans="1:52" ht="15" customHeight="1" x14ac:dyDescent="0.35">
      <c r="A160" s="61" t="str">
        <f>Segments!$A$140</f>
        <v>Non-greek</v>
      </c>
      <c r="B160" s="61" t="str">
        <f>Segments!$B$140</f>
        <v>Off 3-6mi</v>
      </c>
      <c r="C160" s="61" t="str">
        <f>Segments!$C$140</f>
        <v>Yes</v>
      </c>
      <c r="D160" s="61" t="str">
        <f>Segments!$D$140</f>
        <v>3.0+</v>
      </c>
      <c r="E160" s="61" t="str">
        <f>Segments!$E$140</f>
        <v>Freshman</v>
      </c>
      <c r="F160" s="61">
        <f>Segments!$F$140</f>
        <v>1</v>
      </c>
      <c r="G160" s="61" t="str">
        <f>Segments!$G$140</f>
        <v>Base</v>
      </c>
      <c r="H160" s="62">
        <f>Segments!$H$140</f>
        <v>26</v>
      </c>
      <c r="I160" s="63">
        <f>Segments!$Y$140</f>
        <v>566.62079387816289</v>
      </c>
      <c r="J160" s="42">
        <v>0</v>
      </c>
      <c r="K160" s="40">
        <f t="shared" si="78"/>
        <v>963.03625107215032</v>
      </c>
      <c r="L160" s="40">
        <f t="shared" si="79"/>
        <v>566.62079387816289</v>
      </c>
      <c r="M160" s="40">
        <f t="shared" si="80"/>
        <v>963.03625107215032</v>
      </c>
      <c r="N160" s="40">
        <f t="shared" si="81"/>
        <v>1171.9688460501268</v>
      </c>
      <c r="O160" s="40">
        <f t="shared" si="82"/>
        <v>1426.2297754450396</v>
      </c>
      <c r="P160" s="41">
        <f t="shared" si="83"/>
        <v>0.59723240736799865</v>
      </c>
      <c r="Q160" s="41">
        <f t="shared" si="84"/>
        <v>0.24152402376059501</v>
      </c>
      <c r="R160" s="64">
        <f t="shared" si="85"/>
        <v>0</v>
      </c>
      <c r="S160" s="64">
        <f>APPLICANTS_PER_YEAR*($H160/Segments!$AH$2)*Q160</f>
        <v>7.535549541330564</v>
      </c>
      <c r="T160" s="64">
        <f t="shared" si="86"/>
        <v>7.535549541330564</v>
      </c>
      <c r="U160" s="40">
        <f t="shared" si="87"/>
        <v>1426.2297754450396</v>
      </c>
      <c r="V160" s="65">
        <f t="shared" si="88"/>
        <v>10747.425130186863</v>
      </c>
      <c r="W160" s="65">
        <f t="shared" si="89"/>
        <v>4782.1749510269847</v>
      </c>
      <c r="X160" s="65">
        <f t="shared" si="90"/>
        <v>2746.5229585217326</v>
      </c>
      <c r="Y160" s="40">
        <f t="shared" si="91"/>
        <v>990.67733860431485</v>
      </c>
      <c r="Z160" s="40">
        <f t="shared" si="92"/>
        <v>583.61941769450777</v>
      </c>
      <c r="AA160" s="40">
        <f t="shared" si="93"/>
        <v>990.67733860431485</v>
      </c>
      <c r="AB160" s="40">
        <f t="shared" si="94"/>
        <v>1206.367076689929</v>
      </c>
      <c r="AC160" s="40">
        <f t="shared" si="95"/>
        <v>1469.0166687083909</v>
      </c>
      <c r="AD160" s="41">
        <f t="shared" si="96"/>
        <v>0.59628806143064517</v>
      </c>
      <c r="AE160" s="41">
        <f t="shared" si="97"/>
        <v>0.24114026854117709</v>
      </c>
      <c r="AF160" s="64">
        <f t="shared" si="98"/>
        <v>0</v>
      </c>
      <c r="AG160" s="64">
        <f>APPLICANTS_PER_YEAR*($H160/Segments!$AH$2)*AE160</f>
        <v>7.5235763784847256</v>
      </c>
      <c r="AH160" s="64">
        <f t="shared" si="99"/>
        <v>7.5235763784847256</v>
      </c>
      <c r="AI160" s="40">
        <f t="shared" si="100"/>
        <v>1469.0166687083909</v>
      </c>
      <c r="AJ160" s="65">
        <f t="shared" si="101"/>
        <v>11052.259108294771</v>
      </c>
      <c r="AK160" s="65">
        <f t="shared" si="102"/>
        <v>4917.8138967903787</v>
      </c>
      <c r="AL160" s="65">
        <f t="shared" si="103"/>
        <v>2814.2669772898412</v>
      </c>
      <c r="AM160" s="40">
        <f t="shared" si="104"/>
        <v>1019.1476587624442</v>
      </c>
      <c r="AN160" s="40">
        <f t="shared" si="105"/>
        <v>601.12800022534293</v>
      </c>
      <c r="AO160" s="40">
        <f t="shared" si="106"/>
        <v>1019.1476587624442</v>
      </c>
      <c r="AP160" s="40">
        <f t="shared" si="107"/>
        <v>1241.7967811019146</v>
      </c>
      <c r="AQ160" s="40">
        <f t="shared" si="108"/>
        <v>1513.0871687696424</v>
      </c>
      <c r="AR160" s="41">
        <f t="shared" si="109"/>
        <v>0.59536917007000278</v>
      </c>
      <c r="AS160" s="41">
        <f t="shared" si="110"/>
        <v>0.24076699513305344</v>
      </c>
      <c r="AT160" s="64">
        <f t="shared" si="111"/>
        <v>0</v>
      </c>
      <c r="AU160" s="64">
        <f>APPLICANTS_PER_YEAR*($H160/Segments!$AH$2)*AS160</f>
        <v>7.5119302481512671</v>
      </c>
      <c r="AV160" s="64">
        <f t="shared" si="112"/>
        <v>7.5119302481512671</v>
      </c>
      <c r="AW160" s="40">
        <f t="shared" si="113"/>
        <v>1513.0871687696426</v>
      </c>
      <c r="AX160" s="65">
        <f t="shared" si="114"/>
        <v>11366.20527117024</v>
      </c>
      <c r="AY160" s="65">
        <f t="shared" si="115"/>
        <v>5057.5074008518477</v>
      </c>
      <c r="AZ160" s="65">
        <f t="shared" si="116"/>
        <v>2884.0668419089411</v>
      </c>
    </row>
    <row r="161" spans="1:52" ht="15" customHeight="1" x14ac:dyDescent="0.35">
      <c r="A161" s="61" t="str">
        <f>Segments!$A$141</f>
        <v>Non-greek</v>
      </c>
      <c r="B161" s="61" t="str">
        <f>Segments!$B$141</f>
        <v>Off 3-6mi</v>
      </c>
      <c r="C161" s="61" t="str">
        <f>Segments!$C$141</f>
        <v>Yes</v>
      </c>
      <c r="D161" s="61" t="str">
        <f>Segments!$D$141</f>
        <v>3.0+</v>
      </c>
      <c r="E161" s="61" t="str">
        <f>Segments!$E$141</f>
        <v>Sophomore</v>
      </c>
      <c r="F161" s="61">
        <f>Segments!$F$141</f>
        <v>1</v>
      </c>
      <c r="G161" s="61" t="str">
        <f>Segments!$G$141</f>
        <v>Sophomore</v>
      </c>
      <c r="H161" s="62">
        <f>Segments!$H$141</f>
        <v>29</v>
      </c>
      <c r="I161" s="63">
        <f>Segments!$Y$141</f>
        <v>560.85613150805261</v>
      </c>
      <c r="J161" s="42">
        <v>1</v>
      </c>
      <c r="K161" s="40">
        <f t="shared" si="78"/>
        <v>1426.2297754450396</v>
      </c>
      <c r="L161" s="40">
        <f t="shared" si="79"/>
        <v>560.85613150805261</v>
      </c>
      <c r="M161" s="40">
        <f t="shared" si="80"/>
        <v>953.66246064728193</v>
      </c>
      <c r="N161" s="40">
        <f t="shared" si="81"/>
        <v>1166.2511723892658</v>
      </c>
      <c r="O161" s="40">
        <f t="shared" si="82"/>
        <v>1426.2297754450396</v>
      </c>
      <c r="P161" s="41">
        <f t="shared" si="83"/>
        <v>0.73854090387615079</v>
      </c>
      <c r="Q161" s="41">
        <f t="shared" si="84"/>
        <v>0.23854090387615079</v>
      </c>
      <c r="R161" s="64">
        <f t="shared" si="85"/>
        <v>19.202063500779921</v>
      </c>
      <c r="S161" s="64">
        <f>APPLICANTS_PER_YEAR*($H161/Segments!$AH$2)*Q161</f>
        <v>8.3012234548900476</v>
      </c>
      <c r="T161" s="64">
        <f t="shared" si="86"/>
        <v>27.503286955669971</v>
      </c>
      <c r="U161" s="40">
        <f t="shared" si="87"/>
        <v>1426.2297754450396</v>
      </c>
      <c r="V161" s="65">
        <f t="shared" si="88"/>
        <v>39226.006778785668</v>
      </c>
      <c r="W161" s="65">
        <f t="shared" si="89"/>
        <v>17276.433580798501</v>
      </c>
      <c r="X161" s="65">
        <f t="shared" si="90"/>
        <v>8585.692428915685</v>
      </c>
      <c r="Y161" s="40">
        <f t="shared" si="91"/>
        <v>1426.2297754450396</v>
      </c>
      <c r="Z161" s="40">
        <f t="shared" si="92"/>
        <v>577.68181545329423</v>
      </c>
      <c r="AA161" s="40">
        <f t="shared" si="93"/>
        <v>981.0223344667005</v>
      </c>
      <c r="AB161" s="40">
        <f t="shared" si="94"/>
        <v>1200.4741403740445</v>
      </c>
      <c r="AC161" s="40">
        <f t="shared" si="95"/>
        <v>1469.0166687083909</v>
      </c>
      <c r="AD161" s="41">
        <f t="shared" si="96"/>
        <v>0.72915147311266792</v>
      </c>
      <c r="AE161" s="41">
        <f t="shared" si="97"/>
        <v>0.23815147311266793</v>
      </c>
      <c r="AF161" s="64">
        <f t="shared" si="98"/>
        <v>5.49455704877467</v>
      </c>
      <c r="AG161" s="64">
        <f>APPLICANTS_PER_YEAR*($H161/Segments!$AH$2)*AE161</f>
        <v>8.2876712643208439</v>
      </c>
      <c r="AH161" s="64">
        <f t="shared" si="99"/>
        <v>13.782228313095514</v>
      </c>
      <c r="AI161" s="40">
        <f t="shared" si="100"/>
        <v>1469.0166687083909</v>
      </c>
      <c r="AJ161" s="65">
        <f t="shared" si="101"/>
        <v>20246.323123882037</v>
      </c>
      <c r="AK161" s="65">
        <f t="shared" si="102"/>
        <v>8917.1517936489072</v>
      </c>
      <c r="AL161" s="65">
        <f t="shared" si="103"/>
        <v>4735.5068714058361</v>
      </c>
      <c r="AM161" s="40">
        <f t="shared" si="104"/>
        <v>1469.0166687083909</v>
      </c>
      <c r="AN161" s="40">
        <f t="shared" si="105"/>
        <v>595.01226991689305</v>
      </c>
      <c r="AO161" s="40">
        <f t="shared" si="106"/>
        <v>1009.2030045007015</v>
      </c>
      <c r="AP161" s="40">
        <f t="shared" si="107"/>
        <v>1235.7233172493684</v>
      </c>
      <c r="AQ161" s="40">
        <f t="shared" si="108"/>
        <v>1513.0871687696424</v>
      </c>
      <c r="AR161" s="41">
        <f t="shared" si="109"/>
        <v>0.72877267222825171</v>
      </c>
      <c r="AS161" s="41">
        <f t="shared" si="110"/>
        <v>0.2377726722282516</v>
      </c>
      <c r="AT161" s="64">
        <f t="shared" si="111"/>
        <v>5.4829768620616663</v>
      </c>
      <c r="AU161" s="64">
        <f>APPLICANTS_PER_YEAR*($H161/Segments!$AH$2)*AS161</f>
        <v>8.2744889935431551</v>
      </c>
      <c r="AV161" s="64">
        <f t="shared" si="112"/>
        <v>13.757465855604821</v>
      </c>
      <c r="AW161" s="40">
        <f t="shared" si="113"/>
        <v>1513.0871687696424</v>
      </c>
      <c r="AX161" s="65">
        <f t="shared" si="114"/>
        <v>20816.245060902125</v>
      </c>
      <c r="AY161" s="65">
        <f t="shared" si="115"/>
        <v>9168.1643054932865</v>
      </c>
      <c r="AZ161" s="65">
        <f t="shared" si="116"/>
        <v>4854.4826678101299</v>
      </c>
    </row>
    <row r="162" spans="1:52" ht="15" customHeight="1" x14ac:dyDescent="0.35">
      <c r="A162" s="61" t="str">
        <f>Segments!$A$142</f>
        <v>Non-greek</v>
      </c>
      <c r="B162" s="61" t="str">
        <f>Segments!$B$142</f>
        <v>Off 3-6mi</v>
      </c>
      <c r="C162" s="61" t="str">
        <f>Segments!$C$142</f>
        <v>Yes</v>
      </c>
      <c r="D162" s="61" t="str">
        <f>Segments!$D$142</f>
        <v>3.0+</v>
      </c>
      <c r="E162" s="61" t="str">
        <f>Segments!$E$142</f>
        <v>Junior</v>
      </c>
      <c r="F162" s="61">
        <f>Segments!$F$142</f>
        <v>2</v>
      </c>
      <c r="G162" s="61" t="str">
        <f>Segments!$G$142</f>
        <v>Base</v>
      </c>
      <c r="H162" s="62">
        <f>Segments!$H$142</f>
        <v>24</v>
      </c>
      <c r="I162" s="63">
        <f>Segments!$Y$142</f>
        <v>670.46179092323086</v>
      </c>
      <c r="J162" s="42">
        <v>2</v>
      </c>
      <c r="K162" s="40">
        <f t="shared" si="78"/>
        <v>1426.2297754450396</v>
      </c>
      <c r="L162" s="40">
        <f t="shared" si="79"/>
        <v>670.46179092323086</v>
      </c>
      <c r="M162" s="40">
        <f t="shared" si="80"/>
        <v>1131.889807675366</v>
      </c>
      <c r="N162" s="40">
        <f t="shared" si="81"/>
        <v>1270.5648138640415</v>
      </c>
      <c r="O162" s="40">
        <f t="shared" si="82"/>
        <v>1426.2297754450396</v>
      </c>
      <c r="P162" s="41">
        <f t="shared" si="83"/>
        <v>0.78874182572883078</v>
      </c>
      <c r="Q162" s="41">
        <f t="shared" si="84"/>
        <v>0.28874182572883078</v>
      </c>
      <c r="R162" s="64">
        <f t="shared" si="85"/>
        <v>22.873512946136092</v>
      </c>
      <c r="S162" s="64">
        <f>APPLICANTS_PER_YEAR*($H162/Segments!$AH$2)*Q162</f>
        <v>8.3157645809903258</v>
      </c>
      <c r="T162" s="64">
        <f t="shared" si="86"/>
        <v>31.189277527126418</v>
      </c>
      <c r="U162" s="40">
        <f t="shared" si="87"/>
        <v>1426.2297754450396</v>
      </c>
      <c r="V162" s="65">
        <f t="shared" si="88"/>
        <v>44483.076283806535</v>
      </c>
      <c r="W162" s="65">
        <f t="shared" si="89"/>
        <v>23420.565132651522</v>
      </c>
      <c r="X162" s="65">
        <f t="shared" si="90"/>
        <v>9654.0877694917108</v>
      </c>
      <c r="Y162" s="40">
        <f t="shared" si="91"/>
        <v>1426.2297754450396</v>
      </c>
      <c r="Z162" s="40">
        <f t="shared" si="92"/>
        <v>690.57564465092776</v>
      </c>
      <c r="AA162" s="40">
        <f t="shared" si="93"/>
        <v>1164.5965019056271</v>
      </c>
      <c r="AB162" s="40">
        <f t="shared" si="94"/>
        <v>1307.9799974077773</v>
      </c>
      <c r="AC162" s="40">
        <f t="shared" si="95"/>
        <v>1469.0166687083909</v>
      </c>
      <c r="AD162" s="41">
        <f t="shared" si="96"/>
        <v>0.77944069801535021</v>
      </c>
      <c r="AE162" s="41">
        <f t="shared" si="97"/>
        <v>0.28844069801535022</v>
      </c>
      <c r="AF162" s="64">
        <f t="shared" si="98"/>
        <v>21.437181182443879</v>
      </c>
      <c r="AG162" s="64">
        <f>APPLICANTS_PER_YEAR*($H162/Segments!$AH$2)*AE162</f>
        <v>8.3070921028420859</v>
      </c>
      <c r="AH162" s="64">
        <f t="shared" si="99"/>
        <v>29.744273285285963</v>
      </c>
      <c r="AI162" s="40">
        <f t="shared" si="100"/>
        <v>1469.0166687083911</v>
      </c>
      <c r="AJ162" s="65">
        <f t="shared" si="101"/>
        <v>43694.833254702775</v>
      </c>
      <c r="AK162" s="65">
        <f t="shared" si="102"/>
        <v>23005.551182498893</v>
      </c>
      <c r="AL162" s="65">
        <f t="shared" si="103"/>
        <v>9488.0002402805749</v>
      </c>
      <c r="AM162" s="40">
        <f t="shared" si="104"/>
        <v>1469.0166687083909</v>
      </c>
      <c r="AN162" s="40">
        <f t="shared" si="105"/>
        <v>711.29291399045565</v>
      </c>
      <c r="AO162" s="40">
        <f t="shared" si="106"/>
        <v>1198.2843969627959</v>
      </c>
      <c r="AP162" s="40">
        <f t="shared" si="107"/>
        <v>1346.5172652369799</v>
      </c>
      <c r="AQ162" s="40">
        <f t="shared" si="108"/>
        <v>1513.0871687696424</v>
      </c>
      <c r="AR162" s="41">
        <f t="shared" si="109"/>
        <v>0.77914787681042219</v>
      </c>
      <c r="AS162" s="41">
        <f t="shared" si="110"/>
        <v>0.28814787681042209</v>
      </c>
      <c r="AT162" s="64">
        <f t="shared" si="111"/>
        <v>10.738393927864855</v>
      </c>
      <c r="AU162" s="64">
        <f>APPLICANTS_PER_YEAR*($H162/Segments!$AH$2)*AS162</f>
        <v>8.2986588521401554</v>
      </c>
      <c r="AV162" s="64">
        <f t="shared" si="112"/>
        <v>19.037052780005013</v>
      </c>
      <c r="AW162" s="40">
        <f t="shared" si="113"/>
        <v>1513.0871687696422</v>
      </c>
      <c r="AX162" s="65">
        <f t="shared" si="114"/>
        <v>28804.720292616032</v>
      </c>
      <c r="AY162" s="65">
        <f t="shared" si="115"/>
        <v>15165.831235161457</v>
      </c>
      <c r="AZ162" s="65">
        <f t="shared" si="116"/>
        <v>6471.7804601589805</v>
      </c>
    </row>
    <row r="163" spans="1:52" ht="15" customHeight="1" x14ac:dyDescent="0.35">
      <c r="A163" s="61" t="str">
        <f>Segments!$A$143</f>
        <v>Non-greek</v>
      </c>
      <c r="B163" s="61" t="str">
        <f>Segments!$B$143</f>
        <v>Off 3-6mi</v>
      </c>
      <c r="C163" s="61" t="str">
        <f>Segments!$C$143</f>
        <v>Yes</v>
      </c>
      <c r="D163" s="61" t="str">
        <f>Segments!$D$143</f>
        <v>3.0+</v>
      </c>
      <c r="E163" s="61" t="str">
        <f>Segments!$E$143</f>
        <v>Senior</v>
      </c>
      <c r="F163" s="61">
        <f>Segments!$F$143</f>
        <v>3</v>
      </c>
      <c r="G163" s="61" t="str">
        <f>Segments!$G$143</f>
        <v>Base</v>
      </c>
      <c r="H163" s="62">
        <f>Segments!$H$143</f>
        <v>24</v>
      </c>
      <c r="I163" s="63">
        <f>Segments!$Y$143</f>
        <v>626.67222600519062</v>
      </c>
      <c r="J163" s="42">
        <v>3</v>
      </c>
      <c r="K163" s="40">
        <f t="shared" si="78"/>
        <v>1426.2297754450396</v>
      </c>
      <c r="L163" s="40">
        <f t="shared" si="79"/>
        <v>626.67222600519062</v>
      </c>
      <c r="M163" s="40">
        <f t="shared" si="80"/>
        <v>1060.6845612994148</v>
      </c>
      <c r="N163" s="40">
        <f t="shared" si="81"/>
        <v>1229.9511793888751</v>
      </c>
      <c r="O163" s="40">
        <f t="shared" si="82"/>
        <v>1426.2297754450396</v>
      </c>
      <c r="P163" s="41">
        <f t="shared" si="83"/>
        <v>0.77020878578542873</v>
      </c>
      <c r="Q163" s="41">
        <f t="shared" si="84"/>
        <v>0.27020878578542873</v>
      </c>
      <c r="R163" s="64">
        <f t="shared" si="85"/>
        <v>18.485010858850288</v>
      </c>
      <c r="S163" s="64">
        <f>APPLICANTS_PER_YEAR*($H163/Segments!$AH$2)*Q163</f>
        <v>7.7820130306203463</v>
      </c>
      <c r="T163" s="64">
        <f t="shared" si="86"/>
        <v>26.267023889470636</v>
      </c>
      <c r="U163" s="40">
        <f t="shared" si="87"/>
        <v>1426.2297754450396</v>
      </c>
      <c r="V163" s="65">
        <f t="shared" si="88"/>
        <v>37462.811583489194</v>
      </c>
      <c r="W163" s="65">
        <f t="shared" si="89"/>
        <v>18436.112051107615</v>
      </c>
      <c r="X163" s="65">
        <f t="shared" si="90"/>
        <v>8188.8250472353993</v>
      </c>
      <c r="Y163" s="40">
        <f t="shared" si="91"/>
        <v>1426.2297754450396</v>
      </c>
      <c r="Z163" s="40">
        <f t="shared" si="92"/>
        <v>645.47239278534641</v>
      </c>
      <c r="AA163" s="40">
        <f t="shared" si="93"/>
        <v>1091.2550981383974</v>
      </c>
      <c r="AB163" s="40">
        <f t="shared" si="94"/>
        <v>1266.12476832985</v>
      </c>
      <c r="AC163" s="40">
        <f t="shared" si="95"/>
        <v>1469.0166687083909</v>
      </c>
      <c r="AD163" s="41">
        <f t="shared" si="96"/>
        <v>0.7608768140970118</v>
      </c>
      <c r="AE163" s="41">
        <f t="shared" si="97"/>
        <v>0.26987681409701181</v>
      </c>
      <c r="AF163" s="64">
        <f t="shared" si="98"/>
        <v>23.731198118827475</v>
      </c>
      <c r="AG163" s="64">
        <f>APPLICANTS_PER_YEAR*($H163/Segments!$AH$2)*AE163</f>
        <v>7.7724522459939394</v>
      </c>
      <c r="AH163" s="64">
        <f t="shared" si="99"/>
        <v>31.503650364821414</v>
      </c>
      <c r="AI163" s="40">
        <f t="shared" si="100"/>
        <v>1469.0166687083911</v>
      </c>
      <c r="AJ163" s="65">
        <f t="shared" si="101"/>
        <v>46279.387511083842</v>
      </c>
      <c r="AK163" s="65">
        <f t="shared" si="102"/>
        <v>22774.904972348737</v>
      </c>
      <c r="AL163" s="65">
        <f t="shared" si="103"/>
        <v>9970.8137197547985</v>
      </c>
      <c r="AM163" s="40">
        <f t="shared" si="104"/>
        <v>1469.0166687083911</v>
      </c>
      <c r="AN163" s="40">
        <f t="shared" si="105"/>
        <v>664.83656456890674</v>
      </c>
      <c r="AO163" s="40">
        <f t="shared" si="106"/>
        <v>1122.7427510825491</v>
      </c>
      <c r="AP163" s="40">
        <f t="shared" si="107"/>
        <v>1303.3831556730102</v>
      </c>
      <c r="AQ163" s="40">
        <f t="shared" si="108"/>
        <v>1513.0871687696424</v>
      </c>
      <c r="AR163" s="41">
        <f t="shared" si="109"/>
        <v>0.76055396531561359</v>
      </c>
      <c r="AS163" s="41">
        <f t="shared" si="110"/>
        <v>0.26955396531561349</v>
      </c>
      <c r="AT163" s="64">
        <f t="shared" si="111"/>
        <v>22.622124992555513</v>
      </c>
      <c r="AU163" s="64">
        <f>APPLICANTS_PER_YEAR*($H163/Segments!$AH$2)*AS163</f>
        <v>7.7631542010896677</v>
      </c>
      <c r="AV163" s="64">
        <f t="shared" si="112"/>
        <v>30.385279193645182</v>
      </c>
      <c r="AW163" s="40">
        <f t="shared" si="113"/>
        <v>1513.0871687696426</v>
      </c>
      <c r="AX163" s="65">
        <f t="shared" si="114"/>
        <v>45975.576067387716</v>
      </c>
      <c r="AY163" s="65">
        <f t="shared" si="115"/>
        <v>22625.393988478561</v>
      </c>
      <c r="AZ163" s="65">
        <f t="shared" si="116"/>
        <v>9902.2898310161345</v>
      </c>
    </row>
    <row r="164" spans="1:52" ht="15" customHeight="1" x14ac:dyDescent="0.35">
      <c r="A164" s="61" t="str">
        <f>Segments!$A$144</f>
        <v>Non-greek</v>
      </c>
      <c r="B164" s="61" t="str">
        <f>Segments!$B$144</f>
        <v>Off 3-6mi</v>
      </c>
      <c r="C164" s="61" t="str">
        <f>Segments!$C$144</f>
        <v>Yes</v>
      </c>
      <c r="D164" s="61" t="str">
        <f>Segments!$D$144</f>
        <v>3.0+</v>
      </c>
      <c r="E164" s="61" t="str">
        <f>Segments!$E$144</f>
        <v>Grad student</v>
      </c>
      <c r="F164" s="61">
        <f>Segments!$F$144</f>
        <v>3</v>
      </c>
      <c r="G164" s="61" t="str">
        <f>Segments!$G$144</f>
        <v>Grad</v>
      </c>
      <c r="H164" s="62">
        <f>Segments!$H$144</f>
        <v>9</v>
      </c>
      <c r="I164" s="63">
        <f>Segments!$Y$144</f>
        <v>746.16635363399848</v>
      </c>
      <c r="J164" s="42">
        <v>4</v>
      </c>
      <c r="K164" s="40">
        <f t="shared" si="78"/>
        <v>1426.2297754450396</v>
      </c>
      <c r="L164" s="40">
        <f t="shared" si="79"/>
        <v>746.16635363399848</v>
      </c>
      <c r="M164" s="40">
        <f t="shared" si="80"/>
        <v>1254.9913285443956</v>
      </c>
      <c r="N164" s="40">
        <f t="shared" si="81"/>
        <v>1337.8736863752667</v>
      </c>
      <c r="O164" s="40">
        <f t="shared" si="82"/>
        <v>1426.2297754450396</v>
      </c>
      <c r="P164" s="41">
        <f t="shared" si="83"/>
        <v>0.81697891214634832</v>
      </c>
      <c r="Q164" s="41">
        <f t="shared" si="84"/>
        <v>0.31697891214634832</v>
      </c>
      <c r="R164" s="64">
        <f t="shared" si="85"/>
        <v>3.6764051046585675</v>
      </c>
      <c r="S164" s="64">
        <f>APPLICANTS_PER_YEAR*($H164/Segments!$AH$2)*Q164</f>
        <v>3.4233722511805618</v>
      </c>
      <c r="T164" s="64">
        <f t="shared" si="86"/>
        <v>7.0997773558391293</v>
      </c>
      <c r="U164" s="40">
        <f t="shared" si="87"/>
        <v>1426.2297754450394</v>
      </c>
      <c r="V164" s="65">
        <f t="shared" si="88"/>
        <v>10125.913863928217</v>
      </c>
      <c r="W164" s="65">
        <f t="shared" si="89"/>
        <v>5933.3287789660808</v>
      </c>
      <c r="X164" s="65">
        <f t="shared" si="90"/>
        <v>2312.2656139760406</v>
      </c>
      <c r="Y164" s="40">
        <f t="shared" si="91"/>
        <v>1426.2297754450394</v>
      </c>
      <c r="Z164" s="40">
        <f t="shared" si="92"/>
        <v>768.55134424301843</v>
      </c>
      <c r="AA164" s="40">
        <f t="shared" si="93"/>
        <v>1291.3910684007276</v>
      </c>
      <c r="AB164" s="40">
        <f t="shared" si="94"/>
        <v>1377.3434594543971</v>
      </c>
      <c r="AC164" s="40">
        <f t="shared" si="95"/>
        <v>1469.0166687083909</v>
      </c>
      <c r="AD164" s="41">
        <f t="shared" si="96"/>
        <v>0.80772100606979025</v>
      </c>
      <c r="AE164" s="41">
        <f t="shared" si="97"/>
        <v>0.31672100606979037</v>
      </c>
      <c r="AF164" s="64">
        <f t="shared" si="98"/>
        <v>2.8673196543649482</v>
      </c>
      <c r="AG164" s="64">
        <f>APPLICANTS_PER_YEAR*($H164/Segments!$AH$2)*AE164</f>
        <v>3.4205868655537355</v>
      </c>
      <c r="AH164" s="64">
        <f t="shared" si="99"/>
        <v>6.2879065199186837</v>
      </c>
      <c r="AI164" s="40">
        <f t="shared" si="100"/>
        <v>1469.0166687083909</v>
      </c>
      <c r="AJ164" s="65">
        <f t="shared" si="101"/>
        <v>9237.0394890407151</v>
      </c>
      <c r="AK164" s="65">
        <f t="shared" si="102"/>
        <v>5412.4884893608978</v>
      </c>
      <c r="AL164" s="65">
        <f t="shared" si="103"/>
        <v>2132.9447347451323</v>
      </c>
      <c r="AM164" s="40">
        <f t="shared" si="104"/>
        <v>1469.0166687083909</v>
      </c>
      <c r="AN164" s="40">
        <f t="shared" si="105"/>
        <v>791.60788457030901</v>
      </c>
      <c r="AO164" s="40">
        <f t="shared" si="106"/>
        <v>1328.8828004527495</v>
      </c>
      <c r="AP164" s="40">
        <f t="shared" si="107"/>
        <v>1417.9970078119786</v>
      </c>
      <c r="AQ164" s="40">
        <f t="shared" si="108"/>
        <v>1513.0871687696424</v>
      </c>
      <c r="AR164" s="41">
        <f t="shared" si="109"/>
        <v>0.80747025331019873</v>
      </c>
      <c r="AS164" s="41">
        <f t="shared" si="110"/>
        <v>0.31647025331019862</v>
      </c>
      <c r="AT164" s="64">
        <f t="shared" si="111"/>
        <v>2.5386487352147946</v>
      </c>
      <c r="AU164" s="64">
        <f>APPLICANTS_PER_YEAR*($H164/Segments!$AH$2)*AS164</f>
        <v>3.4178787357501448</v>
      </c>
      <c r="AV164" s="64">
        <f t="shared" si="112"/>
        <v>5.9565274709649394</v>
      </c>
      <c r="AW164" s="40">
        <f t="shared" si="113"/>
        <v>1513.0871687696426</v>
      </c>
      <c r="AX164" s="65">
        <f t="shared" si="114"/>
        <v>9012.7452867409393</v>
      </c>
      <c r="AY164" s="65">
        <f t="shared" si="115"/>
        <v>5281.0622039565478</v>
      </c>
      <c r="AZ164" s="65">
        <f t="shared" si="116"/>
        <v>2088.9905730886853</v>
      </c>
    </row>
    <row r="165" spans="1:52" ht="15" customHeight="1" x14ac:dyDescent="0.35">
      <c r="A165" s="59" t="str">
        <f>Segments!$A$145</f>
        <v>Non-greek</v>
      </c>
      <c r="B165" s="59" t="str">
        <f>Segments!$B$145</f>
        <v>Off 3-6mi</v>
      </c>
      <c r="C165" s="59" t="str">
        <f>Segments!$C$145</f>
        <v>No</v>
      </c>
      <c r="D165" s="59" t="str">
        <f>Segments!$D$145</f>
        <v>&lt;1.0</v>
      </c>
      <c r="E165" s="59" t="str">
        <f>Segments!$E$145</f>
        <v>Freshman</v>
      </c>
      <c r="F165" s="59">
        <f>Segments!$F$145</f>
        <v>1</v>
      </c>
      <c r="G165" s="59" t="str">
        <f>Segments!$G$145</f>
        <v>Base</v>
      </c>
      <c r="H165" s="60">
        <f>Segments!$H$145</f>
        <v>1</v>
      </c>
      <c r="I165" s="26">
        <f>Segments!$Y$145</f>
        <v>1116.4465552030069</v>
      </c>
      <c r="J165" s="29">
        <v>0</v>
      </c>
      <c r="K165" s="14">
        <f t="shared" si="78"/>
        <v>1857.0958032110539</v>
      </c>
      <c r="L165" s="14">
        <f t="shared" si="79"/>
        <v>1116.4465552030069</v>
      </c>
      <c r="M165" s="14">
        <f t="shared" si="80"/>
        <v>1857.0958032110539</v>
      </c>
      <c r="N165" s="14">
        <f t="shared" si="81"/>
        <v>1627.4659229592573</v>
      </c>
      <c r="O165" s="14">
        <f t="shared" si="82"/>
        <v>1426.2297754450396</v>
      </c>
      <c r="P165" s="33">
        <f t="shared" si="83"/>
        <v>0.9118249957419402</v>
      </c>
      <c r="Q165" s="33">
        <f t="shared" si="84"/>
        <v>0.41182499574194015</v>
      </c>
      <c r="R165" s="51">
        <f t="shared" si="85"/>
        <v>0</v>
      </c>
      <c r="S165" s="51">
        <f>APPLICANTS_PER_YEAR*($H165/Segments!$AH$2)*Q165</f>
        <v>0.49418999489032817</v>
      </c>
      <c r="T165" s="51">
        <f t="shared" si="86"/>
        <v>0.49418999489032817</v>
      </c>
      <c r="U165" s="14">
        <f t="shared" si="87"/>
        <v>1426.2297754450396</v>
      </c>
      <c r="V165" s="44">
        <f t="shared" si="88"/>
        <v>704.82848543961802</v>
      </c>
      <c r="W165" s="44">
        <f t="shared" si="89"/>
        <v>617.94512350043033</v>
      </c>
      <c r="X165" s="44">
        <f t="shared" si="90"/>
        <v>180.12013050853921</v>
      </c>
      <c r="Y165" s="14">
        <f t="shared" si="91"/>
        <v>1911.5586773073856</v>
      </c>
      <c r="Z165" s="14">
        <f t="shared" si="92"/>
        <v>1149.9399518590972</v>
      </c>
      <c r="AA165" s="14">
        <f t="shared" si="93"/>
        <v>1911.5586773073856</v>
      </c>
      <c r="AB165" s="14">
        <f t="shared" si="94"/>
        <v>1675.7420923813763</v>
      </c>
      <c r="AC165" s="14">
        <f t="shared" si="95"/>
        <v>1469.0166687083909</v>
      </c>
      <c r="AD165" s="33">
        <f t="shared" si="96"/>
        <v>0.91168175419500574</v>
      </c>
      <c r="AE165" s="33">
        <f t="shared" si="97"/>
        <v>0.41168175419500574</v>
      </c>
      <c r="AF165" s="51">
        <f t="shared" si="98"/>
        <v>0</v>
      </c>
      <c r="AG165" s="51">
        <f>APPLICANTS_PER_YEAR*($H165/Segments!$AH$2)*AE165</f>
        <v>0.49401810503400689</v>
      </c>
      <c r="AH165" s="51">
        <f t="shared" si="99"/>
        <v>0.49401810503400689</v>
      </c>
      <c r="AI165" s="14">
        <f t="shared" si="100"/>
        <v>1469.0166687083906</v>
      </c>
      <c r="AJ165" s="44">
        <f t="shared" si="101"/>
        <v>725.72083093868866</v>
      </c>
      <c r="AK165" s="44">
        <f t="shared" si="102"/>
        <v>636.26209463076782</v>
      </c>
      <c r="AL165" s="44">
        <f t="shared" si="103"/>
        <v>184.79228085679659</v>
      </c>
      <c r="AM165" s="14">
        <f t="shared" si="104"/>
        <v>1967.655437626607</v>
      </c>
      <c r="AN165" s="14">
        <f t="shared" si="105"/>
        <v>1184.4381504148701</v>
      </c>
      <c r="AO165" s="14">
        <f t="shared" si="106"/>
        <v>1967.655437626607</v>
      </c>
      <c r="AP165" s="14">
        <f t="shared" si="107"/>
        <v>1725.4663703569061</v>
      </c>
      <c r="AQ165" s="14">
        <f t="shared" si="108"/>
        <v>1513.0871687696424</v>
      </c>
      <c r="AR165" s="33">
        <f t="shared" si="109"/>
        <v>0.9115425502449328</v>
      </c>
      <c r="AS165" s="33">
        <f t="shared" si="110"/>
        <v>0.41154255024493286</v>
      </c>
      <c r="AT165" s="51">
        <f t="shared" si="111"/>
        <v>0</v>
      </c>
      <c r="AU165" s="51">
        <f>APPLICANTS_PER_YEAR*($H165/Segments!$AH$2)*AS165</f>
        <v>0.4938510602939194</v>
      </c>
      <c r="AV165" s="51">
        <f t="shared" si="112"/>
        <v>0.4938510602939194</v>
      </c>
      <c r="AW165" s="14">
        <f t="shared" si="113"/>
        <v>1513.0871687696426</v>
      </c>
      <c r="AX165" s="44">
        <f t="shared" si="114"/>
        <v>747.23970261401257</v>
      </c>
      <c r="AY165" s="44">
        <f t="shared" si="115"/>
        <v>655.12836080714669</v>
      </c>
      <c r="AZ165" s="44">
        <f t="shared" si="116"/>
        <v>189.6049910987652</v>
      </c>
    </row>
    <row r="166" spans="1:52" ht="15" customHeight="1" x14ac:dyDescent="0.35">
      <c r="A166" s="59" t="str">
        <f>Segments!$A$146</f>
        <v>Non-greek</v>
      </c>
      <c r="B166" s="59" t="str">
        <f>Segments!$B$146</f>
        <v>Off 3-6mi</v>
      </c>
      <c r="C166" s="59" t="str">
        <f>Segments!$C$146</f>
        <v>No</v>
      </c>
      <c r="D166" s="59" t="str">
        <f>Segments!$D$146</f>
        <v>&lt;1.0</v>
      </c>
      <c r="E166" s="59" t="str">
        <f>Segments!$E$146</f>
        <v>Sophomore</v>
      </c>
      <c r="F166" s="59">
        <f>Segments!$F$146</f>
        <v>1</v>
      </c>
      <c r="G166" s="59" t="str">
        <f>Segments!$G$146</f>
        <v>Sophomore</v>
      </c>
      <c r="H166" s="60">
        <f>Segments!$H$146</f>
        <v>4</v>
      </c>
      <c r="I166" s="26">
        <f>Segments!$Y$146</f>
        <v>1105.0880990458159</v>
      </c>
      <c r="J166" s="29">
        <v>1</v>
      </c>
      <c r="K166" s="14">
        <f t="shared" si="78"/>
        <v>1426.2297754450396</v>
      </c>
      <c r="L166" s="14">
        <f t="shared" si="79"/>
        <v>1105.0880990458159</v>
      </c>
      <c r="M166" s="14">
        <f t="shared" si="80"/>
        <v>1838.6260679981783</v>
      </c>
      <c r="N166" s="14">
        <f t="shared" si="81"/>
        <v>1619.3527238030749</v>
      </c>
      <c r="O166" s="14">
        <f t="shared" si="82"/>
        <v>1426.2297754450396</v>
      </c>
      <c r="P166" s="33">
        <f t="shared" si="83"/>
        <v>0.90962967348598489</v>
      </c>
      <c r="Q166" s="33">
        <f t="shared" si="84"/>
        <v>0.40962967348598489</v>
      </c>
      <c r="R166" s="51">
        <f t="shared" si="85"/>
        <v>0.90962967348598489</v>
      </c>
      <c r="S166" s="51">
        <f>APPLICANTS_PER_YEAR*($H166/Segments!$AH$2)*Q166</f>
        <v>1.9662224327327273</v>
      </c>
      <c r="T166" s="51">
        <f t="shared" si="86"/>
        <v>2.8758521062187121</v>
      </c>
      <c r="U166" s="14">
        <f t="shared" si="87"/>
        <v>1426.2297754450396</v>
      </c>
      <c r="V166" s="44">
        <f t="shared" si="88"/>
        <v>4101.6259036654583</v>
      </c>
      <c r="W166" s="44">
        <f t="shared" si="89"/>
        <v>3559.4383296619199</v>
      </c>
      <c r="X166" s="44">
        <f t="shared" si="90"/>
        <v>980.02987299036295</v>
      </c>
      <c r="Y166" s="14">
        <f t="shared" si="91"/>
        <v>1426.2297754450396</v>
      </c>
      <c r="Z166" s="14">
        <f t="shared" si="92"/>
        <v>1138.2407420171903</v>
      </c>
      <c r="AA166" s="14">
        <f t="shared" si="93"/>
        <v>1892.5348500381235</v>
      </c>
      <c r="AB166" s="14">
        <f t="shared" si="94"/>
        <v>1667.3827517452426</v>
      </c>
      <c r="AC166" s="14">
        <f t="shared" si="95"/>
        <v>1469.0166687083909</v>
      </c>
      <c r="AD166" s="33">
        <f t="shared" si="96"/>
        <v>0.90048426743326415</v>
      </c>
      <c r="AE166" s="33">
        <f t="shared" si="97"/>
        <v>0.4094842674332641</v>
      </c>
      <c r="AF166" s="51">
        <f t="shared" si="98"/>
        <v>0.4450103155216657</v>
      </c>
      <c r="AG166" s="51">
        <f>APPLICANTS_PER_YEAR*($H166/Segments!$AH$2)*AE166</f>
        <v>1.9655244836796677</v>
      </c>
      <c r="AH166" s="51">
        <f t="shared" si="99"/>
        <v>2.4105347992013333</v>
      </c>
      <c r="AI166" s="14">
        <f t="shared" si="100"/>
        <v>1469.0166687083909</v>
      </c>
      <c r="AJ166" s="44">
        <f t="shared" si="101"/>
        <v>3541.1158005283924</v>
      </c>
      <c r="AK166" s="44">
        <f t="shared" si="102"/>
        <v>3073.0211887213268</v>
      </c>
      <c r="AL166" s="44">
        <f t="shared" si="103"/>
        <v>867.67828240068059</v>
      </c>
      <c r="AM166" s="14">
        <f t="shared" si="104"/>
        <v>1469.0166687083906</v>
      </c>
      <c r="AN166" s="14">
        <f t="shared" si="105"/>
        <v>1172.387964277706</v>
      </c>
      <c r="AO166" s="14">
        <f t="shared" si="106"/>
        <v>1948.0608955392672</v>
      </c>
      <c r="AP166" s="14">
        <f t="shared" si="107"/>
        <v>1716.8535013280443</v>
      </c>
      <c r="AQ166" s="14">
        <f t="shared" si="108"/>
        <v>1513.0871687696424</v>
      </c>
      <c r="AR166" s="33">
        <f t="shared" si="109"/>
        <v>0.90034295861609093</v>
      </c>
      <c r="AS166" s="33">
        <f t="shared" si="110"/>
        <v>0.40934295861609094</v>
      </c>
      <c r="AT166" s="51">
        <f t="shared" si="111"/>
        <v>0.44478572229623253</v>
      </c>
      <c r="AU166" s="51">
        <f>APPLICANTS_PER_YEAR*($H166/Segments!$AH$2)*AS166</f>
        <v>1.9648462013572363</v>
      </c>
      <c r="AV166" s="51">
        <f t="shared" si="112"/>
        <v>2.4096319236534689</v>
      </c>
      <c r="AW166" s="14">
        <f t="shared" si="113"/>
        <v>1513.0871687696424</v>
      </c>
      <c r="AX166" s="44">
        <f t="shared" si="114"/>
        <v>3645.9831451377745</v>
      </c>
      <c r="AY166" s="44">
        <f t="shared" si="115"/>
        <v>3164.0262815063429</v>
      </c>
      <c r="AZ166" s="44">
        <f t="shared" si="116"/>
        <v>890.4590330938189</v>
      </c>
    </row>
    <row r="167" spans="1:52" ht="15" customHeight="1" x14ac:dyDescent="0.35">
      <c r="A167" s="59" t="str">
        <f>Segments!$A$147</f>
        <v>Non-greek</v>
      </c>
      <c r="B167" s="59" t="str">
        <f>Segments!$B$147</f>
        <v>Off 3-6mi</v>
      </c>
      <c r="C167" s="59" t="str">
        <f>Segments!$C$147</f>
        <v>No</v>
      </c>
      <c r="D167" s="59" t="str">
        <f>Segments!$D$147</f>
        <v>&lt;1.0</v>
      </c>
      <c r="E167" s="59" t="str">
        <f>Segments!$E$147</f>
        <v>Junior</v>
      </c>
      <c r="F167" s="59">
        <f>Segments!$F$147</f>
        <v>2</v>
      </c>
      <c r="G167" s="59" t="str">
        <f>Segments!$G$147</f>
        <v>Base</v>
      </c>
      <c r="H167" s="60">
        <f>Segments!$H$147</f>
        <v>4</v>
      </c>
      <c r="I167" s="26">
        <f>Segments!$Y$147</f>
        <v>1321.0506302605493</v>
      </c>
      <c r="J167" s="29">
        <v>2</v>
      </c>
      <c r="K167" s="14">
        <f t="shared" si="78"/>
        <v>1426.2297754450396</v>
      </c>
      <c r="L167" s="14">
        <f t="shared" si="79"/>
        <v>1321.0506302605493</v>
      </c>
      <c r="M167" s="14">
        <f t="shared" si="80"/>
        <v>2189.7979801169927</v>
      </c>
      <c r="N167" s="14">
        <f t="shared" si="81"/>
        <v>1767.2450541597959</v>
      </c>
      <c r="O167" s="14">
        <f t="shared" si="82"/>
        <v>1426.2297754450396</v>
      </c>
      <c r="P167" s="33">
        <f t="shared" si="83"/>
        <v>0.94648217091117726</v>
      </c>
      <c r="Q167" s="33">
        <f t="shared" si="84"/>
        <v>0.44648217091117726</v>
      </c>
      <c r="R167" s="51">
        <f t="shared" si="85"/>
        <v>3.785928683644709</v>
      </c>
      <c r="S167" s="51">
        <f>APPLICANTS_PER_YEAR*($H167/Segments!$AH$2)*Q167</f>
        <v>2.1431144203736507</v>
      </c>
      <c r="T167" s="51">
        <f t="shared" si="86"/>
        <v>5.9290431040183602</v>
      </c>
      <c r="U167" s="14">
        <f t="shared" si="87"/>
        <v>1426.2297754450396</v>
      </c>
      <c r="V167" s="44">
        <f t="shared" si="88"/>
        <v>8456.1778148480662</v>
      </c>
      <c r="W167" s="44">
        <f t="shared" si="89"/>
        <v>8772.4740649340692</v>
      </c>
      <c r="X167" s="44">
        <f t="shared" si="90"/>
        <v>1877.3564055442819</v>
      </c>
      <c r="Y167" s="14">
        <f t="shared" si="91"/>
        <v>1426.2297754450396</v>
      </c>
      <c r="Z167" s="14">
        <f t="shared" si="92"/>
        <v>1360.6821491683659</v>
      </c>
      <c r="AA167" s="14">
        <f t="shared" si="93"/>
        <v>2254.2419195205025</v>
      </c>
      <c r="AB167" s="14">
        <f t="shared" si="94"/>
        <v>1819.7579385942561</v>
      </c>
      <c r="AC167" s="14">
        <f t="shared" si="95"/>
        <v>1469.0166687083909</v>
      </c>
      <c r="AD167" s="33">
        <f t="shared" si="96"/>
        <v>0.93737030905242513</v>
      </c>
      <c r="AE167" s="33">
        <f t="shared" si="97"/>
        <v>0.44637030905242514</v>
      </c>
      <c r="AF167" s="51">
        <f t="shared" si="98"/>
        <v>2.6957383775953021</v>
      </c>
      <c r="AG167" s="51">
        <f>APPLICANTS_PER_YEAR*($H167/Segments!$AH$2)*AE167</f>
        <v>2.1425774834516407</v>
      </c>
      <c r="AH167" s="51">
        <f t="shared" si="99"/>
        <v>4.8383158610469428</v>
      </c>
      <c r="AI167" s="14">
        <f t="shared" si="100"/>
        <v>1469.0166687083909</v>
      </c>
      <c r="AJ167" s="44">
        <f t="shared" si="101"/>
        <v>7107.5666483541499</v>
      </c>
      <c r="AK167" s="44">
        <f t="shared" si="102"/>
        <v>7373.4192270645171</v>
      </c>
      <c r="AL167" s="44">
        <f t="shared" si="103"/>
        <v>1603.8227221478048</v>
      </c>
      <c r="AM167" s="14">
        <f t="shared" si="104"/>
        <v>1469.0166687083909</v>
      </c>
      <c r="AN167" s="14">
        <f t="shared" si="105"/>
        <v>1401.5026136434167</v>
      </c>
      <c r="AO167" s="14">
        <f t="shared" si="106"/>
        <v>2320.6191771061176</v>
      </c>
      <c r="AP167" s="14">
        <f t="shared" si="107"/>
        <v>1873.8460717145456</v>
      </c>
      <c r="AQ167" s="14">
        <f t="shared" si="108"/>
        <v>1513.0871687696424</v>
      </c>
      <c r="AR167" s="33">
        <f t="shared" si="109"/>
        <v>0.93726161625293303</v>
      </c>
      <c r="AS167" s="33">
        <f t="shared" si="110"/>
        <v>0.44626161625293298</v>
      </c>
      <c r="AT167" s="51">
        <f t="shared" si="111"/>
        <v>2.2593017419333812</v>
      </c>
      <c r="AU167" s="51">
        <f>APPLICANTS_PER_YEAR*($H167/Segments!$AH$2)*AS167</f>
        <v>2.1420557580140782</v>
      </c>
      <c r="AV167" s="51">
        <f t="shared" si="112"/>
        <v>4.4013574999474594</v>
      </c>
      <c r="AW167" s="14">
        <f t="shared" si="113"/>
        <v>1513.0871687696426</v>
      </c>
      <c r="AX167" s="44">
        <f t="shared" si="114"/>
        <v>6659.6375583385334</v>
      </c>
      <c r="AY167" s="44">
        <f t="shared" si="115"/>
        <v>6908.73572452607</v>
      </c>
      <c r="AZ167" s="44">
        <f t="shared" si="116"/>
        <v>1513.689140353692</v>
      </c>
    </row>
    <row r="168" spans="1:52" ht="15" customHeight="1" x14ac:dyDescent="0.35">
      <c r="A168" s="59" t="str">
        <f>Segments!$A$148</f>
        <v>Non-greek</v>
      </c>
      <c r="B168" s="59" t="str">
        <f>Segments!$B$148</f>
        <v>Off 3-6mi</v>
      </c>
      <c r="C168" s="59" t="str">
        <f>Segments!$C$148</f>
        <v>No</v>
      </c>
      <c r="D168" s="59" t="str">
        <f>Segments!$D$148</f>
        <v>&lt;1.0</v>
      </c>
      <c r="E168" s="59" t="str">
        <f>Segments!$E$148</f>
        <v>Senior</v>
      </c>
      <c r="F168" s="59">
        <f>Segments!$F$148</f>
        <v>3</v>
      </c>
      <c r="G168" s="59" t="str">
        <f>Segments!$G$148</f>
        <v>Base</v>
      </c>
      <c r="H168" s="60">
        <f>Segments!$H$148</f>
        <v>1</v>
      </c>
      <c r="I168" s="26">
        <f>Segments!$Y$148</f>
        <v>1234.7694534403834</v>
      </c>
      <c r="J168" s="29">
        <v>3</v>
      </c>
      <c r="K168" s="14">
        <f t="shared" si="78"/>
        <v>1426.2297754450396</v>
      </c>
      <c r="L168" s="14">
        <f t="shared" si="79"/>
        <v>1234.7694534403834</v>
      </c>
      <c r="M168" s="14">
        <f t="shared" si="80"/>
        <v>2049.4980601569318</v>
      </c>
      <c r="N168" s="14">
        <f t="shared" si="81"/>
        <v>1709.6944633801284</v>
      </c>
      <c r="O168" s="14">
        <f t="shared" si="82"/>
        <v>1426.2297754450396</v>
      </c>
      <c r="P168" s="33">
        <f t="shared" si="83"/>
        <v>0.93289922381063006</v>
      </c>
      <c r="Q168" s="33">
        <f t="shared" si="84"/>
        <v>0.43289922381063006</v>
      </c>
      <c r="R168" s="51">
        <f t="shared" si="85"/>
        <v>3.7315968952425203</v>
      </c>
      <c r="S168" s="51">
        <f>APPLICANTS_PER_YEAR*($H168/Segments!$AH$2)*Q168</f>
        <v>0.51947906857275605</v>
      </c>
      <c r="T168" s="51">
        <f t="shared" si="86"/>
        <v>4.2510759638152766</v>
      </c>
      <c r="U168" s="14">
        <f t="shared" si="87"/>
        <v>1426.2297754450396</v>
      </c>
      <c r="V168" s="44">
        <f t="shared" si="88"/>
        <v>6063.0111172720672</v>
      </c>
      <c r="W168" s="44">
        <f t="shared" si="89"/>
        <v>5878.9905936985897</v>
      </c>
      <c r="X168" s="44">
        <f t="shared" si="90"/>
        <v>1269.8489751912075</v>
      </c>
      <c r="Y168" s="14">
        <f t="shared" si="91"/>
        <v>1426.2297754450396</v>
      </c>
      <c r="Z168" s="14">
        <f t="shared" si="92"/>
        <v>1271.8125370435948</v>
      </c>
      <c r="AA168" s="14">
        <f t="shared" si="93"/>
        <v>2109.7330019616397</v>
      </c>
      <c r="AB168" s="14">
        <f t="shared" si="94"/>
        <v>1760.4638441063878</v>
      </c>
      <c r="AC168" s="14">
        <f t="shared" si="95"/>
        <v>1469.0166687083909</v>
      </c>
      <c r="AD168" s="33">
        <f t="shared" si="96"/>
        <v>0.92377567766406921</v>
      </c>
      <c r="AE168" s="33">
        <f t="shared" si="97"/>
        <v>0.43277567766406916</v>
      </c>
      <c r="AF168" s="51">
        <f t="shared" si="98"/>
        <v>5.4771058113140372</v>
      </c>
      <c r="AG168" s="51">
        <f>APPLICANTS_PER_YEAR*($H168/Segments!$AH$2)*AE168</f>
        <v>0.51933081319688301</v>
      </c>
      <c r="AH168" s="51">
        <f t="shared" si="99"/>
        <v>5.9964366245109204</v>
      </c>
      <c r="AI168" s="14">
        <f t="shared" si="100"/>
        <v>1469.0166687083909</v>
      </c>
      <c r="AJ168" s="44">
        <f t="shared" si="101"/>
        <v>8808.8653542600205</v>
      </c>
      <c r="AK168" s="44">
        <f t="shared" si="102"/>
        <v>8541.5044698372076</v>
      </c>
      <c r="AL168" s="44">
        <f t="shared" si="103"/>
        <v>1824.4892515158881</v>
      </c>
      <c r="AM168" s="14">
        <f t="shared" si="104"/>
        <v>1469.0166687083909</v>
      </c>
      <c r="AN168" s="14">
        <f t="shared" si="105"/>
        <v>1309.9669131549026</v>
      </c>
      <c r="AO168" s="14">
        <f t="shared" si="106"/>
        <v>2171.7749920204888</v>
      </c>
      <c r="AP168" s="14">
        <f t="shared" si="107"/>
        <v>1812.7561540044469</v>
      </c>
      <c r="AQ168" s="14">
        <f t="shared" si="108"/>
        <v>1513.0871687696424</v>
      </c>
      <c r="AR168" s="33">
        <f t="shared" si="109"/>
        <v>0.92365562485412744</v>
      </c>
      <c r="AS168" s="33">
        <f t="shared" si="110"/>
        <v>0.43265562485412734</v>
      </c>
      <c r="AT168" s="51">
        <f t="shared" si="111"/>
        <v>4.4689376598769499</v>
      </c>
      <c r="AU168" s="51">
        <f>APPLICANTS_PER_YEAR*($H168/Segments!$AH$2)*AS168</f>
        <v>0.51918674982495283</v>
      </c>
      <c r="AV168" s="51">
        <f t="shared" si="112"/>
        <v>4.9881244097019026</v>
      </c>
      <c r="AW168" s="14">
        <f t="shared" si="113"/>
        <v>1513.0871687696424</v>
      </c>
      <c r="AX168" s="44">
        <f t="shared" si="114"/>
        <v>7547.4670405465959</v>
      </c>
      <c r="AY168" s="44">
        <f t="shared" si="115"/>
        <v>7318.3912876590011</v>
      </c>
      <c r="AZ168" s="44">
        <f t="shared" si="116"/>
        <v>1566.7085459304055</v>
      </c>
    </row>
    <row r="169" spans="1:52" ht="15" customHeight="1" x14ac:dyDescent="0.35">
      <c r="A169" s="59" t="str">
        <f>Segments!$A$149</f>
        <v>Non-greek</v>
      </c>
      <c r="B169" s="59" t="str">
        <f>Segments!$B$149</f>
        <v>Off 3-6mi</v>
      </c>
      <c r="C169" s="59" t="str">
        <f>Segments!$C$149</f>
        <v>No</v>
      </c>
      <c r="D169" s="59" t="str">
        <f>Segments!$D$149</f>
        <v>&lt;1.0</v>
      </c>
      <c r="E169" s="59" t="str">
        <f>Segments!$E$149</f>
        <v>Grad student</v>
      </c>
      <c r="F169" s="59">
        <f>Segments!$F$149</f>
        <v>3</v>
      </c>
      <c r="G169" s="59" t="str">
        <f>Segments!$G$149</f>
        <v>Grad</v>
      </c>
      <c r="H169" s="60">
        <f>Segments!$H$149</f>
        <v>4</v>
      </c>
      <c r="I169" s="26">
        <f>Segments!$Y$149</f>
        <v>1470.2158200395893</v>
      </c>
      <c r="J169" s="29">
        <v>4</v>
      </c>
      <c r="K169" s="14">
        <f t="shared" si="78"/>
        <v>1426.2297754450396</v>
      </c>
      <c r="L169" s="14">
        <f t="shared" si="79"/>
        <v>1470.2158200395893</v>
      </c>
      <c r="M169" s="14">
        <f t="shared" si="80"/>
        <v>2432.3522075639144</v>
      </c>
      <c r="N169" s="14">
        <f t="shared" si="81"/>
        <v>1862.5501718872242</v>
      </c>
      <c r="O169" s="14">
        <f t="shared" si="82"/>
        <v>1426.2297754450396</v>
      </c>
      <c r="P169" s="33">
        <f t="shared" si="83"/>
        <v>0.95</v>
      </c>
      <c r="Q169" s="33">
        <f t="shared" si="84"/>
        <v>0.46712983709858508</v>
      </c>
      <c r="R169" s="51">
        <f t="shared" si="85"/>
        <v>1.9</v>
      </c>
      <c r="S169" s="51">
        <f>APPLICANTS_PER_YEAR*($H169/Segments!$AH$2)*Q169</f>
        <v>2.2422232180732085</v>
      </c>
      <c r="T169" s="51">
        <f t="shared" si="86"/>
        <v>4.1422232180732088</v>
      </c>
      <c r="U169" s="14">
        <f t="shared" si="87"/>
        <v>1426.2297754450396</v>
      </c>
      <c r="V169" s="44">
        <f t="shared" si="88"/>
        <v>5907.7620901557821</v>
      </c>
      <c r="W169" s="44">
        <f t="shared" si="89"/>
        <v>6820.7575579881131</v>
      </c>
      <c r="X169" s="44">
        <f t="shared" si="90"/>
        <v>1367.3944729410941</v>
      </c>
      <c r="Y169" s="14">
        <f t="shared" si="91"/>
        <v>1426.2297754450396</v>
      </c>
      <c r="Z169" s="14">
        <f t="shared" si="92"/>
        <v>1514.322294640777</v>
      </c>
      <c r="AA169" s="14">
        <f t="shared" si="93"/>
        <v>2504.0727737908319</v>
      </c>
      <c r="AB169" s="14">
        <f t="shared" si="94"/>
        <v>1917.9480296289539</v>
      </c>
      <c r="AC169" s="14">
        <f t="shared" si="95"/>
        <v>1469.0166687083909</v>
      </c>
      <c r="AD169" s="33">
        <f t="shared" si="96"/>
        <v>0.95</v>
      </c>
      <c r="AE169" s="33">
        <f t="shared" si="97"/>
        <v>0.46703428716142353</v>
      </c>
      <c r="AF169" s="51">
        <f t="shared" si="98"/>
        <v>1.9675560285847742</v>
      </c>
      <c r="AG169" s="51">
        <f>APPLICANTS_PER_YEAR*($H169/Segments!$AH$2)*AE169</f>
        <v>2.2417645783748328</v>
      </c>
      <c r="AH169" s="51">
        <f t="shared" si="99"/>
        <v>4.209320606959607</v>
      </c>
      <c r="AI169" s="14">
        <f t="shared" si="100"/>
        <v>1469.0166687083909</v>
      </c>
      <c r="AJ169" s="44">
        <f t="shared" si="101"/>
        <v>6183.5621355613839</v>
      </c>
      <c r="AK169" s="44">
        <f t="shared" si="102"/>
        <v>7139.1802052589546</v>
      </c>
      <c r="AL169" s="44">
        <f t="shared" si="103"/>
        <v>1424.1854038730078</v>
      </c>
      <c r="AM169" s="14">
        <f t="shared" si="104"/>
        <v>1469.0166687083909</v>
      </c>
      <c r="AN169" s="14">
        <f t="shared" si="105"/>
        <v>1559.7519634800003</v>
      </c>
      <c r="AO169" s="14">
        <f t="shared" si="106"/>
        <v>2577.9449570045567</v>
      </c>
      <c r="AP169" s="14">
        <f t="shared" si="107"/>
        <v>1975.0077053616787</v>
      </c>
      <c r="AQ169" s="14">
        <f t="shared" si="108"/>
        <v>1513.0871687696424</v>
      </c>
      <c r="AR169" s="33">
        <f t="shared" si="109"/>
        <v>0.95</v>
      </c>
      <c r="AS169" s="33">
        <f t="shared" si="110"/>
        <v>0.46694145175687957</v>
      </c>
      <c r="AT169" s="51">
        <f t="shared" si="111"/>
        <v>1.9994272883058133</v>
      </c>
      <c r="AU169" s="51">
        <f>APPLICANTS_PER_YEAR*($H169/Segments!$AH$2)*AS169</f>
        <v>2.2413189684330219</v>
      </c>
      <c r="AV169" s="51">
        <f t="shared" si="112"/>
        <v>4.2407462567388352</v>
      </c>
      <c r="AW169" s="14">
        <f t="shared" si="113"/>
        <v>1513.0871687696424</v>
      </c>
      <c r="AX169" s="44">
        <f t="shared" si="114"/>
        <v>6416.618747079423</v>
      </c>
      <c r="AY169" s="44">
        <f t="shared" si="115"/>
        <v>7408.2537766371242</v>
      </c>
      <c r="AZ169" s="44">
        <f t="shared" si="116"/>
        <v>1472.2847265725741</v>
      </c>
    </row>
    <row r="170" spans="1:52" ht="15" customHeight="1" x14ac:dyDescent="0.35">
      <c r="A170" s="61" t="str">
        <f>Segments!$A$150</f>
        <v>Non-greek</v>
      </c>
      <c r="B170" s="61" t="str">
        <f>Segments!$B$150</f>
        <v>Off 3-6mi</v>
      </c>
      <c r="C170" s="61" t="str">
        <f>Segments!$C$150</f>
        <v>No</v>
      </c>
      <c r="D170" s="61" t="str">
        <f>Segments!$D$150</f>
        <v>1.0-2.0</v>
      </c>
      <c r="E170" s="61" t="str">
        <f>Segments!$E$150</f>
        <v>Freshman</v>
      </c>
      <c r="F170" s="61">
        <f>Segments!$F$150</f>
        <v>1</v>
      </c>
      <c r="G170" s="61" t="str">
        <f>Segments!$G$150</f>
        <v>Base</v>
      </c>
      <c r="H170" s="62">
        <f>Segments!$H$150</f>
        <v>14</v>
      </c>
      <c r="I170" s="63">
        <f>Segments!$Y$150</f>
        <v>1013.0871418290872</v>
      </c>
      <c r="J170" s="42">
        <v>0</v>
      </c>
      <c r="K170" s="40">
        <f t="shared" si="78"/>
        <v>1689.0253392012203</v>
      </c>
      <c r="L170" s="40">
        <f t="shared" si="79"/>
        <v>1013.0871418290872</v>
      </c>
      <c r="M170" s="40">
        <f t="shared" si="80"/>
        <v>1689.0253392012203</v>
      </c>
      <c r="N170" s="40">
        <f t="shared" si="81"/>
        <v>1552.0754589419739</v>
      </c>
      <c r="O170" s="40">
        <f t="shared" si="82"/>
        <v>1426.2297754450396</v>
      </c>
      <c r="P170" s="41">
        <f t="shared" si="83"/>
        <v>0.89054109701042539</v>
      </c>
      <c r="Q170" s="41">
        <f t="shared" si="84"/>
        <v>0.39054109701042539</v>
      </c>
      <c r="R170" s="64">
        <f t="shared" si="85"/>
        <v>0</v>
      </c>
      <c r="S170" s="64">
        <f>APPLICANTS_PER_YEAR*($H170/Segments!$AH$2)*Q170</f>
        <v>6.5610904297751471</v>
      </c>
      <c r="T170" s="64">
        <f t="shared" si="86"/>
        <v>6.5610904297751471</v>
      </c>
      <c r="U170" s="40">
        <f t="shared" si="87"/>
        <v>1426.2297754450396</v>
      </c>
      <c r="V170" s="65">
        <f t="shared" si="88"/>
        <v>9357.6225303328065</v>
      </c>
      <c r="W170" s="65">
        <f t="shared" si="89"/>
        <v>7444.5911128770513</v>
      </c>
      <c r="X170" s="65">
        <f t="shared" si="90"/>
        <v>2391.35651613443</v>
      </c>
      <c r="Y170" s="40">
        <f t="shared" si="91"/>
        <v>1738.4460993772568</v>
      </c>
      <c r="Z170" s="40">
        <f t="shared" si="92"/>
        <v>1043.4797560839597</v>
      </c>
      <c r="AA170" s="40">
        <f t="shared" si="93"/>
        <v>1738.4460993772568</v>
      </c>
      <c r="AB170" s="40">
        <f t="shared" si="94"/>
        <v>1598.0632958791944</v>
      </c>
      <c r="AC170" s="40">
        <f t="shared" si="95"/>
        <v>1469.0166687083909</v>
      </c>
      <c r="AD170" s="41">
        <f t="shared" si="96"/>
        <v>0.89037594365115769</v>
      </c>
      <c r="AE170" s="41">
        <f t="shared" si="97"/>
        <v>0.39037594365115769</v>
      </c>
      <c r="AF170" s="64">
        <f t="shared" si="98"/>
        <v>0</v>
      </c>
      <c r="AG170" s="64">
        <f>APPLICANTS_PER_YEAR*($H170/Segments!$AH$2)*AE170</f>
        <v>6.5583158533394492</v>
      </c>
      <c r="AH170" s="64">
        <f t="shared" si="99"/>
        <v>6.5583158533394492</v>
      </c>
      <c r="AI170" s="40">
        <f t="shared" si="100"/>
        <v>1469.0166687083909</v>
      </c>
      <c r="AJ170" s="65">
        <f t="shared" si="101"/>
        <v>9634.2753072101459</v>
      </c>
      <c r="AK170" s="65">
        <f t="shared" si="102"/>
        <v>7664.6862061999218</v>
      </c>
      <c r="AL170" s="65">
        <f t="shared" si="103"/>
        <v>2453.2018822153477</v>
      </c>
      <c r="AM170" s="40">
        <f t="shared" si="104"/>
        <v>1789.3494823585745</v>
      </c>
      <c r="AN170" s="40">
        <f t="shared" si="105"/>
        <v>1074.7841487664784</v>
      </c>
      <c r="AO170" s="40">
        <f t="shared" si="106"/>
        <v>1789.3494823585745</v>
      </c>
      <c r="AP170" s="40">
        <f t="shared" si="107"/>
        <v>1645.430564381664</v>
      </c>
      <c r="AQ170" s="40">
        <f t="shared" si="108"/>
        <v>1513.0871687696424</v>
      </c>
      <c r="AR170" s="41">
        <f t="shared" si="109"/>
        <v>0.89021543007551784</v>
      </c>
      <c r="AS170" s="41">
        <f t="shared" si="110"/>
        <v>0.3902154300755179</v>
      </c>
      <c r="AT170" s="64">
        <f t="shared" si="111"/>
        <v>0</v>
      </c>
      <c r="AU170" s="64">
        <f>APPLICANTS_PER_YEAR*($H170/Segments!$AH$2)*AS170</f>
        <v>6.5556192252687007</v>
      </c>
      <c r="AV170" s="64">
        <f t="shared" si="112"/>
        <v>6.5556192252687007</v>
      </c>
      <c r="AW170" s="40">
        <f t="shared" si="113"/>
        <v>1513.0871687696426</v>
      </c>
      <c r="AX170" s="65">
        <f t="shared" si="114"/>
        <v>9919.223333093656</v>
      </c>
      <c r="AY170" s="65">
        <f t="shared" si="115"/>
        <v>7891.3807041076925</v>
      </c>
      <c r="AZ170" s="65">
        <f t="shared" si="116"/>
        <v>2516.9088917500703</v>
      </c>
    </row>
    <row r="171" spans="1:52" ht="15" customHeight="1" x14ac:dyDescent="0.35">
      <c r="A171" s="61" t="str">
        <f>Segments!$A$151</f>
        <v>Non-greek</v>
      </c>
      <c r="B171" s="61" t="str">
        <f>Segments!$B$151</f>
        <v>Off 3-6mi</v>
      </c>
      <c r="C171" s="61" t="str">
        <f>Segments!$C$151</f>
        <v>No</v>
      </c>
      <c r="D171" s="61" t="str">
        <f>Segments!$D$151</f>
        <v>1.0-2.0</v>
      </c>
      <c r="E171" s="61" t="str">
        <f>Segments!$E$151</f>
        <v>Sophomore</v>
      </c>
      <c r="F171" s="61">
        <f>Segments!$F$151</f>
        <v>1</v>
      </c>
      <c r="G171" s="61" t="str">
        <f>Segments!$G$151</f>
        <v>Sophomore</v>
      </c>
      <c r="H171" s="62">
        <f>Segments!$H$151</f>
        <v>11</v>
      </c>
      <c r="I171" s="63">
        <f>Segments!$Y$151</f>
        <v>1002.7802392458395</v>
      </c>
      <c r="J171" s="42">
        <v>1</v>
      </c>
      <c r="K171" s="40">
        <f t="shared" si="78"/>
        <v>1426.2297754450396</v>
      </c>
      <c r="L171" s="40">
        <f t="shared" si="79"/>
        <v>1002.7802392458395</v>
      </c>
      <c r="M171" s="40">
        <f t="shared" si="80"/>
        <v>1672.265512078327</v>
      </c>
      <c r="N171" s="40">
        <f t="shared" si="81"/>
        <v>1544.3558093185509</v>
      </c>
      <c r="O171" s="40">
        <f t="shared" si="82"/>
        <v>1426.2297754450396</v>
      </c>
      <c r="P171" s="41">
        <f t="shared" si="83"/>
        <v>0.88824443601686398</v>
      </c>
      <c r="Q171" s="41">
        <f t="shared" si="84"/>
        <v>0.38824443601686404</v>
      </c>
      <c r="R171" s="64">
        <f t="shared" si="85"/>
        <v>12.435422104236096</v>
      </c>
      <c r="S171" s="64">
        <f>APPLICANTS_PER_YEAR*($H171/Segments!$AH$2)*Q171</f>
        <v>5.1248265554226053</v>
      </c>
      <c r="T171" s="64">
        <f t="shared" si="86"/>
        <v>17.560248659658701</v>
      </c>
      <c r="U171" s="40">
        <f t="shared" si="87"/>
        <v>1426.2297754450399</v>
      </c>
      <c r="V171" s="65">
        <f t="shared" si="88"/>
        <v>25044.949502624091</v>
      </c>
      <c r="W171" s="65">
        <f t="shared" si="89"/>
        <v>19722.158794406863</v>
      </c>
      <c r="X171" s="65">
        <f t="shared" si="90"/>
        <v>5468.6424010314222</v>
      </c>
      <c r="Y171" s="40">
        <f t="shared" si="91"/>
        <v>1426.2297754450396</v>
      </c>
      <c r="Z171" s="40">
        <f t="shared" si="92"/>
        <v>1032.8636464232147</v>
      </c>
      <c r="AA171" s="40">
        <f t="shared" si="93"/>
        <v>1721.1834774406766</v>
      </c>
      <c r="AB171" s="40">
        <f t="shared" si="94"/>
        <v>1590.1091843850932</v>
      </c>
      <c r="AC171" s="40">
        <f t="shared" si="95"/>
        <v>1469.0166687083909</v>
      </c>
      <c r="AD171" s="41">
        <f t="shared" si="96"/>
        <v>0.8790767927340567</v>
      </c>
      <c r="AE171" s="41">
        <f t="shared" si="97"/>
        <v>0.38807679273405671</v>
      </c>
      <c r="AF171" s="64">
        <f t="shared" si="98"/>
        <v>5.7677023318448501</v>
      </c>
      <c r="AG171" s="64">
        <f>APPLICANTS_PER_YEAR*($H171/Segments!$AH$2)*AE171</f>
        <v>5.122613664089549</v>
      </c>
      <c r="AH171" s="64">
        <f t="shared" si="99"/>
        <v>10.890315995934399</v>
      </c>
      <c r="AI171" s="40">
        <f t="shared" si="100"/>
        <v>1469.0166687083906</v>
      </c>
      <c r="AJ171" s="65">
        <f t="shared" si="101"/>
        <v>15998.055725529252</v>
      </c>
      <c r="AK171" s="65">
        <f t="shared" si="102"/>
        <v>12597.996869093293</v>
      </c>
      <c r="AL171" s="65">
        <f t="shared" si="103"/>
        <v>3632.8863637424874</v>
      </c>
      <c r="AM171" s="40">
        <f t="shared" si="104"/>
        <v>1469.0166687083909</v>
      </c>
      <c r="AN171" s="40">
        <f t="shared" si="105"/>
        <v>1063.8495558159111</v>
      </c>
      <c r="AO171" s="40">
        <f t="shared" si="106"/>
        <v>1771.568981763897</v>
      </c>
      <c r="AP171" s="40">
        <f t="shared" si="107"/>
        <v>1637.2349540909677</v>
      </c>
      <c r="AQ171" s="40">
        <f t="shared" si="108"/>
        <v>1513.0871687696424</v>
      </c>
      <c r="AR171" s="41">
        <f t="shared" si="109"/>
        <v>0.87891385744945061</v>
      </c>
      <c r="AS171" s="41">
        <f t="shared" si="110"/>
        <v>0.38791385744945051</v>
      </c>
      <c r="AT171" s="64">
        <f t="shared" si="111"/>
        <v>5.7641946850304606</v>
      </c>
      <c r="AU171" s="64">
        <f>APPLICANTS_PER_YEAR*($H171/Segments!$AH$2)*AS171</f>
        <v>5.1204629183327475</v>
      </c>
      <c r="AV171" s="64">
        <f t="shared" si="112"/>
        <v>10.884657603363209</v>
      </c>
      <c r="AW171" s="40">
        <f t="shared" si="113"/>
        <v>1513.0871687696422</v>
      </c>
      <c r="AX171" s="65">
        <f t="shared" si="114"/>
        <v>16469.435756099796</v>
      </c>
      <c r="AY171" s="65">
        <f t="shared" si="115"/>
        <v>12969.194735331777</v>
      </c>
      <c r="AZ171" s="65">
        <f t="shared" si="116"/>
        <v>3729.5978188245963</v>
      </c>
    </row>
    <row r="172" spans="1:52" ht="15" customHeight="1" x14ac:dyDescent="0.35">
      <c r="A172" s="61" t="str">
        <f>Segments!$A$152</f>
        <v>Non-greek</v>
      </c>
      <c r="B172" s="61" t="str">
        <f>Segments!$B$152</f>
        <v>Off 3-6mi</v>
      </c>
      <c r="C172" s="61" t="str">
        <f>Segments!$C$152</f>
        <v>No</v>
      </c>
      <c r="D172" s="61" t="str">
        <f>Segments!$D$152</f>
        <v>1.0-2.0</v>
      </c>
      <c r="E172" s="61" t="str">
        <f>Segments!$E$152</f>
        <v>Junior</v>
      </c>
      <c r="F172" s="61">
        <f>Segments!$F$152</f>
        <v>2</v>
      </c>
      <c r="G172" s="61" t="str">
        <f>Segments!$G$152</f>
        <v>Base</v>
      </c>
      <c r="H172" s="62">
        <f>Segments!$H$152</f>
        <v>16</v>
      </c>
      <c r="I172" s="63">
        <f>Segments!$Y$152</f>
        <v>1198.7491931298221</v>
      </c>
      <c r="J172" s="42">
        <v>2</v>
      </c>
      <c r="K172" s="40">
        <f t="shared" si="78"/>
        <v>1426.2297754450396</v>
      </c>
      <c r="L172" s="40">
        <f t="shared" si="79"/>
        <v>1198.7491931298221</v>
      </c>
      <c r="M172" s="40">
        <f t="shared" si="80"/>
        <v>1990.9263087650208</v>
      </c>
      <c r="N172" s="40">
        <f t="shared" si="81"/>
        <v>1685.0870548068303</v>
      </c>
      <c r="O172" s="40">
        <f t="shared" si="82"/>
        <v>1426.2297754450396</v>
      </c>
      <c r="P172" s="41">
        <f t="shared" si="83"/>
        <v>0.92680828080168975</v>
      </c>
      <c r="Q172" s="41">
        <f t="shared" si="84"/>
        <v>0.4268082808016897</v>
      </c>
      <c r="R172" s="64">
        <f t="shared" si="85"/>
        <v>10.194891088818586</v>
      </c>
      <c r="S172" s="64">
        <f>APPLICANTS_PER_YEAR*($H172/Segments!$AH$2)*Q172</f>
        <v>8.1947189913924419</v>
      </c>
      <c r="T172" s="64">
        <f t="shared" si="86"/>
        <v>18.389610080211028</v>
      </c>
      <c r="U172" s="40">
        <f t="shared" si="87"/>
        <v>1426.2297754450396</v>
      </c>
      <c r="V172" s="65">
        <f t="shared" si="88"/>
        <v>26227.809455221213</v>
      </c>
      <c r="W172" s="65">
        <f t="shared" si="89"/>
        <v>24689.873875100016</v>
      </c>
      <c r="X172" s="65">
        <f t="shared" si="90"/>
        <v>5938.7804913683503</v>
      </c>
      <c r="Y172" s="40">
        <f t="shared" si="91"/>
        <v>1426.2297754450399</v>
      </c>
      <c r="Z172" s="40">
        <f t="shared" si="92"/>
        <v>1234.7116689237168</v>
      </c>
      <c r="AA172" s="40">
        <f t="shared" si="93"/>
        <v>2049.4040980279715</v>
      </c>
      <c r="AB172" s="40">
        <f t="shared" si="94"/>
        <v>1735.1105961645137</v>
      </c>
      <c r="AC172" s="40">
        <f t="shared" si="95"/>
        <v>1469.0166687083909</v>
      </c>
      <c r="AD172" s="41">
        <f t="shared" si="96"/>
        <v>0.91767924109400512</v>
      </c>
      <c r="AE172" s="41">
        <f t="shared" si="97"/>
        <v>0.42667924109400496</v>
      </c>
      <c r="AF172" s="64">
        <f t="shared" si="98"/>
        <v>16.114675663417618</v>
      </c>
      <c r="AG172" s="64">
        <f>APPLICANTS_PER_YEAR*($H172/Segments!$AH$2)*AE172</f>
        <v>8.1922414290048948</v>
      </c>
      <c r="AH172" s="64">
        <f t="shared" si="99"/>
        <v>24.306917092422513</v>
      </c>
      <c r="AI172" s="40">
        <f t="shared" si="100"/>
        <v>1469.0166687083909</v>
      </c>
      <c r="AJ172" s="65">
        <f t="shared" si="101"/>
        <v>35707.266373681567</v>
      </c>
      <c r="AK172" s="65">
        <f t="shared" si="102"/>
        <v>33613.478269924468</v>
      </c>
      <c r="AL172" s="65">
        <f t="shared" si="103"/>
        <v>7860.8265946645961</v>
      </c>
      <c r="AM172" s="40">
        <f t="shared" si="104"/>
        <v>1469.0166687083906</v>
      </c>
      <c r="AN172" s="40">
        <f t="shared" si="105"/>
        <v>1271.7530189914282</v>
      </c>
      <c r="AO172" s="40">
        <f t="shared" si="106"/>
        <v>2109.6362209688104</v>
      </c>
      <c r="AP172" s="40">
        <f t="shared" si="107"/>
        <v>1786.6346847410039</v>
      </c>
      <c r="AQ172" s="40">
        <f t="shared" si="108"/>
        <v>1513.0871687696424</v>
      </c>
      <c r="AR172" s="41">
        <f t="shared" si="109"/>
        <v>0.91755384682376062</v>
      </c>
      <c r="AS172" s="41">
        <f t="shared" si="110"/>
        <v>0.42655384682376063</v>
      </c>
      <c r="AT172" s="64">
        <f t="shared" si="111"/>
        <v>9.9924513351959412</v>
      </c>
      <c r="AU172" s="64">
        <f>APPLICANTS_PER_YEAR*($H172/Segments!$AH$2)*AS172</f>
        <v>8.1898338590162041</v>
      </c>
      <c r="AV172" s="64">
        <f t="shared" si="112"/>
        <v>18.182285194212145</v>
      </c>
      <c r="AW172" s="40">
        <f t="shared" si="113"/>
        <v>1513.0871687696424</v>
      </c>
      <c r="AX172" s="65">
        <f t="shared" si="114"/>
        <v>27511.382426272641</v>
      </c>
      <c r="AY172" s="65">
        <f t="shared" si="115"/>
        <v>25898.181218450736</v>
      </c>
      <c r="AZ172" s="65">
        <f t="shared" si="116"/>
        <v>6201.7604673503183</v>
      </c>
    </row>
    <row r="173" spans="1:52" ht="15" customHeight="1" x14ac:dyDescent="0.35">
      <c r="A173" s="61" t="str">
        <f>Segments!$A$153</f>
        <v>Non-greek</v>
      </c>
      <c r="B173" s="61" t="str">
        <f>Segments!$B$153</f>
        <v>Off 3-6mi</v>
      </c>
      <c r="C173" s="61" t="str">
        <f>Segments!$C$153</f>
        <v>No</v>
      </c>
      <c r="D173" s="61" t="str">
        <f>Segments!$D$153</f>
        <v>1.0-2.0</v>
      </c>
      <c r="E173" s="61" t="str">
        <f>Segments!$E$153</f>
        <v>Senior</v>
      </c>
      <c r="F173" s="61">
        <f>Segments!$F$153</f>
        <v>3</v>
      </c>
      <c r="G173" s="61" t="str">
        <f>Segments!$G$153</f>
        <v>Base</v>
      </c>
      <c r="H173" s="62">
        <f>Segments!$H$153</f>
        <v>9</v>
      </c>
      <c r="I173" s="63">
        <f>Segments!$Y$153</f>
        <v>1120.4558342484397</v>
      </c>
      <c r="J173" s="42">
        <v>3</v>
      </c>
      <c r="K173" s="40">
        <f t="shared" si="78"/>
        <v>1426.2297754450396</v>
      </c>
      <c r="L173" s="40">
        <f t="shared" si="79"/>
        <v>1120.4558342484397</v>
      </c>
      <c r="M173" s="40">
        <f t="shared" si="80"/>
        <v>1863.6152035009245</v>
      </c>
      <c r="N173" s="40">
        <f t="shared" si="81"/>
        <v>1630.3200585176783</v>
      </c>
      <c r="O173" s="40">
        <f t="shared" si="82"/>
        <v>1426.2297754450396</v>
      </c>
      <c r="P173" s="41">
        <f t="shared" si="83"/>
        <v>0.91259209104566918</v>
      </c>
      <c r="Q173" s="41">
        <f t="shared" si="84"/>
        <v>0.41259209104566918</v>
      </c>
      <c r="R173" s="64">
        <f t="shared" si="85"/>
        <v>14.601473456730707</v>
      </c>
      <c r="S173" s="64">
        <f>APPLICANTS_PER_YEAR*($H173/Segments!$AH$2)*Q173</f>
        <v>4.4559945832932266</v>
      </c>
      <c r="T173" s="64">
        <f t="shared" si="86"/>
        <v>19.057468040023934</v>
      </c>
      <c r="U173" s="40">
        <f t="shared" si="87"/>
        <v>1426.2297754450396</v>
      </c>
      <c r="V173" s="65">
        <f t="shared" si="88"/>
        <v>27180.328363274355</v>
      </c>
      <c r="W173" s="65">
        <f t="shared" si="89"/>
        <v>23915.417401621758</v>
      </c>
      <c r="X173" s="65">
        <f t="shared" si="90"/>
        <v>5852.0658114286734</v>
      </c>
      <c r="Y173" s="40">
        <f t="shared" si="91"/>
        <v>1426.2297754450396</v>
      </c>
      <c r="Z173" s="40">
        <f t="shared" si="92"/>
        <v>1154.0695092758929</v>
      </c>
      <c r="AA173" s="40">
        <f t="shared" si="93"/>
        <v>1918.2736596059522</v>
      </c>
      <c r="AB173" s="40">
        <f t="shared" si="94"/>
        <v>1678.6828113450706</v>
      </c>
      <c r="AC173" s="40">
        <f t="shared" si="95"/>
        <v>1469.0166687083909</v>
      </c>
      <c r="AD173" s="41">
        <f t="shared" si="96"/>
        <v>0.90344960072852631</v>
      </c>
      <c r="AE173" s="41">
        <f t="shared" si="97"/>
        <v>0.41244960072852638</v>
      </c>
      <c r="AF173" s="64">
        <f t="shared" si="98"/>
        <v>16.614085884519938</v>
      </c>
      <c r="AG173" s="64">
        <f>APPLICANTS_PER_YEAR*($H173/Segments!$AH$2)*AE173</f>
        <v>4.4544556878680845</v>
      </c>
      <c r="AH173" s="64">
        <f t="shared" si="99"/>
        <v>21.068541572388021</v>
      </c>
      <c r="AI173" s="40">
        <f t="shared" si="100"/>
        <v>1469.0166687083911</v>
      </c>
      <c r="AJ173" s="65">
        <f t="shared" si="101"/>
        <v>30950.038755213696</v>
      </c>
      <c r="AK173" s="65">
        <f t="shared" si="102"/>
        <v>27232.308805637145</v>
      </c>
      <c r="AL173" s="65">
        <f t="shared" si="103"/>
        <v>6611.3179863223904</v>
      </c>
      <c r="AM173" s="40">
        <f t="shared" si="104"/>
        <v>1469.0166687083909</v>
      </c>
      <c r="AN173" s="40">
        <f t="shared" si="105"/>
        <v>1188.6915945541696</v>
      </c>
      <c r="AO173" s="40">
        <f t="shared" si="106"/>
        <v>1974.5718693941305</v>
      </c>
      <c r="AP173" s="40">
        <f t="shared" si="107"/>
        <v>1728.4962711541339</v>
      </c>
      <c r="AQ173" s="40">
        <f t="shared" si="108"/>
        <v>1513.0871687696424</v>
      </c>
      <c r="AR173" s="41">
        <f t="shared" si="109"/>
        <v>0.90331112730161145</v>
      </c>
      <c r="AS173" s="41">
        <f t="shared" si="110"/>
        <v>0.41231112730161129</v>
      </c>
      <c r="AT173" s="64">
        <f t="shared" si="111"/>
        <v>21.956708679982988</v>
      </c>
      <c r="AU173" s="64">
        <f>APPLICANTS_PER_YEAR*($H173/Segments!$AH$2)*AS173</f>
        <v>4.4529601748574015</v>
      </c>
      <c r="AV173" s="64">
        <f t="shared" si="112"/>
        <v>26.40966885484039</v>
      </c>
      <c r="AW173" s="40">
        <f t="shared" si="113"/>
        <v>1513.0871687696424</v>
      </c>
      <c r="AX173" s="65">
        <f t="shared" si="114"/>
        <v>39960.131075714249</v>
      </c>
      <c r="AY173" s="65">
        <f t="shared" si="115"/>
        <v>35160.105548632753</v>
      </c>
      <c r="AZ173" s="65">
        <f t="shared" si="116"/>
        <v>8427.8022464048991</v>
      </c>
    </row>
    <row r="174" spans="1:52" ht="15" customHeight="1" x14ac:dyDescent="0.35">
      <c r="A174" s="61" t="str">
        <f>Segments!$A$154</f>
        <v>Non-greek</v>
      </c>
      <c r="B174" s="61" t="str">
        <f>Segments!$B$154</f>
        <v>Off 3-6mi</v>
      </c>
      <c r="C174" s="61" t="str">
        <f>Segments!$C$154</f>
        <v>No</v>
      </c>
      <c r="D174" s="61" t="str">
        <f>Segments!$D$154</f>
        <v>1.0-2.0</v>
      </c>
      <c r="E174" s="61" t="str">
        <f>Segments!$E$154</f>
        <v>Grad student</v>
      </c>
      <c r="F174" s="61">
        <f>Segments!$F$154</f>
        <v>3</v>
      </c>
      <c r="G174" s="61" t="str">
        <f>Segments!$G$154</f>
        <v>Grad</v>
      </c>
      <c r="H174" s="62">
        <f>Segments!$H$154</f>
        <v>3</v>
      </c>
      <c r="I174" s="63">
        <f>Segments!$Y$154</f>
        <v>1334.1048311309291</v>
      </c>
      <c r="J174" s="42">
        <v>4</v>
      </c>
      <c r="K174" s="40">
        <f t="shared" si="78"/>
        <v>1426.2297754450396</v>
      </c>
      <c r="L174" s="40">
        <f t="shared" si="79"/>
        <v>1334.1048311309291</v>
      </c>
      <c r="M174" s="40">
        <f t="shared" si="80"/>
        <v>2211.0251284331803</v>
      </c>
      <c r="N174" s="40">
        <f t="shared" si="81"/>
        <v>1775.7899291381834</v>
      </c>
      <c r="O174" s="40">
        <f t="shared" si="82"/>
        <v>1426.2297754450396</v>
      </c>
      <c r="P174" s="41">
        <f t="shared" si="83"/>
        <v>0.94842384731362639</v>
      </c>
      <c r="Q174" s="41">
        <f t="shared" si="84"/>
        <v>0.44842384731362633</v>
      </c>
      <c r="R174" s="64">
        <f t="shared" si="85"/>
        <v>1.4226357709704396</v>
      </c>
      <c r="S174" s="64">
        <f>APPLICANTS_PER_YEAR*($H174/Segments!$AH$2)*Q174</f>
        <v>1.6143258503290547</v>
      </c>
      <c r="T174" s="64">
        <f t="shared" si="86"/>
        <v>3.0369616212994943</v>
      </c>
      <c r="U174" s="40">
        <f t="shared" si="87"/>
        <v>1426.2297754450394</v>
      </c>
      <c r="V174" s="65">
        <f t="shared" si="88"/>
        <v>4331.405091181181</v>
      </c>
      <c r="W174" s="65">
        <f t="shared" si="89"/>
        <v>4537.8201914470601</v>
      </c>
      <c r="X174" s="65">
        <f t="shared" si="90"/>
        <v>1000.3169267428071</v>
      </c>
      <c r="Y174" s="40">
        <f t="shared" si="91"/>
        <v>1426.2297754450394</v>
      </c>
      <c r="Z174" s="40">
        <f t="shared" si="92"/>
        <v>1374.127976064857</v>
      </c>
      <c r="AA174" s="40">
        <f t="shared" si="93"/>
        <v>2276.1058822861755</v>
      </c>
      <c r="AB174" s="40">
        <f t="shared" si="94"/>
        <v>1828.5615879219411</v>
      </c>
      <c r="AC174" s="40">
        <f t="shared" si="95"/>
        <v>1469.0166687083909</v>
      </c>
      <c r="AD174" s="41">
        <f t="shared" si="96"/>
        <v>0.9393135929323968</v>
      </c>
      <c r="AE174" s="41">
        <f t="shared" si="97"/>
        <v>0.44831359293239692</v>
      </c>
      <c r="AF174" s="64">
        <f t="shared" si="98"/>
        <v>1.4263296660503124</v>
      </c>
      <c r="AG174" s="64">
        <f>APPLICANTS_PER_YEAR*($H174/Segments!$AH$2)*AE174</f>
        <v>1.6139289345566288</v>
      </c>
      <c r="AH174" s="64">
        <f t="shared" si="99"/>
        <v>3.0402586006069412</v>
      </c>
      <c r="AI174" s="40">
        <f t="shared" si="100"/>
        <v>1469.0166687083906</v>
      </c>
      <c r="AJ174" s="65">
        <f t="shared" si="101"/>
        <v>4466.1905614756424</v>
      </c>
      <c r="AK174" s="65">
        <f t="shared" si="102"/>
        <v>4679.0289252736857</v>
      </c>
      <c r="AL174" s="65">
        <f t="shared" si="103"/>
        <v>1028.2445092390572</v>
      </c>
      <c r="AM174" s="40">
        <f t="shared" si="104"/>
        <v>1469.0166687083906</v>
      </c>
      <c r="AN174" s="40">
        <f t="shared" si="105"/>
        <v>1415.3518153468026</v>
      </c>
      <c r="AO174" s="40">
        <f t="shared" si="106"/>
        <v>2343.1390587547603</v>
      </c>
      <c r="AP174" s="40">
        <f t="shared" si="107"/>
        <v>1882.9162606034304</v>
      </c>
      <c r="AQ174" s="40">
        <f t="shared" si="108"/>
        <v>1513.0871687696424</v>
      </c>
      <c r="AR174" s="41">
        <f t="shared" si="109"/>
        <v>0.93920646291388088</v>
      </c>
      <c r="AS174" s="41">
        <f t="shared" si="110"/>
        <v>0.44820646291388083</v>
      </c>
      <c r="AT174" s="64">
        <f t="shared" si="111"/>
        <v>1.4277152633097752</v>
      </c>
      <c r="AU174" s="64">
        <f>APPLICANTS_PER_YEAR*($H174/Segments!$AH$2)*AS174</f>
        <v>1.6135432664899709</v>
      </c>
      <c r="AV174" s="64">
        <f t="shared" si="112"/>
        <v>3.0412585297997463</v>
      </c>
      <c r="AW174" s="40">
        <f t="shared" si="113"/>
        <v>1513.0871687696424</v>
      </c>
      <c r="AX174" s="65">
        <f t="shared" si="114"/>
        <v>4601.6892583512235</v>
      </c>
      <c r="AY174" s="65">
        <f t="shared" si="115"/>
        <v>4820.984874821942</v>
      </c>
      <c r="AZ174" s="65">
        <f t="shared" si="116"/>
        <v>1056.3331285339475</v>
      </c>
    </row>
    <row r="175" spans="1:52" ht="15" customHeight="1" x14ac:dyDescent="0.35">
      <c r="A175" s="59" t="str">
        <f>Segments!$A$155</f>
        <v>Non-greek</v>
      </c>
      <c r="B175" s="59" t="str">
        <f>Segments!$B$155</f>
        <v>Off 3-6mi</v>
      </c>
      <c r="C175" s="59" t="str">
        <f>Segments!$C$155</f>
        <v>No</v>
      </c>
      <c r="D175" s="59" t="str">
        <f>Segments!$D$155</f>
        <v>2.0-3.0</v>
      </c>
      <c r="E175" s="59" t="str">
        <f>Segments!$E$155</f>
        <v>Freshman</v>
      </c>
      <c r="F175" s="59">
        <f>Segments!$F$155</f>
        <v>1</v>
      </c>
      <c r="G175" s="59" t="str">
        <f>Segments!$G$155</f>
        <v>Base</v>
      </c>
      <c r="H175" s="60">
        <f>Segments!$H$155</f>
        <v>24</v>
      </c>
      <c r="I175" s="26">
        <f>Segments!$Y$155</f>
        <v>995.54018839421497</v>
      </c>
      <c r="J175" s="29">
        <v>0</v>
      </c>
      <c r="K175" s="14">
        <f t="shared" si="78"/>
        <v>1660.4926249617445</v>
      </c>
      <c r="L175" s="14">
        <f t="shared" si="79"/>
        <v>995.54018839421497</v>
      </c>
      <c r="M175" s="14">
        <f t="shared" si="80"/>
        <v>1660.4926249617445</v>
      </c>
      <c r="N175" s="14">
        <f t="shared" si="81"/>
        <v>1538.9100115430185</v>
      </c>
      <c r="O175" s="14">
        <f t="shared" si="82"/>
        <v>1426.2297754450396</v>
      </c>
      <c r="P175" s="33">
        <f t="shared" si="83"/>
        <v>0.88661040452423778</v>
      </c>
      <c r="Q175" s="33">
        <f t="shared" si="84"/>
        <v>0.38661040452423784</v>
      </c>
      <c r="R175" s="51">
        <f t="shared" si="85"/>
        <v>0</v>
      </c>
      <c r="S175" s="51">
        <f>APPLICANTS_PER_YEAR*($H175/Segments!$AH$2)*Q175</f>
        <v>11.134379650298049</v>
      </c>
      <c r="T175" s="51">
        <f t="shared" si="86"/>
        <v>11.134379650298049</v>
      </c>
      <c r="U175" s="14">
        <f t="shared" si="87"/>
        <v>1426.2297754450396</v>
      </c>
      <c r="V175" s="44">
        <f t="shared" si="88"/>
        <v>15880.183788364406</v>
      </c>
      <c r="W175" s="44">
        <f t="shared" si="89"/>
        <v>12414.889104475687</v>
      </c>
      <c r="X175" s="44">
        <f t="shared" si="90"/>
        <v>4058.208252857039</v>
      </c>
      <c r="Y175" s="14">
        <f t="shared" si="91"/>
        <v>1709.0574037105969</v>
      </c>
      <c r="Z175" s="14">
        <f t="shared" si="92"/>
        <v>1025.4063940460414</v>
      </c>
      <c r="AA175" s="14">
        <f t="shared" si="93"/>
        <v>1709.0574037105969</v>
      </c>
      <c r="AB175" s="14">
        <f t="shared" si="94"/>
        <v>1584.497969020583</v>
      </c>
      <c r="AC175" s="14">
        <f t="shared" si="95"/>
        <v>1469.0166687083909</v>
      </c>
      <c r="AD175" s="33">
        <f t="shared" si="96"/>
        <v>0.8864409745452605</v>
      </c>
      <c r="AE175" s="33">
        <f t="shared" si="97"/>
        <v>0.3864409745452605</v>
      </c>
      <c r="AF175" s="51">
        <f t="shared" si="98"/>
        <v>0</v>
      </c>
      <c r="AG175" s="51">
        <f>APPLICANTS_PER_YEAR*($H175/Segments!$AH$2)*AE175</f>
        <v>11.129500066903502</v>
      </c>
      <c r="AH175" s="51">
        <f t="shared" si="99"/>
        <v>11.129500066903502</v>
      </c>
      <c r="AI175" s="14">
        <f t="shared" si="100"/>
        <v>1469.0166687083911</v>
      </c>
      <c r="AJ175" s="44">
        <f t="shared" si="101"/>
        <v>16349.421112672397</v>
      </c>
      <c r="AK175" s="44">
        <f t="shared" si="102"/>
        <v>12781.731794875341</v>
      </c>
      <c r="AL175" s="44">
        <f t="shared" si="103"/>
        <v>4163.0978322492747</v>
      </c>
      <c r="AM175" s="14">
        <f t="shared" si="104"/>
        <v>1759.0791258219144</v>
      </c>
      <c r="AN175" s="14">
        <f t="shared" si="105"/>
        <v>1056.1685858674225</v>
      </c>
      <c r="AO175" s="14">
        <f t="shared" si="106"/>
        <v>1759.0791258219144</v>
      </c>
      <c r="AP175" s="14">
        <f t="shared" si="107"/>
        <v>1631.4533564069977</v>
      </c>
      <c r="AQ175" s="14">
        <f t="shared" si="108"/>
        <v>1513.0871687696424</v>
      </c>
      <c r="AR175" s="33">
        <f t="shared" si="109"/>
        <v>0.88627630148680336</v>
      </c>
      <c r="AS175" s="33">
        <f t="shared" si="110"/>
        <v>0.38627630148680342</v>
      </c>
      <c r="AT175" s="51">
        <f t="shared" si="111"/>
        <v>0</v>
      </c>
      <c r="AU175" s="51">
        <f>APPLICANTS_PER_YEAR*($H175/Segments!$AH$2)*AS175</f>
        <v>11.124757482819938</v>
      </c>
      <c r="AV175" s="51">
        <f t="shared" si="112"/>
        <v>11.124757482819938</v>
      </c>
      <c r="AW175" s="14">
        <f t="shared" si="113"/>
        <v>1513.0871687696422</v>
      </c>
      <c r="AX175" s="44">
        <f t="shared" si="114"/>
        <v>16832.727802928912</v>
      </c>
      <c r="AY175" s="44">
        <f t="shared" si="115"/>
        <v>13159.573704197717</v>
      </c>
      <c r="AZ175" s="44">
        <f t="shared" si="116"/>
        <v>4271.1451145829733</v>
      </c>
    </row>
    <row r="176" spans="1:52" ht="15" customHeight="1" x14ac:dyDescent="0.35">
      <c r="A176" s="59" t="str">
        <f>Segments!$A$156</f>
        <v>Non-greek</v>
      </c>
      <c r="B176" s="59" t="str">
        <f>Segments!$B$156</f>
        <v>Off 3-6mi</v>
      </c>
      <c r="C176" s="59" t="str">
        <f>Segments!$C$156</f>
        <v>No</v>
      </c>
      <c r="D176" s="59" t="str">
        <f>Segments!$D$156</f>
        <v>2.0-3.0</v>
      </c>
      <c r="E176" s="59" t="str">
        <f>Segments!$E$156</f>
        <v>Sophomore</v>
      </c>
      <c r="F176" s="59">
        <f>Segments!$F$156</f>
        <v>1</v>
      </c>
      <c r="G176" s="59" t="str">
        <f>Segments!$G$156</f>
        <v>Sophomore</v>
      </c>
      <c r="H176" s="60">
        <f>Segments!$H$156</f>
        <v>18</v>
      </c>
      <c r="I176" s="26">
        <f>Segments!$Y$156</f>
        <v>985.41180425446419</v>
      </c>
      <c r="J176" s="29">
        <v>1</v>
      </c>
      <c r="K176" s="14">
        <f t="shared" si="78"/>
        <v>1426.2297754450396</v>
      </c>
      <c r="L176" s="14">
        <f t="shared" si="79"/>
        <v>985.41180425446419</v>
      </c>
      <c r="M176" s="14">
        <f t="shared" si="80"/>
        <v>1644.0230827452126</v>
      </c>
      <c r="N176" s="14">
        <f t="shared" si="81"/>
        <v>1531.2591786272392</v>
      </c>
      <c r="O176" s="14">
        <f t="shared" si="82"/>
        <v>1426.2297754450396</v>
      </c>
      <c r="P176" s="33">
        <f t="shared" si="83"/>
        <v>0.88429510975286285</v>
      </c>
      <c r="Q176" s="33">
        <f t="shared" si="84"/>
        <v>0.3842951097528628</v>
      </c>
      <c r="R176" s="51">
        <f t="shared" si="85"/>
        <v>21.22308263406871</v>
      </c>
      <c r="S176" s="51">
        <f>APPLICANTS_PER_YEAR*($H176/Segments!$AH$2)*Q176</f>
        <v>8.300774370661836</v>
      </c>
      <c r="T176" s="51">
        <f t="shared" si="86"/>
        <v>29.523857004730544</v>
      </c>
      <c r="U176" s="14">
        <f t="shared" si="87"/>
        <v>1426.2297754450396</v>
      </c>
      <c r="V176" s="44">
        <f t="shared" si="88"/>
        <v>42107.803946128304</v>
      </c>
      <c r="W176" s="44">
        <f t="shared" si="89"/>
        <v>32584.336063532206</v>
      </c>
      <c r="X176" s="44">
        <f t="shared" si="90"/>
        <v>9170.7298500135203</v>
      </c>
      <c r="Y176" s="14">
        <f t="shared" si="91"/>
        <v>1426.2297754450396</v>
      </c>
      <c r="Z176" s="14">
        <f t="shared" si="92"/>
        <v>1014.9741583820982</v>
      </c>
      <c r="AA176" s="14">
        <f t="shared" si="93"/>
        <v>1692.093775227569</v>
      </c>
      <c r="AB176" s="14">
        <f t="shared" si="94"/>
        <v>1576.6147154035471</v>
      </c>
      <c r="AC176" s="14">
        <f t="shared" si="95"/>
        <v>1469.0166687083909</v>
      </c>
      <c r="AD176" s="33">
        <f t="shared" si="96"/>
        <v>0.87512312648230461</v>
      </c>
      <c r="AE176" s="33">
        <f t="shared" si="97"/>
        <v>0.38412312648230468</v>
      </c>
      <c r="AF176" s="51">
        <f t="shared" si="98"/>
        <v>9.7439531310097784</v>
      </c>
      <c r="AG176" s="51">
        <f>APPLICANTS_PER_YEAR*($H176/Segments!$AH$2)*AE176</f>
        <v>8.29705953201778</v>
      </c>
      <c r="AH176" s="51">
        <f t="shared" si="99"/>
        <v>18.041012663027558</v>
      </c>
      <c r="AI176" s="14">
        <f t="shared" si="100"/>
        <v>1469.0166687083909</v>
      </c>
      <c r="AJ176" s="44">
        <f t="shared" si="101"/>
        <v>26502.548322366638</v>
      </c>
      <c r="AK176" s="44">
        <f t="shared" si="102"/>
        <v>20508.501041299234</v>
      </c>
      <c r="AL176" s="44">
        <f t="shared" si="103"/>
        <v>6003.8265308712889</v>
      </c>
      <c r="AM176" s="14">
        <f t="shared" si="104"/>
        <v>1469.0166687083911</v>
      </c>
      <c r="AN176" s="14">
        <f t="shared" si="105"/>
        <v>1045.4233831335609</v>
      </c>
      <c r="AO176" s="14">
        <f t="shared" si="106"/>
        <v>1741.6065884843958</v>
      </c>
      <c r="AP176" s="14">
        <f t="shared" si="107"/>
        <v>1623.3307063196985</v>
      </c>
      <c r="AQ176" s="14">
        <f t="shared" si="108"/>
        <v>1513.0871687696424</v>
      </c>
      <c r="AR176" s="33">
        <f t="shared" si="109"/>
        <v>0.87495597000687331</v>
      </c>
      <c r="AS176" s="33">
        <f t="shared" si="110"/>
        <v>0.3839559700068732</v>
      </c>
      <c r="AT176" s="51">
        <f t="shared" si="111"/>
        <v>9.737822526729115</v>
      </c>
      <c r="AU176" s="51">
        <f>APPLICANTS_PER_YEAR*($H176/Segments!$AH$2)*AS176</f>
        <v>8.2934489521484611</v>
      </c>
      <c r="AV176" s="51">
        <f t="shared" si="112"/>
        <v>18.031271478877578</v>
      </c>
      <c r="AW176" s="14">
        <f t="shared" si="113"/>
        <v>1513.0871687696424</v>
      </c>
      <c r="AX176" s="44">
        <f t="shared" si="114"/>
        <v>27282.885511291675</v>
      </c>
      <c r="AY176" s="44">
        <f t="shared" si="115"/>
        <v>21112.350371445631</v>
      </c>
      <c r="AZ176" s="44">
        <f t="shared" si="116"/>
        <v>6163.6319068173552</v>
      </c>
    </row>
    <row r="177" spans="1:52" ht="15" customHeight="1" x14ac:dyDescent="0.35">
      <c r="A177" s="59" t="str">
        <f>Segments!$A$157</f>
        <v>Non-greek</v>
      </c>
      <c r="B177" s="59" t="str">
        <f>Segments!$B$157</f>
        <v>Off 3-6mi</v>
      </c>
      <c r="C177" s="59" t="str">
        <f>Segments!$C$157</f>
        <v>No</v>
      </c>
      <c r="D177" s="59" t="str">
        <f>Segments!$D$157</f>
        <v>2.0-3.0</v>
      </c>
      <c r="E177" s="59" t="str">
        <f>Segments!$E$157</f>
        <v>Junior</v>
      </c>
      <c r="F177" s="59">
        <f>Segments!$F$157</f>
        <v>2</v>
      </c>
      <c r="G177" s="59" t="str">
        <f>Segments!$G$157</f>
        <v>Base</v>
      </c>
      <c r="H177" s="60">
        <f>Segments!$H$157</f>
        <v>15</v>
      </c>
      <c r="I177" s="26">
        <f>Segments!$Y$157</f>
        <v>1177.9865208941812</v>
      </c>
      <c r="J177" s="29">
        <v>2</v>
      </c>
      <c r="K177" s="14">
        <f t="shared" si="78"/>
        <v>1426.2297754450396</v>
      </c>
      <c r="L177" s="14">
        <f t="shared" si="79"/>
        <v>1177.9865208941812</v>
      </c>
      <c r="M177" s="14">
        <f t="shared" si="80"/>
        <v>1957.1645850591783</v>
      </c>
      <c r="N177" s="14">
        <f t="shared" si="81"/>
        <v>1670.7382819154939</v>
      </c>
      <c r="O177" s="14">
        <f t="shared" si="82"/>
        <v>1426.2297754450396</v>
      </c>
      <c r="P177" s="33">
        <f t="shared" si="83"/>
        <v>0.92317379062809479</v>
      </c>
      <c r="Q177" s="33">
        <f t="shared" si="84"/>
        <v>0.42317379062809474</v>
      </c>
      <c r="R177" s="51">
        <f t="shared" si="85"/>
        <v>16.617128231305706</v>
      </c>
      <c r="S177" s="51">
        <f>APPLICANTS_PER_YEAR*($H177/Segments!$AH$2)*Q177</f>
        <v>7.6171282313057054</v>
      </c>
      <c r="T177" s="51">
        <f t="shared" si="86"/>
        <v>24.234256462611413</v>
      </c>
      <c r="U177" s="14">
        <f t="shared" si="87"/>
        <v>1426.2297754450396</v>
      </c>
      <c r="V177" s="44">
        <f t="shared" si="88"/>
        <v>34563.618152747775</v>
      </c>
      <c r="W177" s="44">
        <f t="shared" si="89"/>
        <v>31973.342751670822</v>
      </c>
      <c r="X177" s="44">
        <f t="shared" si="90"/>
        <v>7587.8692939446919</v>
      </c>
      <c r="Y177" s="14">
        <f t="shared" si="91"/>
        <v>1426.2297754450396</v>
      </c>
      <c r="Z177" s="14">
        <f t="shared" si="92"/>
        <v>1213.3261165210067</v>
      </c>
      <c r="AA177" s="14">
        <f t="shared" si="93"/>
        <v>2014.6295226109537</v>
      </c>
      <c r="AB177" s="14">
        <f t="shared" si="94"/>
        <v>1720.3268148777775</v>
      </c>
      <c r="AC177" s="14">
        <f t="shared" si="95"/>
        <v>1469.0166687083909</v>
      </c>
      <c r="AD177" s="33">
        <f t="shared" si="96"/>
        <v>0.91404139655209671</v>
      </c>
      <c r="AE177" s="33">
        <f t="shared" si="97"/>
        <v>0.42304139655209672</v>
      </c>
      <c r="AF177" s="51">
        <f t="shared" si="98"/>
        <v>26.986027488208311</v>
      </c>
      <c r="AG177" s="51">
        <f>APPLICANTS_PER_YEAR*($H177/Segments!$AH$2)*AE177</f>
        <v>7.6147451379377404</v>
      </c>
      <c r="AH177" s="51">
        <f t="shared" si="99"/>
        <v>34.600772626146053</v>
      </c>
      <c r="AI177" s="14">
        <f t="shared" si="100"/>
        <v>1469.0166687083906</v>
      </c>
      <c r="AJ177" s="44">
        <f t="shared" si="101"/>
        <v>50829.111737997548</v>
      </c>
      <c r="AK177" s="44">
        <f t="shared" si="102"/>
        <v>47019.863608601132</v>
      </c>
      <c r="AL177" s="44">
        <f t="shared" si="103"/>
        <v>10880.602763198787</v>
      </c>
      <c r="AM177" s="14">
        <f t="shared" si="104"/>
        <v>1469.0166687083909</v>
      </c>
      <c r="AN177" s="14">
        <f t="shared" si="105"/>
        <v>1249.7259000166368</v>
      </c>
      <c r="AO177" s="14">
        <f t="shared" si="106"/>
        <v>2073.8184082892822</v>
      </c>
      <c r="AP177" s="14">
        <f t="shared" si="107"/>
        <v>1771.4028406719904</v>
      </c>
      <c r="AQ177" s="14">
        <f t="shared" si="108"/>
        <v>1513.0871687696424</v>
      </c>
      <c r="AR177" s="33">
        <f t="shared" si="109"/>
        <v>0.91391274067403971</v>
      </c>
      <c r="AS177" s="33">
        <f t="shared" si="110"/>
        <v>0.42291274067403961</v>
      </c>
      <c r="AT177" s="51">
        <f t="shared" si="111"/>
        <v>16.487911327402571</v>
      </c>
      <c r="AU177" s="51">
        <f>APPLICANTS_PER_YEAR*($H177/Segments!$AH$2)*AS177</f>
        <v>7.612429332132713</v>
      </c>
      <c r="AV177" s="51">
        <f t="shared" si="112"/>
        <v>24.100340659535284</v>
      </c>
      <c r="AW177" s="14">
        <f t="shared" si="113"/>
        <v>1513.0871687696426</v>
      </c>
      <c r="AX177" s="44">
        <f t="shared" si="114"/>
        <v>36465.916214920144</v>
      </c>
      <c r="AY177" s="44">
        <f t="shared" si="115"/>
        <v>33733.078312018719</v>
      </c>
      <c r="AZ177" s="44">
        <f t="shared" si="116"/>
        <v>7967.5151312104781</v>
      </c>
    </row>
    <row r="178" spans="1:52" ht="15" customHeight="1" x14ac:dyDescent="0.35">
      <c r="A178" s="59" t="str">
        <f>Segments!$A$158</f>
        <v>Non-greek</v>
      </c>
      <c r="B178" s="59" t="str">
        <f>Segments!$B$158</f>
        <v>Off 3-6mi</v>
      </c>
      <c r="C178" s="59" t="str">
        <f>Segments!$C$158</f>
        <v>No</v>
      </c>
      <c r="D178" s="59" t="str">
        <f>Segments!$D$158</f>
        <v>2.0-3.0</v>
      </c>
      <c r="E178" s="59" t="str">
        <f>Segments!$E$158</f>
        <v>Senior</v>
      </c>
      <c r="F178" s="59">
        <f>Segments!$F$158</f>
        <v>3</v>
      </c>
      <c r="G178" s="59" t="str">
        <f>Segments!$G$158</f>
        <v>Base</v>
      </c>
      <c r="H178" s="60">
        <f>Segments!$H$158</f>
        <v>29</v>
      </c>
      <c r="I178" s="26">
        <f>Segments!$Y$158</f>
        <v>1101.0492249473959</v>
      </c>
      <c r="J178" s="29">
        <v>3</v>
      </c>
      <c r="K178" s="14">
        <f t="shared" si="78"/>
        <v>1426.2297754450396</v>
      </c>
      <c r="L178" s="14">
        <f t="shared" si="79"/>
        <v>1101.0492249473959</v>
      </c>
      <c r="M178" s="14">
        <f t="shared" si="80"/>
        <v>1832.0585438449305</v>
      </c>
      <c r="N178" s="14">
        <f t="shared" si="81"/>
        <v>1616.4579937598508</v>
      </c>
      <c r="O178" s="14">
        <f t="shared" si="82"/>
        <v>1426.2297754450396</v>
      </c>
      <c r="P178" s="33">
        <f t="shared" si="83"/>
        <v>0.90884106455260982</v>
      </c>
      <c r="Q178" s="33">
        <f t="shared" si="84"/>
        <v>0.40884106455260982</v>
      </c>
      <c r="R178" s="51">
        <f t="shared" si="85"/>
        <v>13.632615968289148</v>
      </c>
      <c r="S178" s="51">
        <f>APPLICANTS_PER_YEAR*($H178/Segments!$AH$2)*Q178</f>
        <v>14.227669046430821</v>
      </c>
      <c r="T178" s="51">
        <f t="shared" si="86"/>
        <v>27.86028501471997</v>
      </c>
      <c r="U178" s="14">
        <f t="shared" si="87"/>
        <v>1426.2297754450394</v>
      </c>
      <c r="V178" s="44">
        <f t="shared" si="88"/>
        <v>39735.168040378863</v>
      </c>
      <c r="W178" s="44">
        <f t="shared" si="89"/>
        <v>34356.61064894349</v>
      </c>
      <c r="X178" s="44">
        <f t="shared" si="90"/>
        <v>9133.0615691086841</v>
      </c>
      <c r="Y178" s="14">
        <f t="shared" si="91"/>
        <v>1426.2297754450396</v>
      </c>
      <c r="Z178" s="14">
        <f t="shared" si="92"/>
        <v>1134.0807016958179</v>
      </c>
      <c r="AA178" s="14">
        <f t="shared" si="93"/>
        <v>1885.7703001602786</v>
      </c>
      <c r="AB178" s="14">
        <f t="shared" si="94"/>
        <v>1664.4001935504198</v>
      </c>
      <c r="AC178" s="14">
        <f t="shared" si="95"/>
        <v>1469.0166687083909</v>
      </c>
      <c r="AD178" s="33">
        <f t="shared" si="96"/>
        <v>0.89969487566726547</v>
      </c>
      <c r="AE178" s="33">
        <f t="shared" si="97"/>
        <v>0.40869487566726542</v>
      </c>
      <c r="AF178" s="51">
        <f t="shared" si="98"/>
        <v>21.803436355017798</v>
      </c>
      <c r="AG178" s="51">
        <f>APPLICANTS_PER_YEAR*($H178/Segments!$AH$2)*AE178</f>
        <v>14.222581673220835</v>
      </c>
      <c r="AH178" s="51">
        <f t="shared" si="99"/>
        <v>36.026018028238632</v>
      </c>
      <c r="AI178" s="14">
        <f t="shared" si="100"/>
        <v>1469.0166687083909</v>
      </c>
      <c r="AJ178" s="44">
        <f t="shared" si="101"/>
        <v>52922.820990671549</v>
      </c>
      <c r="AK178" s="44">
        <f t="shared" si="102"/>
        <v>45759.181221343584</v>
      </c>
      <c r="AL178" s="44">
        <f t="shared" si="103"/>
        <v>11809.760403883192</v>
      </c>
      <c r="AM178" s="14">
        <f t="shared" si="104"/>
        <v>1469.0166687083906</v>
      </c>
      <c r="AN178" s="14">
        <f t="shared" si="105"/>
        <v>1168.1031227466924</v>
      </c>
      <c r="AO178" s="14">
        <f t="shared" si="106"/>
        <v>1941.0934091650868</v>
      </c>
      <c r="AP178" s="14">
        <f t="shared" si="107"/>
        <v>1713.7804791720014</v>
      </c>
      <c r="AQ178" s="14">
        <f t="shared" si="108"/>
        <v>1513.0871687696424</v>
      </c>
      <c r="AR178" s="33">
        <f t="shared" si="109"/>
        <v>0.89955280557849571</v>
      </c>
      <c r="AS178" s="33">
        <f t="shared" si="110"/>
        <v>0.40855280557849571</v>
      </c>
      <c r="AT178" s="51">
        <f t="shared" si="111"/>
        <v>31.125222091033297</v>
      </c>
      <c r="AU178" s="51">
        <f>APPLICANTS_PER_YEAR*($H178/Segments!$AH$2)*AS178</f>
        <v>14.21763763413165</v>
      </c>
      <c r="AV178" s="51">
        <f t="shared" si="112"/>
        <v>45.342859725164949</v>
      </c>
      <c r="AW178" s="14">
        <f t="shared" si="113"/>
        <v>1513.0871687696426</v>
      </c>
      <c r="AX178" s="44">
        <f t="shared" si="114"/>
        <v>68607.699245468888</v>
      </c>
      <c r="AY178" s="44">
        <f t="shared" si="115"/>
        <v>59320.952363938057</v>
      </c>
      <c r="AZ178" s="44">
        <f t="shared" si="116"/>
        <v>14982.091670354943</v>
      </c>
    </row>
    <row r="179" spans="1:52" ht="15" customHeight="1" x14ac:dyDescent="0.35">
      <c r="A179" s="59" t="str">
        <f>Segments!$A$159</f>
        <v>Non-greek</v>
      </c>
      <c r="B179" s="59" t="str">
        <f>Segments!$B$159</f>
        <v>Off 3-6mi</v>
      </c>
      <c r="C179" s="59" t="str">
        <f>Segments!$C$159</f>
        <v>No</v>
      </c>
      <c r="D179" s="59" t="str">
        <f>Segments!$D$159</f>
        <v>2.0-3.0</v>
      </c>
      <c r="E179" s="59" t="str">
        <f>Segments!$E$159</f>
        <v>Grad student</v>
      </c>
      <c r="F179" s="59">
        <f>Segments!$F$159</f>
        <v>3</v>
      </c>
      <c r="G179" s="59" t="str">
        <f>Segments!$G$159</f>
        <v>Grad</v>
      </c>
      <c r="H179" s="60">
        <f>Segments!$H$159</f>
        <v>9</v>
      </c>
      <c r="I179" s="26">
        <f>Segments!$Y$159</f>
        <v>1310.9977612822013</v>
      </c>
      <c r="J179" s="29">
        <v>4</v>
      </c>
      <c r="K179" s="14">
        <f t="shared" si="78"/>
        <v>1426.2297754450396</v>
      </c>
      <c r="L179" s="14">
        <f t="shared" si="79"/>
        <v>1310.9977612822013</v>
      </c>
      <c r="M179" s="14">
        <f t="shared" si="80"/>
        <v>2173.4512314400372</v>
      </c>
      <c r="N179" s="14">
        <f t="shared" si="81"/>
        <v>1760.6364933618379</v>
      </c>
      <c r="O179" s="14">
        <f t="shared" si="82"/>
        <v>1426.2297754450396</v>
      </c>
      <c r="P179" s="33">
        <f t="shared" si="83"/>
        <v>0.94496756405357329</v>
      </c>
      <c r="Q179" s="33">
        <f t="shared" si="84"/>
        <v>0.44496756405357335</v>
      </c>
      <c r="R179" s="51">
        <f t="shared" si="85"/>
        <v>4.25235403824108</v>
      </c>
      <c r="S179" s="51">
        <f>APPLICANTS_PER_YEAR*($H179/Segments!$AH$2)*Q179</f>
        <v>4.8056496917785916</v>
      </c>
      <c r="T179" s="51">
        <f t="shared" si="86"/>
        <v>9.0580037300196707</v>
      </c>
      <c r="U179" s="14">
        <f t="shared" si="87"/>
        <v>1426.2297754450396</v>
      </c>
      <c r="V179" s="44">
        <f t="shared" si="88"/>
        <v>12918.794625846287</v>
      </c>
      <c r="W179" s="44">
        <f t="shared" si="89"/>
        <v>13300.025325150613</v>
      </c>
      <c r="X179" s="44">
        <f t="shared" si="90"/>
        <v>2982.8421250068586</v>
      </c>
      <c r="Y179" s="14">
        <f t="shared" si="91"/>
        <v>1426.2297754450396</v>
      </c>
      <c r="Z179" s="14">
        <f t="shared" si="92"/>
        <v>1350.3276941206673</v>
      </c>
      <c r="AA179" s="14">
        <f t="shared" si="93"/>
        <v>2237.4047683832382</v>
      </c>
      <c r="AB179" s="14">
        <f t="shared" si="94"/>
        <v>1812.9492269235268</v>
      </c>
      <c r="AC179" s="14">
        <f t="shared" si="95"/>
        <v>1469.0166687083909</v>
      </c>
      <c r="AD179" s="33">
        <f t="shared" si="96"/>
        <v>0.93585443748437736</v>
      </c>
      <c r="AE179" s="33">
        <f t="shared" si="97"/>
        <v>0.44485443748437736</v>
      </c>
      <c r="AF179" s="51">
        <f t="shared" si="98"/>
        <v>4.2384864927444754</v>
      </c>
      <c r="AG179" s="51">
        <f>APPLICANTS_PER_YEAR*($H179/Segments!$AH$2)*AE179</f>
        <v>4.8044279248312751</v>
      </c>
      <c r="AH179" s="51">
        <f t="shared" si="99"/>
        <v>9.0429144175757514</v>
      </c>
      <c r="AI179" s="14">
        <f t="shared" si="100"/>
        <v>1469.0166687083906</v>
      </c>
      <c r="AJ179" s="44">
        <f t="shared" si="101"/>
        <v>13284.192013122207</v>
      </c>
      <c r="AK179" s="44">
        <f t="shared" si="102"/>
        <v>13676.205506449474</v>
      </c>
      <c r="AL179" s="44">
        <f t="shared" si="103"/>
        <v>3058.7037416338762</v>
      </c>
      <c r="AM179" s="14">
        <f t="shared" si="104"/>
        <v>1469.0166687083906</v>
      </c>
      <c r="AN179" s="14">
        <f t="shared" si="105"/>
        <v>1390.8375249442872</v>
      </c>
      <c r="AO179" s="14">
        <f t="shared" si="106"/>
        <v>2303.2769114347352</v>
      </c>
      <c r="AP179" s="14">
        <f t="shared" si="107"/>
        <v>1866.8312030859324</v>
      </c>
      <c r="AQ179" s="14">
        <f t="shared" si="108"/>
        <v>1513.0871687696424</v>
      </c>
      <c r="AR179" s="33">
        <f t="shared" si="109"/>
        <v>0.93574451512582912</v>
      </c>
      <c r="AS179" s="33">
        <f t="shared" si="110"/>
        <v>0.44474451512582913</v>
      </c>
      <c r="AT179" s="51">
        <f t="shared" si="111"/>
        <v>4.2309287834993956</v>
      </c>
      <c r="AU179" s="51">
        <f>APPLICANTS_PER_YEAR*($H179/Segments!$AH$2)*AS179</f>
        <v>4.8032407633589544</v>
      </c>
      <c r="AV179" s="51">
        <f t="shared" si="112"/>
        <v>9.0341695468583509</v>
      </c>
      <c r="AW179" s="14">
        <f t="shared" si="113"/>
        <v>1513.0871687696424</v>
      </c>
      <c r="AX179" s="44">
        <f t="shared" si="114"/>
        <v>13669.486021840825</v>
      </c>
      <c r="AY179" s="44">
        <f t="shared" si="115"/>
        <v>14072.869453977066</v>
      </c>
      <c r="AZ179" s="44">
        <f t="shared" si="116"/>
        <v>3138.667537013298</v>
      </c>
    </row>
    <row r="180" spans="1:52" ht="15" customHeight="1" x14ac:dyDescent="0.35">
      <c r="A180" s="61" t="str">
        <f>Segments!$A$160</f>
        <v>Non-greek</v>
      </c>
      <c r="B180" s="61" t="str">
        <f>Segments!$B$160</f>
        <v>Off 3-6mi</v>
      </c>
      <c r="C180" s="61" t="str">
        <f>Segments!$C$160</f>
        <v>No</v>
      </c>
      <c r="D180" s="61" t="str">
        <f>Segments!$D$160</f>
        <v>3.0+</v>
      </c>
      <c r="E180" s="61" t="str">
        <f>Segments!$E$160</f>
        <v>Freshman</v>
      </c>
      <c r="F180" s="61">
        <f>Segments!$F$160</f>
        <v>1</v>
      </c>
      <c r="G180" s="61" t="str">
        <f>Segments!$G$160</f>
        <v>Base</v>
      </c>
      <c r="H180" s="62">
        <f>Segments!$H$160</f>
        <v>12</v>
      </c>
      <c r="I180" s="63">
        <f>Segments!$Y$160</f>
        <v>872.63838042383838</v>
      </c>
      <c r="J180" s="42">
        <v>0</v>
      </c>
      <c r="K180" s="40">
        <f t="shared" si="78"/>
        <v>1460.6447038198012</v>
      </c>
      <c r="L180" s="40">
        <f t="shared" si="79"/>
        <v>872.63838042383838</v>
      </c>
      <c r="M180" s="40">
        <f t="shared" si="80"/>
        <v>1460.6447038198012</v>
      </c>
      <c r="N180" s="40">
        <f t="shared" si="81"/>
        <v>1443.334669414513</v>
      </c>
      <c r="O180" s="40">
        <f t="shared" si="82"/>
        <v>1426.2297754450396</v>
      </c>
      <c r="P180" s="41">
        <f t="shared" si="83"/>
        <v>0.85592547741419245</v>
      </c>
      <c r="Q180" s="41">
        <f t="shared" si="84"/>
        <v>0.35592547741419245</v>
      </c>
      <c r="R180" s="64">
        <f t="shared" si="85"/>
        <v>0</v>
      </c>
      <c r="S180" s="64">
        <f>APPLICANTS_PER_YEAR*($H180/Segments!$AH$2)*Q180</f>
        <v>5.1253268747643705</v>
      </c>
      <c r="T180" s="64">
        <f t="shared" si="86"/>
        <v>5.1253268747643705</v>
      </c>
      <c r="U180" s="40">
        <f t="shared" si="87"/>
        <v>1426.2297754450396</v>
      </c>
      <c r="V180" s="65">
        <f t="shared" si="88"/>
        <v>7309.8937976776151</v>
      </c>
      <c r="W180" s="65">
        <f t="shared" si="89"/>
        <v>5009.2637763136117</v>
      </c>
      <c r="X180" s="65">
        <f t="shared" si="90"/>
        <v>1868.0559200441824</v>
      </c>
      <c r="Y180" s="40">
        <f t="shared" si="91"/>
        <v>1503.2140449343954</v>
      </c>
      <c r="Z180" s="40">
        <f t="shared" si="92"/>
        <v>898.8175318365536</v>
      </c>
      <c r="AA180" s="40">
        <f t="shared" si="93"/>
        <v>1503.2140449343954</v>
      </c>
      <c r="AB180" s="40">
        <f t="shared" si="94"/>
        <v>1486.0169880069307</v>
      </c>
      <c r="AC180" s="40">
        <f t="shared" si="95"/>
        <v>1469.0166687083909</v>
      </c>
      <c r="AD180" s="41">
        <f t="shared" si="96"/>
        <v>0.85572009587903186</v>
      </c>
      <c r="AE180" s="41">
        <f t="shared" si="97"/>
        <v>0.35572009587903192</v>
      </c>
      <c r="AF180" s="64">
        <f t="shared" si="98"/>
        <v>0</v>
      </c>
      <c r="AG180" s="64">
        <f>APPLICANTS_PER_YEAR*($H180/Segments!$AH$2)*AE180</f>
        <v>5.1223693806580588</v>
      </c>
      <c r="AH180" s="64">
        <f t="shared" si="99"/>
        <v>5.1223693806580588</v>
      </c>
      <c r="AI180" s="40">
        <f t="shared" si="100"/>
        <v>1469.0166687083911</v>
      </c>
      <c r="AJ180" s="65">
        <f t="shared" si="101"/>
        <v>7524.8460034681657</v>
      </c>
      <c r="AK180" s="65">
        <f t="shared" si="102"/>
        <v>5156.5644523435985</v>
      </c>
      <c r="AL180" s="65">
        <f t="shared" si="103"/>
        <v>1916.0721269064818</v>
      </c>
      <c r="AM180" s="40">
        <f t="shared" si="104"/>
        <v>1547.0604662824271</v>
      </c>
      <c r="AN180" s="40">
        <f t="shared" si="105"/>
        <v>925.78205779165012</v>
      </c>
      <c r="AO180" s="40">
        <f t="shared" si="106"/>
        <v>1547.0604662824271</v>
      </c>
      <c r="AP180" s="40">
        <f t="shared" si="107"/>
        <v>1529.9795230141874</v>
      </c>
      <c r="AQ180" s="40">
        <f t="shared" si="108"/>
        <v>1513.0871687696424</v>
      </c>
      <c r="AR180" s="41">
        <f t="shared" si="109"/>
        <v>0.85552045108788954</v>
      </c>
      <c r="AS180" s="41">
        <f t="shared" si="110"/>
        <v>0.3555204510878896</v>
      </c>
      <c r="AT180" s="64">
        <f t="shared" si="111"/>
        <v>0</v>
      </c>
      <c r="AU180" s="64">
        <f>APPLICANTS_PER_YEAR*($H180/Segments!$AH$2)*AS180</f>
        <v>5.1194944956656094</v>
      </c>
      <c r="AV180" s="64">
        <f t="shared" si="112"/>
        <v>5.1194944956656094</v>
      </c>
      <c r="AW180" s="40">
        <f t="shared" si="113"/>
        <v>1513.0871687696424</v>
      </c>
      <c r="AX180" s="65">
        <f t="shared" si="114"/>
        <v>7746.2414319784457</v>
      </c>
      <c r="AY180" s="65">
        <f t="shared" si="115"/>
        <v>5308.2804869363745</v>
      </c>
      <c r="AZ180" s="65">
        <f t="shared" si="116"/>
        <v>1965.5353330681244</v>
      </c>
    </row>
    <row r="181" spans="1:52" ht="15" customHeight="1" x14ac:dyDescent="0.35">
      <c r="A181" s="61" t="str">
        <f>Segments!$A$161</f>
        <v>Non-greek</v>
      </c>
      <c r="B181" s="61" t="str">
        <f>Segments!$B$161</f>
        <v>Off 3-6mi</v>
      </c>
      <c r="C181" s="61" t="str">
        <f>Segments!$C$161</f>
        <v>No</v>
      </c>
      <c r="D181" s="61" t="str">
        <f>Segments!$D$161</f>
        <v>3.0+</v>
      </c>
      <c r="E181" s="61" t="str">
        <f>Segments!$E$161</f>
        <v>Sophomore</v>
      </c>
      <c r="F181" s="61">
        <f>Segments!$F$161</f>
        <v>1</v>
      </c>
      <c r="G181" s="61" t="str">
        <f>Segments!$G$161</f>
        <v>Sophomore</v>
      </c>
      <c r="H181" s="62">
        <f>Segments!$H$161</f>
        <v>13</v>
      </c>
      <c r="I181" s="63">
        <f>Segments!$Y$161</f>
        <v>863.76036943537292</v>
      </c>
      <c r="J181" s="42">
        <v>1</v>
      </c>
      <c r="K181" s="40">
        <f t="shared" si="78"/>
        <v>1426.2297754450396</v>
      </c>
      <c r="L181" s="40">
        <f t="shared" si="79"/>
        <v>863.76036943537292</v>
      </c>
      <c r="M181" s="40">
        <f t="shared" si="80"/>
        <v>1446.2083658259141</v>
      </c>
      <c r="N181" s="40">
        <f t="shared" si="81"/>
        <v>1436.1843310796255</v>
      </c>
      <c r="O181" s="40">
        <f t="shared" si="82"/>
        <v>1426.2297754450396</v>
      </c>
      <c r="P181" s="41">
        <f t="shared" si="83"/>
        <v>0.85346562604087972</v>
      </c>
      <c r="Q181" s="41">
        <f t="shared" si="84"/>
        <v>0.35346562604087967</v>
      </c>
      <c r="R181" s="64">
        <f t="shared" si="85"/>
        <v>10.241587512490558</v>
      </c>
      <c r="S181" s="64">
        <f>APPLICANTS_PER_YEAR*($H181/Segments!$AH$2)*Q181</f>
        <v>5.5140637662377223</v>
      </c>
      <c r="T181" s="64">
        <f t="shared" si="86"/>
        <v>15.75565127872828</v>
      </c>
      <c r="U181" s="40">
        <f t="shared" si="87"/>
        <v>1426.2297754450396</v>
      </c>
      <c r="V181" s="65">
        <f t="shared" si="88"/>
        <v>22471.178985250986</v>
      </c>
      <c r="W181" s="65">
        <f t="shared" si="89"/>
        <v>15242.200029514355</v>
      </c>
      <c r="X181" s="65">
        <f t="shared" si="90"/>
        <v>4975.268715391825</v>
      </c>
      <c r="Y181" s="40">
        <f t="shared" si="91"/>
        <v>1426.2297754450396</v>
      </c>
      <c r="Z181" s="40">
        <f t="shared" si="92"/>
        <v>889.67318051843415</v>
      </c>
      <c r="AA181" s="40">
        <f t="shared" si="93"/>
        <v>1488.3446168006917</v>
      </c>
      <c r="AB181" s="40">
        <f t="shared" si="94"/>
        <v>1478.6490627808271</v>
      </c>
      <c r="AC181" s="40">
        <f t="shared" si="95"/>
        <v>1469.0166687083909</v>
      </c>
      <c r="AD181" s="41">
        <f t="shared" si="96"/>
        <v>0.84425716030763953</v>
      </c>
      <c r="AE181" s="41">
        <f t="shared" si="97"/>
        <v>0.35325716030763954</v>
      </c>
      <c r="AF181" s="64">
        <f t="shared" si="98"/>
        <v>4.3270939129369967</v>
      </c>
      <c r="AG181" s="64">
        <f>APPLICANTS_PER_YEAR*($H181/Segments!$AH$2)*AE181</f>
        <v>5.5108117007991764</v>
      </c>
      <c r="AH181" s="64">
        <f t="shared" si="99"/>
        <v>9.8379056137361722</v>
      </c>
      <c r="AI181" s="40">
        <f t="shared" si="100"/>
        <v>1469.0166687083911</v>
      </c>
      <c r="AJ181" s="65">
        <f t="shared" si="101"/>
        <v>14452.047331758291</v>
      </c>
      <c r="AK181" s="65">
        <f t="shared" si="102"/>
        <v>9802.8232702543573</v>
      </c>
      <c r="AL181" s="65">
        <f t="shared" si="103"/>
        <v>3349.3069491275728</v>
      </c>
      <c r="AM181" s="40">
        <f t="shared" si="104"/>
        <v>1469.0166687083911</v>
      </c>
      <c r="AN181" s="40">
        <f t="shared" si="105"/>
        <v>916.36337593398707</v>
      </c>
      <c r="AO181" s="40">
        <f t="shared" si="106"/>
        <v>1531.7449553047122</v>
      </c>
      <c r="AP181" s="40">
        <f t="shared" si="107"/>
        <v>1522.3874794871342</v>
      </c>
      <c r="AQ181" s="40">
        <f t="shared" si="108"/>
        <v>1513.0871687696424</v>
      </c>
      <c r="AR181" s="41">
        <f t="shared" si="109"/>
        <v>0.8440545149782186</v>
      </c>
      <c r="AS181" s="41">
        <f t="shared" si="110"/>
        <v>0.35305451497821855</v>
      </c>
      <c r="AT181" s="64">
        <f t="shared" si="111"/>
        <v>4.3235590031306161</v>
      </c>
      <c r="AU181" s="64">
        <f>APPLICANTS_PER_YEAR*($H181/Segments!$AH$2)*AS181</f>
        <v>5.507650433660209</v>
      </c>
      <c r="AV181" s="64">
        <f t="shared" si="112"/>
        <v>9.8312094367908252</v>
      </c>
      <c r="AW181" s="40">
        <f t="shared" si="113"/>
        <v>1513.0871687696424</v>
      </c>
      <c r="AX181" s="65">
        <f t="shared" si="114"/>
        <v>14875.47685229522</v>
      </c>
      <c r="AY181" s="65">
        <f t="shared" si="115"/>
        <v>10090.035501293118</v>
      </c>
      <c r="AZ181" s="65">
        <f t="shared" si="116"/>
        <v>3437.4550067045116</v>
      </c>
    </row>
    <row r="182" spans="1:52" ht="15" customHeight="1" x14ac:dyDescent="0.35">
      <c r="A182" s="61" t="str">
        <f>Segments!$A$162</f>
        <v>Non-greek</v>
      </c>
      <c r="B182" s="61" t="str">
        <f>Segments!$B$162</f>
        <v>Off 3-6mi</v>
      </c>
      <c r="C182" s="61" t="str">
        <f>Segments!$C$162</f>
        <v>No</v>
      </c>
      <c r="D182" s="61" t="str">
        <f>Segments!$D$162</f>
        <v>3.0+</v>
      </c>
      <c r="E182" s="61" t="str">
        <f>Segments!$E$162</f>
        <v>Junior</v>
      </c>
      <c r="F182" s="61">
        <f>Segments!$F$162</f>
        <v>2</v>
      </c>
      <c r="G182" s="61" t="str">
        <f>Segments!$G$162</f>
        <v>Base</v>
      </c>
      <c r="H182" s="62">
        <f>Segments!$H$162</f>
        <v>13</v>
      </c>
      <c r="I182" s="63">
        <f>Segments!$Y$162</f>
        <v>1032.5612785278729</v>
      </c>
      <c r="J182" s="42">
        <v>2</v>
      </c>
      <c r="K182" s="40">
        <f t="shared" si="78"/>
        <v>1426.2297754450396</v>
      </c>
      <c r="L182" s="40">
        <f t="shared" si="79"/>
        <v>1032.5612785278729</v>
      </c>
      <c r="M182" s="40">
        <f t="shared" si="80"/>
        <v>1720.6918036703551</v>
      </c>
      <c r="N182" s="40">
        <f t="shared" si="81"/>
        <v>1566.5573352925485</v>
      </c>
      <c r="O182" s="40">
        <f t="shared" si="82"/>
        <v>1426.2297754450396</v>
      </c>
      <c r="P182" s="41">
        <f t="shared" si="83"/>
        <v>0.89478851705140539</v>
      </c>
      <c r="Q182" s="41">
        <f t="shared" si="84"/>
        <v>0.39478851705140533</v>
      </c>
      <c r="R182" s="64">
        <f t="shared" si="85"/>
        <v>11.632250721668271</v>
      </c>
      <c r="S182" s="64">
        <f>APPLICANTS_PER_YEAR*($H182/Segments!$AH$2)*Q182</f>
        <v>6.1587008660019231</v>
      </c>
      <c r="T182" s="64">
        <f t="shared" si="86"/>
        <v>17.790951587670193</v>
      </c>
      <c r="U182" s="40">
        <f t="shared" si="87"/>
        <v>1426.2297754450399</v>
      </c>
      <c r="V182" s="65">
        <f t="shared" si="88"/>
        <v>25373.984887836436</v>
      </c>
      <c r="W182" s="65">
        <f t="shared" si="89"/>
        <v>20574.677443703295</v>
      </c>
      <c r="X182" s="65">
        <f t="shared" si="90"/>
        <v>5612.8999865648257</v>
      </c>
      <c r="Y182" s="40">
        <f t="shared" si="91"/>
        <v>1426.2297754450396</v>
      </c>
      <c r="Z182" s="40">
        <f t="shared" si="92"/>
        <v>1063.5381168837091</v>
      </c>
      <c r="AA182" s="40">
        <f t="shared" si="93"/>
        <v>1771.0625577804658</v>
      </c>
      <c r="AB182" s="40">
        <f t="shared" si="94"/>
        <v>1612.9849406317537</v>
      </c>
      <c r="AC182" s="40">
        <f t="shared" si="95"/>
        <v>1469.0166687083909</v>
      </c>
      <c r="AD182" s="41">
        <f t="shared" si="96"/>
        <v>0.88562790330422281</v>
      </c>
      <c r="AE182" s="41">
        <f t="shared" si="97"/>
        <v>0.39462790330422276</v>
      </c>
      <c r="AF182" s="64">
        <f t="shared" si="98"/>
        <v>13.953644407172623</v>
      </c>
      <c r="AG182" s="64">
        <f>APPLICANTS_PER_YEAR*($H182/Segments!$AH$2)*AE182</f>
        <v>6.1561952915458749</v>
      </c>
      <c r="AH182" s="64">
        <f t="shared" si="99"/>
        <v>20.109839698718499</v>
      </c>
      <c r="AI182" s="40">
        <f t="shared" si="100"/>
        <v>1469.0166687083909</v>
      </c>
      <c r="AJ182" s="65">
        <f t="shared" si="101"/>
        <v>29541.689722471201</v>
      </c>
      <c r="AK182" s="65">
        <f t="shared" si="102"/>
        <v>23954.090769289331</v>
      </c>
      <c r="AL182" s="65">
        <f t="shared" si="103"/>
        <v>6456.0054062787485</v>
      </c>
      <c r="AM182" s="40">
        <f t="shared" si="104"/>
        <v>1469.0166687083911</v>
      </c>
      <c r="AN182" s="40">
        <f t="shared" si="105"/>
        <v>1095.4442603902203</v>
      </c>
      <c r="AO182" s="40">
        <f t="shared" si="106"/>
        <v>1822.9444345138797</v>
      </c>
      <c r="AP182" s="40">
        <f t="shared" si="107"/>
        <v>1660.8051761850284</v>
      </c>
      <c r="AQ182" s="40">
        <f t="shared" si="108"/>
        <v>1513.0871687696424</v>
      </c>
      <c r="AR182" s="41">
        <f t="shared" si="109"/>
        <v>0.88547180486115284</v>
      </c>
      <c r="AS182" s="41">
        <f t="shared" si="110"/>
        <v>0.39447180486115274</v>
      </c>
      <c r="AT182" s="64">
        <f t="shared" si="111"/>
        <v>8.7111880398486363</v>
      </c>
      <c r="AU182" s="64">
        <f>APPLICANTS_PER_YEAR*($H182/Segments!$AH$2)*AS182</f>
        <v>6.1537601558339823</v>
      </c>
      <c r="AV182" s="64">
        <f t="shared" si="112"/>
        <v>14.864948195682619</v>
      </c>
      <c r="AW182" s="40">
        <f t="shared" si="113"/>
        <v>1513.0871687696426</v>
      </c>
      <c r="AX182" s="65">
        <f t="shared" si="114"/>
        <v>22491.962379312819</v>
      </c>
      <c r="AY182" s="65">
        <f t="shared" si="115"/>
        <v>18237.768843793503</v>
      </c>
      <c r="AZ182" s="65">
        <f t="shared" si="116"/>
        <v>5028.0150011013648</v>
      </c>
    </row>
    <row r="183" spans="1:52" ht="15" customHeight="1" x14ac:dyDescent="0.35">
      <c r="A183" s="61" t="str">
        <f>Segments!$A$163</f>
        <v>Non-greek</v>
      </c>
      <c r="B183" s="61" t="str">
        <f>Segments!$B$163</f>
        <v>Off 3-6mi</v>
      </c>
      <c r="C183" s="61" t="str">
        <f>Segments!$C$163</f>
        <v>No</v>
      </c>
      <c r="D183" s="61" t="str">
        <f>Segments!$D$163</f>
        <v>3.0+</v>
      </c>
      <c r="E183" s="61" t="str">
        <f>Segments!$E$163</f>
        <v>Senior</v>
      </c>
      <c r="F183" s="61">
        <f>Segments!$F$163</f>
        <v>3</v>
      </c>
      <c r="G183" s="61" t="str">
        <f>Segments!$G$163</f>
        <v>Base</v>
      </c>
      <c r="H183" s="62">
        <f>Segments!$H$163</f>
        <v>13</v>
      </c>
      <c r="I183" s="63">
        <f>Segments!$Y$163</f>
        <v>965.12207505635354</v>
      </c>
      <c r="J183" s="42">
        <v>3</v>
      </c>
      <c r="K183" s="40">
        <f t="shared" si="78"/>
        <v>1426.2297754450396</v>
      </c>
      <c r="L183" s="40">
        <f t="shared" si="79"/>
        <v>965.12207505635354</v>
      </c>
      <c r="M183" s="40">
        <f t="shared" si="80"/>
        <v>1611.0304012888685</v>
      </c>
      <c r="N183" s="40">
        <f t="shared" si="81"/>
        <v>1515.8164557311532</v>
      </c>
      <c r="O183" s="40">
        <f t="shared" si="82"/>
        <v>1426.2297754450396</v>
      </c>
      <c r="P183" s="41">
        <f t="shared" si="83"/>
        <v>0.87955063587923032</v>
      </c>
      <c r="Q183" s="41">
        <f t="shared" si="84"/>
        <v>0.37955063587923032</v>
      </c>
      <c r="R183" s="64">
        <f t="shared" si="85"/>
        <v>11.434158266429995</v>
      </c>
      <c r="S183" s="64">
        <f>APPLICANTS_PER_YEAR*($H183/Segments!$AH$2)*Q183</f>
        <v>5.9209899197159928</v>
      </c>
      <c r="T183" s="64">
        <f t="shared" si="86"/>
        <v>17.355148186145989</v>
      </c>
      <c r="U183" s="40">
        <f t="shared" si="87"/>
        <v>1426.2297754450394</v>
      </c>
      <c r="V183" s="65">
        <f t="shared" si="88"/>
        <v>24752.429100342379</v>
      </c>
      <c r="W183" s="65">
        <f t="shared" si="89"/>
        <v>18759.817025962577</v>
      </c>
      <c r="X183" s="65">
        <f t="shared" si="90"/>
        <v>5468.9010360068396</v>
      </c>
      <c r="Y183" s="40">
        <f t="shared" si="91"/>
        <v>1426.2297754450399</v>
      </c>
      <c r="Z183" s="40">
        <f t="shared" si="92"/>
        <v>994.07573730804415</v>
      </c>
      <c r="AA183" s="40">
        <f t="shared" si="93"/>
        <v>1658.1113133275346</v>
      </c>
      <c r="AB183" s="40">
        <f t="shared" si="94"/>
        <v>1560.7027769092067</v>
      </c>
      <c r="AC183" s="40">
        <f t="shared" si="95"/>
        <v>1469.0166687083909</v>
      </c>
      <c r="AD183" s="41">
        <f t="shared" si="96"/>
        <v>0.87037334050958437</v>
      </c>
      <c r="AE183" s="41">
        <f t="shared" si="97"/>
        <v>0.37937334050958427</v>
      </c>
      <c r="AF183" s="64">
        <f t="shared" si="98"/>
        <v>15.4847699642048</v>
      </c>
      <c r="AG183" s="64">
        <f>APPLICANTS_PER_YEAR*($H183/Segments!$AH$2)*AE183</f>
        <v>5.918224111949514</v>
      </c>
      <c r="AH183" s="64">
        <f t="shared" si="99"/>
        <v>21.402994076154314</v>
      </c>
      <c r="AI183" s="40">
        <f t="shared" si="100"/>
        <v>1469.0166687083909</v>
      </c>
      <c r="AJ183" s="65">
        <f t="shared" si="101"/>
        <v>31441.355058137633</v>
      </c>
      <c r="AK183" s="65">
        <f t="shared" si="102"/>
        <v>23829.340770875137</v>
      </c>
      <c r="AL183" s="65">
        <f t="shared" si="103"/>
        <v>6822.7205357460389</v>
      </c>
      <c r="AM183" s="40">
        <f t="shared" si="104"/>
        <v>1469.0166687083909</v>
      </c>
      <c r="AN183" s="40">
        <f t="shared" si="105"/>
        <v>1023.8980094272854</v>
      </c>
      <c r="AO183" s="40">
        <f t="shared" si="106"/>
        <v>1706.6046527273604</v>
      </c>
      <c r="AP183" s="40">
        <f t="shared" si="107"/>
        <v>1606.9354692097445</v>
      </c>
      <c r="AQ183" s="40">
        <f t="shared" si="108"/>
        <v>1513.0871687696424</v>
      </c>
      <c r="AR183" s="41">
        <f t="shared" si="109"/>
        <v>0.87020101716537968</v>
      </c>
      <c r="AS183" s="41">
        <f t="shared" si="110"/>
        <v>0.37920101716537957</v>
      </c>
      <c r="AT183" s="64">
        <f t="shared" si="111"/>
        <v>17.499602960857569</v>
      </c>
      <c r="AU183" s="64">
        <f>APPLICANTS_PER_YEAR*($H183/Segments!$AH$2)*AS183</f>
        <v>5.915535867779921</v>
      </c>
      <c r="AV183" s="64">
        <f t="shared" si="112"/>
        <v>23.415138828637488</v>
      </c>
      <c r="AW183" s="40">
        <f t="shared" si="113"/>
        <v>1513.0871687696426</v>
      </c>
      <c r="AX183" s="65">
        <f t="shared" si="114"/>
        <v>35429.146116571224</v>
      </c>
      <c r="AY183" s="65">
        <f t="shared" si="115"/>
        <v>26851.679721558121</v>
      </c>
      <c r="AZ183" s="65">
        <f t="shared" si="116"/>
        <v>7625.5750389269124</v>
      </c>
    </row>
    <row r="184" spans="1:52" ht="15" customHeight="1" x14ac:dyDescent="0.35">
      <c r="A184" s="61" t="str">
        <f>Segments!$A$164</f>
        <v>Non-greek</v>
      </c>
      <c r="B184" s="61" t="str">
        <f>Segments!$B$164</f>
        <v>Off 3-6mi</v>
      </c>
      <c r="C184" s="61" t="str">
        <f>Segments!$C$164</f>
        <v>No</v>
      </c>
      <c r="D184" s="61" t="str">
        <f>Segments!$D$164</f>
        <v>3.0+</v>
      </c>
      <c r="E184" s="61" t="str">
        <f>Segments!$E$164</f>
        <v>Grad student</v>
      </c>
      <c r="F184" s="61">
        <f>Segments!$F$164</f>
        <v>3</v>
      </c>
      <c r="G184" s="61" t="str">
        <f>Segments!$G$164</f>
        <v>Grad</v>
      </c>
      <c r="H184" s="62">
        <f>Segments!$H$164</f>
        <v>3</v>
      </c>
      <c r="I184" s="63">
        <f>Segments!$Y$164</f>
        <v>1149.1519644122745</v>
      </c>
      <c r="J184" s="42">
        <v>4</v>
      </c>
      <c r="K184" s="40">
        <f t="shared" si="78"/>
        <v>1426.2297754450396</v>
      </c>
      <c r="L184" s="40">
        <f t="shared" si="79"/>
        <v>1149.1519644122745</v>
      </c>
      <c r="M184" s="40">
        <f t="shared" si="80"/>
        <v>1910.2773482876253</v>
      </c>
      <c r="N184" s="40">
        <f t="shared" si="81"/>
        <v>1650.6042631369901</v>
      </c>
      <c r="O184" s="40">
        <f t="shared" si="82"/>
        <v>1426.2297754450396</v>
      </c>
      <c r="P184" s="41">
        <f t="shared" si="83"/>
        <v>0.91796737797875438</v>
      </c>
      <c r="Q184" s="41">
        <f t="shared" si="84"/>
        <v>0.41796737797875438</v>
      </c>
      <c r="R184" s="64">
        <f t="shared" si="85"/>
        <v>1.3769510669681315</v>
      </c>
      <c r="S184" s="64">
        <f>APPLICANTS_PER_YEAR*($H184/Segments!$AH$2)*Q184</f>
        <v>1.5046825607235157</v>
      </c>
      <c r="T184" s="64">
        <f t="shared" si="86"/>
        <v>2.881633627691647</v>
      </c>
      <c r="U184" s="40">
        <f t="shared" si="87"/>
        <v>1426.2297754450396</v>
      </c>
      <c r="V184" s="65">
        <f t="shared" si="88"/>
        <v>4109.8716817375325</v>
      </c>
      <c r="W184" s="65">
        <f t="shared" si="89"/>
        <v>3708.8071372557242</v>
      </c>
      <c r="X184" s="65">
        <f t="shared" si="90"/>
        <v>947.12629189470135</v>
      </c>
      <c r="Y184" s="40">
        <f t="shared" si="91"/>
        <v>1426.2297754450396</v>
      </c>
      <c r="Z184" s="40">
        <f t="shared" si="92"/>
        <v>1183.6265233446427</v>
      </c>
      <c r="AA184" s="40">
        <f t="shared" si="93"/>
        <v>1966.3356687362539</v>
      </c>
      <c r="AB184" s="40">
        <f t="shared" si="94"/>
        <v>1699.5822644548327</v>
      </c>
      <c r="AC184" s="40">
        <f t="shared" si="95"/>
        <v>1469.0166687083909</v>
      </c>
      <c r="AD184" s="41">
        <f t="shared" si="96"/>
        <v>0.90883007818112271</v>
      </c>
      <c r="AE184" s="41">
        <f t="shared" si="97"/>
        <v>0.41783007818112272</v>
      </c>
      <c r="AF184" s="64">
        <f t="shared" si="98"/>
        <v>1.3094576575721759</v>
      </c>
      <c r="AG184" s="64">
        <f>APPLICANTS_PER_YEAR*($H184/Segments!$AH$2)*AE184</f>
        <v>1.5041882814520418</v>
      </c>
      <c r="AH184" s="64">
        <f t="shared" si="99"/>
        <v>2.8136459390242177</v>
      </c>
      <c r="AI184" s="40">
        <f t="shared" si="100"/>
        <v>1469.0166687083909</v>
      </c>
      <c r="AJ184" s="65">
        <f t="shared" si="101"/>
        <v>4133.2927842702484</v>
      </c>
      <c r="AK184" s="65">
        <f t="shared" si="102"/>
        <v>3729.9426760176088</v>
      </c>
      <c r="AL184" s="65">
        <f t="shared" si="103"/>
        <v>952.40868008537313</v>
      </c>
      <c r="AM184" s="40">
        <f t="shared" si="104"/>
        <v>1469.0166687083909</v>
      </c>
      <c r="AN184" s="40">
        <f t="shared" si="105"/>
        <v>1219.135319044982</v>
      </c>
      <c r="AO184" s="40">
        <f t="shared" si="106"/>
        <v>2024.0757387983415</v>
      </c>
      <c r="AP184" s="40">
        <f t="shared" si="107"/>
        <v>1750.029436607769</v>
      </c>
      <c r="AQ184" s="40">
        <f t="shared" si="108"/>
        <v>1513.0871687696424</v>
      </c>
      <c r="AR184" s="41">
        <f t="shared" si="109"/>
        <v>0.90869665209101058</v>
      </c>
      <c r="AS184" s="41">
        <f t="shared" si="110"/>
        <v>0.41769665209101048</v>
      </c>
      <c r="AT184" s="64">
        <f t="shared" si="111"/>
        <v>1.2783753224803871</v>
      </c>
      <c r="AU184" s="64">
        <f>APPLICANTS_PER_YEAR*($H184/Segments!$AH$2)*AS184</f>
        <v>1.5037079475276376</v>
      </c>
      <c r="AV184" s="64">
        <f t="shared" si="112"/>
        <v>2.7820832700080249</v>
      </c>
      <c r="AW184" s="40">
        <f t="shared" si="113"/>
        <v>1513.0871687696422</v>
      </c>
      <c r="AX184" s="65">
        <f t="shared" si="114"/>
        <v>4209.5344982978304</v>
      </c>
      <c r="AY184" s="65">
        <f t="shared" si="115"/>
        <v>3798.7442919898531</v>
      </c>
      <c r="AZ184" s="65">
        <f t="shared" si="116"/>
        <v>968.46982630097659</v>
      </c>
    </row>
    <row r="185" spans="1:52" ht="15" customHeight="1" x14ac:dyDescent="0.35">
      <c r="A185" s="59" t="str">
        <f>Segments!$A$165</f>
        <v>Non-greek</v>
      </c>
      <c r="B185" s="59" t="str">
        <f>Segments!$B$165</f>
        <v>Off 6+mi</v>
      </c>
      <c r="C185" s="59" t="str">
        <f>Segments!$C$165</f>
        <v>Yes</v>
      </c>
      <c r="D185" s="59" t="str">
        <f>Segments!$D$165</f>
        <v>&lt;1.0</v>
      </c>
      <c r="E185" s="59" t="str">
        <f>Segments!$E$165</f>
        <v>Freshman</v>
      </c>
      <c r="F185" s="59">
        <f>Segments!$F$165</f>
        <v>1</v>
      </c>
      <c r="G185" s="59" t="str">
        <f>Segments!$G$165</f>
        <v>Base</v>
      </c>
      <c r="H185" s="60">
        <f>Segments!$H$165</f>
        <v>4</v>
      </c>
      <c r="I185" s="26">
        <f>Segments!$Y$165</f>
        <v>826.43754042827356</v>
      </c>
      <c r="J185" s="29">
        <v>0</v>
      </c>
      <c r="K185" s="14">
        <f t="shared" si="78"/>
        <v>1385.5185361856304</v>
      </c>
      <c r="L185" s="14">
        <f t="shared" si="79"/>
        <v>826.43754042827356</v>
      </c>
      <c r="M185" s="14">
        <f t="shared" si="80"/>
        <v>1385.5185361856304</v>
      </c>
      <c r="N185" s="14">
        <f t="shared" si="81"/>
        <v>1405.7267838164612</v>
      </c>
      <c r="O185" s="14">
        <f t="shared" si="82"/>
        <v>1426.2297754450396</v>
      </c>
      <c r="P185" s="33">
        <f t="shared" si="83"/>
        <v>0.83389231539645881</v>
      </c>
      <c r="Q185" s="33">
        <f t="shared" si="84"/>
        <v>0.34270733407635789</v>
      </c>
      <c r="R185" s="51">
        <f t="shared" si="85"/>
        <v>0</v>
      </c>
      <c r="S185" s="51">
        <f>APPLICANTS_PER_YEAR*($H185/Segments!$AH$2)*Q185</f>
        <v>1.6449952035665178</v>
      </c>
      <c r="T185" s="51">
        <f t="shared" si="86"/>
        <v>1.6449952035665178</v>
      </c>
      <c r="U185" s="14">
        <f t="shared" si="87"/>
        <v>1426.2297754450396</v>
      </c>
      <c r="V185" s="44">
        <f t="shared" si="88"/>
        <v>2346.1411397908419</v>
      </c>
      <c r="W185" s="44">
        <f t="shared" si="89"/>
        <v>1522.6240848580387</v>
      </c>
      <c r="X185" s="44">
        <f t="shared" si="90"/>
        <v>599.56039947364195</v>
      </c>
      <c r="Y185" s="14">
        <f t="shared" si="91"/>
        <v>1425.8340922711993</v>
      </c>
      <c r="Z185" s="14">
        <f t="shared" si="92"/>
        <v>851.23066664112184</v>
      </c>
      <c r="AA185" s="14">
        <f t="shared" si="93"/>
        <v>1425.8340922711993</v>
      </c>
      <c r="AB185" s="14">
        <f t="shared" si="94"/>
        <v>1447.2643325802958</v>
      </c>
      <c r="AC185" s="14">
        <f t="shared" si="95"/>
        <v>1469.0166687083909</v>
      </c>
      <c r="AD185" s="33">
        <f t="shared" si="96"/>
        <v>0.83339926558495847</v>
      </c>
      <c r="AE185" s="33">
        <f t="shared" si="97"/>
        <v>0.34248501616518334</v>
      </c>
      <c r="AF185" s="51">
        <f t="shared" si="98"/>
        <v>0</v>
      </c>
      <c r="AG185" s="51">
        <f>APPLICANTS_PER_YEAR*($H185/Segments!$AH$2)*AE185</f>
        <v>1.64392807759288</v>
      </c>
      <c r="AH185" s="51">
        <f t="shared" si="99"/>
        <v>1.64392807759288</v>
      </c>
      <c r="AI185" s="14">
        <f t="shared" si="100"/>
        <v>1469.0166687083906</v>
      </c>
      <c r="AJ185" s="44">
        <f t="shared" si="101"/>
        <v>2414.9577481416813</v>
      </c>
      <c r="AK185" s="44">
        <f t="shared" si="102"/>
        <v>1567.2854326073787</v>
      </c>
      <c r="AL185" s="44">
        <f t="shared" si="103"/>
        <v>614.92729907541627</v>
      </c>
      <c r="AM185" s="14">
        <f t="shared" si="104"/>
        <v>1467.3591150393352</v>
      </c>
      <c r="AN185" s="14">
        <f t="shared" si="105"/>
        <v>876.76758664035538</v>
      </c>
      <c r="AO185" s="14">
        <f t="shared" si="106"/>
        <v>1467.3591150393352</v>
      </c>
      <c r="AP185" s="14">
        <f t="shared" si="107"/>
        <v>1490.0477337800946</v>
      </c>
      <c r="AQ185" s="14">
        <f t="shared" si="108"/>
        <v>1513.0871687696424</v>
      </c>
      <c r="AR185" s="33">
        <f t="shared" si="109"/>
        <v>0.83291984202599234</v>
      </c>
      <c r="AS185" s="33">
        <f t="shared" si="110"/>
        <v>0.34226889365111168</v>
      </c>
      <c r="AT185" s="51">
        <f t="shared" si="111"/>
        <v>0</v>
      </c>
      <c r="AU185" s="51">
        <f>APPLICANTS_PER_YEAR*($H185/Segments!$AH$2)*AS185</f>
        <v>1.6428906895253361</v>
      </c>
      <c r="AV185" s="51">
        <f t="shared" si="112"/>
        <v>1.6428906895253361</v>
      </c>
      <c r="AW185" s="14">
        <f t="shared" si="113"/>
        <v>1513.0871687696424</v>
      </c>
      <c r="AX185" s="44">
        <f t="shared" si="114"/>
        <v>2485.8368220118964</v>
      </c>
      <c r="AY185" s="44">
        <f t="shared" si="115"/>
        <v>1613.2853015653232</v>
      </c>
      <c r="AZ185" s="44">
        <f t="shared" si="116"/>
        <v>630.75752915930502</v>
      </c>
    </row>
    <row r="186" spans="1:52" ht="15" customHeight="1" x14ac:dyDescent="0.35">
      <c r="A186" s="59" t="str">
        <f>Segments!$A$166</f>
        <v>Non-greek</v>
      </c>
      <c r="B186" s="59" t="str">
        <f>Segments!$B$166</f>
        <v>Off 6+mi</v>
      </c>
      <c r="C186" s="59" t="str">
        <f>Segments!$C$166</f>
        <v>Yes</v>
      </c>
      <c r="D186" s="59" t="str">
        <f>Segments!$D$166</f>
        <v>&lt;1.0</v>
      </c>
      <c r="E186" s="59" t="str">
        <f>Segments!$E$166</f>
        <v>Sophomore</v>
      </c>
      <c r="F186" s="59">
        <f>Segments!$F$166</f>
        <v>1</v>
      </c>
      <c r="G186" s="59" t="str">
        <f>Segments!$G$166</f>
        <v>Sophomore</v>
      </c>
      <c r="H186" s="60">
        <f>Segments!$H$166</f>
        <v>11</v>
      </c>
      <c r="I186" s="26">
        <f>Segments!$Y$166</f>
        <v>818.02956556743959</v>
      </c>
      <c r="J186" s="29">
        <v>1</v>
      </c>
      <c r="K186" s="14">
        <f t="shared" si="78"/>
        <v>1426.2297754450396</v>
      </c>
      <c r="L186" s="14">
        <f t="shared" si="79"/>
        <v>818.02956556743959</v>
      </c>
      <c r="M186" s="14">
        <f t="shared" si="80"/>
        <v>1371.8465135791248</v>
      </c>
      <c r="N186" s="14">
        <f t="shared" si="81"/>
        <v>1398.7738720061279</v>
      </c>
      <c r="O186" s="14">
        <f t="shared" si="82"/>
        <v>1426.2297754450396</v>
      </c>
      <c r="P186" s="33">
        <f t="shared" si="83"/>
        <v>0.84018572480213172</v>
      </c>
      <c r="Q186" s="33">
        <f t="shared" si="84"/>
        <v>0.34018572480213172</v>
      </c>
      <c r="R186" s="51">
        <f t="shared" si="85"/>
        <v>3.3607428992085269</v>
      </c>
      <c r="S186" s="51">
        <f>APPLICANTS_PER_YEAR*($H186/Segments!$AH$2)*Q186</f>
        <v>4.4904515673881393</v>
      </c>
      <c r="T186" s="51">
        <f t="shared" si="86"/>
        <v>7.8511944665966666</v>
      </c>
      <c r="U186" s="14">
        <f t="shared" si="87"/>
        <v>1426.2297754450394</v>
      </c>
      <c r="V186" s="44">
        <f t="shared" si="88"/>
        <v>11197.607321069499</v>
      </c>
      <c r="W186" s="44">
        <f t="shared" si="89"/>
        <v>7193.2103025390243</v>
      </c>
      <c r="X186" s="44">
        <f t="shared" si="90"/>
        <v>2609.7875127698708</v>
      </c>
      <c r="Y186" s="14">
        <f t="shared" si="91"/>
        <v>1426.2297754450396</v>
      </c>
      <c r="Z186" s="14">
        <f t="shared" si="92"/>
        <v>842.57045253446279</v>
      </c>
      <c r="AA186" s="14">
        <f t="shared" si="93"/>
        <v>1411.7519089864986</v>
      </c>
      <c r="AB186" s="14">
        <f t="shared" si="94"/>
        <v>1440.0996793215593</v>
      </c>
      <c r="AC186" s="14">
        <f t="shared" si="95"/>
        <v>1469.0166687083909</v>
      </c>
      <c r="AD186" s="33">
        <f t="shared" si="96"/>
        <v>0.83096007366640945</v>
      </c>
      <c r="AE186" s="33">
        <f t="shared" si="97"/>
        <v>0.33996007366640946</v>
      </c>
      <c r="AF186" s="51">
        <f t="shared" si="98"/>
        <v>1.3669253355365238</v>
      </c>
      <c r="AG186" s="51">
        <f>APPLICANTS_PER_YEAR*($H186/Segments!$AH$2)*AE186</f>
        <v>4.4874729723966054</v>
      </c>
      <c r="AH186" s="51">
        <f t="shared" si="99"/>
        <v>5.8543983079331294</v>
      </c>
      <c r="AI186" s="14">
        <f t="shared" si="100"/>
        <v>1469.0166687083911</v>
      </c>
      <c r="AJ186" s="44">
        <f t="shared" si="101"/>
        <v>8600.2086996119669</v>
      </c>
      <c r="AK186" s="44">
        <f t="shared" si="102"/>
        <v>5524.6721954280756</v>
      </c>
      <c r="AL186" s="44">
        <f t="shared" si="103"/>
        <v>2085.4402755842543</v>
      </c>
      <c r="AM186" s="14">
        <f t="shared" si="104"/>
        <v>1469.0166687083906</v>
      </c>
      <c r="AN186" s="14">
        <f t="shared" si="105"/>
        <v>867.84756611049659</v>
      </c>
      <c r="AO186" s="14">
        <f t="shared" si="106"/>
        <v>1452.8544662560935</v>
      </c>
      <c r="AP186" s="14">
        <f t="shared" si="107"/>
        <v>1482.6649827192125</v>
      </c>
      <c r="AQ186" s="14">
        <f t="shared" si="108"/>
        <v>1513.0871687696424</v>
      </c>
      <c r="AR186" s="33">
        <f t="shared" si="109"/>
        <v>0.83074070798022237</v>
      </c>
      <c r="AS186" s="33">
        <f t="shared" si="110"/>
        <v>0.33974070798022238</v>
      </c>
      <c r="AT186" s="51">
        <f t="shared" si="111"/>
        <v>1.365677975048075</v>
      </c>
      <c r="AU186" s="51">
        <f>APPLICANTS_PER_YEAR*($H186/Segments!$AH$2)*AS186</f>
        <v>4.4845773453389359</v>
      </c>
      <c r="AV186" s="51">
        <f t="shared" si="112"/>
        <v>5.8502553203870109</v>
      </c>
      <c r="AW186" s="14">
        <f t="shared" si="113"/>
        <v>1513.0871687696426</v>
      </c>
      <c r="AX186" s="44">
        <f t="shared" si="114"/>
        <v>8851.9462593039207</v>
      </c>
      <c r="AY186" s="44">
        <f t="shared" si="115"/>
        <v>5686.3854218335937</v>
      </c>
      <c r="AZ186" s="44">
        <f t="shared" si="116"/>
        <v>2139.6318584002124</v>
      </c>
    </row>
    <row r="187" spans="1:52" ht="15" customHeight="1" x14ac:dyDescent="0.35">
      <c r="A187" s="59" t="str">
        <f>Segments!$A$167</f>
        <v>Non-greek</v>
      </c>
      <c r="B187" s="59" t="str">
        <f>Segments!$B$167</f>
        <v>Off 6+mi</v>
      </c>
      <c r="C187" s="59" t="str">
        <f>Segments!$C$167</f>
        <v>Yes</v>
      </c>
      <c r="D187" s="59" t="str">
        <f>Segments!$D$167</f>
        <v>&lt;1.0</v>
      </c>
      <c r="E187" s="59" t="str">
        <f>Segments!$E$167</f>
        <v>Junior</v>
      </c>
      <c r="F187" s="59">
        <f>Segments!$F$167</f>
        <v>2</v>
      </c>
      <c r="G187" s="59" t="str">
        <f>Segments!$G$167</f>
        <v>Base</v>
      </c>
      <c r="H187" s="60">
        <f>Segments!$H$167</f>
        <v>6</v>
      </c>
      <c r="I187" s="26">
        <f>Segments!$Y$167</f>
        <v>977.89350378283871</v>
      </c>
      <c r="J187" s="29">
        <v>2</v>
      </c>
      <c r="K187" s="14">
        <f t="shared" si="78"/>
        <v>1426.2297754450396</v>
      </c>
      <c r="L187" s="14">
        <f t="shared" si="79"/>
        <v>977.89350378283871</v>
      </c>
      <c r="M187" s="14">
        <f t="shared" si="80"/>
        <v>1631.7977400542652</v>
      </c>
      <c r="N187" s="14">
        <f t="shared" si="81"/>
        <v>1525.5551528441433</v>
      </c>
      <c r="O187" s="14">
        <f t="shared" si="82"/>
        <v>1426.2297754450396</v>
      </c>
      <c r="P187" s="33">
        <f t="shared" si="83"/>
        <v>0.88255384677962256</v>
      </c>
      <c r="Q187" s="33">
        <f t="shared" si="84"/>
        <v>0.38255384677962251</v>
      </c>
      <c r="R187" s="51">
        <f t="shared" si="85"/>
        <v>9.7080923145758486</v>
      </c>
      <c r="S187" s="51">
        <f>APPLICANTS_PER_YEAR*($H187/Segments!$AH$2)*Q187</f>
        <v>2.7543876968132817</v>
      </c>
      <c r="T187" s="51">
        <f t="shared" si="86"/>
        <v>12.462480011389131</v>
      </c>
      <c r="U187" s="14">
        <f t="shared" si="87"/>
        <v>1426.2297754450394</v>
      </c>
      <c r="V187" s="44">
        <f t="shared" si="88"/>
        <v>17774.360068131813</v>
      </c>
      <c r="W187" s="44">
        <f t="shared" si="89"/>
        <v>13649.415633460219</v>
      </c>
      <c r="X187" s="44">
        <f t="shared" si="90"/>
        <v>3814.9569866460383</v>
      </c>
      <c r="Y187" s="14">
        <f t="shared" si="91"/>
        <v>1426.2297754450394</v>
      </c>
      <c r="Z187" s="14">
        <f t="shared" si="92"/>
        <v>1007.2303088963239</v>
      </c>
      <c r="AA187" s="14">
        <f t="shared" si="93"/>
        <v>1679.5016722558933</v>
      </c>
      <c r="AB187" s="14">
        <f t="shared" si="94"/>
        <v>1570.7373910579463</v>
      </c>
      <c r="AC187" s="14">
        <f t="shared" si="95"/>
        <v>1469.0166687083909</v>
      </c>
      <c r="AD187" s="33">
        <f t="shared" si="96"/>
        <v>0.873379926437303</v>
      </c>
      <c r="AE187" s="33">
        <f t="shared" si="97"/>
        <v>0.38237992643730312</v>
      </c>
      <c r="AF187" s="51">
        <f t="shared" si="98"/>
        <v>6.8570756456811575</v>
      </c>
      <c r="AG187" s="51">
        <f>APPLICANTS_PER_YEAR*($H187/Segments!$AH$2)*AE187</f>
        <v>2.7531354703485822</v>
      </c>
      <c r="AH187" s="51">
        <f t="shared" si="99"/>
        <v>9.6102111160297401</v>
      </c>
      <c r="AI187" s="14">
        <f t="shared" si="100"/>
        <v>1469.0166687083909</v>
      </c>
      <c r="AJ187" s="44">
        <f t="shared" si="101"/>
        <v>14117.560319254355</v>
      </c>
      <c r="AK187" s="44">
        <f t="shared" si="102"/>
        <v>10841.259420272423</v>
      </c>
      <c r="AL187" s="44">
        <f t="shared" si="103"/>
        <v>3070.8055758187861</v>
      </c>
      <c r="AM187" s="14">
        <f t="shared" si="104"/>
        <v>1469.0166687083911</v>
      </c>
      <c r="AN187" s="14">
        <f t="shared" si="105"/>
        <v>1037.4472181632136</v>
      </c>
      <c r="AO187" s="14">
        <f t="shared" si="106"/>
        <v>1728.6367224235701</v>
      </c>
      <c r="AP187" s="14">
        <f t="shared" si="107"/>
        <v>1617.2748820664699</v>
      </c>
      <c r="AQ187" s="14">
        <f t="shared" si="108"/>
        <v>1513.0871687696424</v>
      </c>
      <c r="AR187" s="33">
        <f t="shared" si="109"/>
        <v>0.87321088587108397</v>
      </c>
      <c r="AS187" s="33">
        <f t="shared" si="110"/>
        <v>0.38221088587108387</v>
      </c>
      <c r="AT187" s="51">
        <f t="shared" si="111"/>
        <v>5.1121243327124626</v>
      </c>
      <c r="AU187" s="51">
        <f>APPLICANTS_PER_YEAR*($H187/Segments!$AH$2)*AS187</f>
        <v>2.7519183782718035</v>
      </c>
      <c r="AV187" s="51">
        <f t="shared" si="112"/>
        <v>7.8640427109842665</v>
      </c>
      <c r="AW187" s="14">
        <f t="shared" si="113"/>
        <v>1513.0871687696424</v>
      </c>
      <c r="AX187" s="44">
        <f t="shared" si="114"/>
        <v>11898.982120646728</v>
      </c>
      <c r="AY187" s="44">
        <f t="shared" si="115"/>
        <v>9137.5527421106035</v>
      </c>
      <c r="AZ187" s="44">
        <f t="shared" si="116"/>
        <v>2620.7226680469666</v>
      </c>
    </row>
    <row r="188" spans="1:52" ht="15" customHeight="1" x14ac:dyDescent="0.35">
      <c r="A188" s="59" t="str">
        <f>Segments!$A$168</f>
        <v>Non-greek</v>
      </c>
      <c r="B188" s="59" t="str">
        <f>Segments!$B$168</f>
        <v>Off 6+mi</v>
      </c>
      <c r="C188" s="59" t="str">
        <f>Segments!$C$168</f>
        <v>Yes</v>
      </c>
      <c r="D188" s="59" t="str">
        <f>Segments!$D$168</f>
        <v>&lt;1.0</v>
      </c>
      <c r="E188" s="59" t="str">
        <f>Segments!$E$168</f>
        <v>Senior</v>
      </c>
      <c r="F188" s="59">
        <f>Segments!$F$168</f>
        <v>3</v>
      </c>
      <c r="G188" s="59" t="str">
        <f>Segments!$G$168</f>
        <v>Base</v>
      </c>
      <c r="H188" s="60">
        <f>Segments!$H$168</f>
        <v>10</v>
      </c>
      <c r="I188" s="26">
        <f>Segments!$Y$168</f>
        <v>914.02479173011602</v>
      </c>
      <c r="J188" s="29">
        <v>3</v>
      </c>
      <c r="K188" s="14">
        <f t="shared" si="78"/>
        <v>1426.2297754450396</v>
      </c>
      <c r="L188" s="14">
        <f t="shared" si="79"/>
        <v>914.02479173011602</v>
      </c>
      <c r="M188" s="14">
        <f t="shared" si="80"/>
        <v>1527.9422350740085</v>
      </c>
      <c r="N188" s="14">
        <f t="shared" si="81"/>
        <v>1476.2102529188026</v>
      </c>
      <c r="O188" s="14">
        <f t="shared" si="82"/>
        <v>1426.2297754450396</v>
      </c>
      <c r="P188" s="33">
        <f t="shared" si="83"/>
        <v>0.86692864460700636</v>
      </c>
      <c r="Q188" s="33">
        <f t="shared" si="84"/>
        <v>0.36692864460700636</v>
      </c>
      <c r="R188" s="51">
        <f t="shared" si="85"/>
        <v>5.2015718676420377</v>
      </c>
      <c r="S188" s="51">
        <f>APPLICANTS_PER_YEAR*($H188/Segments!$AH$2)*Q188</f>
        <v>4.4031437352840763</v>
      </c>
      <c r="T188" s="51">
        <f t="shared" si="86"/>
        <v>9.6047156029261131</v>
      </c>
      <c r="U188" s="14">
        <f t="shared" si="87"/>
        <v>1426.2297754450396</v>
      </c>
      <c r="V188" s="44">
        <f t="shared" si="88"/>
        <v>13698.53137757478</v>
      </c>
      <c r="W188" s="44">
        <f t="shared" si="89"/>
        <v>9832.4219600225206</v>
      </c>
      <c r="X188" s="44">
        <f t="shared" si="90"/>
        <v>3110.9916503311833</v>
      </c>
      <c r="Y188" s="14">
        <f t="shared" si="91"/>
        <v>1426.2297754450394</v>
      </c>
      <c r="Z188" s="14">
        <f t="shared" si="92"/>
        <v>941.44553548201952</v>
      </c>
      <c r="AA188" s="14">
        <f t="shared" si="93"/>
        <v>1572.5305021262288</v>
      </c>
      <c r="AB188" s="14">
        <f t="shared" si="94"/>
        <v>1519.8926013622822</v>
      </c>
      <c r="AC188" s="14">
        <f t="shared" si="95"/>
        <v>1469.0166687083909</v>
      </c>
      <c r="AD188" s="33">
        <f t="shared" si="96"/>
        <v>0.85773668672651304</v>
      </c>
      <c r="AE188" s="33">
        <f t="shared" si="97"/>
        <v>0.36673668672651316</v>
      </c>
      <c r="AF188" s="51">
        <f t="shared" si="98"/>
        <v>10.689526313364309</v>
      </c>
      <c r="AG188" s="51">
        <f>APPLICANTS_PER_YEAR*($H188/Segments!$AH$2)*AE188</f>
        <v>4.4008402407181579</v>
      </c>
      <c r="AH188" s="51">
        <f t="shared" si="99"/>
        <v>15.090366554082468</v>
      </c>
      <c r="AI188" s="14">
        <f t="shared" si="100"/>
        <v>1469.0166687083909</v>
      </c>
      <c r="AJ188" s="44">
        <f t="shared" si="101"/>
        <v>22168.000004866746</v>
      </c>
      <c r="AK188" s="44">
        <f t="shared" si="102"/>
        <v>15911.569207663504</v>
      </c>
      <c r="AL188" s="44">
        <f t="shared" si="103"/>
        <v>4827.852106467235</v>
      </c>
      <c r="AM188" s="14">
        <f t="shared" si="104"/>
        <v>1469.0166687083909</v>
      </c>
      <c r="AN188" s="14">
        <f t="shared" si="105"/>
        <v>969.68890154648</v>
      </c>
      <c r="AO188" s="14">
        <f t="shared" si="106"/>
        <v>1618.4564171900154</v>
      </c>
      <c r="AP188" s="14">
        <f t="shared" si="107"/>
        <v>1564.8851836678307</v>
      </c>
      <c r="AQ188" s="14">
        <f t="shared" si="108"/>
        <v>1513.0871687696424</v>
      </c>
      <c r="AR188" s="33">
        <f t="shared" si="109"/>
        <v>0.85755010074821669</v>
      </c>
      <c r="AS188" s="33">
        <f t="shared" si="110"/>
        <v>0.36655010074821665</v>
      </c>
      <c r="AT188" s="51">
        <f t="shared" si="111"/>
        <v>8.2412375107629359</v>
      </c>
      <c r="AU188" s="51">
        <f>APPLICANTS_PER_YEAR*($H188/Segments!$AH$2)*AS188</f>
        <v>4.3986012089786</v>
      </c>
      <c r="AV188" s="51">
        <f t="shared" si="112"/>
        <v>12.639838719741537</v>
      </c>
      <c r="AW188" s="14">
        <f t="shared" si="113"/>
        <v>1513.0871687696424</v>
      </c>
      <c r="AX188" s="44">
        <f t="shared" si="114"/>
        <v>19125.177782158622</v>
      </c>
      <c r="AY188" s="44">
        <f t="shared" si="115"/>
        <v>13727.516682735339</v>
      </c>
      <c r="AZ188" s="44">
        <f t="shared" si="116"/>
        <v>4210.3617521916813</v>
      </c>
    </row>
    <row r="189" spans="1:52" ht="15" customHeight="1" x14ac:dyDescent="0.35">
      <c r="A189" s="59" t="str">
        <f>Segments!$A$169</f>
        <v>Non-greek</v>
      </c>
      <c r="B189" s="59" t="str">
        <f>Segments!$B$169</f>
        <v>Off 6+mi</v>
      </c>
      <c r="C189" s="59" t="str">
        <f>Segments!$C$169</f>
        <v>Yes</v>
      </c>
      <c r="D189" s="59" t="str">
        <f>Segments!$D$169</f>
        <v>&lt;1.0</v>
      </c>
      <c r="E189" s="59" t="str">
        <f>Segments!$E$169</f>
        <v>Grad student</v>
      </c>
      <c r="F189" s="59">
        <f>Segments!$F$169</f>
        <v>3</v>
      </c>
      <c r="G189" s="59" t="str">
        <f>Segments!$G$169</f>
        <v>Grad</v>
      </c>
      <c r="H189" s="60">
        <f>Segments!$H$169</f>
        <v>3</v>
      </c>
      <c r="I189" s="26">
        <f>Segments!$Y$169</f>
        <v>1088.3114292840651</v>
      </c>
      <c r="J189" s="29">
        <v>4</v>
      </c>
      <c r="K189" s="14">
        <f t="shared" si="78"/>
        <v>1426.2297754450396</v>
      </c>
      <c r="L189" s="14">
        <f t="shared" si="79"/>
        <v>1088.3114292840651</v>
      </c>
      <c r="M189" s="14">
        <f t="shared" si="80"/>
        <v>1811.3458950622444</v>
      </c>
      <c r="N189" s="14">
        <f t="shared" si="81"/>
        <v>1607.294450051987</v>
      </c>
      <c r="O189" s="14">
        <f t="shared" si="82"/>
        <v>1426.2297754450396</v>
      </c>
      <c r="P189" s="33">
        <f t="shared" si="83"/>
        <v>0.90632591918708205</v>
      </c>
      <c r="Q189" s="33">
        <f t="shared" si="84"/>
        <v>0.406325919187082</v>
      </c>
      <c r="R189" s="51">
        <f t="shared" si="85"/>
        <v>1.3594888787806232</v>
      </c>
      <c r="S189" s="51">
        <f>APPLICANTS_PER_YEAR*($H189/Segments!$AH$2)*Q189</f>
        <v>1.4627733090734951</v>
      </c>
      <c r="T189" s="51">
        <f t="shared" si="86"/>
        <v>2.8222621878541183</v>
      </c>
      <c r="U189" s="14">
        <f t="shared" si="87"/>
        <v>1426.2297754450396</v>
      </c>
      <c r="V189" s="44">
        <f t="shared" si="88"/>
        <v>4025.1943664302057</v>
      </c>
      <c r="W189" s="44">
        <f t="shared" si="89"/>
        <v>3440.0802189352353</v>
      </c>
      <c r="X189" s="44">
        <f t="shared" si="90"/>
        <v>926.79509142366976</v>
      </c>
      <c r="Y189" s="14">
        <f t="shared" si="91"/>
        <v>1426.2297754450396</v>
      </c>
      <c r="Z189" s="14">
        <f t="shared" si="92"/>
        <v>1120.9607721625871</v>
      </c>
      <c r="AA189" s="14">
        <f t="shared" si="93"/>
        <v>1864.4362719141118</v>
      </c>
      <c r="AB189" s="14">
        <f t="shared" si="94"/>
        <v>1654.9585980278662</v>
      </c>
      <c r="AC189" s="14">
        <f t="shared" si="95"/>
        <v>1469.0166687083909</v>
      </c>
      <c r="AD189" s="33">
        <f t="shared" si="96"/>
        <v>0.89717721480798762</v>
      </c>
      <c r="AE189" s="33">
        <f t="shared" si="97"/>
        <v>0.40617721480798769</v>
      </c>
      <c r="AF189" s="51">
        <f t="shared" si="98"/>
        <v>1.2660346645784277</v>
      </c>
      <c r="AG189" s="51">
        <f>APPLICANTS_PER_YEAR*($H189/Segments!$AH$2)*AE189</f>
        <v>1.4622379733087556</v>
      </c>
      <c r="AH189" s="51">
        <f t="shared" si="99"/>
        <v>2.7282726378871835</v>
      </c>
      <c r="AI189" s="14">
        <f t="shared" si="100"/>
        <v>1469.0166687083909</v>
      </c>
      <c r="AJ189" s="44">
        <f t="shared" si="101"/>
        <v>4007.8779818372841</v>
      </c>
      <c r="AK189" s="44">
        <f t="shared" si="102"/>
        <v>3425.2809951764048</v>
      </c>
      <c r="AL189" s="44">
        <f t="shared" si="103"/>
        <v>923.79215913202199</v>
      </c>
      <c r="AM189" s="14">
        <f t="shared" si="104"/>
        <v>1469.0166687083909</v>
      </c>
      <c r="AN189" s="14">
        <f t="shared" si="105"/>
        <v>1154.5895953274646</v>
      </c>
      <c r="AO189" s="14">
        <f t="shared" si="106"/>
        <v>1919.1193600715351</v>
      </c>
      <c r="AP189" s="14">
        <f t="shared" si="107"/>
        <v>1704.0524871792086</v>
      </c>
      <c r="AQ189" s="14">
        <f t="shared" si="108"/>
        <v>1513.0871687696424</v>
      </c>
      <c r="AR189" s="33">
        <f t="shared" si="109"/>
        <v>0.89703269847799105</v>
      </c>
      <c r="AS189" s="33">
        <f t="shared" si="110"/>
        <v>0.40603269847799089</v>
      </c>
      <c r="AT189" s="51">
        <f t="shared" si="111"/>
        <v>1.2236748832738036</v>
      </c>
      <c r="AU189" s="51">
        <f>APPLICANTS_PER_YEAR*($H189/Segments!$AH$2)*AS189</f>
        <v>1.4617177145207672</v>
      </c>
      <c r="AV189" s="51">
        <f t="shared" si="112"/>
        <v>2.6853925977945705</v>
      </c>
      <c r="AW189" s="14">
        <f t="shared" si="113"/>
        <v>1513.0871687696429</v>
      </c>
      <c r="AX189" s="44">
        <f t="shared" si="114"/>
        <v>4063.2330828319427</v>
      </c>
      <c r="AY189" s="44">
        <f t="shared" si="115"/>
        <v>3472.5895151169625</v>
      </c>
      <c r="AZ189" s="44">
        <f t="shared" si="116"/>
        <v>935.61156861131087</v>
      </c>
    </row>
    <row r="190" spans="1:52" ht="15" customHeight="1" x14ac:dyDescent="0.35">
      <c r="A190" s="61" t="str">
        <f>Segments!$A$170</f>
        <v>Non-greek</v>
      </c>
      <c r="B190" s="61" t="str">
        <f>Segments!$B$170</f>
        <v>Off 6+mi</v>
      </c>
      <c r="C190" s="61" t="str">
        <f>Segments!$C$170</f>
        <v>Yes</v>
      </c>
      <c r="D190" s="61" t="str">
        <f>Segments!$D$170</f>
        <v>1.0-2.0</v>
      </c>
      <c r="E190" s="61" t="str">
        <f>Segments!$E$170</f>
        <v>Freshman</v>
      </c>
      <c r="F190" s="61">
        <f>Segments!$F$170</f>
        <v>1</v>
      </c>
      <c r="G190" s="61" t="str">
        <f>Segments!$G$170</f>
        <v>Base</v>
      </c>
      <c r="H190" s="62">
        <f>Segments!$H$170</f>
        <v>28</v>
      </c>
      <c r="I190" s="63">
        <f>Segments!$Y$170</f>
        <v>749.92684766759828</v>
      </c>
      <c r="J190" s="42">
        <v>0</v>
      </c>
      <c r="K190" s="40">
        <f t="shared" si="78"/>
        <v>1261.1061850098331</v>
      </c>
      <c r="L190" s="40">
        <f t="shared" si="79"/>
        <v>749.92684766759828</v>
      </c>
      <c r="M190" s="40">
        <f t="shared" si="80"/>
        <v>1261.1061850098331</v>
      </c>
      <c r="N190" s="40">
        <f t="shared" si="81"/>
        <v>1341.1290732285706</v>
      </c>
      <c r="O190" s="40">
        <f t="shared" si="82"/>
        <v>1426.2297754450396</v>
      </c>
      <c r="P190" s="41">
        <f t="shared" si="83"/>
        <v>0.77899208464413927</v>
      </c>
      <c r="Q190" s="41">
        <f t="shared" si="84"/>
        <v>0.31827273977007986</v>
      </c>
      <c r="R190" s="64">
        <f t="shared" si="85"/>
        <v>0</v>
      </c>
      <c r="S190" s="64">
        <f>APPLICANTS_PER_YEAR*($H190/Segments!$AH$2)*Q190</f>
        <v>10.693964056274684</v>
      </c>
      <c r="T190" s="64">
        <f t="shared" si="86"/>
        <v>10.693964056274684</v>
      </c>
      <c r="U190" s="40">
        <f t="shared" si="87"/>
        <v>1426.2297754450396</v>
      </c>
      <c r="V190" s="65">
        <f t="shared" si="88"/>
        <v>15252.049954597967</v>
      </c>
      <c r="W190" s="65">
        <f t="shared" si="89"/>
        <v>8982.0536442477987</v>
      </c>
      <c r="X190" s="65">
        <f t="shared" si="90"/>
        <v>3897.6875723623057</v>
      </c>
      <c r="Y190" s="40">
        <f t="shared" si="91"/>
        <v>1297.6893705601281</v>
      </c>
      <c r="Z190" s="40">
        <f t="shared" si="92"/>
        <v>772.42465309762622</v>
      </c>
      <c r="AA190" s="40">
        <f t="shared" si="93"/>
        <v>1297.6893705601281</v>
      </c>
      <c r="AB190" s="40">
        <f t="shared" si="94"/>
        <v>1380.6981263688772</v>
      </c>
      <c r="AC190" s="40">
        <f t="shared" si="95"/>
        <v>1469.0166687083909</v>
      </c>
      <c r="AD190" s="41">
        <f t="shared" si="96"/>
        <v>0.77840924071933071</v>
      </c>
      <c r="AE190" s="41">
        <f t="shared" si="97"/>
        <v>0.31801670812294636</v>
      </c>
      <c r="AF190" s="64">
        <f t="shared" si="98"/>
        <v>0</v>
      </c>
      <c r="AG190" s="64">
        <f>APPLICANTS_PER_YEAR*($H190/Segments!$AH$2)*AE190</f>
        <v>10.685361392930998</v>
      </c>
      <c r="AH190" s="64">
        <f t="shared" si="99"/>
        <v>10.685361392930998</v>
      </c>
      <c r="AI190" s="40">
        <f t="shared" si="100"/>
        <v>1469.0166687083909</v>
      </c>
      <c r="AJ190" s="65">
        <f t="shared" si="101"/>
        <v>15696.973997388746</v>
      </c>
      <c r="AK190" s="65">
        <f t="shared" si="102"/>
        <v>9244.0729552163957</v>
      </c>
      <c r="AL190" s="65">
        <f t="shared" si="103"/>
        <v>3996.9634380969742</v>
      </c>
      <c r="AM190" s="40">
        <f t="shared" si="104"/>
        <v>1335.370051676932</v>
      </c>
      <c r="AN190" s="40">
        <f t="shared" si="105"/>
        <v>795.59739269055501</v>
      </c>
      <c r="AO190" s="40">
        <f t="shared" si="106"/>
        <v>1335.370051676932</v>
      </c>
      <c r="AP190" s="40">
        <f t="shared" si="107"/>
        <v>1421.4539355011193</v>
      </c>
      <c r="AQ190" s="40">
        <f t="shared" si="108"/>
        <v>1513.0871687696424</v>
      </c>
      <c r="AR190" s="41">
        <f t="shared" si="109"/>
        <v>0.77784241572670931</v>
      </c>
      <c r="AS190" s="41">
        <f t="shared" si="110"/>
        <v>0.31776777953194146</v>
      </c>
      <c r="AT190" s="64">
        <f t="shared" si="111"/>
        <v>0</v>
      </c>
      <c r="AU190" s="64">
        <f>APPLICANTS_PER_YEAR*($H190/Segments!$AH$2)*AS190</f>
        <v>10.676997392273234</v>
      </c>
      <c r="AV190" s="64">
        <f t="shared" si="112"/>
        <v>10.676997392273234</v>
      </c>
      <c r="AW190" s="40">
        <f t="shared" si="113"/>
        <v>1513.0871687696424</v>
      </c>
      <c r="AX190" s="65">
        <f t="shared" si="114"/>
        <v>16155.227755235564</v>
      </c>
      <c r="AY190" s="65">
        <f t="shared" si="115"/>
        <v>9513.942241503215</v>
      </c>
      <c r="AZ190" s="65">
        <f t="shared" si="116"/>
        <v>4099.235899825062</v>
      </c>
    </row>
    <row r="191" spans="1:52" ht="15" customHeight="1" x14ac:dyDescent="0.35">
      <c r="A191" s="61" t="str">
        <f>Segments!$A$171</f>
        <v>Non-greek</v>
      </c>
      <c r="B191" s="61" t="str">
        <f>Segments!$B$171</f>
        <v>Off 6+mi</v>
      </c>
      <c r="C191" s="61" t="str">
        <f>Segments!$C$171</f>
        <v>Yes</v>
      </c>
      <c r="D191" s="61" t="str">
        <f>Segments!$D$171</f>
        <v>1.0-2.0</v>
      </c>
      <c r="E191" s="61" t="str">
        <f>Segments!$E$171</f>
        <v>Sophomore</v>
      </c>
      <c r="F191" s="61">
        <f>Segments!$F$171</f>
        <v>1</v>
      </c>
      <c r="G191" s="61" t="str">
        <f>Segments!$G$171</f>
        <v>Sophomore</v>
      </c>
      <c r="H191" s="62">
        <f>Segments!$H$171</f>
        <v>25</v>
      </c>
      <c r="I191" s="63">
        <f>Segments!$Y$171</f>
        <v>742.2972740165925</v>
      </c>
      <c r="J191" s="42">
        <v>1</v>
      </c>
      <c r="K191" s="40">
        <f t="shared" si="78"/>
        <v>1426.2297754450396</v>
      </c>
      <c r="L191" s="40">
        <f t="shared" si="79"/>
        <v>742.2972740165925</v>
      </c>
      <c r="M191" s="40">
        <f t="shared" si="80"/>
        <v>1248.6999034543953</v>
      </c>
      <c r="N191" s="40">
        <f t="shared" si="81"/>
        <v>1334.5160107327317</v>
      </c>
      <c r="O191" s="40">
        <f t="shared" si="82"/>
        <v>1426.2297754450396</v>
      </c>
      <c r="P191" s="41">
        <f t="shared" si="83"/>
        <v>0.81563781776512689</v>
      </c>
      <c r="Q191" s="41">
        <f t="shared" si="84"/>
        <v>0.31563781776512689</v>
      </c>
      <c r="R191" s="64">
        <f t="shared" si="85"/>
        <v>22.837858897423551</v>
      </c>
      <c r="S191" s="64">
        <f>APPLICANTS_PER_YEAR*($H191/Segments!$AH$2)*Q191</f>
        <v>9.4691345329538059</v>
      </c>
      <c r="T191" s="64">
        <f t="shared" si="86"/>
        <v>32.306993430377361</v>
      </c>
      <c r="U191" s="40">
        <f t="shared" si="87"/>
        <v>1426.2297754450394</v>
      </c>
      <c r="V191" s="65">
        <f t="shared" si="88"/>
        <v>46077.195985511469</v>
      </c>
      <c r="W191" s="65">
        <f t="shared" si="89"/>
        <v>26859.16033364601</v>
      </c>
      <c r="X191" s="65">
        <f t="shared" si="90"/>
        <v>10064.138929843835</v>
      </c>
      <c r="Y191" s="40">
        <f t="shared" si="91"/>
        <v>1426.2297754450396</v>
      </c>
      <c r="Z191" s="40">
        <f t="shared" si="92"/>
        <v>764.56619223709026</v>
      </c>
      <c r="AA191" s="40">
        <f t="shared" si="93"/>
        <v>1284.9109005580272</v>
      </c>
      <c r="AB191" s="40">
        <f t="shared" si="94"/>
        <v>1373.883375954761</v>
      </c>
      <c r="AC191" s="40">
        <f t="shared" si="95"/>
        <v>1469.0166687083909</v>
      </c>
      <c r="AD191" s="41">
        <f t="shared" si="96"/>
        <v>0.80637795914172183</v>
      </c>
      <c r="AE191" s="41">
        <f t="shared" si="97"/>
        <v>0.31537795914172184</v>
      </c>
      <c r="AF191" s="64">
        <f t="shared" si="98"/>
        <v>8.6233769108337093</v>
      </c>
      <c r="AG191" s="64">
        <f>APPLICANTS_PER_YEAR*($H191/Segments!$AH$2)*AE191</f>
        <v>9.4613387742516544</v>
      </c>
      <c r="AH191" s="64">
        <f t="shared" si="99"/>
        <v>18.084715685085364</v>
      </c>
      <c r="AI191" s="40">
        <f t="shared" si="100"/>
        <v>1469.0166687083909</v>
      </c>
      <c r="AJ191" s="65">
        <f t="shared" si="101"/>
        <v>26566.748790242484</v>
      </c>
      <c r="AK191" s="65">
        <f t="shared" si="102"/>
        <v>15486.197674120431</v>
      </c>
      <c r="AL191" s="65">
        <f t="shared" si="103"/>
        <v>6105.8035572823728</v>
      </c>
      <c r="AM191" s="40">
        <f t="shared" si="104"/>
        <v>1469.0166687083909</v>
      </c>
      <c r="AN191" s="40">
        <f t="shared" si="105"/>
        <v>787.50317800420294</v>
      </c>
      <c r="AO191" s="40">
        <f t="shared" si="106"/>
        <v>1322.2082275747678</v>
      </c>
      <c r="AP191" s="40">
        <f t="shared" si="107"/>
        <v>1414.4314418115262</v>
      </c>
      <c r="AQ191" s="40">
        <f t="shared" si="108"/>
        <v>1513.0871687696424</v>
      </c>
      <c r="AR191" s="41">
        <f t="shared" si="109"/>
        <v>0.80612530616833467</v>
      </c>
      <c r="AS191" s="41">
        <f t="shared" si="110"/>
        <v>0.31512530616833456</v>
      </c>
      <c r="AT191" s="64">
        <f t="shared" si="111"/>
        <v>8.6137402243958032</v>
      </c>
      <c r="AU191" s="64">
        <f>APPLICANTS_PER_YEAR*($H191/Segments!$AH$2)*AS191</f>
        <v>9.4537591850500373</v>
      </c>
      <c r="AV191" s="64">
        <f t="shared" si="112"/>
        <v>18.067499409445841</v>
      </c>
      <c r="AW191" s="40">
        <f t="shared" si="113"/>
        <v>1513.0871687696424</v>
      </c>
      <c r="AX191" s="65">
        <f t="shared" si="114"/>
        <v>27337.701528185593</v>
      </c>
      <c r="AY191" s="65">
        <f t="shared" si="115"/>
        <v>15935.598787950979</v>
      </c>
      <c r="AZ191" s="65">
        <f t="shared" si="116"/>
        <v>6265.1722168260521</v>
      </c>
    </row>
    <row r="192" spans="1:52" ht="15" customHeight="1" x14ac:dyDescent="0.35">
      <c r="A192" s="61" t="str">
        <f>Segments!$A$172</f>
        <v>Non-greek</v>
      </c>
      <c r="B192" s="61" t="str">
        <f>Segments!$B$172</f>
        <v>Off 6+mi</v>
      </c>
      <c r="C192" s="61" t="str">
        <f>Segments!$C$172</f>
        <v>Yes</v>
      </c>
      <c r="D192" s="61" t="str">
        <f>Segments!$D$172</f>
        <v>1.0-2.0</v>
      </c>
      <c r="E192" s="61" t="str">
        <f>Segments!$E$172</f>
        <v>Junior</v>
      </c>
      <c r="F192" s="61">
        <f>Segments!$F$172</f>
        <v>2</v>
      </c>
      <c r="G192" s="61" t="str">
        <f>Segments!$G$172</f>
        <v>Base</v>
      </c>
      <c r="H192" s="62">
        <f>Segments!$H$172</f>
        <v>25</v>
      </c>
      <c r="I192" s="63">
        <f>Segments!$Y$172</f>
        <v>887.36118190668515</v>
      </c>
      <c r="J192" s="42">
        <v>2</v>
      </c>
      <c r="K192" s="40">
        <f t="shared" si="78"/>
        <v>1426.2297754450396</v>
      </c>
      <c r="L192" s="40">
        <f t="shared" si="79"/>
        <v>887.36118190668515</v>
      </c>
      <c r="M192" s="40">
        <f t="shared" si="80"/>
        <v>1484.585126815382</v>
      </c>
      <c r="N192" s="40">
        <f t="shared" si="81"/>
        <v>1455.1149480528841</v>
      </c>
      <c r="O192" s="40">
        <f t="shared" si="82"/>
        <v>1426.2297754450396</v>
      </c>
      <c r="P192" s="41">
        <f t="shared" si="83"/>
        <v>0.85992539202710283</v>
      </c>
      <c r="Q192" s="41">
        <f t="shared" si="84"/>
        <v>0.35992539202710278</v>
      </c>
      <c r="R192" s="64">
        <f t="shared" si="85"/>
        <v>21.498134800677569</v>
      </c>
      <c r="S192" s="64">
        <f>APPLICANTS_PER_YEAR*($H192/Segments!$AH$2)*Q192</f>
        <v>10.797761760813083</v>
      </c>
      <c r="T192" s="64">
        <f t="shared" si="86"/>
        <v>32.29589656149065</v>
      </c>
      <c r="U192" s="40">
        <f t="shared" si="87"/>
        <v>1426.2297754450396</v>
      </c>
      <c r="V192" s="65">
        <f t="shared" si="88"/>
        <v>46061.36930069104</v>
      </c>
      <c r="W192" s="65">
        <f t="shared" si="89"/>
        <v>32097.09993676524</v>
      </c>
      <c r="X192" s="65">
        <f t="shared" si="90"/>
        <v>10160.463899680919</v>
      </c>
      <c r="Y192" s="40">
        <f t="shared" si="91"/>
        <v>1426.2297754450394</v>
      </c>
      <c r="Z192" s="40">
        <f t="shared" si="92"/>
        <v>913.98201736388569</v>
      </c>
      <c r="AA192" s="40">
        <f t="shared" si="93"/>
        <v>1527.8726806198433</v>
      </c>
      <c r="AB192" s="40">
        <f t="shared" si="94"/>
        <v>1498.1556779903487</v>
      </c>
      <c r="AC192" s="40">
        <f t="shared" si="95"/>
        <v>1469.0166687083909</v>
      </c>
      <c r="AD192" s="41">
        <f t="shared" si="96"/>
        <v>0.85072496039965784</v>
      </c>
      <c r="AE192" s="41">
        <f t="shared" si="97"/>
        <v>0.35972496039965801</v>
      </c>
      <c r="AF192" s="64">
        <f t="shared" si="98"/>
        <v>27.484365706689786</v>
      </c>
      <c r="AG192" s="64">
        <f>APPLICANTS_PER_YEAR*($H192/Segments!$AH$2)*AE192</f>
        <v>10.79174881198974</v>
      </c>
      <c r="AH192" s="64">
        <f t="shared" si="99"/>
        <v>38.276114518679528</v>
      </c>
      <c r="AI192" s="40">
        <f t="shared" si="100"/>
        <v>1469.0166687083906</v>
      </c>
      <c r="AJ192" s="65">
        <f t="shared" si="101"/>
        <v>56228.250241331465</v>
      </c>
      <c r="AK192" s="65">
        <f t="shared" si="102"/>
        <v>39181.722008389894</v>
      </c>
      <c r="AL192" s="65">
        <f t="shared" si="103"/>
        <v>12217.319367411423</v>
      </c>
      <c r="AM192" s="40">
        <f t="shared" si="104"/>
        <v>1469.0166687083909</v>
      </c>
      <c r="AN192" s="40">
        <f t="shared" si="105"/>
        <v>941.40147788480226</v>
      </c>
      <c r="AO192" s="40">
        <f t="shared" si="106"/>
        <v>1572.4588610384385</v>
      </c>
      <c r="AP192" s="40">
        <f t="shared" si="107"/>
        <v>1542.4873827864487</v>
      </c>
      <c r="AQ192" s="40">
        <f t="shared" si="108"/>
        <v>1513.0871687696424</v>
      </c>
      <c r="AR192" s="41">
        <f t="shared" si="109"/>
        <v>0.85053013111967768</v>
      </c>
      <c r="AS192" s="41">
        <f t="shared" si="110"/>
        <v>0.35953013111967758</v>
      </c>
      <c r="AT192" s="64">
        <f t="shared" si="111"/>
        <v>15.381595602897747</v>
      </c>
      <c r="AU192" s="64">
        <f>APPLICANTS_PER_YEAR*($H192/Segments!$AH$2)*AS192</f>
        <v>10.785903933590328</v>
      </c>
      <c r="AV192" s="64">
        <f t="shared" si="112"/>
        <v>26.167499536488073</v>
      </c>
      <c r="AW192" s="40">
        <f t="shared" si="113"/>
        <v>1513.0871687696426</v>
      </c>
      <c r="AX192" s="65">
        <f t="shared" si="114"/>
        <v>39593.707787445674</v>
      </c>
      <c r="AY192" s="65">
        <f t="shared" si="115"/>
        <v>27590.217464543726</v>
      </c>
      <c r="AZ192" s="65">
        <f t="shared" si="116"/>
        <v>8847.4088104891653</v>
      </c>
    </row>
    <row r="193" spans="1:52" ht="15" customHeight="1" x14ac:dyDescent="0.35">
      <c r="A193" s="61" t="str">
        <f>Segments!$A$173</f>
        <v>Non-greek</v>
      </c>
      <c r="B193" s="61" t="str">
        <f>Segments!$B$173</f>
        <v>Off 6+mi</v>
      </c>
      <c r="C193" s="61" t="str">
        <f>Segments!$C$173</f>
        <v>Yes</v>
      </c>
      <c r="D193" s="61" t="str">
        <f>Segments!$D$173</f>
        <v>1.0-2.0</v>
      </c>
      <c r="E193" s="61" t="str">
        <f>Segments!$E$173</f>
        <v>Senior</v>
      </c>
      <c r="F193" s="61">
        <f>Segments!$F$173</f>
        <v>3</v>
      </c>
      <c r="G193" s="61" t="str">
        <f>Segments!$G$173</f>
        <v>Base</v>
      </c>
      <c r="H193" s="62">
        <f>Segments!$H$173</f>
        <v>25</v>
      </c>
      <c r="I193" s="63">
        <f>Segments!$Y$173</f>
        <v>829.4053660691485</v>
      </c>
      <c r="J193" s="42">
        <v>3</v>
      </c>
      <c r="K193" s="40">
        <f t="shared" si="78"/>
        <v>1426.2297754450396</v>
      </c>
      <c r="L193" s="40">
        <f t="shared" si="79"/>
        <v>829.4053660691485</v>
      </c>
      <c r="M193" s="40">
        <f t="shared" si="80"/>
        <v>1390.3444520483456</v>
      </c>
      <c r="N193" s="40">
        <f t="shared" si="81"/>
        <v>1408.1728074480664</v>
      </c>
      <c r="O193" s="40">
        <f t="shared" si="82"/>
        <v>1426.2297754450396</v>
      </c>
      <c r="P193" s="41">
        <f t="shared" si="83"/>
        <v>0.84358851133132706</v>
      </c>
      <c r="Q193" s="41">
        <f t="shared" si="84"/>
        <v>0.34358851133132706</v>
      </c>
      <c r="R193" s="64">
        <f t="shared" si="85"/>
        <v>21.089712783283176</v>
      </c>
      <c r="S193" s="64">
        <f>APPLICANTS_PER_YEAR*($H193/Segments!$AH$2)*Q193</f>
        <v>10.307655339939812</v>
      </c>
      <c r="T193" s="64">
        <f t="shared" si="86"/>
        <v>31.397368123222989</v>
      </c>
      <c r="U193" s="40">
        <f t="shared" si="87"/>
        <v>1426.2297754450396</v>
      </c>
      <c r="V193" s="65">
        <f t="shared" si="88"/>
        <v>44779.86128794957</v>
      </c>
      <c r="W193" s="65">
        <f t="shared" si="89"/>
        <v>29166.083074071528</v>
      </c>
      <c r="X193" s="65">
        <f t="shared" si="90"/>
        <v>9863.5705030150766</v>
      </c>
      <c r="Y193" s="40">
        <f t="shared" si="91"/>
        <v>1426.2297754450396</v>
      </c>
      <c r="Z193" s="40">
        <f t="shared" si="92"/>
        <v>854.28752705122292</v>
      </c>
      <c r="AA193" s="40">
        <f t="shared" si="93"/>
        <v>1430.8047856097958</v>
      </c>
      <c r="AB193" s="40">
        <f t="shared" si="94"/>
        <v>1449.7848391152822</v>
      </c>
      <c r="AC193" s="40">
        <f t="shared" si="95"/>
        <v>1469.0166687083909</v>
      </c>
      <c r="AD193" s="41">
        <f t="shared" si="96"/>
        <v>0.83436735042530696</v>
      </c>
      <c r="AE193" s="41">
        <f t="shared" si="97"/>
        <v>0.34336735042530697</v>
      </c>
      <c r="AF193" s="64">
        <f t="shared" si="98"/>
        <v>26.946641643620737</v>
      </c>
      <c r="AG193" s="64">
        <f>APPLICANTS_PER_YEAR*($H193/Segments!$AH$2)*AE193</f>
        <v>10.301020512759209</v>
      </c>
      <c r="AH193" s="64">
        <f t="shared" si="99"/>
        <v>37.247662156379945</v>
      </c>
      <c r="AI193" s="40">
        <f t="shared" si="100"/>
        <v>1469.0166687083911</v>
      </c>
      <c r="AJ193" s="65">
        <f t="shared" si="101"/>
        <v>54717.436578140871</v>
      </c>
      <c r="AK193" s="65">
        <f t="shared" si="102"/>
        <v>35638.638775054838</v>
      </c>
      <c r="AL193" s="65">
        <f t="shared" si="103"/>
        <v>11873.707248543464</v>
      </c>
      <c r="AM193" s="40">
        <f t="shared" si="104"/>
        <v>1469.0166687083906</v>
      </c>
      <c r="AN193" s="40">
        <f t="shared" si="105"/>
        <v>879.91615286275965</v>
      </c>
      <c r="AO193" s="40">
        <f t="shared" si="106"/>
        <v>1472.4789291780899</v>
      </c>
      <c r="AP193" s="40">
        <f t="shared" si="107"/>
        <v>1492.6449591322885</v>
      </c>
      <c r="AQ193" s="40">
        <f t="shared" si="108"/>
        <v>1513.0871687696424</v>
      </c>
      <c r="AR193" s="41">
        <f t="shared" si="109"/>
        <v>0.83415235364167328</v>
      </c>
      <c r="AS193" s="41">
        <f t="shared" si="110"/>
        <v>0.34315235364167329</v>
      </c>
      <c r="AT193" s="64">
        <f t="shared" si="111"/>
        <v>31.92811101401475</v>
      </c>
      <c r="AU193" s="64">
        <f>APPLICANTS_PER_YEAR*($H193/Segments!$AH$2)*AS193</f>
        <v>10.294570609250199</v>
      </c>
      <c r="AV193" s="64">
        <f t="shared" si="112"/>
        <v>42.222681623264947</v>
      </c>
      <c r="AW193" s="40">
        <f t="shared" si="113"/>
        <v>1513.0871687696424</v>
      </c>
      <c r="AX193" s="65">
        <f t="shared" si="114"/>
        <v>63886.59779520797</v>
      </c>
      <c r="AY193" s="65">
        <f t="shared" si="115"/>
        <v>41610.709926791526</v>
      </c>
      <c r="AZ193" s="65">
        <f t="shared" si="116"/>
        <v>13721.565275380595</v>
      </c>
    </row>
    <row r="194" spans="1:52" ht="15" customHeight="1" x14ac:dyDescent="0.35">
      <c r="A194" s="61" t="str">
        <f>Segments!$A$174</f>
        <v>Non-greek</v>
      </c>
      <c r="B194" s="61" t="str">
        <f>Segments!$B$174</f>
        <v>Off 6+mi</v>
      </c>
      <c r="C194" s="61" t="str">
        <f>Segments!$C$174</f>
        <v>Yes</v>
      </c>
      <c r="D194" s="61" t="str">
        <f>Segments!$D$174</f>
        <v>1.0-2.0</v>
      </c>
      <c r="E194" s="61" t="str">
        <f>Segments!$E$174</f>
        <v>Grad student</v>
      </c>
      <c r="F194" s="61">
        <f>Segments!$F$174</f>
        <v>3</v>
      </c>
      <c r="G194" s="61" t="str">
        <f>Segments!$G$174</f>
        <v>Grad</v>
      </c>
      <c r="H194" s="62">
        <f>Segments!$H$174</f>
        <v>9</v>
      </c>
      <c r="I194" s="63">
        <f>Segments!$Y$174</f>
        <v>987.55673540758175</v>
      </c>
      <c r="J194" s="42">
        <v>4</v>
      </c>
      <c r="K194" s="40">
        <f t="shared" si="78"/>
        <v>1426.2297754450396</v>
      </c>
      <c r="L194" s="40">
        <f t="shared" si="79"/>
        <v>987.55673540758175</v>
      </c>
      <c r="M194" s="40">
        <f t="shared" si="80"/>
        <v>1647.5109080182667</v>
      </c>
      <c r="N194" s="40">
        <f t="shared" si="81"/>
        <v>1532.8826153316977</v>
      </c>
      <c r="O194" s="40">
        <f t="shared" si="82"/>
        <v>1426.2297754450396</v>
      </c>
      <c r="P194" s="41">
        <f t="shared" si="83"/>
        <v>0.88478832587046452</v>
      </c>
      <c r="Q194" s="41">
        <f t="shared" si="84"/>
        <v>0.38478832587046452</v>
      </c>
      <c r="R194" s="64">
        <f t="shared" si="85"/>
        <v>3.9815474664170902</v>
      </c>
      <c r="S194" s="64">
        <f>APPLICANTS_PER_YEAR*($H194/Segments!$AH$2)*Q194</f>
        <v>4.1557139194010162</v>
      </c>
      <c r="T194" s="64">
        <f t="shared" si="86"/>
        <v>8.1372613858181069</v>
      </c>
      <c r="U194" s="40">
        <f t="shared" si="87"/>
        <v>1426.2297754450396</v>
      </c>
      <c r="V194" s="65">
        <f t="shared" si="88"/>
        <v>11605.604479032951</v>
      </c>
      <c r="W194" s="65">
        <f t="shared" si="89"/>
        <v>9000.3281640571095</v>
      </c>
      <c r="X194" s="65">
        <f t="shared" si="90"/>
        <v>2667.5424247914548</v>
      </c>
      <c r="Y194" s="40">
        <f t="shared" si="91"/>
        <v>1426.2297754450396</v>
      </c>
      <c r="Z194" s="40">
        <f t="shared" si="92"/>
        <v>1017.1834374698092</v>
      </c>
      <c r="AA194" s="40">
        <f t="shared" si="93"/>
        <v>1695.6862352588148</v>
      </c>
      <c r="AB194" s="40">
        <f t="shared" si="94"/>
        <v>1578.2874720704642</v>
      </c>
      <c r="AC194" s="40">
        <f t="shared" si="95"/>
        <v>1469.0166687083909</v>
      </c>
      <c r="AD194" s="41">
        <f t="shared" si="96"/>
        <v>0.87561688865170018</v>
      </c>
      <c r="AE194" s="41">
        <f t="shared" si="97"/>
        <v>0.38461688865170018</v>
      </c>
      <c r="AF194" s="64">
        <f t="shared" si="98"/>
        <v>3.5625617483978362</v>
      </c>
      <c r="AG194" s="64">
        <f>APPLICANTS_PER_YEAR*($H194/Segments!$AH$2)*AE194</f>
        <v>4.1538623974383615</v>
      </c>
      <c r="AH194" s="64">
        <f t="shared" si="99"/>
        <v>7.7164241458361982</v>
      </c>
      <c r="AI194" s="40">
        <f t="shared" si="100"/>
        <v>1469.0166687083909</v>
      </c>
      <c r="AJ194" s="65">
        <f t="shared" si="101"/>
        <v>11335.555693057282</v>
      </c>
      <c r="AK194" s="65">
        <f t="shared" si="102"/>
        <v>8790.9010981531046</v>
      </c>
      <c r="AL194" s="65">
        <f t="shared" si="103"/>
        <v>2614.1683273880381</v>
      </c>
      <c r="AM194" s="40">
        <f t="shared" si="104"/>
        <v>1469.0166687083909</v>
      </c>
      <c r="AN194" s="40">
        <f t="shared" si="105"/>
        <v>1047.6989405939034</v>
      </c>
      <c r="AO194" s="40">
        <f t="shared" si="106"/>
        <v>1745.3068223165792</v>
      </c>
      <c r="AP194" s="40">
        <f t="shared" si="107"/>
        <v>1625.0542632211807</v>
      </c>
      <c r="AQ194" s="40">
        <f t="shared" si="108"/>
        <v>1513.0871687696424</v>
      </c>
      <c r="AR194" s="41">
        <f t="shared" si="109"/>
        <v>0.87545026328831554</v>
      </c>
      <c r="AS194" s="41">
        <f t="shared" si="110"/>
        <v>0.38445026328831544</v>
      </c>
      <c r="AT194" s="64">
        <f t="shared" si="111"/>
        <v>3.3776727750583073</v>
      </c>
      <c r="AU194" s="64">
        <f>APPLICANTS_PER_YEAR*($H194/Segments!$AH$2)*AS194</f>
        <v>4.1520628435138063</v>
      </c>
      <c r="AV194" s="64">
        <f t="shared" si="112"/>
        <v>7.5297356185721132</v>
      </c>
      <c r="AW194" s="40">
        <f t="shared" si="113"/>
        <v>1513.0871687696426</v>
      </c>
      <c r="AX194" s="65">
        <f t="shared" si="114"/>
        <v>11393.146348689212</v>
      </c>
      <c r="AY194" s="65">
        <f t="shared" si="115"/>
        <v>8835.5635541938063</v>
      </c>
      <c r="AZ194" s="65">
        <f t="shared" si="116"/>
        <v>2627.5860987971564</v>
      </c>
    </row>
    <row r="195" spans="1:52" ht="15" customHeight="1" x14ac:dyDescent="0.35">
      <c r="A195" s="59" t="str">
        <f>Segments!$A$175</f>
        <v>Non-greek</v>
      </c>
      <c r="B195" s="59" t="str">
        <f>Segments!$B$175</f>
        <v>Off 6+mi</v>
      </c>
      <c r="C195" s="59" t="str">
        <f>Segments!$C$175</f>
        <v>Yes</v>
      </c>
      <c r="D195" s="59" t="str">
        <f>Segments!$D$175</f>
        <v>2.0-3.0</v>
      </c>
      <c r="E195" s="59" t="str">
        <f>Segments!$E$175</f>
        <v>Freshman</v>
      </c>
      <c r="F195" s="59">
        <f>Segments!$F$175</f>
        <v>1</v>
      </c>
      <c r="G195" s="59" t="str">
        <f>Segments!$G$175</f>
        <v>Base</v>
      </c>
      <c r="H195" s="60">
        <f>Segments!$H$175</f>
        <v>51</v>
      </c>
      <c r="I195" s="26">
        <f>Segments!$Y$175</f>
        <v>736.93790433561014</v>
      </c>
      <c r="J195" s="29">
        <v>0</v>
      </c>
      <c r="K195" s="14">
        <f t="shared" si="78"/>
        <v>1239.9851505385257</v>
      </c>
      <c r="L195" s="14">
        <f t="shared" si="79"/>
        <v>736.93790433561014</v>
      </c>
      <c r="M195" s="14">
        <f t="shared" si="80"/>
        <v>1239.9851505385257</v>
      </c>
      <c r="N195" s="14">
        <f t="shared" si="81"/>
        <v>1329.8510227870433</v>
      </c>
      <c r="O195" s="14">
        <f t="shared" si="82"/>
        <v>1426.2297754450396</v>
      </c>
      <c r="P195" s="33">
        <f t="shared" si="83"/>
        <v>0.76870360419039474</v>
      </c>
      <c r="Q195" s="33">
        <f t="shared" si="84"/>
        <v>0.31376332724247191</v>
      </c>
      <c r="R195" s="51">
        <f t="shared" si="85"/>
        <v>0</v>
      </c>
      <c r="S195" s="51">
        <f>APPLICANTS_PER_YEAR*($H195/Segments!$AH$2)*Q195</f>
        <v>19.202315627239283</v>
      </c>
      <c r="T195" s="51">
        <f t="shared" si="86"/>
        <v>19.202315627239283</v>
      </c>
      <c r="U195" s="14">
        <f t="shared" si="87"/>
        <v>1426.2297754450396</v>
      </c>
      <c r="V195" s="44">
        <f t="shared" si="88"/>
        <v>27386.914305062259</v>
      </c>
      <c r="W195" s="44">
        <f t="shared" si="89"/>
        <v>15849.023945136096</v>
      </c>
      <c r="X195" s="44">
        <f t="shared" si="90"/>
        <v>6998.7730075597146</v>
      </c>
      <c r="Y195" s="14">
        <f t="shared" si="91"/>
        <v>1275.9347050546814</v>
      </c>
      <c r="Z195" s="14">
        <f t="shared" si="92"/>
        <v>759.04604146567851</v>
      </c>
      <c r="AA195" s="14">
        <f t="shared" si="93"/>
        <v>1275.9347050546814</v>
      </c>
      <c r="AB195" s="14">
        <f t="shared" si="94"/>
        <v>1369.0760935422293</v>
      </c>
      <c r="AC195" s="14">
        <f t="shared" si="95"/>
        <v>1469.0166687083909</v>
      </c>
      <c r="AD195" s="33">
        <f t="shared" si="96"/>
        <v>0.76810295391611849</v>
      </c>
      <c r="AE195" s="33">
        <f t="shared" si="97"/>
        <v>0.31350072299210774</v>
      </c>
      <c r="AF195" s="51">
        <f t="shared" si="98"/>
        <v>0</v>
      </c>
      <c r="AG195" s="51">
        <f>APPLICANTS_PER_YEAR*($H195/Segments!$AH$2)*AE195</f>
        <v>19.186244247116996</v>
      </c>
      <c r="AH195" s="51">
        <f t="shared" si="99"/>
        <v>19.186244247116996</v>
      </c>
      <c r="AI195" s="14">
        <f t="shared" si="100"/>
        <v>1469.0166687083909</v>
      </c>
      <c r="AJ195" s="44">
        <f t="shared" si="101"/>
        <v>28184.912608925337</v>
      </c>
      <c r="AK195" s="44">
        <f t="shared" si="102"/>
        <v>16310.831875931941</v>
      </c>
      <c r="AL195" s="44">
        <f t="shared" si="103"/>
        <v>7176.8014155195397</v>
      </c>
      <c r="AM195" s="14">
        <f t="shared" si="104"/>
        <v>1312.9627462063218</v>
      </c>
      <c r="AN195" s="14">
        <f t="shared" si="105"/>
        <v>781.81742270964878</v>
      </c>
      <c r="AO195" s="14">
        <f t="shared" si="106"/>
        <v>1312.9627462063218</v>
      </c>
      <c r="AP195" s="14">
        <f t="shared" si="107"/>
        <v>1409.4775927120438</v>
      </c>
      <c r="AQ195" s="14">
        <f t="shared" si="108"/>
        <v>1513.0871687696424</v>
      </c>
      <c r="AR195" s="33">
        <f t="shared" si="109"/>
        <v>0.7675187945470926</v>
      </c>
      <c r="AS195" s="33">
        <f t="shared" si="110"/>
        <v>0.31324539794270922</v>
      </c>
      <c r="AT195" s="51">
        <f t="shared" si="111"/>
        <v>0</v>
      </c>
      <c r="AU195" s="51">
        <f>APPLICANTS_PER_YEAR*($H195/Segments!$AH$2)*AS195</f>
        <v>19.170618354093804</v>
      </c>
      <c r="AV195" s="51">
        <f t="shared" si="112"/>
        <v>19.170618354093804</v>
      </c>
      <c r="AW195" s="14">
        <f t="shared" si="113"/>
        <v>1513.0871687696426</v>
      </c>
      <c r="AX195" s="44">
        <f t="shared" si="114"/>
        <v>29006.816648959139</v>
      </c>
      <c r="AY195" s="44">
        <f t="shared" si="115"/>
        <v>16786.474245349658</v>
      </c>
      <c r="AZ195" s="44">
        <f t="shared" si="116"/>
        <v>7360.2047553010689</v>
      </c>
    </row>
    <row r="196" spans="1:52" ht="15" customHeight="1" x14ac:dyDescent="0.35">
      <c r="A196" s="59" t="str">
        <f>Segments!$A$176</f>
        <v>Non-greek</v>
      </c>
      <c r="B196" s="59" t="str">
        <f>Segments!$B$176</f>
        <v>Off 6+mi</v>
      </c>
      <c r="C196" s="59" t="str">
        <f>Segments!$C$176</f>
        <v>Yes</v>
      </c>
      <c r="D196" s="59" t="str">
        <f>Segments!$D$176</f>
        <v>2.0-3.0</v>
      </c>
      <c r="E196" s="59" t="str">
        <f>Segments!$E$176</f>
        <v>Sophomore</v>
      </c>
      <c r="F196" s="59">
        <f>Segments!$F$176</f>
        <v>1</v>
      </c>
      <c r="G196" s="59" t="str">
        <f>Segments!$G$176</f>
        <v>Sophomore</v>
      </c>
      <c r="H196" s="60">
        <f>Segments!$H$176</f>
        <v>44</v>
      </c>
      <c r="I196" s="26">
        <f>Segments!$Y$176</f>
        <v>729.44047704009006</v>
      </c>
      <c r="J196" s="29">
        <v>1</v>
      </c>
      <c r="K196" s="14">
        <f t="shared" si="78"/>
        <v>1426.2297754450396</v>
      </c>
      <c r="L196" s="14">
        <f t="shared" si="79"/>
        <v>729.44047704009006</v>
      </c>
      <c r="M196" s="14">
        <f t="shared" si="80"/>
        <v>1227.7937492591914</v>
      </c>
      <c r="N196" s="14">
        <f t="shared" si="81"/>
        <v>1323.2973979037215</v>
      </c>
      <c r="O196" s="14">
        <f t="shared" si="82"/>
        <v>1426.2297754450396</v>
      </c>
      <c r="P196" s="33">
        <f t="shared" si="83"/>
        <v>0.81110761734120507</v>
      </c>
      <c r="Q196" s="33">
        <f t="shared" si="84"/>
        <v>0.31110761734120507</v>
      </c>
      <c r="R196" s="51">
        <f t="shared" si="85"/>
        <v>41.366488484401458</v>
      </c>
      <c r="S196" s="51">
        <f>APPLICANTS_PER_YEAR*($H196/Segments!$AH$2)*Q196</f>
        <v>16.42648219561563</v>
      </c>
      <c r="T196" s="51">
        <f t="shared" si="86"/>
        <v>57.792970680017092</v>
      </c>
      <c r="U196" s="14">
        <f t="shared" si="87"/>
        <v>1426.2297754450394</v>
      </c>
      <c r="V196" s="44">
        <f t="shared" si="88"/>
        <v>82426.055595262529</v>
      </c>
      <c r="W196" s="44">
        <f t="shared" si="89"/>
        <v>47215.315954683079</v>
      </c>
      <c r="X196" s="44">
        <f t="shared" si="90"/>
        <v>17965.023806457521</v>
      </c>
      <c r="Y196" s="14">
        <f t="shared" si="91"/>
        <v>1426.2297754450396</v>
      </c>
      <c r="Z196" s="14">
        <f t="shared" si="92"/>
        <v>751.32369135129284</v>
      </c>
      <c r="AA196" s="14">
        <f t="shared" si="93"/>
        <v>1263.3775617369672</v>
      </c>
      <c r="AB196" s="14">
        <f t="shared" si="94"/>
        <v>1362.3225378242</v>
      </c>
      <c r="AC196" s="14">
        <f t="shared" si="95"/>
        <v>1469.0166687083909</v>
      </c>
      <c r="AD196" s="33">
        <f t="shared" si="96"/>
        <v>0.8018410901523384</v>
      </c>
      <c r="AE196" s="33">
        <f t="shared" si="97"/>
        <v>0.31084109015233841</v>
      </c>
      <c r="AF196" s="51">
        <f t="shared" si="98"/>
        <v>15.397205695994831</v>
      </c>
      <c r="AG196" s="51">
        <f>APPLICANTS_PER_YEAR*($H196/Segments!$AH$2)*AE196</f>
        <v>16.412409560043468</v>
      </c>
      <c r="AH196" s="51">
        <f t="shared" si="99"/>
        <v>31.809615256038299</v>
      </c>
      <c r="AI196" s="14">
        <f t="shared" si="100"/>
        <v>1469.0166687083911</v>
      </c>
      <c r="AJ196" s="44">
        <f t="shared" si="101"/>
        <v>46728.855036320994</v>
      </c>
      <c r="AK196" s="44">
        <f t="shared" si="102"/>
        <v>26767.235661186831</v>
      </c>
      <c r="AL196" s="44">
        <f t="shared" si="103"/>
        <v>10722.109758594568</v>
      </c>
      <c r="AM196" s="14">
        <f t="shared" si="104"/>
        <v>1469.0166687083909</v>
      </c>
      <c r="AN196" s="14">
        <f t="shared" si="105"/>
        <v>773.86340209183152</v>
      </c>
      <c r="AO196" s="14">
        <f t="shared" si="106"/>
        <v>1300.0288885890759</v>
      </c>
      <c r="AP196" s="14">
        <f t="shared" si="107"/>
        <v>1402.5181033961703</v>
      </c>
      <c r="AQ196" s="14">
        <f t="shared" si="108"/>
        <v>1513.0871687696424</v>
      </c>
      <c r="AR196" s="33">
        <f t="shared" si="109"/>
        <v>0.80158194717567954</v>
      </c>
      <c r="AS196" s="33">
        <f t="shared" si="110"/>
        <v>0.31058194717567944</v>
      </c>
      <c r="AT196" s="51">
        <f t="shared" si="111"/>
        <v>15.379347022592221</v>
      </c>
      <c r="AU196" s="51">
        <f>APPLICANTS_PER_YEAR*($H196/Segments!$AH$2)*AS196</f>
        <v>16.398726810875875</v>
      </c>
      <c r="AV196" s="51">
        <f t="shared" si="112"/>
        <v>31.778073833468095</v>
      </c>
      <c r="AW196" s="14">
        <f t="shared" si="113"/>
        <v>1513.0871687696424</v>
      </c>
      <c r="AX196" s="44">
        <f t="shared" si="114"/>
        <v>48082.9957656349</v>
      </c>
      <c r="AY196" s="44">
        <f t="shared" si="115"/>
        <v>27542.914928136197</v>
      </c>
      <c r="AZ196" s="44">
        <f t="shared" si="116"/>
        <v>11001.66045590558</v>
      </c>
    </row>
    <row r="197" spans="1:52" ht="15" customHeight="1" x14ac:dyDescent="0.35">
      <c r="A197" s="59" t="str">
        <f>Segments!$A$177</f>
        <v>Non-greek</v>
      </c>
      <c r="B197" s="59" t="str">
        <f>Segments!$B$177</f>
        <v>Off 6+mi</v>
      </c>
      <c r="C197" s="59" t="str">
        <f>Segments!$C$177</f>
        <v>Yes</v>
      </c>
      <c r="D197" s="59" t="str">
        <f>Segments!$D$177</f>
        <v>2.0-3.0</v>
      </c>
      <c r="E197" s="59" t="str">
        <f>Segments!$E$177</f>
        <v>Junior</v>
      </c>
      <c r="F197" s="59">
        <f>Segments!$F$177</f>
        <v>2</v>
      </c>
      <c r="G197" s="59" t="str">
        <f>Segments!$G$177</f>
        <v>Base</v>
      </c>
      <c r="H197" s="60">
        <f>Segments!$H$177</f>
        <v>44</v>
      </c>
      <c r="I197" s="26">
        <f>Segments!$Y$177</f>
        <v>871.99183735976112</v>
      </c>
      <c r="J197" s="29">
        <v>2</v>
      </c>
      <c r="K197" s="14">
        <f t="shared" si="78"/>
        <v>1426.2297754450396</v>
      </c>
      <c r="L197" s="14">
        <f t="shared" si="79"/>
        <v>871.99183735976112</v>
      </c>
      <c r="M197" s="14">
        <f t="shared" si="80"/>
        <v>1459.5933743933397</v>
      </c>
      <c r="N197" s="14">
        <f t="shared" si="81"/>
        <v>1442.8151408278472</v>
      </c>
      <c r="O197" s="14">
        <f t="shared" si="82"/>
        <v>1426.2297754450396</v>
      </c>
      <c r="P197" s="33">
        <f t="shared" si="83"/>
        <v>0.85574757115914768</v>
      </c>
      <c r="Q197" s="33">
        <f t="shared" si="84"/>
        <v>0.35574757115914768</v>
      </c>
      <c r="R197" s="51">
        <f t="shared" si="85"/>
        <v>37.6528931310025</v>
      </c>
      <c r="S197" s="51">
        <f>APPLICANTS_PER_YEAR*($H197/Segments!$AH$2)*Q197</f>
        <v>18.783471757202999</v>
      </c>
      <c r="T197" s="51">
        <f t="shared" si="86"/>
        <v>56.436364888205503</v>
      </c>
      <c r="U197" s="14">
        <f t="shared" si="87"/>
        <v>1426.2297754450394</v>
      </c>
      <c r="V197" s="44">
        <f t="shared" si="88"/>
        <v>80491.224021439644</v>
      </c>
      <c r="W197" s="44">
        <f t="shared" si="89"/>
        <v>55117.495454304895</v>
      </c>
      <c r="X197" s="44">
        <f t="shared" si="90"/>
        <v>17748.789566468666</v>
      </c>
      <c r="Y197" s="14">
        <f t="shared" si="91"/>
        <v>1426.2297754450394</v>
      </c>
      <c r="Z197" s="14">
        <f t="shared" si="92"/>
        <v>898.15159248055397</v>
      </c>
      <c r="AA197" s="14">
        <f t="shared" si="93"/>
        <v>1502.1311756251398</v>
      </c>
      <c r="AB197" s="14">
        <f t="shared" si="94"/>
        <v>1485.4816510411231</v>
      </c>
      <c r="AC197" s="14">
        <f t="shared" si="95"/>
        <v>1469.0166687083909</v>
      </c>
      <c r="AD197" s="33">
        <f t="shared" si="96"/>
        <v>0.84654196759050915</v>
      </c>
      <c r="AE197" s="33">
        <f t="shared" si="97"/>
        <v>0.35554196759050927</v>
      </c>
      <c r="AF197" s="51">
        <f t="shared" si="98"/>
        <v>48.924175112362278</v>
      </c>
      <c r="AG197" s="51">
        <f>APPLICANTS_PER_YEAR*($H197/Segments!$AH$2)*AE197</f>
        <v>18.772615888778891</v>
      </c>
      <c r="AH197" s="51">
        <f t="shared" si="99"/>
        <v>67.696791001141165</v>
      </c>
      <c r="AI197" s="14">
        <f t="shared" si="100"/>
        <v>1469.0166687083911</v>
      </c>
      <c r="AJ197" s="44">
        <f t="shared" si="101"/>
        <v>99447.714398744574</v>
      </c>
      <c r="AK197" s="44">
        <f t="shared" si="102"/>
        <v>68098.218320717962</v>
      </c>
      <c r="AL197" s="44">
        <f t="shared" si="103"/>
        <v>21584.074236560686</v>
      </c>
      <c r="AM197" s="14">
        <f t="shared" si="104"/>
        <v>1469.0166687083911</v>
      </c>
      <c r="AN197" s="14">
        <f t="shared" si="105"/>
        <v>925.09614025497058</v>
      </c>
      <c r="AO197" s="14">
        <f t="shared" si="106"/>
        <v>1545.945110893894</v>
      </c>
      <c r="AP197" s="14">
        <f t="shared" si="107"/>
        <v>1529.4279031440853</v>
      </c>
      <c r="AQ197" s="14">
        <f t="shared" si="108"/>
        <v>1513.0871687696424</v>
      </c>
      <c r="AR197" s="33">
        <f t="shared" si="109"/>
        <v>0.84634210679066701</v>
      </c>
      <c r="AS197" s="33">
        <f t="shared" si="110"/>
        <v>0.35534210679066691</v>
      </c>
      <c r="AT197" s="51">
        <f t="shared" si="111"/>
        <v>26.921816791995997</v>
      </c>
      <c r="AU197" s="51">
        <f>APPLICANTS_PER_YEAR*($H197/Segments!$AH$2)*AS197</f>
        <v>18.762063238547213</v>
      </c>
      <c r="AV197" s="51">
        <f t="shared" si="112"/>
        <v>45.683880030543207</v>
      </c>
      <c r="AW197" s="14">
        <f t="shared" si="113"/>
        <v>1513.0871687696424</v>
      </c>
      <c r="AX197" s="44">
        <f t="shared" si="114"/>
        <v>69123.692693826626</v>
      </c>
      <c r="AY197" s="44">
        <f t="shared" si="115"/>
        <v>47333.418818701844</v>
      </c>
      <c r="AZ197" s="44">
        <f t="shared" si="116"/>
        <v>15440.709400813943</v>
      </c>
    </row>
    <row r="198" spans="1:52" ht="15" customHeight="1" x14ac:dyDescent="0.35">
      <c r="A198" s="59" t="str">
        <f>Segments!$A$178</f>
        <v>Non-greek</v>
      </c>
      <c r="B198" s="59" t="str">
        <f>Segments!$B$178</f>
        <v>Off 6+mi</v>
      </c>
      <c r="C198" s="59" t="str">
        <f>Segments!$C$178</f>
        <v>Yes</v>
      </c>
      <c r="D198" s="59" t="str">
        <f>Segments!$D$178</f>
        <v>2.0-3.0</v>
      </c>
      <c r="E198" s="59" t="str">
        <f>Segments!$E$178</f>
        <v>Senior</v>
      </c>
      <c r="F198" s="59">
        <f>Segments!$F$178</f>
        <v>3</v>
      </c>
      <c r="G198" s="59" t="str">
        <f>Segments!$G$178</f>
        <v>Base</v>
      </c>
      <c r="H198" s="60">
        <f>Segments!$H$178</f>
        <v>63</v>
      </c>
      <c r="I198" s="26">
        <f>Segments!$Y$178</f>
        <v>815.03983250727481</v>
      </c>
      <c r="J198" s="29">
        <v>3</v>
      </c>
      <c r="K198" s="14">
        <f t="shared" si="78"/>
        <v>1426.2297754450396</v>
      </c>
      <c r="L198" s="14">
        <f t="shared" si="79"/>
        <v>815.03983250727481</v>
      </c>
      <c r="M198" s="14">
        <f t="shared" si="80"/>
        <v>1366.9849745447495</v>
      </c>
      <c r="N198" s="14">
        <f t="shared" si="81"/>
        <v>1396.2931903012711</v>
      </c>
      <c r="O198" s="14">
        <f t="shared" si="82"/>
        <v>1426.2297754450396</v>
      </c>
      <c r="P198" s="33">
        <f t="shared" si="83"/>
        <v>0.839279978821171</v>
      </c>
      <c r="Q198" s="33">
        <f t="shared" si="84"/>
        <v>0.339279978821171</v>
      </c>
      <c r="R198" s="51">
        <f t="shared" si="85"/>
        <v>36.928319068131522</v>
      </c>
      <c r="S198" s="51">
        <f>APPLICANTS_PER_YEAR*($H198/Segments!$AH$2)*Q198</f>
        <v>25.649566398880527</v>
      </c>
      <c r="T198" s="51">
        <f t="shared" si="86"/>
        <v>62.577885467012052</v>
      </c>
      <c r="U198" s="14">
        <f t="shared" si="87"/>
        <v>1426.2297754450396</v>
      </c>
      <c r="V198" s="44">
        <f t="shared" si="88"/>
        <v>89250.443537442014</v>
      </c>
      <c r="W198" s="44">
        <f t="shared" si="89"/>
        <v>57123.885604456082</v>
      </c>
      <c r="X198" s="44">
        <f t="shared" si="90"/>
        <v>20041.506834275628</v>
      </c>
      <c r="Y198" s="14">
        <f t="shared" si="91"/>
        <v>1426.2297754450394</v>
      </c>
      <c r="Z198" s="14">
        <f t="shared" si="92"/>
        <v>839.49102748249311</v>
      </c>
      <c r="AA198" s="14">
        <f t="shared" si="93"/>
        <v>1406.7445237810923</v>
      </c>
      <c r="AB198" s="14">
        <f t="shared" si="94"/>
        <v>1437.5434442300073</v>
      </c>
      <c r="AC198" s="14">
        <f t="shared" si="95"/>
        <v>1469.0166687083909</v>
      </c>
      <c r="AD198" s="33">
        <f t="shared" si="96"/>
        <v>0.83005312232311623</v>
      </c>
      <c r="AE198" s="33">
        <f t="shared" si="97"/>
        <v>0.33905312232311635</v>
      </c>
      <c r="AF198" s="51">
        <f t="shared" si="98"/>
        <v>46.845180888021666</v>
      </c>
      <c r="AG198" s="51">
        <f>APPLICANTS_PER_YEAR*($H198/Segments!$AH$2)*AE198</f>
        <v>25.632416047627594</v>
      </c>
      <c r="AH198" s="51">
        <f t="shared" si="99"/>
        <v>72.47759693564926</v>
      </c>
      <c r="AI198" s="14">
        <f t="shared" si="100"/>
        <v>1469.0166687083909</v>
      </c>
      <c r="AJ198" s="44">
        <f t="shared" si="101"/>
        <v>106470.79800639696</v>
      </c>
      <c r="AK198" s="44">
        <f t="shared" si="102"/>
        <v>68145.607399486616</v>
      </c>
      <c r="AL198" s="44">
        <f t="shared" si="103"/>
        <v>23531.248788275869</v>
      </c>
      <c r="AM198" s="14">
        <f t="shared" si="104"/>
        <v>1469.0166687083911</v>
      </c>
      <c r="AN198" s="14">
        <f t="shared" si="105"/>
        <v>864.67575830696785</v>
      </c>
      <c r="AO198" s="14">
        <f t="shared" si="106"/>
        <v>1447.6968594945249</v>
      </c>
      <c r="AP198" s="14">
        <f t="shared" si="107"/>
        <v>1480.030926152989</v>
      </c>
      <c r="AQ198" s="14">
        <f t="shared" si="108"/>
        <v>1513.0871687696424</v>
      </c>
      <c r="AR198" s="33">
        <f t="shared" si="109"/>
        <v>0.82983258382222613</v>
      </c>
      <c r="AS198" s="33">
        <f t="shared" si="110"/>
        <v>0.33883258382222603</v>
      </c>
      <c r="AT198" s="51">
        <f t="shared" si="111"/>
        <v>56.1770029929502</v>
      </c>
      <c r="AU198" s="51">
        <f>APPLICANTS_PER_YEAR*($H198/Segments!$AH$2)*AS198</f>
        <v>25.615743336960286</v>
      </c>
      <c r="AV198" s="51">
        <f t="shared" si="112"/>
        <v>81.792746329910486</v>
      </c>
      <c r="AW198" s="14">
        <f t="shared" si="113"/>
        <v>1513.0871687696424</v>
      </c>
      <c r="AX198" s="44">
        <f t="shared" si="114"/>
        <v>123759.55497021783</v>
      </c>
      <c r="AY198" s="44">
        <f t="shared" si="115"/>
        <v>79211.109551643793</v>
      </c>
      <c r="AZ198" s="44">
        <f t="shared" si="116"/>
        <v>27023.364239051174</v>
      </c>
    </row>
    <row r="199" spans="1:52" ht="15" customHeight="1" x14ac:dyDescent="0.35">
      <c r="A199" s="59" t="str">
        <f>Segments!$A$179</f>
        <v>Non-greek</v>
      </c>
      <c r="B199" s="59" t="str">
        <f>Segments!$B$179</f>
        <v>Off 6+mi</v>
      </c>
      <c r="C199" s="59" t="str">
        <f>Segments!$C$179</f>
        <v>Yes</v>
      </c>
      <c r="D199" s="59" t="str">
        <f>Segments!$D$179</f>
        <v>2.0-3.0</v>
      </c>
      <c r="E199" s="59" t="str">
        <f>Segments!$E$179</f>
        <v>Grad student</v>
      </c>
      <c r="F199" s="59">
        <f>Segments!$F$179</f>
        <v>3</v>
      </c>
      <c r="G199" s="59" t="str">
        <f>Segments!$G$179</f>
        <v>Grad</v>
      </c>
      <c r="H199" s="60">
        <f>Segments!$H$179</f>
        <v>22</v>
      </c>
      <c r="I199" s="26">
        <f>Segments!$Y$179</f>
        <v>970.45197577238866</v>
      </c>
      <c r="J199" s="29">
        <v>4</v>
      </c>
      <c r="K199" s="14">
        <f t="shared" si="78"/>
        <v>1426.2297754450396</v>
      </c>
      <c r="L199" s="14">
        <f t="shared" si="79"/>
        <v>970.45197577238866</v>
      </c>
      <c r="M199" s="14">
        <f t="shared" si="80"/>
        <v>1619.6972353703436</v>
      </c>
      <c r="N199" s="14">
        <f t="shared" si="81"/>
        <v>1519.8882933594814</v>
      </c>
      <c r="O199" s="14">
        <f t="shared" si="82"/>
        <v>1426.2297754450396</v>
      </c>
      <c r="P199" s="33">
        <f t="shared" si="83"/>
        <v>0.8808109873349389</v>
      </c>
      <c r="Q199" s="33">
        <f t="shared" si="84"/>
        <v>0.3808109873349389</v>
      </c>
      <c r="R199" s="51">
        <f t="shared" si="85"/>
        <v>9.6889208606843287</v>
      </c>
      <c r="S199" s="51">
        <f>APPLICANTS_PER_YEAR*($H199/Segments!$AH$2)*Q199</f>
        <v>10.053410065642387</v>
      </c>
      <c r="T199" s="51">
        <f t="shared" si="86"/>
        <v>19.742330926326716</v>
      </c>
      <c r="U199" s="14">
        <f t="shared" si="87"/>
        <v>1426.2297754450396</v>
      </c>
      <c r="V199" s="44">
        <f t="shared" si="88"/>
        <v>28157.100203816612</v>
      </c>
      <c r="W199" s="44">
        <f t="shared" si="89"/>
        <v>21458.062140262824</v>
      </c>
      <c r="X199" s="44">
        <f t="shared" si="90"/>
        <v>6469.7203560021653</v>
      </c>
      <c r="Y199" s="14">
        <f t="shared" si="91"/>
        <v>1426.2297754450396</v>
      </c>
      <c r="Z199" s="14">
        <f t="shared" si="92"/>
        <v>999.5655350455603</v>
      </c>
      <c r="AA199" s="14">
        <f t="shared" si="93"/>
        <v>1667.0381524314539</v>
      </c>
      <c r="AB199" s="14">
        <f t="shared" si="94"/>
        <v>1564.8983459939641</v>
      </c>
      <c r="AC199" s="14">
        <f t="shared" si="95"/>
        <v>1469.0166687083909</v>
      </c>
      <c r="AD199" s="33">
        <f t="shared" si="96"/>
        <v>0.87163511362607793</v>
      </c>
      <c r="AE199" s="33">
        <f t="shared" si="97"/>
        <v>0.38063511362607799</v>
      </c>
      <c r="AF199" s="51">
        <f t="shared" si="98"/>
        <v>8.6040544301062098</v>
      </c>
      <c r="AG199" s="51">
        <f>APPLICANTS_PER_YEAR*($H199/Segments!$AH$2)*AE199</f>
        <v>10.048766999728461</v>
      </c>
      <c r="AH199" s="51">
        <f t="shared" si="99"/>
        <v>18.65282142983467</v>
      </c>
      <c r="AI199" s="14">
        <f t="shared" si="100"/>
        <v>1469.0166687083909</v>
      </c>
      <c r="AJ199" s="44">
        <f t="shared" si="101"/>
        <v>27401.30559886821</v>
      </c>
      <c r="AK199" s="44">
        <f t="shared" si="102"/>
        <v>20882.083524536625</v>
      </c>
      <c r="AL199" s="44">
        <f t="shared" si="103"/>
        <v>6319.7855795658743</v>
      </c>
      <c r="AM199" s="14">
        <f t="shared" si="104"/>
        <v>1469.0166687083909</v>
      </c>
      <c r="AN199" s="14">
        <f t="shared" si="105"/>
        <v>1029.552501096927</v>
      </c>
      <c r="AO199" s="14">
        <f t="shared" si="106"/>
        <v>1715.7992970043974</v>
      </c>
      <c r="AP199" s="14">
        <f t="shared" si="107"/>
        <v>1611.2584834474346</v>
      </c>
      <c r="AQ199" s="14">
        <f t="shared" si="108"/>
        <v>1513.0871687696424</v>
      </c>
      <c r="AR199" s="33">
        <f t="shared" si="109"/>
        <v>0.87146417309398616</v>
      </c>
      <c r="AS199" s="33">
        <f t="shared" si="110"/>
        <v>0.38046417309398606</v>
      </c>
      <c r="AT199" s="51">
        <f t="shared" si="111"/>
        <v>8.1276328016103285</v>
      </c>
      <c r="AU199" s="51">
        <f>APPLICANTS_PER_YEAR*($H199/Segments!$AH$2)*AS199</f>
        <v>10.044254169681233</v>
      </c>
      <c r="AV199" s="51">
        <f t="shared" si="112"/>
        <v>18.171886971291563</v>
      </c>
      <c r="AW199" s="14">
        <f t="shared" si="113"/>
        <v>1513.0871687696424</v>
      </c>
      <c r="AX199" s="44">
        <f t="shared" si="114"/>
        <v>27495.649008593504</v>
      </c>
      <c r="AY199" s="44">
        <f t="shared" si="115"/>
        <v>20953.981082657163</v>
      </c>
      <c r="AZ199" s="44">
        <f t="shared" si="116"/>
        <v>6343.1458799322318</v>
      </c>
    </row>
    <row r="200" spans="1:52" ht="15" customHeight="1" x14ac:dyDescent="0.35">
      <c r="A200" s="61" t="str">
        <f>Segments!$A$180</f>
        <v>Non-greek</v>
      </c>
      <c r="B200" s="61" t="str">
        <f>Segments!$B$180</f>
        <v>Off 6+mi</v>
      </c>
      <c r="C200" s="61" t="str">
        <f>Segments!$C$180</f>
        <v>Yes</v>
      </c>
      <c r="D200" s="61" t="str">
        <f>Segments!$D$180</f>
        <v>3.0+</v>
      </c>
      <c r="E200" s="61" t="str">
        <f>Segments!$E$180</f>
        <v>Freshman</v>
      </c>
      <c r="F200" s="61">
        <f>Segments!$F$180</f>
        <v>1</v>
      </c>
      <c r="G200" s="61" t="str">
        <f>Segments!$G$180</f>
        <v>Base</v>
      </c>
      <c r="H200" s="62">
        <f>Segments!$H$180</f>
        <v>23</v>
      </c>
      <c r="I200" s="63">
        <f>Segments!$Y$180</f>
        <v>645.96116441028778</v>
      </c>
      <c r="J200" s="42">
        <v>0</v>
      </c>
      <c r="K200" s="40">
        <f t="shared" si="78"/>
        <v>1092.0498789050175</v>
      </c>
      <c r="L200" s="40">
        <f t="shared" si="79"/>
        <v>645.96116441028778</v>
      </c>
      <c r="M200" s="40">
        <f t="shared" si="80"/>
        <v>1092.0498789050175</v>
      </c>
      <c r="N200" s="40">
        <f t="shared" si="81"/>
        <v>1248.0040278642878</v>
      </c>
      <c r="O200" s="40">
        <f t="shared" si="82"/>
        <v>1426.2297754450396</v>
      </c>
      <c r="P200" s="41">
        <f t="shared" si="83"/>
        <v>0.68679221353849562</v>
      </c>
      <c r="Q200" s="41">
        <f t="shared" si="84"/>
        <v>0.27859568414785085</v>
      </c>
      <c r="R200" s="64">
        <f t="shared" si="85"/>
        <v>0</v>
      </c>
      <c r="S200" s="64">
        <f>APPLICANTS_PER_YEAR*($H200/Segments!$AH$2)*Q200</f>
        <v>7.689240882480683</v>
      </c>
      <c r="T200" s="64">
        <f t="shared" si="86"/>
        <v>7.689240882480683</v>
      </c>
      <c r="U200" s="40">
        <f t="shared" si="87"/>
        <v>1426.2297754450396</v>
      </c>
      <c r="V200" s="65">
        <f t="shared" si="88"/>
        <v>10966.624297163244</v>
      </c>
      <c r="W200" s="65">
        <f t="shared" si="89"/>
        <v>5562.9851131438199</v>
      </c>
      <c r="X200" s="65">
        <f t="shared" si="90"/>
        <v>2802.5396822761973</v>
      </c>
      <c r="Y200" s="40">
        <f t="shared" si="91"/>
        <v>1123.5613752721681</v>
      </c>
      <c r="Z200" s="40">
        <f t="shared" si="92"/>
        <v>665.33999934259646</v>
      </c>
      <c r="AA200" s="40">
        <f t="shared" si="93"/>
        <v>1123.5613752721681</v>
      </c>
      <c r="AB200" s="40">
        <f t="shared" si="94"/>
        <v>1284.7296947575153</v>
      </c>
      <c r="AC200" s="40">
        <f t="shared" si="95"/>
        <v>1469.0166687083909</v>
      </c>
      <c r="AD200" s="41">
        <f t="shared" si="96"/>
        <v>0.68603855398739089</v>
      </c>
      <c r="AE200" s="41">
        <f t="shared" si="97"/>
        <v>0.27827791919853673</v>
      </c>
      <c r="AF200" s="64">
        <f t="shared" si="98"/>
        <v>0</v>
      </c>
      <c r="AG200" s="64">
        <f>APPLICANTS_PER_YEAR*($H200/Segments!$AH$2)*AE200</f>
        <v>7.6804705698796134</v>
      </c>
      <c r="AH200" s="64">
        <f t="shared" si="99"/>
        <v>7.6804705698796134</v>
      </c>
      <c r="AI200" s="40">
        <f t="shared" si="100"/>
        <v>1469.0166687083911</v>
      </c>
      <c r="AJ200" s="65">
        <f t="shared" si="101"/>
        <v>11282.739290677388</v>
      </c>
      <c r="AK200" s="65">
        <f t="shared" si="102"/>
        <v>5723.3391979842781</v>
      </c>
      <c r="AL200" s="65">
        <f t="shared" si="103"/>
        <v>2872.9547767563176</v>
      </c>
      <c r="AM200" s="40">
        <f t="shared" si="104"/>
        <v>1156.0182165303331</v>
      </c>
      <c r="AN200" s="40">
        <f t="shared" si="105"/>
        <v>685.30019932287428</v>
      </c>
      <c r="AO200" s="40">
        <f t="shared" si="106"/>
        <v>1156.0182165303331</v>
      </c>
      <c r="AP200" s="40">
        <f t="shared" si="107"/>
        <v>1322.556739915537</v>
      </c>
      <c r="AQ200" s="40">
        <f t="shared" si="108"/>
        <v>1513.0871687696424</v>
      </c>
      <c r="AR200" s="41">
        <f t="shared" si="109"/>
        <v>0.6853054089962094</v>
      </c>
      <c r="AS200" s="41">
        <f t="shared" si="110"/>
        <v>0.27796890178553957</v>
      </c>
      <c r="AT200" s="64">
        <f t="shared" si="111"/>
        <v>0</v>
      </c>
      <c r="AU200" s="64">
        <f>APPLICANTS_PER_YEAR*($H200/Segments!$AH$2)*AS200</f>
        <v>7.6719416892808914</v>
      </c>
      <c r="AV200" s="64">
        <f t="shared" si="112"/>
        <v>7.6719416892808914</v>
      </c>
      <c r="AW200" s="40">
        <f t="shared" si="113"/>
        <v>1513.0871687696424</v>
      </c>
      <c r="AX200" s="65">
        <f t="shared" si="114"/>
        <v>11608.316529599811</v>
      </c>
      <c r="AY200" s="65">
        <f t="shared" si="115"/>
        <v>5888.4931491205834</v>
      </c>
      <c r="AZ200" s="65">
        <f t="shared" si="116"/>
        <v>2945.5002786479977</v>
      </c>
    </row>
    <row r="201" spans="1:52" ht="15" customHeight="1" x14ac:dyDescent="0.35">
      <c r="A201" s="61" t="str">
        <f>Segments!$A$181</f>
        <v>Non-greek</v>
      </c>
      <c r="B201" s="61" t="str">
        <f>Segments!$B$181</f>
        <v>Off 6+mi</v>
      </c>
      <c r="C201" s="61" t="str">
        <f>Segments!$C$181</f>
        <v>Yes</v>
      </c>
      <c r="D201" s="61" t="str">
        <f>Segments!$D$181</f>
        <v>3.0+</v>
      </c>
      <c r="E201" s="61" t="str">
        <f>Segments!$E$181</f>
        <v>Sophomore</v>
      </c>
      <c r="F201" s="61">
        <f>Segments!$F$181</f>
        <v>1</v>
      </c>
      <c r="G201" s="61" t="str">
        <f>Segments!$G$181</f>
        <v>Sophomore</v>
      </c>
      <c r="H201" s="62">
        <f>Segments!$H$181</f>
        <v>32</v>
      </c>
      <c r="I201" s="63">
        <f>Segments!$Y$181</f>
        <v>639.38931237580459</v>
      </c>
      <c r="J201" s="42">
        <v>1</v>
      </c>
      <c r="K201" s="40">
        <f t="shared" si="78"/>
        <v>1426.2297754450396</v>
      </c>
      <c r="L201" s="40">
        <f t="shared" si="79"/>
        <v>639.38931237580459</v>
      </c>
      <c r="M201" s="40">
        <f t="shared" si="80"/>
        <v>1081.3635351576538</v>
      </c>
      <c r="N201" s="40">
        <f t="shared" si="81"/>
        <v>1241.8827931501246</v>
      </c>
      <c r="O201" s="40">
        <f t="shared" si="82"/>
        <v>1426.2297754450396</v>
      </c>
      <c r="P201" s="41">
        <f t="shared" si="83"/>
        <v>0.77577923483934186</v>
      </c>
      <c r="Q201" s="41">
        <f t="shared" si="84"/>
        <v>0.27577923483934186</v>
      </c>
      <c r="R201" s="64">
        <f t="shared" si="85"/>
        <v>17.842922401304861</v>
      </c>
      <c r="S201" s="64">
        <f>APPLICANTS_PER_YEAR*($H201/Segments!$AH$2)*Q201</f>
        <v>10.589922617830727</v>
      </c>
      <c r="T201" s="64">
        <f t="shared" si="86"/>
        <v>28.432845019135588</v>
      </c>
      <c r="U201" s="40">
        <f t="shared" si="87"/>
        <v>1426.2297754450396</v>
      </c>
      <c r="V201" s="65">
        <f t="shared" si="88"/>
        <v>40551.770166905364</v>
      </c>
      <c r="W201" s="65">
        <f t="shared" si="89"/>
        <v>20361.216092753675</v>
      </c>
      <c r="X201" s="65">
        <f t="shared" si="90"/>
        <v>9026.3177308759114</v>
      </c>
      <c r="Y201" s="40">
        <f t="shared" si="91"/>
        <v>1426.2297754450396</v>
      </c>
      <c r="Z201" s="40">
        <f t="shared" si="92"/>
        <v>658.57099174707878</v>
      </c>
      <c r="AA201" s="40">
        <f t="shared" si="93"/>
        <v>1112.5544412123836</v>
      </c>
      <c r="AB201" s="40">
        <f t="shared" si="94"/>
        <v>1278.4212994887644</v>
      </c>
      <c r="AC201" s="40">
        <f t="shared" si="95"/>
        <v>1469.0166687083909</v>
      </c>
      <c r="AD201" s="41">
        <f t="shared" si="96"/>
        <v>0.76645674524671759</v>
      </c>
      <c r="AE201" s="41">
        <f t="shared" si="97"/>
        <v>0.27545674524671759</v>
      </c>
      <c r="AF201" s="64">
        <f t="shared" si="98"/>
        <v>5.8934705402041425</v>
      </c>
      <c r="AG201" s="64">
        <f>APPLICANTS_PER_YEAR*($H201/Segments!$AH$2)*AE201</f>
        <v>10.577539017473955</v>
      </c>
      <c r="AH201" s="64">
        <f t="shared" si="99"/>
        <v>16.471009557678098</v>
      </c>
      <c r="AI201" s="40">
        <f t="shared" si="100"/>
        <v>1469.0166687083906</v>
      </c>
      <c r="AJ201" s="65">
        <f t="shared" si="101"/>
        <v>24196.187590684342</v>
      </c>
      <c r="AK201" s="65">
        <f t="shared" si="102"/>
        <v>12149.008591412761</v>
      </c>
      <c r="AL201" s="65">
        <f t="shared" si="103"/>
        <v>5710.7884608001441</v>
      </c>
      <c r="AM201" s="40">
        <f t="shared" si="104"/>
        <v>1469.0166687083911</v>
      </c>
      <c r="AN201" s="40">
        <f t="shared" si="105"/>
        <v>678.32812149949109</v>
      </c>
      <c r="AO201" s="40">
        <f t="shared" si="106"/>
        <v>1144.681074448755</v>
      </c>
      <c r="AP201" s="40">
        <f t="shared" si="107"/>
        <v>1316.0555634477821</v>
      </c>
      <c r="AQ201" s="40">
        <f t="shared" si="108"/>
        <v>1513.0871687696424</v>
      </c>
      <c r="AR201" s="41">
        <f t="shared" si="109"/>
        <v>0.76614312814966579</v>
      </c>
      <c r="AS201" s="41">
        <f t="shared" si="110"/>
        <v>0.27514312814966568</v>
      </c>
      <c r="AT201" s="64">
        <f t="shared" si="111"/>
        <v>5.8843397480690136</v>
      </c>
      <c r="AU201" s="64">
        <f>APPLICANTS_PER_YEAR*($H201/Segments!$AH$2)*AS201</f>
        <v>10.565496120947161</v>
      </c>
      <c r="AV201" s="64">
        <f t="shared" si="112"/>
        <v>16.449835869016177</v>
      </c>
      <c r="AW201" s="40">
        <f t="shared" si="113"/>
        <v>1513.0871687696424</v>
      </c>
      <c r="AX201" s="65">
        <f t="shared" si="114"/>
        <v>24890.035581774995</v>
      </c>
      <c r="AY201" s="65">
        <f t="shared" si="115"/>
        <v>12497.392615685256</v>
      </c>
      <c r="AZ201" s="65">
        <f t="shared" si="116"/>
        <v>5856.8789267896473</v>
      </c>
    </row>
    <row r="202" spans="1:52" ht="15" customHeight="1" x14ac:dyDescent="0.35">
      <c r="A202" s="61" t="str">
        <f>Segments!$A$182</f>
        <v>Non-greek</v>
      </c>
      <c r="B202" s="61" t="str">
        <f>Segments!$B$182</f>
        <v>Off 6+mi</v>
      </c>
      <c r="C202" s="61" t="str">
        <f>Segments!$C$182</f>
        <v>Yes</v>
      </c>
      <c r="D202" s="61" t="str">
        <f>Segments!$D$182</f>
        <v>3.0+</v>
      </c>
      <c r="E202" s="61" t="str">
        <f>Segments!$E$182</f>
        <v>Junior</v>
      </c>
      <c r="F202" s="61">
        <f>Segments!$F$182</f>
        <v>2</v>
      </c>
      <c r="G202" s="61" t="str">
        <f>Segments!$G$182</f>
        <v>Base</v>
      </c>
      <c r="H202" s="62">
        <f>Segments!$H$182</f>
        <v>19</v>
      </c>
      <c r="I202" s="63">
        <f>Segments!$Y$182</f>
        <v>764.34236765850562</v>
      </c>
      <c r="J202" s="42">
        <v>2</v>
      </c>
      <c r="K202" s="40">
        <f t="shared" si="78"/>
        <v>1426.2297754450396</v>
      </c>
      <c r="L202" s="40">
        <f t="shared" si="79"/>
        <v>764.34236765850562</v>
      </c>
      <c r="M202" s="40">
        <f t="shared" si="80"/>
        <v>1284.5469443439622</v>
      </c>
      <c r="N202" s="40">
        <f t="shared" si="81"/>
        <v>1353.5357771334679</v>
      </c>
      <c r="O202" s="40">
        <f t="shared" si="82"/>
        <v>1426.2297754450396</v>
      </c>
      <c r="P202" s="41">
        <f t="shared" si="83"/>
        <v>0.82314662843064113</v>
      </c>
      <c r="Q202" s="41">
        <f t="shared" si="84"/>
        <v>0.32314662843064113</v>
      </c>
      <c r="R202" s="64">
        <f t="shared" si="85"/>
        <v>26.340692109780516</v>
      </c>
      <c r="S202" s="64">
        <f>APPLICANTS_PER_YEAR*($H202/Segments!$AH$2)*Q202</f>
        <v>7.3677431282186179</v>
      </c>
      <c r="T202" s="64">
        <f t="shared" si="86"/>
        <v>33.708435237999133</v>
      </c>
      <c r="U202" s="40">
        <f t="shared" si="87"/>
        <v>1426.2297754450396</v>
      </c>
      <c r="V202" s="65">
        <f t="shared" si="88"/>
        <v>48075.974020095164</v>
      </c>
      <c r="W202" s="65">
        <f t="shared" si="89"/>
        <v>28856.559423860741</v>
      </c>
      <c r="X202" s="65">
        <f t="shared" si="90"/>
        <v>10312.504684718795</v>
      </c>
      <c r="Y202" s="40">
        <f t="shared" si="91"/>
        <v>1426.2297754450396</v>
      </c>
      <c r="Z202" s="40">
        <f t="shared" si="92"/>
        <v>787.27263868826083</v>
      </c>
      <c r="AA202" s="40">
        <f t="shared" si="93"/>
        <v>1321.8333526742813</v>
      </c>
      <c r="AB202" s="40">
        <f t="shared" si="94"/>
        <v>1393.4831281121474</v>
      </c>
      <c r="AC202" s="40">
        <f t="shared" si="95"/>
        <v>1469.0166687083909</v>
      </c>
      <c r="AD202" s="41">
        <f t="shared" si="96"/>
        <v>0.81389757619865322</v>
      </c>
      <c r="AE202" s="41">
        <f t="shared" si="97"/>
        <v>0.32289757619865322</v>
      </c>
      <c r="AF202" s="64">
        <f t="shared" si="98"/>
        <v>23.141423645506404</v>
      </c>
      <c r="AG202" s="64">
        <f>APPLICANTS_PER_YEAR*($H202/Segments!$AH$2)*AE202</f>
        <v>7.3620647373292938</v>
      </c>
      <c r="AH202" s="64">
        <f t="shared" si="99"/>
        <v>30.503488382835698</v>
      </c>
      <c r="AI202" s="40">
        <f t="shared" si="100"/>
        <v>1469.0166687083909</v>
      </c>
      <c r="AJ202" s="65">
        <f t="shared" si="101"/>
        <v>44810.132888138396</v>
      </c>
      <c r="AK202" s="65">
        <f t="shared" si="102"/>
        <v>26896.309202953984</v>
      </c>
      <c r="AL202" s="65">
        <f t="shared" si="103"/>
        <v>9641.761355481749</v>
      </c>
      <c r="AM202" s="40">
        <f t="shared" si="104"/>
        <v>1469.0166687083906</v>
      </c>
      <c r="AN202" s="40">
        <f t="shared" si="105"/>
        <v>810.89081784890857</v>
      </c>
      <c r="AO202" s="40">
        <f t="shared" si="106"/>
        <v>1360.2383532545095</v>
      </c>
      <c r="AP202" s="40">
        <f t="shared" si="107"/>
        <v>1434.6285926251946</v>
      </c>
      <c r="AQ202" s="40">
        <f t="shared" si="108"/>
        <v>1513.0871687696424</v>
      </c>
      <c r="AR202" s="41">
        <f t="shared" si="109"/>
        <v>0.8136554396908825</v>
      </c>
      <c r="AS202" s="41">
        <f t="shared" si="110"/>
        <v>0.32265543969088251</v>
      </c>
      <c r="AT202" s="64">
        <f t="shared" si="111"/>
        <v>13.401726523805301</v>
      </c>
      <c r="AU202" s="64">
        <f>APPLICANTS_PER_YEAR*($H202/Segments!$AH$2)*AS202</f>
        <v>7.3565440249521217</v>
      </c>
      <c r="AV202" s="64">
        <f t="shared" si="112"/>
        <v>20.758270548757423</v>
      </c>
      <c r="AW202" s="40">
        <f t="shared" si="113"/>
        <v>1513.0871687696422</v>
      </c>
      <c r="AX202" s="65">
        <f t="shared" si="114"/>
        <v>31409.072813173618</v>
      </c>
      <c r="AY202" s="65">
        <f t="shared" si="115"/>
        <v>18852.613900300119</v>
      </c>
      <c r="AZ202" s="65">
        <f t="shared" si="116"/>
        <v>6924.982006261308</v>
      </c>
    </row>
    <row r="203" spans="1:52" ht="15" customHeight="1" x14ac:dyDescent="0.35">
      <c r="A203" s="61" t="str">
        <f>Segments!$A$183</f>
        <v>Non-greek</v>
      </c>
      <c r="B203" s="61" t="str">
        <f>Segments!$B$183</f>
        <v>Off 6+mi</v>
      </c>
      <c r="C203" s="61" t="str">
        <f>Segments!$C$183</f>
        <v>Yes</v>
      </c>
      <c r="D203" s="61" t="str">
        <f>Segments!$D$183</f>
        <v>3.0+</v>
      </c>
      <c r="E203" s="61" t="str">
        <f>Segments!$E$183</f>
        <v>Senior</v>
      </c>
      <c r="F203" s="61">
        <f>Segments!$F$183</f>
        <v>3</v>
      </c>
      <c r="G203" s="61" t="str">
        <f>Segments!$G$183</f>
        <v>Base</v>
      </c>
      <c r="H203" s="62">
        <f>Segments!$H$183</f>
        <v>23</v>
      </c>
      <c r="I203" s="63">
        <f>Segments!$Y$183</f>
        <v>714.42122348397766</v>
      </c>
      <c r="J203" s="42">
        <v>3</v>
      </c>
      <c r="K203" s="40">
        <f t="shared" si="78"/>
        <v>1426.2297754450396</v>
      </c>
      <c r="L203" s="40">
        <f t="shared" si="79"/>
        <v>714.42122348397766</v>
      </c>
      <c r="M203" s="40">
        <f t="shared" si="80"/>
        <v>1203.3712720811805</v>
      </c>
      <c r="N203" s="40">
        <f t="shared" si="81"/>
        <v>1310.0702039041091</v>
      </c>
      <c r="O203" s="40">
        <f t="shared" si="82"/>
        <v>1426.2297754450396</v>
      </c>
      <c r="P203" s="41">
        <f t="shared" si="83"/>
        <v>0.80566666152899047</v>
      </c>
      <c r="Q203" s="41">
        <f t="shared" si="84"/>
        <v>0.30566666152899047</v>
      </c>
      <c r="R203" s="64">
        <f t="shared" si="85"/>
        <v>15.307666569050818</v>
      </c>
      <c r="S203" s="64">
        <f>APPLICANTS_PER_YEAR*($H203/Segments!$AH$2)*Q203</f>
        <v>8.4363998582001365</v>
      </c>
      <c r="T203" s="64">
        <f t="shared" si="86"/>
        <v>23.744066427250957</v>
      </c>
      <c r="U203" s="40">
        <f t="shared" si="87"/>
        <v>1426.2297754450396</v>
      </c>
      <c r="V203" s="65">
        <f t="shared" si="88"/>
        <v>33864.494528690237</v>
      </c>
      <c r="W203" s="65">
        <f t="shared" si="89"/>
        <v>18998.856785934444</v>
      </c>
      <c r="X203" s="65">
        <f t="shared" si="90"/>
        <v>7507.3093545588636</v>
      </c>
      <c r="Y203" s="40">
        <f t="shared" si="91"/>
        <v>1426.2297754450396</v>
      </c>
      <c r="Z203" s="40">
        <f t="shared" si="92"/>
        <v>735.85386018849704</v>
      </c>
      <c r="AA203" s="40">
        <f t="shared" si="93"/>
        <v>1238.222410243616</v>
      </c>
      <c r="AB203" s="40">
        <f t="shared" si="94"/>
        <v>1348.6917217126199</v>
      </c>
      <c r="AC203" s="40">
        <f t="shared" si="95"/>
        <v>1469.0166687083909</v>
      </c>
      <c r="AD203" s="41">
        <f t="shared" si="96"/>
        <v>0.79639197540154771</v>
      </c>
      <c r="AE203" s="41">
        <f t="shared" si="97"/>
        <v>0.30539197540154772</v>
      </c>
      <c r="AF203" s="64">
        <f t="shared" si="98"/>
        <v>26.845127326885269</v>
      </c>
      <c r="AG203" s="64">
        <f>APPLICANTS_PER_YEAR*($H203/Segments!$AH$2)*AE203</f>
        <v>8.4288185210827162</v>
      </c>
      <c r="AH203" s="64">
        <f t="shared" si="99"/>
        <v>35.273945847967987</v>
      </c>
      <c r="AI203" s="40">
        <f t="shared" si="100"/>
        <v>1469.0166687083909</v>
      </c>
      <c r="AJ203" s="65">
        <f t="shared" si="101"/>
        <v>51818.014421782107</v>
      </c>
      <c r="AK203" s="65">
        <f t="shared" si="102"/>
        <v>29071.245522264122</v>
      </c>
      <c r="AL203" s="65">
        <f t="shared" si="103"/>
        <v>11143.176727377844</v>
      </c>
      <c r="AM203" s="40">
        <f t="shared" si="104"/>
        <v>1469.0166687083909</v>
      </c>
      <c r="AN203" s="40">
        <f t="shared" si="105"/>
        <v>757.92947599415186</v>
      </c>
      <c r="AO203" s="40">
        <f t="shared" si="106"/>
        <v>1274.1190825509241</v>
      </c>
      <c r="AP203" s="40">
        <f t="shared" si="107"/>
        <v>1388.4715464467943</v>
      </c>
      <c r="AQ203" s="40">
        <f t="shared" si="108"/>
        <v>1513.0871687696424</v>
      </c>
      <c r="AR203" s="41">
        <f t="shared" si="109"/>
        <v>0.79612489159689703</v>
      </c>
      <c r="AS203" s="41">
        <f t="shared" si="110"/>
        <v>0.30512489159689693</v>
      </c>
      <c r="AT203" s="64">
        <f t="shared" si="111"/>
        <v>24.284586382112277</v>
      </c>
      <c r="AU203" s="64">
        <f>APPLICANTS_PER_YEAR*($H203/Segments!$AH$2)*AS203</f>
        <v>8.4214470080743542</v>
      </c>
      <c r="AV203" s="64">
        <f t="shared" si="112"/>
        <v>32.706033390186633</v>
      </c>
      <c r="AW203" s="40">
        <f t="shared" si="113"/>
        <v>1513.0871687696424</v>
      </c>
      <c r="AX203" s="65">
        <f t="shared" si="114"/>
        <v>49487.079464042879</v>
      </c>
      <c r="AY203" s="65">
        <f t="shared" si="115"/>
        <v>27763.530759183959</v>
      </c>
      <c r="AZ203" s="65">
        <f t="shared" si="116"/>
        <v>10663.698281073373</v>
      </c>
    </row>
    <row r="204" spans="1:52" ht="15" customHeight="1" x14ac:dyDescent="0.35">
      <c r="A204" s="61" t="str">
        <f>Segments!$A$184</f>
        <v>Non-greek</v>
      </c>
      <c r="B204" s="61" t="str">
        <f>Segments!$B$184</f>
        <v>Off 6+mi</v>
      </c>
      <c r="C204" s="61" t="str">
        <f>Segments!$C$184</f>
        <v>Yes</v>
      </c>
      <c r="D204" s="61" t="str">
        <f>Segments!$D$184</f>
        <v>3.0+</v>
      </c>
      <c r="E204" s="61" t="str">
        <f>Segments!$E$184</f>
        <v>Grad student</v>
      </c>
      <c r="F204" s="61">
        <f>Segments!$F$184</f>
        <v>3</v>
      </c>
      <c r="G204" s="61" t="str">
        <f>Segments!$G$184</f>
        <v>Grad</v>
      </c>
      <c r="H204" s="62">
        <f>Segments!$H$184</f>
        <v>11</v>
      </c>
      <c r="I204" s="63">
        <f>Segments!$Y$184</f>
        <v>850.64736741877607</v>
      </c>
      <c r="J204" s="42">
        <v>4</v>
      </c>
      <c r="K204" s="40">
        <f t="shared" si="78"/>
        <v>1426.2297754450396</v>
      </c>
      <c r="L204" s="40">
        <f t="shared" si="79"/>
        <v>850.64736741877607</v>
      </c>
      <c r="M204" s="40">
        <f t="shared" si="80"/>
        <v>1424.8856022618611</v>
      </c>
      <c r="N204" s="40">
        <f t="shared" si="81"/>
        <v>1425.5575304240808</v>
      </c>
      <c r="O204" s="40">
        <f t="shared" si="82"/>
        <v>1426.2297754450396</v>
      </c>
      <c r="P204" s="41">
        <f t="shared" si="83"/>
        <v>0.8497642168040882</v>
      </c>
      <c r="Q204" s="41">
        <f t="shared" si="84"/>
        <v>0.3497642168040882</v>
      </c>
      <c r="R204" s="64">
        <f t="shared" si="85"/>
        <v>4.6737031924224848</v>
      </c>
      <c r="S204" s="64">
        <f>APPLICANTS_PER_YEAR*($H204/Segments!$AH$2)*Q204</f>
        <v>4.6168876618139647</v>
      </c>
      <c r="T204" s="64">
        <f t="shared" si="86"/>
        <v>9.2905908542364486</v>
      </c>
      <c r="U204" s="40">
        <f t="shared" si="87"/>
        <v>1426.2297754450399</v>
      </c>
      <c r="V204" s="65">
        <f t="shared" si="88"/>
        <v>13250.517307789391</v>
      </c>
      <c r="W204" s="65">
        <f t="shared" si="89"/>
        <v>8851.378650151737</v>
      </c>
      <c r="X204" s="65">
        <f t="shared" si="90"/>
        <v>3036.0477726630093</v>
      </c>
      <c r="Y204" s="40">
        <f t="shared" si="91"/>
        <v>1426.2297754450399</v>
      </c>
      <c r="Z204" s="40">
        <f t="shared" si="92"/>
        <v>876.16678844133935</v>
      </c>
      <c r="AA204" s="40">
        <f t="shared" si="93"/>
        <v>1466.3821703297169</v>
      </c>
      <c r="AB204" s="40">
        <f t="shared" si="94"/>
        <v>1467.698828408315</v>
      </c>
      <c r="AC204" s="40">
        <f t="shared" si="95"/>
        <v>1469.0166687083909</v>
      </c>
      <c r="AD204" s="41">
        <f t="shared" si="96"/>
        <v>0.84055105220683968</v>
      </c>
      <c r="AE204" s="41">
        <f t="shared" si="97"/>
        <v>0.34955105220683957</v>
      </c>
      <c r="AF204" s="64">
        <f t="shared" si="98"/>
        <v>3.904607959075844</v>
      </c>
      <c r="AG204" s="64">
        <f>APPLICANTS_PER_YEAR*($H204/Segments!$AH$2)*AE204</f>
        <v>4.6140738891302826</v>
      </c>
      <c r="AH204" s="64">
        <f t="shared" si="99"/>
        <v>8.5186818482061266</v>
      </c>
      <c r="AI204" s="40">
        <f t="shared" si="100"/>
        <v>1469.0166687083911</v>
      </c>
      <c r="AJ204" s="65">
        <f t="shared" si="101"/>
        <v>12514.085630438403</v>
      </c>
      <c r="AK204" s="65">
        <f t="shared" si="102"/>
        <v>8359.4404506998508</v>
      </c>
      <c r="AL204" s="65">
        <f t="shared" si="103"/>
        <v>2888.1229692276966</v>
      </c>
      <c r="AM204" s="40">
        <f t="shared" si="104"/>
        <v>1469.0166687083911</v>
      </c>
      <c r="AN204" s="40">
        <f t="shared" si="105"/>
        <v>902.45179209457945</v>
      </c>
      <c r="AO204" s="40">
        <f t="shared" si="106"/>
        <v>1509.1236354396083</v>
      </c>
      <c r="AP204" s="40">
        <f t="shared" si="107"/>
        <v>1511.104102592097</v>
      </c>
      <c r="AQ204" s="40">
        <f t="shared" si="108"/>
        <v>1513.0871687696424</v>
      </c>
      <c r="AR204" s="41">
        <f t="shared" si="109"/>
        <v>0.84034383535385038</v>
      </c>
      <c r="AS204" s="41">
        <f t="shared" si="110"/>
        <v>0.34934383535385027</v>
      </c>
      <c r="AT204" s="64">
        <f t="shared" si="111"/>
        <v>3.5793108882403817</v>
      </c>
      <c r="AU204" s="64">
        <f>APPLICANTS_PER_YEAR*($H204/Segments!$AH$2)*AS204</f>
        <v>4.6113386266708236</v>
      </c>
      <c r="AV204" s="64">
        <f t="shared" si="112"/>
        <v>8.1906495149112057</v>
      </c>
      <c r="AW204" s="40">
        <f t="shared" si="113"/>
        <v>1513.0871687696422</v>
      </c>
      <c r="AX204" s="65">
        <f t="shared" si="114"/>
        <v>12393.16668490144</v>
      </c>
      <c r="AY204" s="65">
        <f t="shared" si="115"/>
        <v>8278.6662931282408</v>
      </c>
      <c r="AZ204" s="65">
        <f t="shared" si="116"/>
        <v>2865.6124651517275</v>
      </c>
    </row>
    <row r="205" spans="1:52" ht="15" customHeight="1" x14ac:dyDescent="0.35">
      <c r="A205" s="59" t="str">
        <f>Segments!$A$185</f>
        <v>Non-greek</v>
      </c>
      <c r="B205" s="59" t="str">
        <f>Segments!$B$185</f>
        <v>Off 6+mi</v>
      </c>
      <c r="C205" s="59" t="str">
        <f>Segments!$C$185</f>
        <v>No</v>
      </c>
      <c r="D205" s="59" t="str">
        <f>Segments!$D$185</f>
        <v>&lt;1.0</v>
      </c>
      <c r="E205" s="59" t="str">
        <f>Segments!$E$185</f>
        <v>Freshman</v>
      </c>
      <c r="F205" s="59">
        <f>Segments!$F$185</f>
        <v>1</v>
      </c>
      <c r="G205" s="59" t="str">
        <f>Segments!$G$185</f>
        <v>Base</v>
      </c>
      <c r="H205" s="60">
        <f>Segments!$H$185</f>
        <v>3</v>
      </c>
      <c r="I205" s="26">
        <f>Segments!$Y$185</f>
        <v>1272.7755927641799</v>
      </c>
      <c r="J205" s="29">
        <v>0</v>
      </c>
      <c r="K205" s="14">
        <f t="shared" si="78"/>
        <v>2111.2990056427993</v>
      </c>
      <c r="L205" s="14">
        <f t="shared" si="79"/>
        <v>1272.7755927641799</v>
      </c>
      <c r="M205" s="14">
        <f t="shared" si="80"/>
        <v>2111.2990056427993</v>
      </c>
      <c r="N205" s="14">
        <f t="shared" si="81"/>
        <v>1735.2802386690355</v>
      </c>
      <c r="O205" s="14">
        <f t="shared" si="82"/>
        <v>1426.2297754450396</v>
      </c>
      <c r="P205" s="33">
        <f t="shared" si="83"/>
        <v>0.93904915077608397</v>
      </c>
      <c r="Q205" s="33">
        <f t="shared" si="84"/>
        <v>0.43904915077608397</v>
      </c>
      <c r="R205" s="51">
        <f t="shared" si="85"/>
        <v>0</v>
      </c>
      <c r="S205" s="51">
        <f>APPLICANTS_PER_YEAR*($H205/Segments!$AH$2)*Q205</f>
        <v>1.580576942793902</v>
      </c>
      <c r="T205" s="51">
        <f t="shared" si="86"/>
        <v>1.580576942793902</v>
      </c>
      <c r="U205" s="14">
        <f t="shared" si="87"/>
        <v>1426.2297754450396</v>
      </c>
      <c r="V205" s="44">
        <f t="shared" si="88"/>
        <v>2254.2658981945542</v>
      </c>
      <c r="W205" s="44">
        <f t="shared" si="89"/>
        <v>2253.1261259067728</v>
      </c>
      <c r="X205" s="44">
        <f t="shared" si="90"/>
        <v>576.08152362130568</v>
      </c>
      <c r="Y205" s="14">
        <f t="shared" si="91"/>
        <v>2173.3879758120834</v>
      </c>
      <c r="Z205" s="14">
        <f t="shared" si="92"/>
        <v>1310.9588605471054</v>
      </c>
      <c r="AA205" s="14">
        <f t="shared" si="93"/>
        <v>2173.3879758120834</v>
      </c>
      <c r="AB205" s="14">
        <f t="shared" si="94"/>
        <v>1786.8248834282388</v>
      </c>
      <c r="AC205" s="14">
        <f t="shared" si="95"/>
        <v>1469.0166687083909</v>
      </c>
      <c r="AD205" s="33">
        <f t="shared" si="96"/>
        <v>0.93893099085067999</v>
      </c>
      <c r="AE205" s="33">
        <f t="shared" si="97"/>
        <v>0.43893099085067994</v>
      </c>
      <c r="AF205" s="51">
        <f t="shared" si="98"/>
        <v>0</v>
      </c>
      <c r="AG205" s="51">
        <f>APPLICANTS_PER_YEAR*($H205/Segments!$AH$2)*AE205</f>
        <v>1.5801515670624475</v>
      </c>
      <c r="AH205" s="51">
        <f t="shared" si="99"/>
        <v>1.5801515670624475</v>
      </c>
      <c r="AI205" s="14">
        <f t="shared" si="100"/>
        <v>1469.0166687083911</v>
      </c>
      <c r="AJ205" s="44">
        <f t="shared" si="101"/>
        <v>2321.2689911004204</v>
      </c>
      <c r="AK205" s="44">
        <f t="shared" si="102"/>
        <v>2320.0953415896583</v>
      </c>
      <c r="AL205" s="44">
        <f t="shared" si="103"/>
        <v>591.07107452430444</v>
      </c>
      <c r="AM205" s="14">
        <f t="shared" si="104"/>
        <v>2237.339615086446</v>
      </c>
      <c r="AN205" s="14">
        <f t="shared" si="105"/>
        <v>1350.2876263635185</v>
      </c>
      <c r="AO205" s="14">
        <f t="shared" si="106"/>
        <v>2237.339615086446</v>
      </c>
      <c r="AP205" s="14">
        <f t="shared" si="107"/>
        <v>1839.9157219197059</v>
      </c>
      <c r="AQ205" s="14">
        <f t="shared" si="108"/>
        <v>1513.0871687696424</v>
      </c>
      <c r="AR205" s="33">
        <f t="shared" si="109"/>
        <v>0.93881617490856084</v>
      </c>
      <c r="AS205" s="33">
        <f t="shared" si="110"/>
        <v>0.4388161749085609</v>
      </c>
      <c r="AT205" s="51">
        <f t="shared" si="111"/>
        <v>0</v>
      </c>
      <c r="AU205" s="51">
        <f>APPLICANTS_PER_YEAR*($H205/Segments!$AH$2)*AS205</f>
        <v>1.5797382296708191</v>
      </c>
      <c r="AV205" s="51">
        <f t="shared" si="112"/>
        <v>1.5797382296708191</v>
      </c>
      <c r="AW205" s="14">
        <f t="shared" si="113"/>
        <v>1513.0871687696424</v>
      </c>
      <c r="AX205" s="44">
        <f t="shared" si="114"/>
        <v>2390.2816453297869</v>
      </c>
      <c r="AY205" s="44">
        <f t="shared" si="115"/>
        <v>2389.0731025480673</v>
      </c>
      <c r="AZ205" s="44">
        <f t="shared" si="116"/>
        <v>606.51130888905914</v>
      </c>
    </row>
    <row r="206" spans="1:52" ht="15" customHeight="1" x14ac:dyDescent="0.35">
      <c r="A206" s="59" t="str">
        <f>Segments!$A$186</f>
        <v>Non-greek</v>
      </c>
      <c r="B206" s="59" t="str">
        <f>Segments!$B$186</f>
        <v>Off 6+mi</v>
      </c>
      <c r="C206" s="59" t="str">
        <f>Segments!$C$186</f>
        <v>No</v>
      </c>
      <c r="D206" s="59" t="str">
        <f>Segments!$D$186</f>
        <v>&lt;1.0</v>
      </c>
      <c r="E206" s="59" t="str">
        <f>Segments!$E$186</f>
        <v>Sophomore</v>
      </c>
      <c r="F206" s="59">
        <f>Segments!$F$186</f>
        <v>1</v>
      </c>
      <c r="G206" s="59" t="str">
        <f>Segments!$G$186</f>
        <v>Sophomore</v>
      </c>
      <c r="H206" s="60">
        <f>Segments!$H$186</f>
        <v>6</v>
      </c>
      <c r="I206" s="26">
        <f>Segments!$Y$186</f>
        <v>1259.8266829386432</v>
      </c>
      <c r="J206" s="29">
        <v>1</v>
      </c>
      <c r="K206" s="14">
        <f t="shared" si="78"/>
        <v>1426.2297754450396</v>
      </c>
      <c r="L206" s="14">
        <f t="shared" si="79"/>
        <v>1259.8266829386432</v>
      </c>
      <c r="M206" s="14">
        <f t="shared" si="80"/>
        <v>2090.2430687739802</v>
      </c>
      <c r="N206" s="14">
        <f t="shared" si="81"/>
        <v>1726.6056013470663</v>
      </c>
      <c r="O206" s="14">
        <f t="shared" si="82"/>
        <v>1426.2297754450396</v>
      </c>
      <c r="P206" s="33">
        <f t="shared" si="83"/>
        <v>0.93698449306190101</v>
      </c>
      <c r="Q206" s="33">
        <f t="shared" si="84"/>
        <v>0.43698449306190101</v>
      </c>
      <c r="R206" s="51">
        <f t="shared" si="85"/>
        <v>2.8109534791857032</v>
      </c>
      <c r="S206" s="51">
        <f>APPLICANTS_PER_YEAR*($H206/Segments!$AH$2)*Q206</f>
        <v>3.1462883500456869</v>
      </c>
      <c r="T206" s="51">
        <f t="shared" si="86"/>
        <v>5.95724182923139</v>
      </c>
      <c r="U206" s="14">
        <f t="shared" si="87"/>
        <v>1426.2297754450399</v>
      </c>
      <c r="V206" s="44">
        <f t="shared" si="88"/>
        <v>8496.3956763764836</v>
      </c>
      <c r="W206" s="44">
        <f t="shared" si="89"/>
        <v>8405.7032787659882</v>
      </c>
      <c r="X206" s="44">
        <f t="shared" si="90"/>
        <v>1960.6773826149106</v>
      </c>
      <c r="Y206" s="14">
        <f t="shared" si="91"/>
        <v>1426.2297754450396</v>
      </c>
      <c r="Z206" s="14">
        <f t="shared" si="92"/>
        <v>1297.6214834268026</v>
      </c>
      <c r="AA206" s="14">
        <f t="shared" si="93"/>
        <v>2151.7003608371997</v>
      </c>
      <c r="AB206" s="14">
        <f t="shared" si="94"/>
        <v>1777.8874250457213</v>
      </c>
      <c r="AC206" s="14">
        <f t="shared" si="95"/>
        <v>1469.0166687083909</v>
      </c>
      <c r="AD206" s="33">
        <f t="shared" si="96"/>
        <v>0.92786454271124252</v>
      </c>
      <c r="AE206" s="33">
        <f t="shared" si="97"/>
        <v>0.43686454271124259</v>
      </c>
      <c r="AF206" s="51">
        <f t="shared" si="98"/>
        <v>1.4665613022453976</v>
      </c>
      <c r="AG206" s="51">
        <f>APPLICANTS_PER_YEAR*($H206/Segments!$AH$2)*AE206</f>
        <v>3.1454247075209465</v>
      </c>
      <c r="AH206" s="51">
        <f t="shared" si="99"/>
        <v>4.6119860097663441</v>
      </c>
      <c r="AI206" s="14">
        <f t="shared" si="100"/>
        <v>1469.0166687083911</v>
      </c>
      <c r="AJ206" s="44">
        <f t="shared" si="101"/>
        <v>6775.0843241966595</v>
      </c>
      <c r="AK206" s="44">
        <f t="shared" si="102"/>
        <v>6702.7655828410634</v>
      </c>
      <c r="AL206" s="44">
        <f t="shared" si="103"/>
        <v>1613.0901215495612</v>
      </c>
      <c r="AM206" s="14">
        <f t="shared" si="104"/>
        <v>1469.0166687083911</v>
      </c>
      <c r="AN206" s="14">
        <f t="shared" si="105"/>
        <v>1336.5501279296066</v>
      </c>
      <c r="AO206" s="14">
        <f t="shared" si="106"/>
        <v>2215.0013716623157</v>
      </c>
      <c r="AP206" s="14">
        <f t="shared" si="107"/>
        <v>1830.7075556378218</v>
      </c>
      <c r="AQ206" s="14">
        <f t="shared" si="108"/>
        <v>1513.0871687696424</v>
      </c>
      <c r="AR206" s="33">
        <f t="shared" si="109"/>
        <v>0.92774798601503561</v>
      </c>
      <c r="AS206" s="33">
        <f t="shared" si="110"/>
        <v>0.43674798601503551</v>
      </c>
      <c r="AT206" s="51">
        <f t="shared" si="111"/>
        <v>1.4659824339406882</v>
      </c>
      <c r="AU206" s="51">
        <f>APPLICANTS_PER_YEAR*($H206/Segments!$AH$2)*AS206</f>
        <v>3.1445854993082554</v>
      </c>
      <c r="AV206" s="51">
        <f t="shared" si="112"/>
        <v>4.6105679332489435</v>
      </c>
      <c r="AW206" s="14">
        <f t="shared" si="113"/>
        <v>1513.0871687696426</v>
      </c>
      <c r="AX206" s="44">
        <f t="shared" si="114"/>
        <v>6976.1911805397467</v>
      </c>
      <c r="AY206" s="44">
        <f t="shared" si="115"/>
        <v>6901.7257803334596</v>
      </c>
      <c r="AZ206" s="44">
        <f t="shared" si="116"/>
        <v>1655.8572482232814</v>
      </c>
    </row>
    <row r="207" spans="1:52" ht="15" customHeight="1" x14ac:dyDescent="0.35">
      <c r="A207" s="59" t="str">
        <f>Segments!$A$187</f>
        <v>Non-greek</v>
      </c>
      <c r="B207" s="59" t="str">
        <f>Segments!$B$187</f>
        <v>Off 6+mi</v>
      </c>
      <c r="C207" s="59" t="str">
        <f>Segments!$C$187</f>
        <v>No</v>
      </c>
      <c r="D207" s="59" t="str">
        <f>Segments!$D$187</f>
        <v>&lt;1.0</v>
      </c>
      <c r="E207" s="59" t="str">
        <f>Segments!$E$187</f>
        <v>Junior</v>
      </c>
      <c r="F207" s="59">
        <f>Segments!$F$187</f>
        <v>2</v>
      </c>
      <c r="G207" s="59" t="str">
        <f>Segments!$G$187</f>
        <v>Base</v>
      </c>
      <c r="H207" s="60">
        <f>Segments!$H$187</f>
        <v>4</v>
      </c>
      <c r="I207" s="26">
        <f>Segments!$Y$187</f>
        <v>1506.0290984512283</v>
      </c>
      <c r="J207" s="29">
        <v>2</v>
      </c>
      <c r="K207" s="14">
        <f t="shared" si="78"/>
        <v>1426.2297754450396</v>
      </c>
      <c r="L207" s="14">
        <f t="shared" si="79"/>
        <v>1506.0290984512283</v>
      </c>
      <c r="M207" s="14">
        <f t="shared" si="80"/>
        <v>2490.5873902519411</v>
      </c>
      <c r="N207" s="14">
        <f t="shared" si="81"/>
        <v>1884.7148045063141</v>
      </c>
      <c r="O207" s="14">
        <f t="shared" si="82"/>
        <v>1426.2297754450396</v>
      </c>
      <c r="P207" s="33">
        <f t="shared" si="83"/>
        <v>0.95</v>
      </c>
      <c r="Q207" s="33">
        <f t="shared" si="84"/>
        <v>0.47163246873347792</v>
      </c>
      <c r="R207" s="51">
        <f t="shared" si="85"/>
        <v>5.6999999999999993</v>
      </c>
      <c r="S207" s="51">
        <f>APPLICANTS_PER_YEAR*($H207/Segments!$AH$2)*Q207</f>
        <v>2.2638358499206941</v>
      </c>
      <c r="T207" s="51">
        <f t="shared" si="86"/>
        <v>7.9638358499206934</v>
      </c>
      <c r="U207" s="14">
        <f t="shared" si="87"/>
        <v>1426.2297754450396</v>
      </c>
      <c r="V207" s="44">
        <f t="shared" si="88"/>
        <v>11358.259815913547</v>
      </c>
      <c r="W207" s="44">
        <f t="shared" si="89"/>
        <v>13433.020748301991</v>
      </c>
      <c r="X207" s="44">
        <f t="shared" si="90"/>
        <v>2475.5899718097803</v>
      </c>
      <c r="Y207" s="14">
        <f t="shared" si="91"/>
        <v>1426.2297754450399</v>
      </c>
      <c r="Z207" s="14">
        <f t="shared" si="92"/>
        <v>1551.2099714047652</v>
      </c>
      <c r="AA207" s="14">
        <f t="shared" si="93"/>
        <v>2564.0550119594996</v>
      </c>
      <c r="AB207" s="14">
        <f t="shared" si="94"/>
        <v>1940.783231598469</v>
      </c>
      <c r="AC207" s="14">
        <f t="shared" si="95"/>
        <v>1469.0166687083909</v>
      </c>
      <c r="AD207" s="33">
        <f t="shared" si="96"/>
        <v>0.95</v>
      </c>
      <c r="AE207" s="33">
        <f t="shared" si="97"/>
        <v>0.47154025117517151</v>
      </c>
      <c r="AF207" s="51">
        <f t="shared" si="98"/>
        <v>5.6593797377698198</v>
      </c>
      <c r="AG207" s="51">
        <f>APPLICANTS_PER_YEAR*($H207/Segments!$AH$2)*AE207</f>
        <v>2.2633932056408232</v>
      </c>
      <c r="AH207" s="51">
        <f t="shared" si="99"/>
        <v>7.9227729434106431</v>
      </c>
      <c r="AI207" s="14">
        <f t="shared" si="100"/>
        <v>1469.0166687083909</v>
      </c>
      <c r="AJ207" s="44">
        <f t="shared" si="101"/>
        <v>11638.685516262076</v>
      </c>
      <c r="AK207" s="44">
        <f t="shared" si="102"/>
        <v>13764.670517913808</v>
      </c>
      <c r="AL207" s="44">
        <f t="shared" si="103"/>
        <v>2531.1255337252351</v>
      </c>
      <c r="AM207" s="14">
        <f t="shared" si="104"/>
        <v>1469.0166687083911</v>
      </c>
      <c r="AN207" s="14">
        <f t="shared" si="105"/>
        <v>1597.7462705469079</v>
      </c>
      <c r="AO207" s="14">
        <f t="shared" si="106"/>
        <v>2639.7266623182841</v>
      </c>
      <c r="AP207" s="14">
        <f t="shared" si="107"/>
        <v>1998.5335978694256</v>
      </c>
      <c r="AQ207" s="14">
        <f t="shared" si="108"/>
        <v>1513.0871687696424</v>
      </c>
      <c r="AR207" s="33">
        <f t="shared" si="109"/>
        <v>0.95</v>
      </c>
      <c r="AS207" s="33">
        <f t="shared" si="110"/>
        <v>0.47145065502458966</v>
      </c>
      <c r="AT207" s="51">
        <f t="shared" si="111"/>
        <v>4.3813867092780265</v>
      </c>
      <c r="AU207" s="51">
        <f>APPLICANTS_PER_YEAR*($H207/Segments!$AH$2)*AS207</f>
        <v>2.2629631441180305</v>
      </c>
      <c r="AV207" s="51">
        <f t="shared" si="112"/>
        <v>6.644349853396057</v>
      </c>
      <c r="AW207" s="14">
        <f t="shared" si="113"/>
        <v>1513.0871687696424</v>
      </c>
      <c r="AX207" s="44">
        <f t="shared" si="114"/>
        <v>10053.480507990029</v>
      </c>
      <c r="AY207" s="44">
        <f t="shared" si="115"/>
        <v>11889.903422289139</v>
      </c>
      <c r="AZ207" s="44">
        <f t="shared" si="116"/>
        <v>2209.4110090677136</v>
      </c>
    </row>
    <row r="208" spans="1:52" ht="15" customHeight="1" x14ac:dyDescent="0.35">
      <c r="A208" s="59" t="str">
        <f>Segments!$A$188</f>
        <v>Non-greek</v>
      </c>
      <c r="B208" s="59" t="str">
        <f>Segments!$B$188</f>
        <v>Off 6+mi</v>
      </c>
      <c r="C208" s="59" t="str">
        <f>Segments!$C$188</f>
        <v>No</v>
      </c>
      <c r="D208" s="59" t="str">
        <f>Segments!$D$188</f>
        <v>&lt;1.0</v>
      </c>
      <c r="E208" s="59" t="str">
        <f>Segments!$E$188</f>
        <v>Senior</v>
      </c>
      <c r="F208" s="59">
        <f>Segments!$F$188</f>
        <v>3</v>
      </c>
      <c r="G208" s="59" t="str">
        <f>Segments!$G$188</f>
        <v>Base</v>
      </c>
      <c r="H208" s="60">
        <f>Segments!$H$188</f>
        <v>4</v>
      </c>
      <c r="I208" s="26">
        <f>Segments!$Y$188</f>
        <v>1407.6665073716135</v>
      </c>
      <c r="J208" s="29">
        <v>3</v>
      </c>
      <c r="K208" s="14">
        <f t="shared" si="78"/>
        <v>1426.2297754450396</v>
      </c>
      <c r="L208" s="14">
        <f t="shared" si="79"/>
        <v>1407.6665073716135</v>
      </c>
      <c r="M208" s="14">
        <f t="shared" si="80"/>
        <v>2330.642148843172</v>
      </c>
      <c r="N208" s="14">
        <f t="shared" si="81"/>
        <v>1823.1925922917035</v>
      </c>
      <c r="O208" s="14">
        <f t="shared" si="82"/>
        <v>1426.2297754450396</v>
      </c>
      <c r="P208" s="33">
        <f t="shared" si="83"/>
        <v>0.95</v>
      </c>
      <c r="Q208" s="33">
        <f t="shared" si="84"/>
        <v>0.4588647514598807</v>
      </c>
      <c r="R208" s="51">
        <f t="shared" si="85"/>
        <v>3.8</v>
      </c>
      <c r="S208" s="51">
        <f>APPLICANTS_PER_YEAR*($H208/Segments!$AH$2)*Q208</f>
        <v>2.2025508070074271</v>
      </c>
      <c r="T208" s="51">
        <f t="shared" si="86"/>
        <v>6.0025508070074274</v>
      </c>
      <c r="U208" s="14">
        <f t="shared" si="87"/>
        <v>1426.2297754450396</v>
      </c>
      <c r="V208" s="44">
        <f t="shared" si="88"/>
        <v>8561.0166895756447</v>
      </c>
      <c r="W208" s="44">
        <f t="shared" si="89"/>
        <v>9463.5404973993027</v>
      </c>
      <c r="X208" s="44">
        <f t="shared" si="90"/>
        <v>1903.0939646460884</v>
      </c>
      <c r="Y208" s="14">
        <f t="shared" si="91"/>
        <v>1426.2297754450396</v>
      </c>
      <c r="Z208" s="14">
        <f t="shared" si="92"/>
        <v>1449.8965025927621</v>
      </c>
      <c r="AA208" s="14">
        <f t="shared" si="93"/>
        <v>2399.3114133084678</v>
      </c>
      <c r="AB208" s="14">
        <f t="shared" si="94"/>
        <v>1877.3993873367558</v>
      </c>
      <c r="AC208" s="14">
        <f t="shared" si="95"/>
        <v>1469.0166687083909</v>
      </c>
      <c r="AD208" s="33">
        <f t="shared" si="96"/>
        <v>0.94976287735655684</v>
      </c>
      <c r="AE208" s="33">
        <f t="shared" si="97"/>
        <v>0.4587628773565568</v>
      </c>
      <c r="AF208" s="51">
        <f t="shared" si="98"/>
        <v>7.5637556516159785</v>
      </c>
      <c r="AG208" s="51">
        <f>APPLICANTS_PER_YEAR*($H208/Segments!$AH$2)*AE208</f>
        <v>2.2020618113114727</v>
      </c>
      <c r="AH208" s="51">
        <f t="shared" si="99"/>
        <v>9.7658174629274512</v>
      </c>
      <c r="AI208" s="14">
        <f t="shared" si="100"/>
        <v>1469.0166687083909</v>
      </c>
      <c r="AJ208" s="44">
        <f t="shared" si="101"/>
        <v>14346.148636603913</v>
      </c>
      <c r="AK208" s="44">
        <f t="shared" si="102"/>
        <v>15858.555534592773</v>
      </c>
      <c r="AL208" s="44">
        <f t="shared" si="103"/>
        <v>3075.0102795814714</v>
      </c>
      <c r="AM208" s="14">
        <f t="shared" si="104"/>
        <v>1469.0166687083909</v>
      </c>
      <c r="AN208" s="14">
        <f t="shared" si="105"/>
        <v>1493.3933976705448</v>
      </c>
      <c r="AO208" s="14">
        <f t="shared" si="106"/>
        <v>2470.0407557077215</v>
      </c>
      <c r="AP208" s="14">
        <f t="shared" si="107"/>
        <v>1933.232260696946</v>
      </c>
      <c r="AQ208" s="14">
        <f t="shared" si="108"/>
        <v>1513.0871687696424</v>
      </c>
      <c r="AR208" s="33">
        <f t="shared" si="109"/>
        <v>0.94966389426375453</v>
      </c>
      <c r="AS208" s="33">
        <f t="shared" si="110"/>
        <v>0.45866389426375437</v>
      </c>
      <c r="AT208" s="51">
        <f t="shared" si="111"/>
        <v>7.5239714068068606</v>
      </c>
      <c r="AU208" s="51">
        <f>APPLICANTS_PER_YEAR*($H208/Segments!$AH$2)*AS208</f>
        <v>2.2015866924660208</v>
      </c>
      <c r="AV208" s="51">
        <f t="shared" si="112"/>
        <v>9.725558099272881</v>
      </c>
      <c r="AW208" s="14">
        <f t="shared" si="113"/>
        <v>1513.0871687696426</v>
      </c>
      <c r="AX208" s="44">
        <f t="shared" si="114"/>
        <v>14715.617169133469</v>
      </c>
      <c r="AY208" s="44">
        <f t="shared" si="115"/>
        <v>16266.974364609263</v>
      </c>
      <c r="AZ208" s="44">
        <f t="shared" si="116"/>
        <v>3147.3942143989852</v>
      </c>
    </row>
    <row r="209" spans="1:52" ht="15" customHeight="1" x14ac:dyDescent="0.35">
      <c r="A209" s="59" t="str">
        <f>Segments!$A$189</f>
        <v>Non-greek</v>
      </c>
      <c r="B209" s="59" t="str">
        <f>Segments!$B$189</f>
        <v>Off 6+mi</v>
      </c>
      <c r="C209" s="59" t="str">
        <f>Segments!$C$189</f>
        <v>No</v>
      </c>
      <c r="D209" s="59" t="str">
        <f>Segments!$D$189</f>
        <v>&lt;1.0</v>
      </c>
      <c r="E209" s="59" t="str">
        <f>Segments!$E$189</f>
        <v>Grad student</v>
      </c>
      <c r="F209" s="59">
        <f>Segments!$F$189</f>
        <v>3</v>
      </c>
      <c r="G209" s="59" t="str">
        <f>Segments!$G$189</f>
        <v>Grad</v>
      </c>
      <c r="H209" s="60">
        <f>Segments!$H$189</f>
        <v>2</v>
      </c>
      <c r="I209" s="26">
        <f>Segments!$Y$189</f>
        <v>1676.080958037357</v>
      </c>
      <c r="J209" s="29">
        <v>4</v>
      </c>
      <c r="K209" s="14">
        <f t="shared" si="78"/>
        <v>1426.2297754450396</v>
      </c>
      <c r="L209" s="14">
        <f t="shared" si="79"/>
        <v>1676.080958037357</v>
      </c>
      <c r="M209" s="14">
        <f t="shared" si="80"/>
        <v>2767.1049711226869</v>
      </c>
      <c r="N209" s="14">
        <f t="shared" si="81"/>
        <v>1986.5868975700919</v>
      </c>
      <c r="O209" s="14">
        <f t="shared" si="82"/>
        <v>1426.2297754450396</v>
      </c>
      <c r="P209" s="33">
        <f t="shared" si="83"/>
        <v>0.95</v>
      </c>
      <c r="Q209" s="33">
        <f t="shared" si="84"/>
        <v>0.49103513992024639</v>
      </c>
      <c r="R209" s="51">
        <f t="shared" si="85"/>
        <v>0.95</v>
      </c>
      <c r="S209" s="51">
        <f>APPLICANTS_PER_YEAR*($H209/Segments!$AH$2)*Q209</f>
        <v>1.1784843358085912</v>
      </c>
      <c r="T209" s="51">
        <f t="shared" si="86"/>
        <v>2.128484335808591</v>
      </c>
      <c r="U209" s="14">
        <f t="shared" si="87"/>
        <v>1426.2297754450399</v>
      </c>
      <c r="V209" s="44">
        <f t="shared" si="88"/>
        <v>3035.7077362985715</v>
      </c>
      <c r="W209" s="44">
        <f t="shared" si="89"/>
        <v>3995.6135124971197</v>
      </c>
      <c r="X209" s="44">
        <f t="shared" si="90"/>
        <v>704.60818800871903</v>
      </c>
      <c r="Y209" s="14">
        <f t="shared" si="91"/>
        <v>1426.2297754450399</v>
      </c>
      <c r="Z209" s="14">
        <f t="shared" si="92"/>
        <v>1726.3633867784779</v>
      </c>
      <c r="AA209" s="14">
        <f t="shared" si="93"/>
        <v>2848.868120256368</v>
      </c>
      <c r="AB209" s="14">
        <f t="shared" si="94"/>
        <v>2045.7357492131148</v>
      </c>
      <c r="AC209" s="14">
        <f t="shared" si="95"/>
        <v>1469.0166687083909</v>
      </c>
      <c r="AD209" s="33">
        <f t="shared" si="96"/>
        <v>0.95</v>
      </c>
      <c r="AE209" s="33">
        <f t="shared" si="97"/>
        <v>0.49095639691650228</v>
      </c>
      <c r="AF209" s="51">
        <f t="shared" si="98"/>
        <v>1.0110300595090806</v>
      </c>
      <c r="AG209" s="51">
        <f>APPLICANTS_PER_YEAR*($H209/Segments!$AH$2)*AE209</f>
        <v>1.1782953525996054</v>
      </c>
      <c r="AH209" s="51">
        <f t="shared" si="99"/>
        <v>2.189325412108686</v>
      </c>
      <c r="AI209" s="14">
        <f t="shared" si="100"/>
        <v>1469.0166687083909</v>
      </c>
      <c r="AJ209" s="44">
        <f t="shared" si="101"/>
        <v>3216.1555236145268</v>
      </c>
      <c r="AK209" s="44">
        <f t="shared" si="102"/>
        <v>4233.1197811931152</v>
      </c>
      <c r="AL209" s="44">
        <f t="shared" si="103"/>
        <v>741.68002899737519</v>
      </c>
      <c r="AM209" s="14">
        <f t="shared" si="104"/>
        <v>1469.0166687083909</v>
      </c>
      <c r="AN209" s="14">
        <f t="shared" si="105"/>
        <v>1778.154288381832</v>
      </c>
      <c r="AO209" s="14">
        <f t="shared" si="106"/>
        <v>2933.0841638640586</v>
      </c>
      <c r="AP209" s="14">
        <f t="shared" si="107"/>
        <v>2106.6589693787987</v>
      </c>
      <c r="AQ209" s="14">
        <f t="shared" si="108"/>
        <v>1513.0871687696424</v>
      </c>
      <c r="AR209" s="33">
        <f t="shared" si="109"/>
        <v>0.95</v>
      </c>
      <c r="AS209" s="33">
        <f t="shared" si="110"/>
        <v>0.49087989779954411</v>
      </c>
      <c r="AT209" s="51">
        <f t="shared" si="111"/>
        <v>1.0399295707516258</v>
      </c>
      <c r="AU209" s="51">
        <f>APPLICANTS_PER_YEAR*($H209/Segments!$AH$2)*AS209</f>
        <v>1.1781117547189057</v>
      </c>
      <c r="AV209" s="51">
        <f t="shared" si="112"/>
        <v>2.2180413254705318</v>
      </c>
      <c r="AW209" s="14">
        <f t="shared" si="113"/>
        <v>1513.0871687696422</v>
      </c>
      <c r="AX209" s="44">
        <f t="shared" si="114"/>
        <v>3356.0898693702716</v>
      </c>
      <c r="AY209" s="44">
        <f t="shared" si="115"/>
        <v>4417.3020580567754</v>
      </c>
      <c r="AZ209" s="44">
        <f t="shared" si="116"/>
        <v>770.50510796882998</v>
      </c>
    </row>
    <row r="210" spans="1:52" ht="15" customHeight="1" x14ac:dyDescent="0.35">
      <c r="A210" s="61" t="str">
        <f>Segments!$A$190</f>
        <v>Non-greek</v>
      </c>
      <c r="B210" s="61" t="str">
        <f>Segments!$B$190</f>
        <v>Off 6+mi</v>
      </c>
      <c r="C210" s="61" t="str">
        <f>Segments!$C$190</f>
        <v>No</v>
      </c>
      <c r="D210" s="61" t="str">
        <f>Segments!$D$190</f>
        <v>1.0-2.0</v>
      </c>
      <c r="E210" s="61" t="str">
        <f>Segments!$E$190</f>
        <v>Freshman</v>
      </c>
      <c r="F210" s="61">
        <f>Segments!$F$190</f>
        <v>1</v>
      </c>
      <c r="G210" s="61" t="str">
        <f>Segments!$G$190</f>
        <v>Base</v>
      </c>
      <c r="H210" s="62">
        <f>Segments!$H$190</f>
        <v>12</v>
      </c>
      <c r="I210" s="63">
        <f>Segments!$Y$190</f>
        <v>1154.9434063405065</v>
      </c>
      <c r="J210" s="42">
        <v>0</v>
      </c>
      <c r="K210" s="40">
        <f t="shared" si="78"/>
        <v>1919.6946843617245</v>
      </c>
      <c r="L210" s="40">
        <f t="shared" si="79"/>
        <v>1154.9434063405065</v>
      </c>
      <c r="M210" s="40">
        <f t="shared" si="80"/>
        <v>1919.6946843617245</v>
      </c>
      <c r="N210" s="40">
        <f t="shared" si="81"/>
        <v>1654.6678574868911</v>
      </c>
      <c r="O210" s="40">
        <f t="shared" si="82"/>
        <v>1426.2297754450396</v>
      </c>
      <c r="P210" s="41">
        <f t="shared" si="83"/>
        <v>0.91902837962562556</v>
      </c>
      <c r="Q210" s="41">
        <f t="shared" si="84"/>
        <v>0.41902837962562561</v>
      </c>
      <c r="R210" s="64">
        <f t="shared" si="85"/>
        <v>0</v>
      </c>
      <c r="S210" s="64">
        <f>APPLICANTS_PER_YEAR*($H210/Segments!$AH$2)*Q210</f>
        <v>6.034008666609008</v>
      </c>
      <c r="T210" s="64">
        <f t="shared" si="86"/>
        <v>6.034008666609008</v>
      </c>
      <c r="U210" s="40">
        <f t="shared" si="87"/>
        <v>1426.2297754450396</v>
      </c>
      <c r="V210" s="65">
        <f t="shared" si="88"/>
        <v>8605.8828256111883</v>
      </c>
      <c r="W210" s="65">
        <f t="shared" si="89"/>
        <v>7805.2111460977321</v>
      </c>
      <c r="X210" s="65">
        <f t="shared" si="90"/>
        <v>2199.2481429343115</v>
      </c>
      <c r="Y210" s="40">
        <f t="shared" si="91"/>
        <v>1976.0355248925762</v>
      </c>
      <c r="Z210" s="40">
        <f t="shared" si="92"/>
        <v>1189.5917085307217</v>
      </c>
      <c r="AA210" s="40">
        <f t="shared" si="93"/>
        <v>1976.0355248925762</v>
      </c>
      <c r="AB210" s="40">
        <f t="shared" si="94"/>
        <v>1703.7690935179944</v>
      </c>
      <c r="AC210" s="40">
        <f t="shared" si="95"/>
        <v>1469.0166687083909</v>
      </c>
      <c r="AD210" s="41">
        <f t="shared" si="96"/>
        <v>0.91889208922227827</v>
      </c>
      <c r="AE210" s="41">
        <f t="shared" si="97"/>
        <v>0.41889208922227822</v>
      </c>
      <c r="AF210" s="64">
        <f t="shared" si="98"/>
        <v>0</v>
      </c>
      <c r="AG210" s="64">
        <f>APPLICANTS_PER_YEAR*($H210/Segments!$AH$2)*AE210</f>
        <v>6.0320460848008057</v>
      </c>
      <c r="AH210" s="64">
        <f t="shared" si="99"/>
        <v>6.0320460848008057</v>
      </c>
      <c r="AI210" s="40">
        <f t="shared" si="100"/>
        <v>1469.0166687083906</v>
      </c>
      <c r="AJ210" s="65">
        <f t="shared" si="101"/>
        <v>8861.1762449895705</v>
      </c>
      <c r="AK210" s="65">
        <f t="shared" si="102"/>
        <v>8036.7526489087504</v>
      </c>
      <c r="AL210" s="65">
        <f t="shared" si="103"/>
        <v>2256.3455526937</v>
      </c>
      <c r="AM210" s="40">
        <f t="shared" si="104"/>
        <v>2034.0665906393533</v>
      </c>
      <c r="AN210" s="40">
        <f t="shared" si="105"/>
        <v>1225.2794597866432</v>
      </c>
      <c r="AO210" s="40">
        <f t="shared" si="106"/>
        <v>2034.0665906393533</v>
      </c>
      <c r="AP210" s="40">
        <f t="shared" si="107"/>
        <v>1754.3431986699236</v>
      </c>
      <c r="AQ210" s="40">
        <f t="shared" si="108"/>
        <v>1513.0871687696424</v>
      </c>
      <c r="AR210" s="41">
        <f t="shared" si="109"/>
        <v>0.91875964465880799</v>
      </c>
      <c r="AS210" s="41">
        <f t="shared" si="110"/>
        <v>0.41875964465880799</v>
      </c>
      <c r="AT210" s="64">
        <f t="shared" si="111"/>
        <v>0</v>
      </c>
      <c r="AU210" s="64">
        <f>APPLICANTS_PER_YEAR*($H210/Segments!$AH$2)*AS210</f>
        <v>6.0301388830868348</v>
      </c>
      <c r="AV210" s="64">
        <f t="shared" si="112"/>
        <v>6.0301388830868348</v>
      </c>
      <c r="AW210" s="40">
        <f t="shared" si="113"/>
        <v>1513.0871687696426</v>
      </c>
      <c r="AX210" s="65">
        <f t="shared" si="114"/>
        <v>9124.1257698975933</v>
      </c>
      <c r="AY210" s="65">
        <f t="shared" si="115"/>
        <v>8275.237950679917</v>
      </c>
      <c r="AZ210" s="65">
        <f t="shared" si="116"/>
        <v>2315.1604221959687</v>
      </c>
    </row>
    <row r="211" spans="1:52" ht="15" customHeight="1" x14ac:dyDescent="0.35">
      <c r="A211" s="61" t="str">
        <f>Segments!$A$191</f>
        <v>Non-greek</v>
      </c>
      <c r="B211" s="61" t="str">
        <f>Segments!$B$191</f>
        <v>Off 6+mi</v>
      </c>
      <c r="C211" s="61" t="str">
        <f>Segments!$C$191</f>
        <v>No</v>
      </c>
      <c r="D211" s="61" t="str">
        <f>Segments!$D$191</f>
        <v>1.0-2.0</v>
      </c>
      <c r="E211" s="61" t="str">
        <f>Segments!$E$191</f>
        <v>Sophomore</v>
      </c>
      <c r="F211" s="61">
        <f>Segments!$F$191</f>
        <v>1</v>
      </c>
      <c r="G211" s="61" t="str">
        <f>Segments!$G$191</f>
        <v>Sophomore</v>
      </c>
      <c r="H211" s="62">
        <f>Segments!$H$191</f>
        <v>10</v>
      </c>
      <c r="I211" s="63">
        <f>Segments!$Y$191</f>
        <v>1143.1932925676438</v>
      </c>
      <c r="J211" s="42">
        <v>1</v>
      </c>
      <c r="K211" s="40">
        <f t="shared" si="78"/>
        <v>1426.2297754450396</v>
      </c>
      <c r="L211" s="40">
        <f t="shared" si="79"/>
        <v>1143.1932925676438</v>
      </c>
      <c r="M211" s="40">
        <f t="shared" si="80"/>
        <v>1900.5880833322756</v>
      </c>
      <c r="N211" s="40">
        <f t="shared" si="81"/>
        <v>1646.4128629552522</v>
      </c>
      <c r="O211" s="40">
        <f t="shared" si="82"/>
        <v>1426.2297754450396</v>
      </c>
      <c r="P211" s="41">
        <f t="shared" si="83"/>
        <v>0.91686751921841514</v>
      </c>
      <c r="Q211" s="41">
        <f t="shared" si="84"/>
        <v>0.41686751921841514</v>
      </c>
      <c r="R211" s="64">
        <f t="shared" si="85"/>
        <v>11.002410230620981</v>
      </c>
      <c r="S211" s="64">
        <f>APPLICANTS_PER_YEAR*($H211/Segments!$AH$2)*Q211</f>
        <v>5.0024102306209812</v>
      </c>
      <c r="T211" s="64">
        <f t="shared" si="86"/>
        <v>16.004820461241962</v>
      </c>
      <c r="U211" s="40">
        <f t="shared" si="87"/>
        <v>1426.2297754450396</v>
      </c>
      <c r="V211" s="65">
        <f t="shared" si="88"/>
        <v>22826.551492475301</v>
      </c>
      <c r="W211" s="65">
        <f t="shared" si="89"/>
        <v>20492.195808046137</v>
      </c>
      <c r="X211" s="65">
        <f t="shared" si="90"/>
        <v>5009.0854217647848</v>
      </c>
      <c r="Y211" s="40">
        <f t="shared" si="91"/>
        <v>1426.2297754450396</v>
      </c>
      <c r="Z211" s="40">
        <f t="shared" si="92"/>
        <v>1177.4890913446732</v>
      </c>
      <c r="AA211" s="40">
        <f t="shared" si="93"/>
        <v>1956.3557258322439</v>
      </c>
      <c r="AB211" s="40">
        <f t="shared" si="94"/>
        <v>1695.2637467871093</v>
      </c>
      <c r="AC211" s="40">
        <f t="shared" si="95"/>
        <v>1469.0166687083909</v>
      </c>
      <c r="AD211" s="41">
        <f t="shared" si="96"/>
        <v>0.90772916780869795</v>
      </c>
      <c r="AE211" s="41">
        <f t="shared" si="97"/>
        <v>0.41672916780869801</v>
      </c>
      <c r="AF211" s="64">
        <f t="shared" si="98"/>
        <v>5.4772456654914663</v>
      </c>
      <c r="AG211" s="64">
        <f>APPLICANTS_PER_YEAR*($H211/Segments!$AH$2)*AE211</f>
        <v>5.0007500137043763</v>
      </c>
      <c r="AH211" s="64">
        <f t="shared" si="99"/>
        <v>10.477995679195843</v>
      </c>
      <c r="AI211" s="40">
        <f t="shared" si="100"/>
        <v>1469.0166687083909</v>
      </c>
      <c r="AJ211" s="65">
        <f t="shared" si="101"/>
        <v>15392.35030739319</v>
      </c>
      <c r="AK211" s="65">
        <f t="shared" si="102"/>
        <v>13818.252684778892</v>
      </c>
      <c r="AL211" s="65">
        <f t="shared" si="103"/>
        <v>3500.8493514399802</v>
      </c>
      <c r="AM211" s="40">
        <f t="shared" si="104"/>
        <v>1469.0166687083906</v>
      </c>
      <c r="AN211" s="40">
        <f t="shared" si="105"/>
        <v>1212.8137640850132</v>
      </c>
      <c r="AO211" s="40">
        <f t="shared" si="106"/>
        <v>2013.796397607211</v>
      </c>
      <c r="AP211" s="40">
        <f t="shared" si="107"/>
        <v>1745.5799866330963</v>
      </c>
      <c r="AQ211" s="40">
        <f t="shared" si="108"/>
        <v>1513.0871687696424</v>
      </c>
      <c r="AR211" s="41">
        <f t="shared" si="109"/>
        <v>0.9075947191316881</v>
      </c>
      <c r="AS211" s="41">
        <f t="shared" si="110"/>
        <v>0.41659471913168811</v>
      </c>
      <c r="AT211" s="64">
        <f t="shared" si="111"/>
        <v>5.474653172124186</v>
      </c>
      <c r="AU211" s="64">
        <f>APPLICANTS_PER_YEAR*($H211/Segments!$AH$2)*AS211</f>
        <v>4.9991366295802573</v>
      </c>
      <c r="AV211" s="64">
        <f t="shared" si="112"/>
        <v>10.473789801704443</v>
      </c>
      <c r="AW211" s="40">
        <f t="shared" si="113"/>
        <v>1513.0871687696424</v>
      </c>
      <c r="AX211" s="65">
        <f t="shared" si="114"/>
        <v>15847.756957349331</v>
      </c>
      <c r="AY211" s="65">
        <f t="shared" si="115"/>
        <v>14227.087205677239</v>
      </c>
      <c r="AZ211" s="65">
        <f t="shared" si="116"/>
        <v>3594.4248088326663</v>
      </c>
    </row>
    <row r="212" spans="1:52" ht="15" customHeight="1" x14ac:dyDescent="0.35">
      <c r="A212" s="61" t="str">
        <f>Segments!$A$192</f>
        <v>Non-greek</v>
      </c>
      <c r="B212" s="61" t="str">
        <f>Segments!$B$192</f>
        <v>Off 6+mi</v>
      </c>
      <c r="C212" s="61" t="str">
        <f>Segments!$C$192</f>
        <v>No</v>
      </c>
      <c r="D212" s="61" t="str">
        <f>Segments!$D$192</f>
        <v>1.0-2.0</v>
      </c>
      <c r="E212" s="61" t="str">
        <f>Segments!$E$192</f>
        <v>Junior</v>
      </c>
      <c r="F212" s="61">
        <f>Segments!$F$192</f>
        <v>2</v>
      </c>
      <c r="G212" s="61" t="str">
        <f>Segments!$G$192</f>
        <v>Base</v>
      </c>
      <c r="H212" s="62">
        <f>Segments!$H$192</f>
        <v>8</v>
      </c>
      <c r="I212" s="63">
        <f>Segments!$Y$192</f>
        <v>1366.6025550000124</v>
      </c>
      <c r="J212" s="42">
        <v>2</v>
      </c>
      <c r="K212" s="40">
        <f t="shared" si="78"/>
        <v>1426.2297754450396</v>
      </c>
      <c r="L212" s="40">
        <f t="shared" si="79"/>
        <v>1366.6025550000124</v>
      </c>
      <c r="M212" s="40">
        <f t="shared" si="80"/>
        <v>2263.8689609555349</v>
      </c>
      <c r="N212" s="40">
        <f t="shared" si="81"/>
        <v>1796.8854498327398</v>
      </c>
      <c r="O212" s="40">
        <f t="shared" si="82"/>
        <v>1426.2297754450396</v>
      </c>
      <c r="P212" s="41">
        <f t="shared" si="83"/>
        <v>0.95</v>
      </c>
      <c r="Q212" s="41">
        <f t="shared" si="84"/>
        <v>0.45313837045711569</v>
      </c>
      <c r="R212" s="64">
        <f t="shared" si="85"/>
        <v>9.5</v>
      </c>
      <c r="S212" s="64">
        <f>APPLICANTS_PER_YEAR*($H212/Segments!$AH$2)*Q212</f>
        <v>4.3501283563883106</v>
      </c>
      <c r="T212" s="64">
        <f t="shared" si="86"/>
        <v>13.850128356388311</v>
      </c>
      <c r="U212" s="40">
        <f t="shared" si="87"/>
        <v>1426.2297754450399</v>
      </c>
      <c r="V212" s="65">
        <f t="shared" si="88"/>
        <v>19753.465455616679</v>
      </c>
      <c r="W212" s="65">
        <f t="shared" si="89"/>
        <v>21198.9352947886</v>
      </c>
      <c r="X212" s="65">
        <f t="shared" si="90"/>
        <v>4336.3106377601334</v>
      </c>
      <c r="Y212" s="40">
        <f t="shared" si="91"/>
        <v>1426.2297754450396</v>
      </c>
      <c r="Z212" s="40">
        <f t="shared" si="92"/>
        <v>1407.6006316500129</v>
      </c>
      <c r="AA212" s="40">
        <f t="shared" si="93"/>
        <v>2330.5350297842015</v>
      </c>
      <c r="AB212" s="40">
        <f t="shared" si="94"/>
        <v>1850.2958697899635</v>
      </c>
      <c r="AC212" s="40">
        <f t="shared" si="95"/>
        <v>1469.0166687083909</v>
      </c>
      <c r="AD212" s="41">
        <f t="shared" si="96"/>
        <v>0.94403195486375202</v>
      </c>
      <c r="AE212" s="41">
        <f t="shared" si="97"/>
        <v>0.45303195486375203</v>
      </c>
      <c r="AF212" s="64">
        <f t="shared" si="98"/>
        <v>15.109061947269627</v>
      </c>
      <c r="AG212" s="64">
        <f>APPLICANTS_PER_YEAR*($H212/Segments!$AH$2)*AE212</f>
        <v>4.3491067666920191</v>
      </c>
      <c r="AH212" s="64">
        <f t="shared" si="99"/>
        <v>19.458168713961648</v>
      </c>
      <c r="AI212" s="40">
        <f t="shared" si="100"/>
        <v>1469.0166687083906</v>
      </c>
      <c r="AJ212" s="65">
        <f t="shared" si="101"/>
        <v>28584.37418334977</v>
      </c>
      <c r="AK212" s="65">
        <f t="shared" si="102"/>
        <v>30676.050241227927</v>
      </c>
      <c r="AL212" s="65">
        <f t="shared" si="103"/>
        <v>6123.9496257988458</v>
      </c>
      <c r="AM212" s="40">
        <f t="shared" si="104"/>
        <v>1469.0166687083909</v>
      </c>
      <c r="AN212" s="40">
        <f t="shared" si="105"/>
        <v>1449.8286505995131</v>
      </c>
      <c r="AO212" s="40">
        <f t="shared" si="106"/>
        <v>2399.2010806777271</v>
      </c>
      <c r="AP212" s="40">
        <f t="shared" si="107"/>
        <v>1905.3084712118741</v>
      </c>
      <c r="AQ212" s="40">
        <f t="shared" si="108"/>
        <v>1513.0871687696424</v>
      </c>
      <c r="AR212" s="41">
        <f t="shared" si="109"/>
        <v>0.94392855681074028</v>
      </c>
      <c r="AS212" s="41">
        <f t="shared" si="110"/>
        <v>0.45292855681074012</v>
      </c>
      <c r="AT212" s="64">
        <f t="shared" si="111"/>
        <v>9.8904793397325044</v>
      </c>
      <c r="AU212" s="64">
        <f>APPLICANTS_PER_YEAR*($H212/Segments!$AH$2)*AS212</f>
        <v>4.3481141453831054</v>
      </c>
      <c r="AV212" s="64">
        <f t="shared" si="112"/>
        <v>14.23859348511561</v>
      </c>
      <c r="AW212" s="40">
        <f t="shared" si="113"/>
        <v>1513.0871687696424</v>
      </c>
      <c r="AX212" s="65">
        <f t="shared" si="114"/>
        <v>21544.233103655453</v>
      </c>
      <c r="AY212" s="65">
        <f t="shared" si="115"/>
        <v>23120.743272435408</v>
      </c>
      <c r="AZ212" s="65">
        <f t="shared" si="116"/>
        <v>4695.6024301881444</v>
      </c>
    </row>
    <row r="213" spans="1:52" ht="15" customHeight="1" x14ac:dyDescent="0.35">
      <c r="A213" s="61" t="str">
        <f>Segments!$A$193</f>
        <v>Non-greek</v>
      </c>
      <c r="B213" s="61" t="str">
        <f>Segments!$B$193</f>
        <v>Off 6+mi</v>
      </c>
      <c r="C213" s="61" t="str">
        <f>Segments!$C$193</f>
        <v>No</v>
      </c>
      <c r="D213" s="61" t="str">
        <f>Segments!$D$193</f>
        <v>1.0-2.0</v>
      </c>
      <c r="E213" s="61" t="str">
        <f>Segments!$E$193</f>
        <v>Senior</v>
      </c>
      <c r="F213" s="61">
        <f>Segments!$F$193</f>
        <v>3</v>
      </c>
      <c r="G213" s="61" t="str">
        <f>Segments!$G$193</f>
        <v>Base</v>
      </c>
      <c r="H213" s="62">
        <f>Segments!$H$193</f>
        <v>7</v>
      </c>
      <c r="I213" s="63">
        <f>Segments!$Y$193</f>
        <v>1277.3462661115304</v>
      </c>
      <c r="J213" s="42">
        <v>3</v>
      </c>
      <c r="K213" s="40">
        <f t="shared" si="78"/>
        <v>1426.2297754450396</v>
      </c>
      <c r="L213" s="40">
        <f t="shared" si="79"/>
        <v>1277.3462661115304</v>
      </c>
      <c r="M213" s="40">
        <f t="shared" si="80"/>
        <v>2118.7312768336924</v>
      </c>
      <c r="N213" s="40">
        <f t="shared" si="81"/>
        <v>1738.3318535846081</v>
      </c>
      <c r="O213" s="40">
        <f t="shared" si="82"/>
        <v>1426.2297754450396</v>
      </c>
      <c r="P213" s="41">
        <f t="shared" si="83"/>
        <v>0.93977056869089282</v>
      </c>
      <c r="Q213" s="41">
        <f t="shared" si="84"/>
        <v>0.43977056869089287</v>
      </c>
      <c r="R213" s="64">
        <f t="shared" si="85"/>
        <v>7.5181645495271425</v>
      </c>
      <c r="S213" s="64">
        <f>APPLICANTS_PER_YEAR*($H213/Segments!$AH$2)*Q213</f>
        <v>3.6940727770035005</v>
      </c>
      <c r="T213" s="64">
        <f t="shared" si="86"/>
        <v>11.212237326530643</v>
      </c>
      <c r="U213" s="40">
        <f t="shared" si="87"/>
        <v>1426.2297754450396</v>
      </c>
      <c r="V213" s="65">
        <f t="shared" si="88"/>
        <v>15991.226724454289</v>
      </c>
      <c r="W213" s="65">
        <f t="shared" si="89"/>
        <v>16040.538621856274</v>
      </c>
      <c r="X213" s="65">
        <f t="shared" si="90"/>
        <v>3523.3392974303774</v>
      </c>
      <c r="Y213" s="40">
        <f t="shared" si="91"/>
        <v>1426.2297754450399</v>
      </c>
      <c r="Z213" s="40">
        <f t="shared" si="92"/>
        <v>1315.6666540948763</v>
      </c>
      <c r="AA213" s="40">
        <f t="shared" si="93"/>
        <v>2181.0432151387031</v>
      </c>
      <c r="AB213" s="40">
        <f t="shared" si="94"/>
        <v>1789.9689489519351</v>
      </c>
      <c r="AC213" s="40">
        <f t="shared" si="95"/>
        <v>1469.0166687083909</v>
      </c>
      <c r="AD213" s="41">
        <f t="shared" si="96"/>
        <v>0.93065303013537437</v>
      </c>
      <c r="AE213" s="41">
        <f t="shared" si="97"/>
        <v>0.43965303013537427</v>
      </c>
      <c r="AF213" s="64">
        <f t="shared" si="98"/>
        <v>12.889663922636654</v>
      </c>
      <c r="AG213" s="64">
        <f>APPLICANTS_PER_YEAR*($H213/Segments!$AH$2)*AE213</f>
        <v>3.6930854531371442</v>
      </c>
      <c r="AH213" s="64">
        <f t="shared" si="99"/>
        <v>16.582749375773798</v>
      </c>
      <c r="AI213" s="40">
        <f t="shared" si="100"/>
        <v>1469.0166687083906</v>
      </c>
      <c r="AJ213" s="65">
        <f t="shared" si="101"/>
        <v>24360.33524602537</v>
      </c>
      <c r="AK213" s="65">
        <f t="shared" si="102"/>
        <v>24435.454833348398</v>
      </c>
      <c r="AL213" s="65">
        <f t="shared" si="103"/>
        <v>5217.9676284795032</v>
      </c>
      <c r="AM213" s="40">
        <f t="shared" si="104"/>
        <v>1469.0166687083906</v>
      </c>
      <c r="AN213" s="40">
        <f t="shared" si="105"/>
        <v>1355.1366537177225</v>
      </c>
      <c r="AO213" s="40">
        <f t="shared" si="106"/>
        <v>2245.224511592864</v>
      </c>
      <c r="AP213" s="40">
        <f t="shared" si="107"/>
        <v>1843.1550123357097</v>
      </c>
      <c r="AQ213" s="40">
        <f t="shared" si="108"/>
        <v>1513.0871687696424</v>
      </c>
      <c r="AR213" s="41">
        <f t="shared" si="109"/>
        <v>0.93053881831886553</v>
      </c>
      <c r="AS213" s="41">
        <f t="shared" si="110"/>
        <v>0.4395388183188656</v>
      </c>
      <c r="AT213" s="64">
        <f t="shared" si="111"/>
        <v>18.106581321738989</v>
      </c>
      <c r="AU213" s="64">
        <f>APPLICANTS_PER_YEAR*($H213/Segments!$AH$2)*AS213</f>
        <v>3.6921260738784714</v>
      </c>
      <c r="AV213" s="64">
        <f t="shared" si="112"/>
        <v>21.798707395617463</v>
      </c>
      <c r="AW213" s="40">
        <f t="shared" si="113"/>
        <v>1513.0871687696424</v>
      </c>
      <c r="AX213" s="65">
        <f t="shared" si="114"/>
        <v>32983.344456072693</v>
      </c>
      <c r="AY213" s="65">
        <f t="shared" si="115"/>
        <v>33085.054682925082</v>
      </c>
      <c r="AZ213" s="65">
        <f t="shared" si="116"/>
        <v>6957.6572025323367</v>
      </c>
    </row>
    <row r="214" spans="1:52" ht="15" customHeight="1" x14ac:dyDescent="0.35">
      <c r="A214" s="61" t="str">
        <f>Segments!$A$194</f>
        <v>Non-greek</v>
      </c>
      <c r="B214" s="61" t="str">
        <f>Segments!$B$194</f>
        <v>Off 6+mi</v>
      </c>
      <c r="C214" s="61" t="str">
        <f>Segments!$C$194</f>
        <v>No</v>
      </c>
      <c r="D214" s="61" t="str">
        <f>Segments!$D$194</f>
        <v>1.0-2.0</v>
      </c>
      <c r="E214" s="61" t="str">
        <f>Segments!$E$194</f>
        <v>Grad student</v>
      </c>
      <c r="F214" s="61">
        <f>Segments!$F$194</f>
        <v>3</v>
      </c>
      <c r="G214" s="61" t="str">
        <f>Segments!$G$194</f>
        <v>Grad</v>
      </c>
      <c r="H214" s="62">
        <f>Segments!$H$194</f>
        <v>4</v>
      </c>
      <c r="I214" s="63">
        <f>Segments!$Y$194</f>
        <v>1520.9111975301573</v>
      </c>
      <c r="J214" s="42">
        <v>4</v>
      </c>
      <c r="K214" s="40">
        <f t="shared" si="78"/>
        <v>1426.2297754450396</v>
      </c>
      <c r="L214" s="40">
        <f t="shared" si="79"/>
        <v>1520.9111975301573</v>
      </c>
      <c r="M214" s="40">
        <f t="shared" si="80"/>
        <v>2514.7868435575369</v>
      </c>
      <c r="N214" s="40">
        <f t="shared" si="81"/>
        <v>1893.8489578578346</v>
      </c>
      <c r="O214" s="40">
        <f t="shared" si="82"/>
        <v>1426.2297754450396</v>
      </c>
      <c r="P214" s="41">
        <f t="shared" si="83"/>
        <v>0.95</v>
      </c>
      <c r="Q214" s="41">
        <f t="shared" si="84"/>
        <v>0.47345735927687893</v>
      </c>
      <c r="R214" s="64">
        <f t="shared" si="85"/>
        <v>1.9</v>
      </c>
      <c r="S214" s="64">
        <f>APPLICANTS_PER_YEAR*($H214/Segments!$AH$2)*Q214</f>
        <v>2.2725953245290187</v>
      </c>
      <c r="T214" s="64">
        <f t="shared" si="86"/>
        <v>4.1725953245290182</v>
      </c>
      <c r="U214" s="40">
        <f t="shared" si="87"/>
        <v>1426.2297754450399</v>
      </c>
      <c r="V214" s="65">
        <f t="shared" si="88"/>
        <v>5951.0796927260444</v>
      </c>
      <c r="W214" s="65">
        <f t="shared" si="89"/>
        <v>7107.6845860587446</v>
      </c>
      <c r="X214" s="65">
        <f t="shared" si="90"/>
        <v>1378.4643607073447</v>
      </c>
      <c r="Y214" s="40">
        <f t="shared" si="91"/>
        <v>1426.2297754450399</v>
      </c>
      <c r="Z214" s="40">
        <f t="shared" si="92"/>
        <v>1566.5385334560622</v>
      </c>
      <c r="AA214" s="40">
        <f t="shared" si="93"/>
        <v>2588.9804488642631</v>
      </c>
      <c r="AB214" s="40">
        <f t="shared" si="94"/>
        <v>1950.1936914936766</v>
      </c>
      <c r="AC214" s="40">
        <f t="shared" si="95"/>
        <v>1469.0166687083909</v>
      </c>
      <c r="AD214" s="41">
        <f t="shared" si="96"/>
        <v>0.95</v>
      </c>
      <c r="AE214" s="41">
        <f t="shared" si="97"/>
        <v>0.47336646992657083</v>
      </c>
      <c r="AF214" s="64">
        <f t="shared" si="98"/>
        <v>1.9819827791512836</v>
      </c>
      <c r="AG214" s="64">
        <f>APPLICANTS_PER_YEAR*($H214/Segments!$AH$2)*AE214</f>
        <v>2.2721590556475397</v>
      </c>
      <c r="AH214" s="64">
        <f t="shared" si="99"/>
        <v>4.2541418347988236</v>
      </c>
      <c r="AI214" s="40">
        <f t="shared" si="100"/>
        <v>1469.0166687083909</v>
      </c>
      <c r="AJ214" s="65">
        <f t="shared" si="101"/>
        <v>6249.4052663691691</v>
      </c>
      <c r="AK214" s="65">
        <f t="shared" si="102"/>
        <v>7463.9903643198104</v>
      </c>
      <c r="AL214" s="65">
        <f t="shared" si="103"/>
        <v>1439.8487918655414</v>
      </c>
      <c r="AM214" s="40">
        <f t="shared" si="104"/>
        <v>1469.0166687083909</v>
      </c>
      <c r="AN214" s="40">
        <f t="shared" si="105"/>
        <v>1613.5346894597437</v>
      </c>
      <c r="AO214" s="40">
        <f t="shared" si="106"/>
        <v>2665.3998623301904</v>
      </c>
      <c r="AP214" s="40">
        <f t="shared" si="107"/>
        <v>2008.2286551416857</v>
      </c>
      <c r="AQ214" s="40">
        <f t="shared" si="108"/>
        <v>1513.0871687696424</v>
      </c>
      <c r="AR214" s="41">
        <f t="shared" si="109"/>
        <v>0.95</v>
      </c>
      <c r="AS214" s="41">
        <f t="shared" si="110"/>
        <v>0.47327816484052454</v>
      </c>
      <c r="AT214" s="64">
        <f t="shared" si="111"/>
        <v>2.0207173715294413</v>
      </c>
      <c r="AU214" s="64">
        <f>APPLICANTS_PER_YEAR*($H214/Segments!$AH$2)*AS214</f>
        <v>2.2717351912345176</v>
      </c>
      <c r="AV214" s="64">
        <f t="shared" si="112"/>
        <v>4.2924525627639589</v>
      </c>
      <c r="AW214" s="40">
        <f t="shared" si="113"/>
        <v>1513.0871687696426</v>
      </c>
      <c r="AX214" s="65">
        <f t="shared" si="114"/>
        <v>6494.854895270515</v>
      </c>
      <c r="AY214" s="65">
        <f t="shared" si="115"/>
        <v>7757.1436464256294</v>
      </c>
      <c r="AZ214" s="65">
        <f t="shared" si="116"/>
        <v>1490.4766741467483</v>
      </c>
    </row>
    <row r="215" spans="1:52" ht="15" customHeight="1" x14ac:dyDescent="0.35">
      <c r="A215" s="59" t="str">
        <f>Segments!$A$195</f>
        <v>Non-greek</v>
      </c>
      <c r="B215" s="59" t="str">
        <f>Segments!$B$195</f>
        <v>Off 6+mi</v>
      </c>
      <c r="C215" s="59" t="str">
        <f>Segments!$C$195</f>
        <v>No</v>
      </c>
      <c r="D215" s="59" t="str">
        <f>Segments!$D$195</f>
        <v>2.0-3.0</v>
      </c>
      <c r="E215" s="59" t="str">
        <f>Segments!$E$195</f>
        <v>Freshman</v>
      </c>
      <c r="F215" s="59">
        <f>Segments!$F$195</f>
        <v>1</v>
      </c>
      <c r="G215" s="59" t="str">
        <f>Segments!$G$195</f>
        <v>Base</v>
      </c>
      <c r="H215" s="60">
        <f>Segments!$H$195</f>
        <v>13</v>
      </c>
      <c r="I215" s="26">
        <f>Segments!$Y$195</f>
        <v>1134.939462618172</v>
      </c>
      <c r="J215" s="29">
        <v>0</v>
      </c>
      <c r="K215" s="14">
        <f t="shared" si="78"/>
        <v>1887.1667123687284</v>
      </c>
      <c r="L215" s="14">
        <f t="shared" si="79"/>
        <v>1134.939462618172</v>
      </c>
      <c r="M215" s="14">
        <f t="shared" si="80"/>
        <v>1887.1667123687284</v>
      </c>
      <c r="N215" s="14">
        <f t="shared" si="81"/>
        <v>1640.5893320416922</v>
      </c>
      <c r="O215" s="14">
        <f t="shared" si="82"/>
        <v>1426.2297754450396</v>
      </c>
      <c r="P215" s="33">
        <f t="shared" si="83"/>
        <v>0.9153300470782304</v>
      </c>
      <c r="Q215" s="33">
        <f t="shared" si="84"/>
        <v>0.41533004707823035</v>
      </c>
      <c r="R215" s="51">
        <f t="shared" si="85"/>
        <v>0</v>
      </c>
      <c r="S215" s="51">
        <f>APPLICANTS_PER_YEAR*($H215/Segments!$AH$2)*Q215</f>
        <v>6.4791487344203933</v>
      </c>
      <c r="T215" s="51">
        <f t="shared" si="86"/>
        <v>6.4791487344203933</v>
      </c>
      <c r="U215" s="14">
        <f t="shared" si="87"/>
        <v>1426.2297754450396</v>
      </c>
      <c r="V215" s="44">
        <f t="shared" si="88"/>
        <v>9240.7548445674111</v>
      </c>
      <c r="W215" s="44">
        <f t="shared" si="89"/>
        <v>8235.8545728102454</v>
      </c>
      <c r="X215" s="44">
        <f t="shared" si="90"/>
        <v>2361.4907782320179</v>
      </c>
      <c r="Y215" s="14">
        <f t="shared" si="91"/>
        <v>1942.5317137397903</v>
      </c>
      <c r="Z215" s="14">
        <f t="shared" si="92"/>
        <v>1168.9876464967172</v>
      </c>
      <c r="AA215" s="14">
        <f t="shared" si="93"/>
        <v>1942.5317137397903</v>
      </c>
      <c r="AB215" s="14">
        <f t="shared" si="94"/>
        <v>1689.2635871818311</v>
      </c>
      <c r="AC215" s="14">
        <f t="shared" si="95"/>
        <v>1469.0166687083909</v>
      </c>
      <c r="AD215" s="33">
        <f t="shared" si="96"/>
        <v>0.915190216655553</v>
      </c>
      <c r="AE215" s="33">
        <f t="shared" si="97"/>
        <v>0.41519021665555295</v>
      </c>
      <c r="AF215" s="51">
        <f t="shared" si="98"/>
        <v>0</v>
      </c>
      <c r="AG215" s="51">
        <f>APPLICANTS_PER_YEAR*($H215/Segments!$AH$2)*AE215</f>
        <v>6.4769673798266254</v>
      </c>
      <c r="AH215" s="51">
        <f t="shared" si="99"/>
        <v>6.4769673798266254</v>
      </c>
      <c r="AI215" s="14">
        <f t="shared" si="100"/>
        <v>1469.0166687083909</v>
      </c>
      <c r="AJ215" s="44">
        <f t="shared" si="101"/>
        <v>9514.7730436458241</v>
      </c>
      <c r="AK215" s="44">
        <f t="shared" si="102"/>
        <v>8480.0742362330802</v>
      </c>
      <c r="AL215" s="44">
        <f t="shared" si="103"/>
        <v>2422.7726938688625</v>
      </c>
      <c r="AM215" s="14">
        <f t="shared" si="104"/>
        <v>1999.5576651519841</v>
      </c>
      <c r="AN215" s="14">
        <f t="shared" si="105"/>
        <v>1204.0572758916187</v>
      </c>
      <c r="AO215" s="14">
        <f t="shared" si="106"/>
        <v>1999.5576651519841</v>
      </c>
      <c r="AP215" s="14">
        <f t="shared" si="107"/>
        <v>1739.3978976520734</v>
      </c>
      <c r="AQ215" s="14">
        <f t="shared" si="108"/>
        <v>1513.0871687696424</v>
      </c>
      <c r="AR215" s="33">
        <f t="shared" si="109"/>
        <v>0.91505432977351431</v>
      </c>
      <c r="AS215" s="33">
        <f t="shared" si="110"/>
        <v>0.41505432977351431</v>
      </c>
      <c r="AT215" s="51">
        <f t="shared" si="111"/>
        <v>0</v>
      </c>
      <c r="AU215" s="51">
        <f>APPLICANTS_PER_YEAR*($H215/Segments!$AH$2)*AS215</f>
        <v>6.4748475444668232</v>
      </c>
      <c r="AV215" s="51">
        <f t="shared" si="112"/>
        <v>6.4748475444668232</v>
      </c>
      <c r="AW215" s="14">
        <f t="shared" si="113"/>
        <v>1513.0871687696426</v>
      </c>
      <c r="AX215" s="44">
        <f t="shared" si="114"/>
        <v>9797.0087392723781</v>
      </c>
      <c r="AY215" s="44">
        <f t="shared" si="115"/>
        <v>8731.6177717487717</v>
      </c>
      <c r="AZ215" s="44">
        <f t="shared" si="116"/>
        <v>2485.8980970980197</v>
      </c>
    </row>
    <row r="216" spans="1:52" ht="15" customHeight="1" x14ac:dyDescent="0.35">
      <c r="A216" s="59" t="str">
        <f>Segments!$A$196</f>
        <v>Non-greek</v>
      </c>
      <c r="B216" s="59" t="str">
        <f>Segments!$B$196</f>
        <v>Off 6+mi</v>
      </c>
      <c r="C216" s="59" t="str">
        <f>Segments!$C$196</f>
        <v>No</v>
      </c>
      <c r="D216" s="59" t="str">
        <f>Segments!$D$196</f>
        <v>2.0-3.0</v>
      </c>
      <c r="E216" s="59" t="str">
        <f>Segments!$E$196</f>
        <v>Sophomore</v>
      </c>
      <c r="F216" s="59">
        <f>Segments!$F$196</f>
        <v>1</v>
      </c>
      <c r="G216" s="59" t="str">
        <f>Segments!$G$196</f>
        <v>Sophomore</v>
      </c>
      <c r="H216" s="60">
        <f>Segments!$H$196</f>
        <v>18</v>
      </c>
      <c r="I216" s="26">
        <f>Segments!$Y$196</f>
        <v>1123.3928641113851</v>
      </c>
      <c r="J216" s="29">
        <v>1</v>
      </c>
      <c r="K216" s="14">
        <f t="shared" si="78"/>
        <v>1426.2297754450396</v>
      </c>
      <c r="L216" s="14">
        <f t="shared" si="79"/>
        <v>1123.3928641113851</v>
      </c>
      <c r="M216" s="14">
        <f t="shared" si="80"/>
        <v>1868.3910430278979</v>
      </c>
      <c r="N216" s="14">
        <f t="shared" si="81"/>
        <v>1632.407711860368</v>
      </c>
      <c r="O216" s="14">
        <f t="shared" si="82"/>
        <v>1426.2297754450396</v>
      </c>
      <c r="P216" s="33">
        <f t="shared" si="83"/>
        <v>0.91315148321014683</v>
      </c>
      <c r="Q216" s="33">
        <f t="shared" si="84"/>
        <v>0.41315148321014677</v>
      </c>
      <c r="R216" s="51">
        <f t="shared" si="85"/>
        <v>11.870969281731909</v>
      </c>
      <c r="S216" s="51">
        <f>APPLICANTS_PER_YEAR*($H216/Segments!$AH$2)*Q216</f>
        <v>8.9240720373391689</v>
      </c>
      <c r="T216" s="51">
        <f t="shared" si="86"/>
        <v>20.795041319071078</v>
      </c>
      <c r="U216" s="14">
        <f t="shared" si="87"/>
        <v>1426.2297754450399</v>
      </c>
      <c r="V216" s="44">
        <f t="shared" si="88"/>
        <v>29658.507110869068</v>
      </c>
      <c r="W216" s="44">
        <f t="shared" si="89"/>
        <v>26164.321149955358</v>
      </c>
      <c r="X216" s="44">
        <f t="shared" si="90"/>
        <v>6689.9326752945899</v>
      </c>
      <c r="Y216" s="14">
        <f t="shared" si="91"/>
        <v>1426.2297754450396</v>
      </c>
      <c r="Z216" s="14">
        <f t="shared" si="92"/>
        <v>1157.0946500347266</v>
      </c>
      <c r="AA216" s="14">
        <f t="shared" si="93"/>
        <v>1923.1927743187348</v>
      </c>
      <c r="AB216" s="14">
        <f t="shared" si="94"/>
        <v>1680.8337938695056</v>
      </c>
      <c r="AC216" s="14">
        <f t="shared" si="95"/>
        <v>1469.0166687083909</v>
      </c>
      <c r="AD216" s="33">
        <f t="shared" si="96"/>
        <v>0.90400953905545978</v>
      </c>
      <c r="AE216" s="33">
        <f t="shared" si="97"/>
        <v>0.41300953905545984</v>
      </c>
      <c r="AF216" s="51">
        <f t="shared" si="98"/>
        <v>5.8572122608751451</v>
      </c>
      <c r="AG216" s="51">
        <f>APPLICANTS_PER_YEAR*($H216/Segments!$AH$2)*AE216</f>
        <v>8.9210060435979308</v>
      </c>
      <c r="AH216" s="51">
        <f t="shared" si="99"/>
        <v>14.778218304473075</v>
      </c>
      <c r="AI216" s="14">
        <f t="shared" si="100"/>
        <v>1469.0166687083909</v>
      </c>
      <c r="AJ216" s="44">
        <f t="shared" si="101"/>
        <v>21709.449023082401</v>
      </c>
      <c r="AK216" s="44">
        <f t="shared" si="102"/>
        <v>19151.773017609194</v>
      </c>
      <c r="AL216" s="44">
        <f t="shared" si="103"/>
        <v>5080.3541128312609</v>
      </c>
      <c r="AM216" s="14">
        <f t="shared" si="104"/>
        <v>1469.0166687083909</v>
      </c>
      <c r="AN216" s="14">
        <f t="shared" si="105"/>
        <v>1191.8074895357684</v>
      </c>
      <c r="AO216" s="14">
        <f t="shared" si="106"/>
        <v>1979.6385575482968</v>
      </c>
      <c r="AP216" s="14">
        <f t="shared" si="107"/>
        <v>1730.7124834090646</v>
      </c>
      <c r="AQ216" s="14">
        <f t="shared" si="108"/>
        <v>1513.0871687696424</v>
      </c>
      <c r="AR216" s="33">
        <f t="shared" si="109"/>
        <v>0.90387159673418305</v>
      </c>
      <c r="AS216" s="33">
        <f t="shared" si="110"/>
        <v>0.412871596734183</v>
      </c>
      <c r="AT216" s="51">
        <f t="shared" si="111"/>
        <v>5.8543468475991096</v>
      </c>
      <c r="AU216" s="51">
        <f>APPLICANTS_PER_YEAR*($H216/Segments!$AH$2)*AS216</f>
        <v>8.9180264894583523</v>
      </c>
      <c r="AV216" s="51">
        <f t="shared" si="112"/>
        <v>14.772373337057463</v>
      </c>
      <c r="AW216" s="14">
        <f t="shared" si="113"/>
        <v>1513.0871687696424</v>
      </c>
      <c r="AX216" s="44">
        <f t="shared" si="114"/>
        <v>22351.888548576429</v>
      </c>
      <c r="AY216" s="44">
        <f t="shared" si="115"/>
        <v>19718.524203082408</v>
      </c>
      <c r="AZ216" s="44">
        <f t="shared" si="116"/>
        <v>5215.1863654767067</v>
      </c>
    </row>
    <row r="217" spans="1:52" ht="15" customHeight="1" x14ac:dyDescent="0.35">
      <c r="A217" s="59" t="str">
        <f>Segments!$A$197</f>
        <v>Non-greek</v>
      </c>
      <c r="B217" s="59" t="str">
        <f>Segments!$B$197</f>
        <v>Off 6+mi</v>
      </c>
      <c r="C217" s="59" t="str">
        <f>Segments!$C$197</f>
        <v>No</v>
      </c>
      <c r="D217" s="59" t="str">
        <f>Segments!$D$197</f>
        <v>2.0-3.0</v>
      </c>
      <c r="E217" s="59" t="str">
        <f>Segments!$E$197</f>
        <v>Junior</v>
      </c>
      <c r="F217" s="59">
        <f>Segments!$F$197</f>
        <v>2</v>
      </c>
      <c r="G217" s="59" t="str">
        <f>Segments!$G$197</f>
        <v>Base</v>
      </c>
      <c r="H217" s="60">
        <f>Segments!$H$197</f>
        <v>20</v>
      </c>
      <c r="I217" s="26">
        <f>Segments!$Y$197</f>
        <v>1342.932615459305</v>
      </c>
      <c r="J217" s="29">
        <v>2</v>
      </c>
      <c r="K217" s="14">
        <f t="shared" ref="K217:K280" si="117">IF($J217=0,M217,CURRENT_FLAT)</f>
        <v>1426.2297754450396</v>
      </c>
      <c r="L217" s="14">
        <f t="shared" ref="L217:L280" si="118">$I217*(1+LOSS_TREND)^0</f>
        <v>1342.932615459305</v>
      </c>
      <c r="M217" s="14">
        <f t="shared" ref="M217:M280" si="119">L217*GROSS_MULT+POLICY_FEE</f>
        <v>2225.3797939621086</v>
      </c>
      <c r="N217" s="14">
        <f t="shared" ref="N217:N280" si="120">M217^MARKET_RISK_WEIGHT*(CURRENT_FLAT*(1+LOSS_TREND)^0)^(1-MARKET_RISK_WEIGHT)</f>
        <v>1781.5450945239938</v>
      </c>
      <c r="O217" s="14">
        <f t="shared" ref="O217:O280" si="121">CURRENT_FLAT*(1+LOSS_TREND)^0</f>
        <v>1426.2297754450396</v>
      </c>
      <c r="P217" s="33">
        <f t="shared" ref="P217:P280" si="122">MEDIAN(RET_FLOOR,BASE_RETENTION-ELAST_MARKET*(O217/N217-1)-ELAST_INCREASE*MAX(O217/K217-1,0),RET_CEIL)</f>
        <v>0.94972111291796679</v>
      </c>
      <c r="Q217" s="33">
        <f t="shared" ref="Q217:Q280" si="123">MEDIAN(CONV_FLOOR,BASE_CONVERSION-ELAST_MARKET*(CURRENT_FLAT*(1+LOSS_TREND)^0/N217-1),CONV_CEIL)</f>
        <v>0.44972111291796679</v>
      </c>
      <c r="R217" s="51">
        <f t="shared" ref="R217:R280" si="124">IF($J217=0,0,IF($J217=4,$H217*GRAD_CONTINUE,$H216)*P217)</f>
        <v>17.094980032523402</v>
      </c>
      <c r="S217" s="51">
        <f>APPLICANTS_PER_YEAR*($H217/Segments!$AH$2)*Q217</f>
        <v>10.793306710031203</v>
      </c>
      <c r="T217" s="51">
        <f t="shared" ref="T217:T280" si="125">R217+S217</f>
        <v>27.888286742554605</v>
      </c>
      <c r="U217" s="14">
        <f t="shared" ref="U217:U280" si="126">IFERROR((R217*O217+S217*CURRENT_FLAT*(1+LOSS_TREND)^0)/T217,M217)</f>
        <v>1426.2297754450396</v>
      </c>
      <c r="V217" s="44">
        <f t="shared" ref="V217:V280" si="127">R217*O217+S217*CURRENT_FLAT*(1+LOSS_TREND)^0</f>
        <v>39775.104938380529</v>
      </c>
      <c r="W217" s="44">
        <f t="shared" ref="W217:W280" si="128">T217*L217*(1+LAE_RATIO)</f>
        <v>41946.340638560869</v>
      </c>
      <c r="X217" s="44">
        <f t="shared" ref="X217:X280" si="129">R217*O217*(PREMIUM_TAX+OTHER_VARIABLE+COMMISSION_RN)+S217*CURRENT_FLAT*(1+LOSS_TREND)^0*(PREMIUM_TAX+OTHER_VARIABLE+COMMISSION_NB)+T217*FIXED_PER_POLICY+S217*NB_ACQUISITION</f>
        <v>8883.873975143295</v>
      </c>
      <c r="Y217" s="14">
        <f t="shared" ref="Y217:Y280" si="130">IF($J217=0,AA217,IF($J217=4,U217,U216))</f>
        <v>1426.2297754450399</v>
      </c>
      <c r="Z217" s="14">
        <f t="shared" ref="Z217:Z280" si="131">$I217*(1+LOSS_TREND)^1</f>
        <v>1383.2205939230842</v>
      </c>
      <c r="AA217" s="14">
        <f t="shared" ref="AA217:AA280" si="132">Z217*GROSS_MULT+POLICY_FEE</f>
        <v>2290.8911877809719</v>
      </c>
      <c r="AB217" s="14">
        <f t="shared" ref="AB217:AB280" si="133">AA217^MARKET_RISK_WEIGHT*(CURRENT_FLAT*(1+LOSS_TREND)^1)^(1-MARKET_RISK_WEIGHT)</f>
        <v>1834.4910305170235</v>
      </c>
      <c r="AC217" s="14">
        <f t="shared" ref="AC217:AC280" si="134">CURRENT_FLAT*(1+LOSS_TREND)^1</f>
        <v>1469.0166687083909</v>
      </c>
      <c r="AD217" s="33">
        <f t="shared" ref="AD217:AD280" si="135">MEDIAN(RET_FLOOR,BASE_RETENTION-ELAST_MARKET*(AC217/AB217-1)-ELAST_INCREASE*MAX(AC217/Y217-1,0),RET_CEIL)</f>
        <v>0.94061192388758363</v>
      </c>
      <c r="AE217" s="33">
        <f t="shared" ref="AE217:AE280" si="136">MEDIAN(CONV_FLOOR,BASE_CONVERSION-ELAST_MARKET*(CURRENT_FLAT*(1+LOSS_TREND)^1/AB217-1),CONV_CEIL)</f>
        <v>0.44961192388758348</v>
      </c>
      <c r="AF217" s="51">
        <f t="shared" ref="AF217:AF280" si="137">IF($J217=0,0,IF($J217=4,T217*GRAD_CONTINUE,T216)*AD217)</f>
        <v>19.560063822453241</v>
      </c>
      <c r="AG217" s="51">
        <f>APPLICANTS_PER_YEAR*($H217/Segments!$AH$2)*AE217</f>
        <v>10.790686173302003</v>
      </c>
      <c r="AH217" s="51">
        <f t="shared" ref="AH217:AH280" si="138">AF217+AG217</f>
        <v>30.350749995755244</v>
      </c>
      <c r="AI217" s="14">
        <f t="shared" ref="AI217:AI280" si="139">IFERROR((AF217*AC217+AG217*CURRENT_FLAT*(1+LOSS_TREND)^1)/AH217,AA217)</f>
        <v>1469.0166687083909</v>
      </c>
      <c r="AJ217" s="44">
        <f t="shared" ref="AJ217:AJ280" si="140">AF217*AC217+AG217*CURRENT_FLAT*(1+LOSS_TREND)^1</f>
        <v>44585.757651565575</v>
      </c>
      <c r="AK217" s="44">
        <f t="shared" ref="AK217:AK280" si="141">AH217*Z217*(1+LAE_RATIO)</f>
        <v>47019.596327356368</v>
      </c>
      <c r="AL217" s="44">
        <f t="shared" ref="AL217:AL280" si="142">AF217*AC217*(PREMIUM_TAX+OTHER_VARIABLE+COMMISSION_RN)+AG217*CURRENT_FLAT*(1+LOSS_TREND)^1*(PREMIUM_TAX+OTHER_VARIABLE+COMMISSION_NB)+AH217*FIXED_PER_POLICY+AG217*NB_ACQUISITION</f>
        <v>9858.2997753319141</v>
      </c>
      <c r="AM217" s="14">
        <f t="shared" ref="AM217:AM280" si="143">IF($J217=0,AO217,IF($J217=4,AI217,AI216))</f>
        <v>1469.0166687083909</v>
      </c>
      <c r="AN217" s="14">
        <f t="shared" ref="AN217:AN280" si="144">$I217*(1+LOSS_TREND)^2</f>
        <v>1424.7172117407765</v>
      </c>
      <c r="AO217" s="14">
        <f t="shared" ref="AO217:AO280" si="145">AN217*GROSS_MULT+POLICY_FEE</f>
        <v>2358.3679234144006</v>
      </c>
      <c r="AP217" s="14">
        <f t="shared" ref="AP217:AP280" si="146">AO217^MARKET_RISK_WEIGHT*(CURRENT_FLAT*(1+LOSS_TREND)^2)^(1-MARKET_RISK_WEIGHT)</f>
        <v>1889.0252100372395</v>
      </c>
      <c r="AQ217" s="14">
        <f t="shared" ref="AQ217:AQ280" si="147">CURRENT_FLAT*(1+LOSS_TREND)^2</f>
        <v>1513.0871687696424</v>
      </c>
      <c r="AR217" s="33">
        <f t="shared" ref="AR217:AR280" si="148">MEDIAN(RET_FLOOR,BASE_RETENTION-ELAST_MARKET*(AQ217/AP217-1)-ELAST_INCREASE*MAX(AQ217/AM217-1,0),RET_CEIL)</f>
        <v>0.94050582958609286</v>
      </c>
      <c r="AS217" s="33">
        <f t="shared" ref="AS217:AS280" si="149">MEDIAN(CONV_FLOOR,BASE_CONVERSION-ELAST_MARKET*(CURRENT_FLAT*(1+LOSS_TREND)^2/AP217-1),CONV_CEIL)</f>
        <v>0.4495058295860927</v>
      </c>
      <c r="AT217" s="51">
        <f t="shared" ref="AT217:AT280" si="150">IF($J217=0,0,IF($J217=4,AH217*GRAD_CONTINUE,AH216)*AR217)</f>
        <v>13.899000466252833</v>
      </c>
      <c r="AU217" s="51">
        <f>APPLICANTS_PER_YEAR*($H217/Segments!$AH$2)*AS217</f>
        <v>10.788139910066224</v>
      </c>
      <c r="AV217" s="51">
        <f t="shared" ref="AV217:AV280" si="151">AT217+AU217</f>
        <v>24.687140376319057</v>
      </c>
      <c r="AW217" s="14">
        <f t="shared" ref="AW217:AW280" si="152">IFERROR((AT217*AQ217+AU217*CURRENT_FLAT*(1+LOSS_TREND)^2)/AV217,AO217)</f>
        <v>1513.0871687696426</v>
      </c>
      <c r="AX217" s="44">
        <f t="shared" ref="AX217:AX280" si="153">AT217*AQ217+AU217*CURRENT_FLAT*(1+LOSS_TREND)^2</f>
        <v>37353.79533702333</v>
      </c>
      <c r="AY217" s="44">
        <f t="shared" ref="AY217:AY280" si="154">AV217*AN217*(1+LAE_RATIO)</f>
        <v>39392.857059138725</v>
      </c>
      <c r="AZ217" s="44">
        <f t="shared" ref="AZ217:AZ280" si="155">AT217*AQ217*(PREMIUM_TAX+OTHER_VARIABLE+COMMISSION_RN)+AU217*CURRENT_FLAT*(1+LOSS_TREND)^2*(PREMIUM_TAX+OTHER_VARIABLE+COMMISSION_NB)+AV217*FIXED_PER_POLICY+AU217*NB_ACQUISITION</f>
        <v>8394.6324865238967</v>
      </c>
    </row>
    <row r="218" spans="1:52" ht="15" customHeight="1" x14ac:dyDescent="0.35">
      <c r="A218" s="59" t="str">
        <f>Segments!$A$198</f>
        <v>Non-greek</v>
      </c>
      <c r="B218" s="59" t="str">
        <f>Segments!$B$198</f>
        <v>Off 6+mi</v>
      </c>
      <c r="C218" s="59" t="str">
        <f>Segments!$C$198</f>
        <v>No</v>
      </c>
      <c r="D218" s="59" t="str">
        <f>Segments!$D$198</f>
        <v>2.0-3.0</v>
      </c>
      <c r="E218" s="59" t="str">
        <f>Segments!$E$198</f>
        <v>Senior</v>
      </c>
      <c r="F218" s="59">
        <f>Segments!$F$198</f>
        <v>3</v>
      </c>
      <c r="G218" s="59" t="str">
        <f>Segments!$G$198</f>
        <v>Base</v>
      </c>
      <c r="H218" s="60">
        <f>Segments!$H$198</f>
        <v>16</v>
      </c>
      <c r="I218" s="26">
        <f>Segments!$Y$198</f>
        <v>1255.2222705278928</v>
      </c>
      <c r="J218" s="29">
        <v>3</v>
      </c>
      <c r="K218" s="14">
        <f t="shared" si="117"/>
        <v>1426.2297754450396</v>
      </c>
      <c r="L218" s="14">
        <f t="shared" si="118"/>
        <v>1255.2222705278928</v>
      </c>
      <c r="M218" s="14">
        <f t="shared" si="119"/>
        <v>2082.7559352357134</v>
      </c>
      <c r="N218" s="14">
        <f t="shared" si="120"/>
        <v>1723.5105250093645</v>
      </c>
      <c r="O218" s="14">
        <f t="shared" si="121"/>
        <v>1426.2297754450396</v>
      </c>
      <c r="P218" s="33">
        <f t="shared" si="122"/>
        <v>0.93624280074028254</v>
      </c>
      <c r="Q218" s="33">
        <f t="shared" si="123"/>
        <v>0.43624280074028254</v>
      </c>
      <c r="R218" s="51">
        <f t="shared" si="124"/>
        <v>18.724856014805653</v>
      </c>
      <c r="S218" s="51">
        <f>APPLICANTS_PER_YEAR*($H218/Segments!$AH$2)*Q218</f>
        <v>8.3758617742134245</v>
      </c>
      <c r="T218" s="51">
        <f t="shared" si="125"/>
        <v>27.100717789019079</v>
      </c>
      <c r="U218" s="14">
        <f t="shared" si="126"/>
        <v>1426.2297754450394</v>
      </c>
      <c r="V218" s="44">
        <f t="shared" si="127"/>
        <v>38651.850646632069</v>
      </c>
      <c r="W218" s="44">
        <f t="shared" si="128"/>
        <v>38099.515457996371</v>
      </c>
      <c r="X218" s="44">
        <f t="shared" si="129"/>
        <v>8474.7172933580077</v>
      </c>
      <c r="Y218" s="14">
        <f t="shared" si="130"/>
        <v>1426.2297754450396</v>
      </c>
      <c r="Z218" s="14">
        <f t="shared" si="131"/>
        <v>1292.8789386437295</v>
      </c>
      <c r="AA218" s="14">
        <f t="shared" si="132"/>
        <v>2143.9886132927845</v>
      </c>
      <c r="AB218" s="14">
        <f t="shared" si="133"/>
        <v>1774.6985688978532</v>
      </c>
      <c r="AC218" s="14">
        <f t="shared" si="134"/>
        <v>1469.0166687083909</v>
      </c>
      <c r="AD218" s="33">
        <f t="shared" si="135"/>
        <v>0.92712220281985713</v>
      </c>
      <c r="AE218" s="33">
        <f t="shared" si="136"/>
        <v>0.43612220281985714</v>
      </c>
      <c r="AF218" s="51">
        <f t="shared" si="137"/>
        <v>25.855849837629044</v>
      </c>
      <c r="AG218" s="51">
        <f>APPLICANTS_PER_YEAR*($H218/Segments!$AH$2)*AE218</f>
        <v>8.3735462941412564</v>
      </c>
      <c r="AH218" s="51">
        <f t="shared" si="138"/>
        <v>34.229396131770301</v>
      </c>
      <c r="AI218" s="14">
        <f t="shared" si="139"/>
        <v>1469.0166687083909</v>
      </c>
      <c r="AJ218" s="44">
        <f t="shared" si="140"/>
        <v>50283.553477393085</v>
      </c>
      <c r="AK218" s="44">
        <f t="shared" si="141"/>
        <v>49565.00118221005</v>
      </c>
      <c r="AL218" s="44">
        <f t="shared" si="142"/>
        <v>10828.048955096552</v>
      </c>
      <c r="AM218" s="14">
        <f t="shared" si="143"/>
        <v>1469.0166687083909</v>
      </c>
      <c r="AN218" s="14">
        <f t="shared" si="144"/>
        <v>1331.6653068030414</v>
      </c>
      <c r="AO218" s="14">
        <f t="shared" si="145"/>
        <v>2207.0582716915683</v>
      </c>
      <c r="AP218" s="14">
        <f t="shared" si="146"/>
        <v>1827.4221054872396</v>
      </c>
      <c r="AQ218" s="14">
        <f t="shared" si="147"/>
        <v>1513.0871687696424</v>
      </c>
      <c r="AR218" s="33">
        <f t="shared" si="148"/>
        <v>0.92700501651308076</v>
      </c>
      <c r="AS218" s="33">
        <f t="shared" si="149"/>
        <v>0.4360050165130806</v>
      </c>
      <c r="AT218" s="51">
        <f t="shared" si="150"/>
        <v>28.135297500999474</v>
      </c>
      <c r="AU218" s="51">
        <f>APPLICANTS_PER_YEAR*($H218/Segments!$AH$2)*AS218</f>
        <v>8.3712963170511472</v>
      </c>
      <c r="AV218" s="51">
        <f t="shared" si="151"/>
        <v>36.506593818050618</v>
      </c>
      <c r="AW218" s="14">
        <f t="shared" si="152"/>
        <v>1513.0871687696426</v>
      </c>
      <c r="AX218" s="44">
        <f t="shared" si="153"/>
        <v>55237.658681577544</v>
      </c>
      <c r="AY218" s="44">
        <f t="shared" si="154"/>
        <v>54448.312191894205</v>
      </c>
      <c r="AZ218" s="44">
        <f t="shared" si="155"/>
        <v>11822.659311620901</v>
      </c>
    </row>
    <row r="219" spans="1:52" ht="15" customHeight="1" x14ac:dyDescent="0.35">
      <c r="A219" s="59" t="str">
        <f>Segments!$A$199</f>
        <v>Non-greek</v>
      </c>
      <c r="B219" s="59" t="str">
        <f>Segments!$B$199</f>
        <v>Off 6+mi</v>
      </c>
      <c r="C219" s="59" t="str">
        <f>Segments!$C$199</f>
        <v>No</v>
      </c>
      <c r="D219" s="59" t="str">
        <f>Segments!$D$199</f>
        <v>2.0-3.0</v>
      </c>
      <c r="E219" s="59" t="str">
        <f>Segments!$E$199</f>
        <v>Grad student</v>
      </c>
      <c r="F219" s="59">
        <f>Segments!$F$199</f>
        <v>3</v>
      </c>
      <c r="G219" s="59" t="str">
        <f>Segments!$G$199</f>
        <v>Grad</v>
      </c>
      <c r="H219" s="60">
        <f>Segments!$H$199</f>
        <v>11</v>
      </c>
      <c r="I219" s="26">
        <f>Segments!$Y$199</f>
        <v>1494.5685890222114</v>
      </c>
      <c r="J219" s="29">
        <v>4</v>
      </c>
      <c r="K219" s="14">
        <f t="shared" si="117"/>
        <v>1426.2297754450396</v>
      </c>
      <c r="L219" s="14">
        <f t="shared" si="118"/>
        <v>1494.5685890222114</v>
      </c>
      <c r="M219" s="14">
        <f t="shared" si="119"/>
        <v>2471.9517084630393</v>
      </c>
      <c r="N219" s="14">
        <f t="shared" si="120"/>
        <v>1877.650428080856</v>
      </c>
      <c r="O219" s="14">
        <f t="shared" si="121"/>
        <v>1426.2297754450396</v>
      </c>
      <c r="P219" s="33">
        <f t="shared" si="122"/>
        <v>0.95</v>
      </c>
      <c r="Q219" s="33">
        <f t="shared" si="123"/>
        <v>0.47020891798725623</v>
      </c>
      <c r="R219" s="51">
        <f t="shared" si="124"/>
        <v>5.2249999999999996</v>
      </c>
      <c r="S219" s="51">
        <f>APPLICANTS_PER_YEAR*($H219/Segments!$AH$2)*Q219</f>
        <v>6.206757717431783</v>
      </c>
      <c r="T219" s="51">
        <f t="shared" si="125"/>
        <v>11.431757717431783</v>
      </c>
      <c r="U219" s="14">
        <f t="shared" si="126"/>
        <v>1426.2297754450396</v>
      </c>
      <c r="V219" s="44">
        <f t="shared" si="127"/>
        <v>16304.313242274831</v>
      </c>
      <c r="W219" s="44">
        <f t="shared" si="128"/>
        <v>19135.811522000091</v>
      </c>
      <c r="X219" s="44">
        <f t="shared" si="129"/>
        <v>3775.148493369481</v>
      </c>
      <c r="Y219" s="14">
        <f t="shared" si="130"/>
        <v>1426.2297754450396</v>
      </c>
      <c r="Z219" s="14">
        <f t="shared" si="131"/>
        <v>1539.4056466928778</v>
      </c>
      <c r="AA219" s="14">
        <f t="shared" si="132"/>
        <v>2544.8602597169306</v>
      </c>
      <c r="AB219" s="14">
        <f t="shared" si="133"/>
        <v>1933.5051437887967</v>
      </c>
      <c r="AC219" s="14">
        <f t="shared" si="134"/>
        <v>1469.0166687083909</v>
      </c>
      <c r="AD219" s="33">
        <f t="shared" si="135"/>
        <v>0.95</v>
      </c>
      <c r="AE219" s="33">
        <f t="shared" si="136"/>
        <v>0.47011565538693578</v>
      </c>
      <c r="AF219" s="51">
        <f t="shared" si="137"/>
        <v>5.4300849157800961</v>
      </c>
      <c r="AG219" s="51">
        <f>APPLICANTS_PER_YEAR*($H219/Segments!$AH$2)*AE219</f>
        <v>6.2055266511075526</v>
      </c>
      <c r="AH219" s="51">
        <f t="shared" si="138"/>
        <v>11.635611566887649</v>
      </c>
      <c r="AI219" s="14">
        <f t="shared" si="139"/>
        <v>1469.0166687083909</v>
      </c>
      <c r="AJ219" s="44">
        <f t="shared" si="140"/>
        <v>17092.907342374114</v>
      </c>
      <c r="AK219" s="44">
        <f t="shared" si="141"/>
        <v>20061.357286646828</v>
      </c>
      <c r="AL219" s="44">
        <f t="shared" si="142"/>
        <v>3937.4706584248402</v>
      </c>
      <c r="AM219" s="14">
        <f t="shared" si="143"/>
        <v>1469.0166687083909</v>
      </c>
      <c r="AN219" s="14">
        <f t="shared" si="144"/>
        <v>1585.5878160936641</v>
      </c>
      <c r="AO219" s="14">
        <f t="shared" si="145"/>
        <v>2619.9560675084385</v>
      </c>
      <c r="AP219" s="14">
        <f t="shared" si="146"/>
        <v>1991.0353860459611</v>
      </c>
      <c r="AQ219" s="14">
        <f t="shared" si="147"/>
        <v>1513.0871687696424</v>
      </c>
      <c r="AR219" s="33">
        <f t="shared" si="148"/>
        <v>0.95</v>
      </c>
      <c r="AS219" s="33">
        <f t="shared" si="149"/>
        <v>0.47002504340856693</v>
      </c>
      <c r="AT219" s="51">
        <f t="shared" si="150"/>
        <v>5.5269154942716332</v>
      </c>
      <c r="AU219" s="51">
        <f>APPLICANTS_PER_YEAR*($H219/Segments!$AH$2)*AS219</f>
        <v>6.2043305729930838</v>
      </c>
      <c r="AV219" s="51">
        <f t="shared" si="151"/>
        <v>11.731246067264717</v>
      </c>
      <c r="AW219" s="14">
        <f t="shared" si="152"/>
        <v>1513.0871687696426</v>
      </c>
      <c r="AX219" s="44">
        <f t="shared" si="153"/>
        <v>17750.397898057574</v>
      </c>
      <c r="AY219" s="44">
        <f t="shared" si="154"/>
        <v>20833.031331673847</v>
      </c>
      <c r="AZ219" s="44">
        <f t="shared" si="155"/>
        <v>4073.127642731039</v>
      </c>
    </row>
    <row r="220" spans="1:52" ht="15" customHeight="1" x14ac:dyDescent="0.35">
      <c r="A220" s="61" t="str">
        <f>Segments!$A$200</f>
        <v>Non-greek</v>
      </c>
      <c r="B220" s="61" t="str">
        <f>Segments!$B$200</f>
        <v>Off 6+mi</v>
      </c>
      <c r="C220" s="61" t="str">
        <f>Segments!$C$200</f>
        <v>No</v>
      </c>
      <c r="D220" s="61" t="str">
        <f>Segments!$D$200</f>
        <v>3.0+</v>
      </c>
      <c r="E220" s="61" t="str">
        <f>Segments!$E$200</f>
        <v>Freshman</v>
      </c>
      <c r="F220" s="61">
        <f>Segments!$F$200</f>
        <v>1</v>
      </c>
      <c r="G220" s="61" t="str">
        <f>Segments!$G$200</f>
        <v>Base</v>
      </c>
      <c r="H220" s="62">
        <f>Segments!$H$200</f>
        <v>4</v>
      </c>
      <c r="I220" s="63">
        <f>Segments!$Y$200</f>
        <v>994.82848214867533</v>
      </c>
      <c r="J220" s="42">
        <v>0</v>
      </c>
      <c r="K220" s="40">
        <f t="shared" si="117"/>
        <v>1659.3353351221263</v>
      </c>
      <c r="L220" s="40">
        <f t="shared" si="118"/>
        <v>994.82848214867533</v>
      </c>
      <c r="M220" s="40">
        <f t="shared" si="119"/>
        <v>1659.3353351221263</v>
      </c>
      <c r="N220" s="40">
        <f t="shared" si="120"/>
        <v>1538.3736419996444</v>
      </c>
      <c r="O220" s="40">
        <f t="shared" si="121"/>
        <v>1426.2297754450396</v>
      </c>
      <c r="P220" s="41">
        <f t="shared" si="122"/>
        <v>0.88644883905084182</v>
      </c>
      <c r="Q220" s="41">
        <f t="shared" si="123"/>
        <v>0.38644883905084176</v>
      </c>
      <c r="R220" s="64">
        <f t="shared" si="124"/>
        <v>0</v>
      </c>
      <c r="S220" s="64">
        <f>APPLICANTS_PER_YEAR*($H220/Segments!$AH$2)*Q220</f>
        <v>1.8549544274440404</v>
      </c>
      <c r="T220" s="64">
        <f t="shared" si="125"/>
        <v>1.8549544274440404</v>
      </c>
      <c r="U220" s="40">
        <f t="shared" si="126"/>
        <v>1426.2297754450396</v>
      </c>
      <c r="V220" s="65">
        <f t="shared" si="127"/>
        <v>2645.5912365142958</v>
      </c>
      <c r="W220" s="65">
        <f t="shared" si="128"/>
        <v>2066.8048772102143</v>
      </c>
      <c r="X220" s="65">
        <f t="shared" si="129"/>
        <v>676.08538621418404</v>
      </c>
      <c r="Y220" s="40">
        <f t="shared" si="130"/>
        <v>1707.8653951757901</v>
      </c>
      <c r="Z220" s="40">
        <f t="shared" si="131"/>
        <v>1024.6733366131357</v>
      </c>
      <c r="AA220" s="40">
        <f t="shared" si="132"/>
        <v>1707.8653951757901</v>
      </c>
      <c r="AB220" s="40">
        <f t="shared" si="133"/>
        <v>1583.9453063232577</v>
      </c>
      <c r="AC220" s="40">
        <f t="shared" si="134"/>
        <v>1469.0166687083909</v>
      </c>
      <c r="AD220" s="41">
        <f t="shared" si="135"/>
        <v>0.8862792317247512</v>
      </c>
      <c r="AE220" s="41">
        <f t="shared" si="136"/>
        <v>0.38627923172475115</v>
      </c>
      <c r="AF220" s="64">
        <f t="shared" si="137"/>
        <v>0</v>
      </c>
      <c r="AG220" s="64">
        <f>APPLICANTS_PER_YEAR*($H220/Segments!$AH$2)*AE220</f>
        <v>1.8541403122788054</v>
      </c>
      <c r="AH220" s="64">
        <f t="shared" si="138"/>
        <v>1.8541403122788054</v>
      </c>
      <c r="AI220" s="40">
        <f t="shared" si="139"/>
        <v>1469.0166687083909</v>
      </c>
      <c r="AJ220" s="65">
        <f t="shared" si="140"/>
        <v>2723.7630248617461</v>
      </c>
      <c r="AK220" s="65">
        <f t="shared" si="141"/>
        <v>2127.8747171714422</v>
      </c>
      <c r="AL220" s="65">
        <f t="shared" si="142"/>
        <v>693.5592316215774</v>
      </c>
      <c r="AM220" s="40">
        <f t="shared" si="143"/>
        <v>1757.8513570310636</v>
      </c>
      <c r="AN220" s="40">
        <f t="shared" si="144"/>
        <v>1055.4135367115296</v>
      </c>
      <c r="AO220" s="40">
        <f t="shared" si="145"/>
        <v>1757.8513570310636</v>
      </c>
      <c r="AP220" s="40">
        <f t="shared" si="146"/>
        <v>1630.8839115424514</v>
      </c>
      <c r="AQ220" s="40">
        <f t="shared" si="147"/>
        <v>1513.0871687696424</v>
      </c>
      <c r="AR220" s="41">
        <f t="shared" si="148"/>
        <v>0.88611438617399796</v>
      </c>
      <c r="AS220" s="41">
        <f t="shared" si="149"/>
        <v>0.38611438617399801</v>
      </c>
      <c r="AT220" s="64">
        <f t="shared" si="150"/>
        <v>0</v>
      </c>
      <c r="AU220" s="64">
        <f>APPLICANTS_PER_YEAR*($H220/Segments!$AH$2)*AS220</f>
        <v>1.8533490536351904</v>
      </c>
      <c r="AV220" s="64">
        <f t="shared" si="151"/>
        <v>1.8533490536351904</v>
      </c>
      <c r="AW220" s="40">
        <f t="shared" si="152"/>
        <v>1513.0871687696424</v>
      </c>
      <c r="AX220" s="65">
        <f t="shared" si="153"/>
        <v>2804.2786723067666</v>
      </c>
      <c r="AY220" s="65">
        <f t="shared" si="154"/>
        <v>2190.775640993053</v>
      </c>
      <c r="AZ220" s="65">
        <f t="shared" si="155"/>
        <v>711.55913001029921</v>
      </c>
    </row>
    <row r="221" spans="1:52" ht="15" customHeight="1" x14ac:dyDescent="0.35">
      <c r="A221" s="61" t="str">
        <f>Segments!$A$201</f>
        <v>Non-greek</v>
      </c>
      <c r="B221" s="61" t="str">
        <f>Segments!$B$201</f>
        <v>Off 6+mi</v>
      </c>
      <c r="C221" s="61" t="str">
        <f>Segments!$C$201</f>
        <v>No</v>
      </c>
      <c r="D221" s="61" t="str">
        <f>Segments!$D$201</f>
        <v>3.0+</v>
      </c>
      <c r="E221" s="61" t="str">
        <f>Segments!$E$201</f>
        <v>Sophomore</v>
      </c>
      <c r="F221" s="61">
        <f>Segments!$F$201</f>
        <v>1</v>
      </c>
      <c r="G221" s="61" t="str">
        <f>Segments!$G$201</f>
        <v>Sophomore</v>
      </c>
      <c r="H221" s="62">
        <f>Segments!$H$201</f>
        <v>12</v>
      </c>
      <c r="I221" s="63">
        <f>Segments!$Y$201</f>
        <v>984.70733873545021</v>
      </c>
      <c r="J221" s="42">
        <v>1</v>
      </c>
      <c r="K221" s="40">
        <f t="shared" si="117"/>
        <v>1426.2297754450396</v>
      </c>
      <c r="L221" s="40">
        <f t="shared" si="118"/>
        <v>984.70733873545021</v>
      </c>
      <c r="M221" s="40">
        <f t="shared" si="119"/>
        <v>1642.8775668914095</v>
      </c>
      <c r="N221" s="40">
        <f t="shared" si="120"/>
        <v>1530.7256133321962</v>
      </c>
      <c r="O221" s="40">
        <f t="shared" si="121"/>
        <v>1426.2297754450396</v>
      </c>
      <c r="P221" s="41">
        <f t="shared" si="122"/>
        <v>0.88413277891773245</v>
      </c>
      <c r="Q221" s="41">
        <f t="shared" si="123"/>
        <v>0.38413277891773245</v>
      </c>
      <c r="R221" s="64">
        <f t="shared" si="124"/>
        <v>3.5365311156709298</v>
      </c>
      <c r="S221" s="64">
        <f>APPLICANTS_PER_YEAR*($H221/Segments!$AH$2)*Q221</f>
        <v>5.5315120164153466</v>
      </c>
      <c r="T221" s="64">
        <f t="shared" si="125"/>
        <v>9.0680431320862773</v>
      </c>
      <c r="U221" s="40">
        <f t="shared" si="126"/>
        <v>1426.2297754450394</v>
      </c>
      <c r="V221" s="65">
        <f t="shared" si="127"/>
        <v>12933.113120001344</v>
      </c>
      <c r="W221" s="65">
        <f t="shared" si="128"/>
        <v>10000.892854551152</v>
      </c>
      <c r="X221" s="65">
        <f t="shared" si="129"/>
        <v>3040.1292926688889</v>
      </c>
      <c r="Y221" s="40">
        <f t="shared" si="130"/>
        <v>1426.2297754450396</v>
      </c>
      <c r="Z221" s="40">
        <f t="shared" si="131"/>
        <v>1014.2485588975137</v>
      </c>
      <c r="AA221" s="40">
        <f t="shared" si="132"/>
        <v>1690.9138938981519</v>
      </c>
      <c r="AB221" s="40">
        <f t="shared" si="133"/>
        <v>1576.0649401236601</v>
      </c>
      <c r="AC221" s="40">
        <f t="shared" si="134"/>
        <v>1469.0166687083909</v>
      </c>
      <c r="AD221" s="41">
        <f t="shared" si="135"/>
        <v>0.87496061567325711</v>
      </c>
      <c r="AE221" s="41">
        <f t="shared" si="136"/>
        <v>0.38396061567325712</v>
      </c>
      <c r="AF221" s="64">
        <f t="shared" si="137"/>
        <v>1.6230120678822717</v>
      </c>
      <c r="AG221" s="64">
        <f>APPLICANTS_PER_YEAR*($H221/Segments!$AH$2)*AE221</f>
        <v>5.5290328656949024</v>
      </c>
      <c r="AH221" s="64">
        <f t="shared" si="138"/>
        <v>7.1520449335771739</v>
      </c>
      <c r="AI221" s="40">
        <f t="shared" si="139"/>
        <v>1469.0166687083909</v>
      </c>
      <c r="AJ221" s="65">
        <f t="shared" si="140"/>
        <v>10506.473222776265</v>
      </c>
      <c r="AK221" s="65">
        <f t="shared" si="141"/>
        <v>8124.4254190970232</v>
      </c>
      <c r="AL221" s="65">
        <f t="shared" si="142"/>
        <v>2551.2686098726117</v>
      </c>
      <c r="AM221" s="40">
        <f t="shared" si="143"/>
        <v>1469.0166687083909</v>
      </c>
      <c r="AN221" s="40">
        <f t="shared" si="144"/>
        <v>1044.6760156644391</v>
      </c>
      <c r="AO221" s="40">
        <f t="shared" si="145"/>
        <v>1740.3913107150963</v>
      </c>
      <c r="AP221" s="40">
        <f t="shared" si="146"/>
        <v>1622.7642345335298</v>
      </c>
      <c r="AQ221" s="40">
        <f t="shared" si="147"/>
        <v>1513.0871687696424</v>
      </c>
      <c r="AR221" s="41">
        <f t="shared" si="148"/>
        <v>0.87479328414747037</v>
      </c>
      <c r="AS221" s="41">
        <f t="shared" si="149"/>
        <v>0.38379328414747027</v>
      </c>
      <c r="AT221" s="64">
        <f t="shared" si="150"/>
        <v>1.6219894930485925</v>
      </c>
      <c r="AU221" s="64">
        <f>APPLICANTS_PER_YEAR*($H221/Segments!$AH$2)*AS221</f>
        <v>5.5266232917235714</v>
      </c>
      <c r="AV221" s="64">
        <f t="shared" si="151"/>
        <v>7.1486127847721637</v>
      </c>
      <c r="AW221" s="40">
        <f t="shared" si="152"/>
        <v>1513.0871687696429</v>
      </c>
      <c r="AX221" s="65">
        <f t="shared" si="153"/>
        <v>10816.474279141385</v>
      </c>
      <c r="AY221" s="65">
        <f t="shared" si="154"/>
        <v>8364.1424401064942</v>
      </c>
      <c r="AZ221" s="65">
        <f t="shared" si="155"/>
        <v>2618.1306743728178</v>
      </c>
    </row>
    <row r="222" spans="1:52" ht="15" customHeight="1" x14ac:dyDescent="0.35">
      <c r="A222" s="61" t="str">
        <f>Segments!$A$202</f>
        <v>Non-greek</v>
      </c>
      <c r="B222" s="61" t="str">
        <f>Segments!$B$202</f>
        <v>Off 6+mi</v>
      </c>
      <c r="C222" s="61" t="str">
        <f>Segments!$C$202</f>
        <v>No</v>
      </c>
      <c r="D222" s="61" t="str">
        <f>Segments!$D$202</f>
        <v>3.0+</v>
      </c>
      <c r="E222" s="61" t="str">
        <f>Segments!$E$202</f>
        <v>Junior</v>
      </c>
      <c r="F222" s="61">
        <f>Segments!$F$202</f>
        <v>2</v>
      </c>
      <c r="G222" s="61" t="str">
        <f>Segments!$G$202</f>
        <v>Base</v>
      </c>
      <c r="H222" s="62">
        <f>Segments!$H$202</f>
        <v>9</v>
      </c>
      <c r="I222" s="63">
        <f>Segments!$Y$202</f>
        <v>1177.1443847616015</v>
      </c>
      <c r="J222" s="42">
        <v>2</v>
      </c>
      <c r="K222" s="40">
        <f t="shared" si="117"/>
        <v>1426.2297754450396</v>
      </c>
      <c r="L222" s="40">
        <f t="shared" si="118"/>
        <v>1177.1443847616015</v>
      </c>
      <c r="M222" s="40">
        <f t="shared" si="119"/>
        <v>1955.7952060549644</v>
      </c>
      <c r="N222" s="40">
        <f t="shared" si="120"/>
        <v>1670.1536927924499</v>
      </c>
      <c r="O222" s="40">
        <f t="shared" si="121"/>
        <v>1426.2297754450396</v>
      </c>
      <c r="P222" s="41">
        <f t="shared" si="122"/>
        <v>0.92302439242569834</v>
      </c>
      <c r="Q222" s="41">
        <f t="shared" si="123"/>
        <v>0.42302439242569834</v>
      </c>
      <c r="R222" s="64">
        <f t="shared" si="124"/>
        <v>11.07629270910838</v>
      </c>
      <c r="S222" s="64">
        <f>APPLICANTS_PER_YEAR*($H222/Segments!$AH$2)*Q222</f>
        <v>4.5686634381975413</v>
      </c>
      <c r="T222" s="64">
        <f t="shared" si="125"/>
        <v>15.644956147305921</v>
      </c>
      <c r="U222" s="40">
        <f t="shared" si="126"/>
        <v>1426.2297754450396</v>
      </c>
      <c r="V222" s="65">
        <f t="shared" si="127"/>
        <v>22313.302292819615</v>
      </c>
      <c r="W222" s="65">
        <f t="shared" si="128"/>
        <v>20626.336952079782</v>
      </c>
      <c r="X222" s="65">
        <f t="shared" si="129"/>
        <v>4872.3885762780201</v>
      </c>
      <c r="Y222" s="40">
        <f t="shared" si="130"/>
        <v>1426.2297754450394</v>
      </c>
      <c r="Z222" s="40">
        <f t="shared" si="131"/>
        <v>1212.4587163044496</v>
      </c>
      <c r="AA222" s="40">
        <f t="shared" si="132"/>
        <v>2013.2190622366134</v>
      </c>
      <c r="AB222" s="40">
        <f t="shared" si="133"/>
        <v>1719.7245012463654</v>
      </c>
      <c r="AC222" s="40">
        <f t="shared" si="134"/>
        <v>1469.0166687083909</v>
      </c>
      <c r="AD222" s="41">
        <f t="shared" si="135"/>
        <v>0.9138918592356724</v>
      </c>
      <c r="AE222" s="41">
        <f t="shared" si="136"/>
        <v>0.42289185923567257</v>
      </c>
      <c r="AF222" s="64">
        <f t="shared" si="137"/>
        <v>8.2872107976115981</v>
      </c>
      <c r="AG222" s="64">
        <f>APPLICANTS_PER_YEAR*($H222/Segments!$AH$2)*AE222</f>
        <v>4.5672320797452635</v>
      </c>
      <c r="AH222" s="64">
        <f t="shared" si="138"/>
        <v>12.854442877356862</v>
      </c>
      <c r="AI222" s="40">
        <f t="shared" si="139"/>
        <v>1469.0166687083909</v>
      </c>
      <c r="AJ222" s="65">
        <f t="shared" si="140"/>
        <v>18883.390853797078</v>
      </c>
      <c r="AK222" s="65">
        <f t="shared" si="141"/>
        <v>17455.739067075654</v>
      </c>
      <c r="AL222" s="65">
        <f t="shared" si="142"/>
        <v>4175.0574328336088</v>
      </c>
      <c r="AM222" s="40">
        <f t="shared" si="143"/>
        <v>1469.0166687083909</v>
      </c>
      <c r="AN222" s="40">
        <f t="shared" si="144"/>
        <v>1248.8324777935829</v>
      </c>
      <c r="AO222" s="40">
        <f t="shared" si="145"/>
        <v>2072.3656341037113</v>
      </c>
      <c r="AP222" s="40">
        <f t="shared" si="146"/>
        <v>1770.7822706254683</v>
      </c>
      <c r="AQ222" s="40">
        <f t="shared" si="147"/>
        <v>1513.0871687696424</v>
      </c>
      <c r="AR222" s="41">
        <f t="shared" si="148"/>
        <v>0.91376306808877306</v>
      </c>
      <c r="AS222" s="41">
        <f t="shared" si="149"/>
        <v>0.42276306808877295</v>
      </c>
      <c r="AT222" s="64">
        <f t="shared" si="150"/>
        <v>6.5352745216142436</v>
      </c>
      <c r="AU222" s="64">
        <f>APPLICANTS_PER_YEAR*($H222/Segments!$AH$2)*AS222</f>
        <v>4.5658411353587471</v>
      </c>
      <c r="AV222" s="64">
        <f t="shared" si="151"/>
        <v>11.10111565697299</v>
      </c>
      <c r="AW222" s="40">
        <f t="shared" si="152"/>
        <v>1513.0871687696426</v>
      </c>
      <c r="AX222" s="65">
        <f t="shared" si="153"/>
        <v>16796.955659593612</v>
      </c>
      <c r="AY222" s="65">
        <f t="shared" si="154"/>
        <v>15527.045824831206</v>
      </c>
      <c r="AZ222" s="65">
        <f t="shared" si="155"/>
        <v>3752.591008465939</v>
      </c>
    </row>
    <row r="223" spans="1:52" ht="15" customHeight="1" x14ac:dyDescent="0.35">
      <c r="A223" s="61" t="str">
        <f>Segments!$A$203</f>
        <v>Non-greek</v>
      </c>
      <c r="B223" s="61" t="str">
        <f>Segments!$B$203</f>
        <v>Off 6+mi</v>
      </c>
      <c r="C223" s="61" t="str">
        <f>Segments!$C$203</f>
        <v>No</v>
      </c>
      <c r="D223" s="61" t="str">
        <f>Segments!$D$203</f>
        <v>3.0+</v>
      </c>
      <c r="E223" s="61" t="str">
        <f>Segments!$E$203</f>
        <v>Senior</v>
      </c>
      <c r="F223" s="61">
        <f>Segments!$F$203</f>
        <v>3</v>
      </c>
      <c r="G223" s="61" t="str">
        <f>Segments!$G$203</f>
        <v>Base</v>
      </c>
      <c r="H223" s="62">
        <f>Segments!$H$203</f>
        <v>11</v>
      </c>
      <c r="I223" s="63">
        <f>Segments!$Y$203</f>
        <v>1100.2620908676499</v>
      </c>
      <c r="J223" s="42">
        <v>3</v>
      </c>
      <c r="K223" s="40">
        <f t="shared" si="117"/>
        <v>1426.2297754450396</v>
      </c>
      <c r="L223" s="40">
        <f t="shared" si="118"/>
        <v>1100.2620908676499</v>
      </c>
      <c r="M223" s="40">
        <f t="shared" si="119"/>
        <v>1830.778602466565</v>
      </c>
      <c r="N223" s="40">
        <f t="shared" si="120"/>
        <v>1615.8932375269947</v>
      </c>
      <c r="O223" s="40">
        <f t="shared" si="121"/>
        <v>1426.2297754450396</v>
      </c>
      <c r="P223" s="41">
        <f t="shared" si="122"/>
        <v>0.90868687908250079</v>
      </c>
      <c r="Q223" s="41">
        <f t="shared" si="123"/>
        <v>0.40868687908250079</v>
      </c>
      <c r="R223" s="64">
        <f t="shared" si="124"/>
        <v>8.1781819117425076</v>
      </c>
      <c r="S223" s="64">
        <f>APPLICANTS_PER_YEAR*($H223/Segments!$AH$2)*Q223</f>
        <v>5.3946668038890104</v>
      </c>
      <c r="T223" s="64">
        <f t="shared" si="125"/>
        <v>13.572848715631519</v>
      </c>
      <c r="U223" s="40">
        <f t="shared" si="126"/>
        <v>1426.2297754450396</v>
      </c>
      <c r="V223" s="65">
        <f t="shared" si="127"/>
        <v>19358.000975844636</v>
      </c>
      <c r="W223" s="65">
        <f t="shared" si="128"/>
        <v>16725.733815717958</v>
      </c>
      <c r="X223" s="65">
        <f t="shared" si="129"/>
        <v>4334.2770336953918</v>
      </c>
      <c r="Y223" s="40">
        <f t="shared" si="130"/>
        <v>1426.2297754450396</v>
      </c>
      <c r="Z223" s="40">
        <f t="shared" si="131"/>
        <v>1133.2699535936795</v>
      </c>
      <c r="AA223" s="40">
        <f t="shared" si="132"/>
        <v>1884.4519605405619</v>
      </c>
      <c r="AB223" s="40">
        <f t="shared" si="133"/>
        <v>1663.8183018029017</v>
      </c>
      <c r="AC223" s="40">
        <f t="shared" si="134"/>
        <v>1469.0166687083909</v>
      </c>
      <c r="AD223" s="41">
        <f t="shared" si="135"/>
        <v>0.89954053681325219</v>
      </c>
      <c r="AE223" s="41">
        <f t="shared" si="136"/>
        <v>0.40854053681325214</v>
      </c>
      <c r="AF223" s="64">
        <f t="shared" si="137"/>
        <v>14.073272251167358</v>
      </c>
      <c r="AG223" s="64">
        <f>APPLICANTS_PER_YEAR*($H223/Segments!$AH$2)*AE223</f>
        <v>5.3927350859349286</v>
      </c>
      <c r="AH223" s="64">
        <f t="shared" si="138"/>
        <v>19.466007337102287</v>
      </c>
      <c r="AI223" s="40">
        <f t="shared" si="139"/>
        <v>1469.0166687083909</v>
      </c>
      <c r="AJ223" s="65">
        <f t="shared" si="140"/>
        <v>28595.889251403096</v>
      </c>
      <c r="AK223" s="65">
        <f t="shared" si="141"/>
        <v>24707.470179360793</v>
      </c>
      <c r="AL223" s="65">
        <f t="shared" si="142"/>
        <v>6206.0322129964479</v>
      </c>
      <c r="AM223" s="40">
        <f t="shared" si="143"/>
        <v>1469.0166687083909</v>
      </c>
      <c r="AN223" s="40">
        <f t="shared" si="144"/>
        <v>1167.2680522014898</v>
      </c>
      <c r="AO223" s="40">
        <f t="shared" si="145"/>
        <v>1939.7355193567787</v>
      </c>
      <c r="AP223" s="40">
        <f t="shared" si="146"/>
        <v>1713.1809376552908</v>
      </c>
      <c r="AQ223" s="40">
        <f t="shared" si="147"/>
        <v>1513.0871687696424</v>
      </c>
      <c r="AR223" s="41">
        <f t="shared" si="148"/>
        <v>0.89939831756460675</v>
      </c>
      <c r="AS223" s="41">
        <f t="shared" si="149"/>
        <v>0.40839831756460659</v>
      </c>
      <c r="AT223" s="64">
        <f t="shared" si="150"/>
        <v>11.561264297125105</v>
      </c>
      <c r="AU223" s="64">
        <f>APPLICANTS_PER_YEAR*($H223/Segments!$AH$2)*AS223</f>
        <v>5.3908577918528078</v>
      </c>
      <c r="AV223" s="64">
        <f t="shared" si="151"/>
        <v>16.952122088977912</v>
      </c>
      <c r="AW223" s="40">
        <f t="shared" si="152"/>
        <v>1513.0871687696424</v>
      </c>
      <c r="AX223" s="65">
        <f t="shared" si="153"/>
        <v>25650.038416248906</v>
      </c>
      <c r="AY223" s="65">
        <f t="shared" si="154"/>
        <v>22162.190995261073</v>
      </c>
      <c r="AZ223" s="65">
        <f t="shared" si="155"/>
        <v>5607.1604686199234</v>
      </c>
    </row>
    <row r="224" spans="1:52" ht="15" customHeight="1" x14ac:dyDescent="0.35">
      <c r="A224" s="61" t="str">
        <f>Segments!$A$204</f>
        <v>Non-greek</v>
      </c>
      <c r="B224" s="61" t="str">
        <f>Segments!$B$204</f>
        <v>Off 6+mi</v>
      </c>
      <c r="C224" s="61" t="str">
        <f>Segments!$C$204</f>
        <v>No</v>
      </c>
      <c r="D224" s="61" t="str">
        <f>Segments!$D$204</f>
        <v>3.0+</v>
      </c>
      <c r="E224" s="61" t="str">
        <f>Segments!$E$204</f>
        <v>Grad student</v>
      </c>
      <c r="F224" s="61">
        <f>Segments!$F$204</f>
        <v>3</v>
      </c>
      <c r="G224" s="61" t="str">
        <f>Segments!$G$204</f>
        <v>Grad</v>
      </c>
      <c r="H224" s="62">
        <f>Segments!$H$204</f>
        <v>4</v>
      </c>
      <c r="I224" s="63">
        <f>Segments!$Y$204</f>
        <v>1310.0605361400419</v>
      </c>
      <c r="J224" s="42">
        <v>4</v>
      </c>
      <c r="K224" s="40">
        <f t="shared" si="117"/>
        <v>1426.2297754450396</v>
      </c>
      <c r="L224" s="40">
        <f t="shared" si="118"/>
        <v>1310.0605361400419</v>
      </c>
      <c r="M224" s="40">
        <f t="shared" si="119"/>
        <v>2171.9272302931408</v>
      </c>
      <c r="N224" s="40">
        <f t="shared" si="120"/>
        <v>1760.0191152211823</v>
      </c>
      <c r="O224" s="40">
        <f t="shared" si="121"/>
        <v>1426.2297754450396</v>
      </c>
      <c r="P224" s="41">
        <f t="shared" si="122"/>
        <v>0.94482548708972258</v>
      </c>
      <c r="Q224" s="41">
        <f t="shared" si="123"/>
        <v>0.44482548708972264</v>
      </c>
      <c r="R224" s="64">
        <f t="shared" si="124"/>
        <v>1.8896509741794452</v>
      </c>
      <c r="S224" s="64">
        <f>APPLICANTS_PER_YEAR*($H224/Segments!$AH$2)*Q224</f>
        <v>2.1351623380306686</v>
      </c>
      <c r="T224" s="64">
        <f t="shared" si="125"/>
        <v>4.0248133122101137</v>
      </c>
      <c r="U224" s="40">
        <f t="shared" si="126"/>
        <v>1426.2297754450396</v>
      </c>
      <c r="V224" s="65">
        <f t="shared" si="127"/>
        <v>5740.3085864816367</v>
      </c>
      <c r="W224" s="65">
        <f t="shared" si="128"/>
        <v>5905.4789759364676</v>
      </c>
      <c r="X224" s="65">
        <f t="shared" si="129"/>
        <v>1325.3767711067851</v>
      </c>
      <c r="Y224" s="40">
        <f t="shared" si="130"/>
        <v>1426.2297754450396</v>
      </c>
      <c r="Z224" s="40">
        <f t="shared" si="131"/>
        <v>1349.3623522242433</v>
      </c>
      <c r="AA224" s="40">
        <f t="shared" si="132"/>
        <v>2235.8350472019351</v>
      </c>
      <c r="AB224" s="40">
        <f t="shared" si="133"/>
        <v>1812.3131497680124</v>
      </c>
      <c r="AC224" s="40">
        <f t="shared" si="134"/>
        <v>1469.0166687083909</v>
      </c>
      <c r="AD224" s="41">
        <f t="shared" si="135"/>
        <v>0.93571224139811748</v>
      </c>
      <c r="AE224" s="41">
        <f t="shared" si="136"/>
        <v>0.44471224139811755</v>
      </c>
      <c r="AF224" s="64">
        <f t="shared" si="137"/>
        <v>1.8830335427885534</v>
      </c>
      <c r="AG224" s="64">
        <f>APPLICANTS_PER_YEAR*($H224/Segments!$AH$2)*AE224</f>
        <v>2.134618758710964</v>
      </c>
      <c r="AH224" s="64">
        <f t="shared" si="138"/>
        <v>4.0176523014995169</v>
      </c>
      <c r="AI224" s="40">
        <f t="shared" si="139"/>
        <v>1469.0166687083911</v>
      </c>
      <c r="AJ224" s="65">
        <f t="shared" si="140"/>
        <v>5901.9981999774209</v>
      </c>
      <c r="AK224" s="65">
        <f t="shared" si="141"/>
        <v>6071.8210111669978</v>
      </c>
      <c r="AL224" s="65">
        <f t="shared" si="142"/>
        <v>1358.9488436194376</v>
      </c>
      <c r="AM224" s="40">
        <f t="shared" si="143"/>
        <v>1469.0166687083911</v>
      </c>
      <c r="AN224" s="40">
        <f t="shared" si="144"/>
        <v>1389.8432227909705</v>
      </c>
      <c r="AO224" s="40">
        <f t="shared" si="145"/>
        <v>2301.6600986179928</v>
      </c>
      <c r="AP224" s="40">
        <f t="shared" si="146"/>
        <v>1866.1758657982789</v>
      </c>
      <c r="AQ224" s="40">
        <f t="shared" si="147"/>
        <v>1513.0871687696424</v>
      </c>
      <c r="AR224" s="41">
        <f t="shared" si="148"/>
        <v>0.93560220322740029</v>
      </c>
      <c r="AS224" s="41">
        <f t="shared" si="149"/>
        <v>0.44460220322740013</v>
      </c>
      <c r="AT224" s="64">
        <f t="shared" si="150"/>
        <v>1.8794621725422918</v>
      </c>
      <c r="AU224" s="64">
        <f>APPLICANTS_PER_YEAR*($H224/Segments!$AH$2)*AS224</f>
        <v>2.1340905754915207</v>
      </c>
      <c r="AV224" s="64">
        <f t="shared" si="151"/>
        <v>4.0135527480338125</v>
      </c>
      <c r="AW224" s="40">
        <f t="shared" si="152"/>
        <v>1513.0871687696424</v>
      </c>
      <c r="AX224" s="65">
        <f t="shared" si="153"/>
        <v>6072.855164230099</v>
      </c>
      <c r="AY224" s="65">
        <f t="shared" si="154"/>
        <v>6247.5941765091338</v>
      </c>
      <c r="AZ224" s="65">
        <f t="shared" si="155"/>
        <v>1394.4102227243484</v>
      </c>
    </row>
    <row r="225" spans="1:52" ht="15" customHeight="1" x14ac:dyDescent="0.35">
      <c r="A225" s="59" t="str">
        <f>Segments!$A$205</f>
        <v>Greek</v>
      </c>
      <c r="B225" s="59" t="str">
        <f>Segments!$B$205</f>
        <v>On campus</v>
      </c>
      <c r="C225" s="59" t="str">
        <f>Segments!$C$205</f>
        <v>Yes</v>
      </c>
      <c r="D225" s="59" t="str">
        <f>Segments!$D$205</f>
        <v>&lt;1.0</v>
      </c>
      <c r="E225" s="59" t="str">
        <f>Segments!$E$205</f>
        <v>Freshman</v>
      </c>
      <c r="F225" s="59">
        <f>Segments!$F$205</f>
        <v>1</v>
      </c>
      <c r="G225" s="59" t="str">
        <f>Segments!$G$205</f>
        <v>Base</v>
      </c>
      <c r="H225" s="60">
        <f>Segments!$H$205</f>
        <v>22</v>
      </c>
      <c r="I225" s="26">
        <f>Segments!$Y$205</f>
        <v>1402.568812106801</v>
      </c>
      <c r="J225" s="29">
        <v>0</v>
      </c>
      <c r="K225" s="14">
        <f t="shared" si="117"/>
        <v>2322.3528989280412</v>
      </c>
      <c r="L225" s="14">
        <f t="shared" si="118"/>
        <v>1402.568812106801</v>
      </c>
      <c r="M225" s="14">
        <f t="shared" si="119"/>
        <v>2322.3528989280412</v>
      </c>
      <c r="N225" s="14">
        <f t="shared" si="120"/>
        <v>1819.9474864792878</v>
      </c>
      <c r="O225" s="14">
        <f t="shared" si="121"/>
        <v>1426.2297754450396</v>
      </c>
      <c r="P225" s="33">
        <f t="shared" si="122"/>
        <v>0.95</v>
      </c>
      <c r="Q225" s="33">
        <f t="shared" si="123"/>
        <v>0.45816732734302684</v>
      </c>
      <c r="R225" s="51">
        <f t="shared" si="124"/>
        <v>0</v>
      </c>
      <c r="S225" s="51">
        <f>APPLICANTS_PER_YEAR*($H225/Segments!$AH$2)*Q225</f>
        <v>12.095617441855909</v>
      </c>
      <c r="T225" s="51">
        <f t="shared" si="125"/>
        <v>12.095617441855909</v>
      </c>
      <c r="U225" s="14">
        <f t="shared" si="126"/>
        <v>1426.2297754450396</v>
      </c>
      <c r="V225" s="44">
        <f t="shared" si="127"/>
        <v>17251.129747967258</v>
      </c>
      <c r="W225" s="44">
        <f t="shared" si="128"/>
        <v>19000.728081576806</v>
      </c>
      <c r="X225" s="44">
        <f t="shared" si="129"/>
        <v>4408.555848428181</v>
      </c>
      <c r="Y225" s="14">
        <f t="shared" si="130"/>
        <v>2390.7734858958825</v>
      </c>
      <c r="Z225" s="14">
        <f t="shared" si="131"/>
        <v>1444.6458764700051</v>
      </c>
      <c r="AA225" s="14">
        <f t="shared" si="132"/>
        <v>2390.7734858958825</v>
      </c>
      <c r="AB225" s="14">
        <f t="shared" si="133"/>
        <v>1874.0560562286062</v>
      </c>
      <c r="AC225" s="14">
        <f t="shared" si="134"/>
        <v>1469.0166687083909</v>
      </c>
      <c r="AD225" s="33">
        <f t="shared" si="135"/>
        <v>0.95</v>
      </c>
      <c r="AE225" s="33">
        <f t="shared" si="136"/>
        <v>0.45806490717660975</v>
      </c>
      <c r="AF225" s="51">
        <f t="shared" si="137"/>
        <v>0</v>
      </c>
      <c r="AG225" s="51">
        <f>APPLICANTS_PER_YEAR*($H225/Segments!$AH$2)*AE225</f>
        <v>12.092913549462498</v>
      </c>
      <c r="AH225" s="51">
        <f t="shared" si="138"/>
        <v>12.092913549462498</v>
      </c>
      <c r="AI225" s="14">
        <f t="shared" si="139"/>
        <v>1469.0166687083909</v>
      </c>
      <c r="AJ225" s="44">
        <f t="shared" si="140"/>
        <v>17764.691577409962</v>
      </c>
      <c r="AK225" s="44">
        <f t="shared" si="141"/>
        <v>19566.37501698796</v>
      </c>
      <c r="AL225" s="44">
        <f t="shared" si="142"/>
        <v>4523.472023065644</v>
      </c>
      <c r="AM225" s="14">
        <f t="shared" si="143"/>
        <v>2461.2466904727585</v>
      </c>
      <c r="AN225" s="14">
        <f t="shared" si="144"/>
        <v>1487.9852527641051</v>
      </c>
      <c r="AO225" s="14">
        <f t="shared" si="145"/>
        <v>2461.2466904727585</v>
      </c>
      <c r="AP225" s="14">
        <f t="shared" si="146"/>
        <v>1929.7877568611216</v>
      </c>
      <c r="AQ225" s="14">
        <f t="shared" si="147"/>
        <v>1513.0871687696424</v>
      </c>
      <c r="AR225" s="33">
        <f t="shared" si="148"/>
        <v>0.95</v>
      </c>
      <c r="AS225" s="33">
        <f t="shared" si="149"/>
        <v>0.45796539324336361</v>
      </c>
      <c r="AT225" s="51">
        <f t="shared" si="150"/>
        <v>0</v>
      </c>
      <c r="AU225" s="51">
        <f>APPLICANTS_PER_YEAR*($H225/Segments!$AH$2)*AS225</f>
        <v>12.0902863816248</v>
      </c>
      <c r="AV225" s="51">
        <f t="shared" si="151"/>
        <v>12.0902863816248</v>
      </c>
      <c r="AW225" s="14">
        <f t="shared" si="152"/>
        <v>1513.0871687696426</v>
      </c>
      <c r="AX225" s="44">
        <f t="shared" si="153"/>
        <v>18293.657190786835</v>
      </c>
      <c r="AY225" s="44">
        <f t="shared" si="154"/>
        <v>20148.987978058685</v>
      </c>
      <c r="AZ225" s="44">
        <f t="shared" si="155"/>
        <v>4641.8420979093671</v>
      </c>
    </row>
    <row r="226" spans="1:52" ht="15" customHeight="1" x14ac:dyDescent="0.35">
      <c r="A226" s="59" t="str">
        <f>Segments!$A$206</f>
        <v>Greek</v>
      </c>
      <c r="B226" s="59" t="str">
        <f>Segments!$B$206</f>
        <v>On campus</v>
      </c>
      <c r="C226" s="59" t="str">
        <f>Segments!$C$206</f>
        <v>Yes</v>
      </c>
      <c r="D226" s="59" t="str">
        <f>Segments!$D$206</f>
        <v>&lt;1.0</v>
      </c>
      <c r="E226" s="59" t="str">
        <f>Segments!$E$206</f>
        <v>Sophomore</v>
      </c>
      <c r="F226" s="59">
        <f>Segments!$F$206</f>
        <v>1</v>
      </c>
      <c r="G226" s="59" t="str">
        <f>Segments!$G$206</f>
        <v>Sophomore</v>
      </c>
      <c r="H226" s="60">
        <f>Segments!$H$206</f>
        <v>17</v>
      </c>
      <c r="I226" s="26">
        <f>Segments!$Y$206</f>
        <v>1388.2994175840493</v>
      </c>
      <c r="J226" s="29">
        <v>1</v>
      </c>
      <c r="K226" s="14">
        <f t="shared" si="117"/>
        <v>1426.2297754450396</v>
      </c>
      <c r="L226" s="14">
        <f t="shared" si="118"/>
        <v>1388.2994175840493</v>
      </c>
      <c r="M226" s="14">
        <f t="shared" si="119"/>
        <v>2299.1497509970231</v>
      </c>
      <c r="N226" s="14">
        <f t="shared" si="120"/>
        <v>1810.8329114192184</v>
      </c>
      <c r="O226" s="14">
        <f t="shared" si="121"/>
        <v>1426.2297754450396</v>
      </c>
      <c r="P226" s="33">
        <f t="shared" si="122"/>
        <v>0.95</v>
      </c>
      <c r="Q226" s="33">
        <f t="shared" si="123"/>
        <v>0.45619509220007232</v>
      </c>
      <c r="R226" s="51">
        <f t="shared" si="124"/>
        <v>20.9</v>
      </c>
      <c r="S226" s="51">
        <f>APPLICANTS_PER_YEAR*($H226/Segments!$AH$2)*Q226</f>
        <v>9.3063798808814742</v>
      </c>
      <c r="T226" s="51">
        <f t="shared" si="125"/>
        <v>30.206379880881471</v>
      </c>
      <c r="U226" s="14">
        <f t="shared" si="126"/>
        <v>1426.2297754450396</v>
      </c>
      <c r="V226" s="44">
        <f t="shared" si="127"/>
        <v>43081.238394517146</v>
      </c>
      <c r="W226" s="44">
        <f t="shared" si="128"/>
        <v>46967.759547464331</v>
      </c>
      <c r="X226" s="44">
        <f t="shared" si="129"/>
        <v>9443.6974142734616</v>
      </c>
      <c r="Y226" s="14">
        <f t="shared" si="130"/>
        <v>1426.2297754450396</v>
      </c>
      <c r="Z226" s="14">
        <f t="shared" si="131"/>
        <v>1429.9484001115707</v>
      </c>
      <c r="AA226" s="14">
        <f t="shared" si="132"/>
        <v>2366.8742435269337</v>
      </c>
      <c r="AB226" s="14">
        <f t="shared" si="133"/>
        <v>1864.6655776512926</v>
      </c>
      <c r="AC226" s="14">
        <f t="shared" si="134"/>
        <v>1469.0166687083909</v>
      </c>
      <c r="AD226" s="33">
        <f t="shared" si="135"/>
        <v>0.94709111727188511</v>
      </c>
      <c r="AE226" s="33">
        <f t="shared" si="136"/>
        <v>0.45609111727188517</v>
      </c>
      <c r="AF226" s="51">
        <f t="shared" si="137"/>
        <v>11.455651837100614</v>
      </c>
      <c r="AG226" s="51">
        <f>APPLICANTS_PER_YEAR*($H226/Segments!$AH$2)*AE226</f>
        <v>9.3042587923464577</v>
      </c>
      <c r="AH226" s="51">
        <f t="shared" si="138"/>
        <v>20.75991062944707</v>
      </c>
      <c r="AI226" s="14">
        <f t="shared" si="139"/>
        <v>1469.0166687083909</v>
      </c>
      <c r="AJ226" s="44">
        <f t="shared" si="140"/>
        <v>30496.654755554249</v>
      </c>
      <c r="AK226" s="44">
        <f t="shared" si="141"/>
        <v>33247.873109961474</v>
      </c>
      <c r="AL226" s="44">
        <f t="shared" si="142"/>
        <v>6890.0563251550302</v>
      </c>
      <c r="AM226" s="14">
        <f t="shared" si="143"/>
        <v>1469.0166687083909</v>
      </c>
      <c r="AN226" s="14">
        <f t="shared" si="144"/>
        <v>1472.8468521149177</v>
      </c>
      <c r="AO226" s="14">
        <f t="shared" si="145"/>
        <v>2436.630470832742</v>
      </c>
      <c r="AP226" s="14">
        <f t="shared" si="146"/>
        <v>1920.1130957446635</v>
      </c>
      <c r="AQ226" s="14">
        <f t="shared" si="147"/>
        <v>1513.0871687696424</v>
      </c>
      <c r="AR226" s="33">
        <f t="shared" si="148"/>
        <v>0.94699009190580186</v>
      </c>
      <c r="AS226" s="33">
        <f t="shared" si="149"/>
        <v>0.45599009190580181</v>
      </c>
      <c r="AT226" s="51">
        <f t="shared" si="150"/>
        <v>11.451869313614408</v>
      </c>
      <c r="AU226" s="51">
        <f>APPLICANTS_PER_YEAR*($H226/Segments!$AH$2)*AS226</f>
        <v>9.302197874878356</v>
      </c>
      <c r="AV226" s="51">
        <f t="shared" si="151"/>
        <v>20.754067188492762</v>
      </c>
      <c r="AW226" s="14">
        <f t="shared" si="152"/>
        <v>1513.0871687696426</v>
      </c>
      <c r="AX226" s="44">
        <f t="shared" si="153"/>
        <v>31402.712762691452</v>
      </c>
      <c r="AY226" s="44">
        <f t="shared" si="154"/>
        <v>34235.670030411435</v>
      </c>
      <c r="AZ226" s="44">
        <f t="shared" si="155"/>
        <v>7075.3752713947124</v>
      </c>
    </row>
    <row r="227" spans="1:52" ht="15" customHeight="1" x14ac:dyDescent="0.35">
      <c r="A227" s="59" t="str">
        <f>Segments!$A$207</f>
        <v>Greek</v>
      </c>
      <c r="B227" s="59" t="str">
        <f>Segments!$B$207</f>
        <v>On campus</v>
      </c>
      <c r="C227" s="59" t="str">
        <f>Segments!$C$207</f>
        <v>Yes</v>
      </c>
      <c r="D227" s="59" t="str">
        <f>Segments!$D$207</f>
        <v>&lt;1.0</v>
      </c>
      <c r="E227" s="59" t="str">
        <f>Segments!$E$207</f>
        <v>Junior</v>
      </c>
      <c r="F227" s="59">
        <f>Segments!$F$207</f>
        <v>2</v>
      </c>
      <c r="G227" s="59" t="str">
        <f>Segments!$G$207</f>
        <v>Base</v>
      </c>
      <c r="H227" s="60">
        <f>Segments!$H$207</f>
        <v>13</v>
      </c>
      <c r="I227" s="26">
        <f>Segments!$Y$207</f>
        <v>1659.6086974181817</v>
      </c>
      <c r="J227" s="29">
        <v>2</v>
      </c>
      <c r="K227" s="14">
        <f t="shared" si="117"/>
        <v>1426.2297754450396</v>
      </c>
      <c r="L227" s="14">
        <f t="shared" si="118"/>
        <v>1659.6086974181817</v>
      </c>
      <c r="M227" s="14">
        <f t="shared" si="119"/>
        <v>2740.3197911842117</v>
      </c>
      <c r="N227" s="14">
        <f t="shared" si="120"/>
        <v>1976.9485780940929</v>
      </c>
      <c r="O227" s="14">
        <f t="shared" si="121"/>
        <v>1426.2297754450396</v>
      </c>
      <c r="P227" s="33">
        <f t="shared" si="122"/>
        <v>0.95</v>
      </c>
      <c r="Q227" s="33">
        <f t="shared" si="123"/>
        <v>0.4892850600039334</v>
      </c>
      <c r="R227" s="51">
        <f t="shared" si="124"/>
        <v>16.149999999999999</v>
      </c>
      <c r="S227" s="51">
        <f>APPLICANTS_PER_YEAR*($H227/Segments!$AH$2)*Q227</f>
        <v>7.6328469360613607</v>
      </c>
      <c r="T227" s="51">
        <f t="shared" si="125"/>
        <v>23.782846936061361</v>
      </c>
      <c r="U227" s="14">
        <f t="shared" si="126"/>
        <v>1426.2297754450396</v>
      </c>
      <c r="V227" s="44">
        <f t="shared" si="127"/>
        <v>33919.804445062546</v>
      </c>
      <c r="W227" s="44">
        <f t="shared" si="128"/>
        <v>44206.645979387125</v>
      </c>
      <c r="X227" s="44">
        <f t="shared" si="129"/>
        <v>7458.3379272464626</v>
      </c>
      <c r="Y227" s="14">
        <f t="shared" si="130"/>
        <v>1426.2297754450396</v>
      </c>
      <c r="Z227" s="14">
        <f t="shared" si="131"/>
        <v>1709.3969583407272</v>
      </c>
      <c r="AA227" s="14">
        <f t="shared" si="132"/>
        <v>2821.2793849197383</v>
      </c>
      <c r="AB227" s="14">
        <f t="shared" si="133"/>
        <v>2035.8060918295855</v>
      </c>
      <c r="AC227" s="14">
        <f t="shared" si="134"/>
        <v>1469.0166687083909</v>
      </c>
      <c r="AD227" s="33">
        <f t="shared" si="135"/>
        <v>0.95</v>
      </c>
      <c r="AE227" s="33">
        <f t="shared" si="136"/>
        <v>0.48920515941963288</v>
      </c>
      <c r="AF227" s="51">
        <f t="shared" si="137"/>
        <v>28.696060886837397</v>
      </c>
      <c r="AG227" s="51">
        <f>APPLICANTS_PER_YEAR*($H227/Segments!$AH$2)*AE227</f>
        <v>7.6316004869462732</v>
      </c>
      <c r="AH227" s="51">
        <f t="shared" si="138"/>
        <v>36.32766137378367</v>
      </c>
      <c r="AI227" s="14">
        <f t="shared" si="139"/>
        <v>1469.0166687083909</v>
      </c>
      <c r="AJ227" s="44">
        <f t="shared" si="140"/>
        <v>53365.940093282174</v>
      </c>
      <c r="AK227" s="44">
        <f t="shared" si="141"/>
        <v>69550.201118695069</v>
      </c>
      <c r="AL227" s="44">
        <f t="shared" si="142"/>
        <v>11395.889108628311</v>
      </c>
      <c r="AM227" s="14">
        <f t="shared" si="143"/>
        <v>1469.0166687083909</v>
      </c>
      <c r="AN227" s="14">
        <f t="shared" si="144"/>
        <v>1760.6788670909489</v>
      </c>
      <c r="AO227" s="14">
        <f t="shared" si="145"/>
        <v>2904.6677664673302</v>
      </c>
      <c r="AP227" s="14">
        <f t="shared" si="146"/>
        <v>2096.4292325238393</v>
      </c>
      <c r="AQ227" s="14">
        <f t="shared" si="147"/>
        <v>1513.0871687696424</v>
      </c>
      <c r="AR227" s="33">
        <f t="shared" si="148"/>
        <v>0.95</v>
      </c>
      <c r="AS227" s="33">
        <f t="shared" si="149"/>
        <v>0.48912753521661345</v>
      </c>
      <c r="AT227" s="51">
        <f t="shared" si="150"/>
        <v>19.721915097974716</v>
      </c>
      <c r="AU227" s="51">
        <f>APPLICANTS_PER_YEAR*($H227/Segments!$AH$2)*AS227</f>
        <v>7.6303895493791698</v>
      </c>
      <c r="AV227" s="51">
        <f t="shared" si="151"/>
        <v>27.352304647353886</v>
      </c>
      <c r="AW227" s="14">
        <f t="shared" si="152"/>
        <v>1513.0871687696424</v>
      </c>
      <c r="AX227" s="44">
        <f t="shared" si="153"/>
        <v>41386.421198189426</v>
      </c>
      <c r="AY227" s="44">
        <f t="shared" si="154"/>
        <v>53937.659729889085</v>
      </c>
      <c r="AZ227" s="44">
        <f t="shared" si="155"/>
        <v>8963.9299963351441</v>
      </c>
    </row>
    <row r="228" spans="1:52" ht="15" customHeight="1" x14ac:dyDescent="0.35">
      <c r="A228" s="59" t="str">
        <f>Segments!$A$208</f>
        <v>Greek</v>
      </c>
      <c r="B228" s="59" t="str">
        <f>Segments!$B$208</f>
        <v>On campus</v>
      </c>
      <c r="C228" s="59" t="str">
        <f>Segments!$C$208</f>
        <v>Yes</v>
      </c>
      <c r="D228" s="59" t="str">
        <f>Segments!$D$208</f>
        <v>&lt;1.0</v>
      </c>
      <c r="E228" s="59" t="str">
        <f>Segments!$E$208</f>
        <v>Senior</v>
      </c>
      <c r="F228" s="59">
        <f>Segments!$F$208</f>
        <v>3</v>
      </c>
      <c r="G228" s="59" t="str">
        <f>Segments!$G$208</f>
        <v>Base</v>
      </c>
      <c r="H228" s="60">
        <f>Segments!$H$208</f>
        <v>17</v>
      </c>
      <c r="I228" s="26">
        <f>Segments!$Y$208</f>
        <v>1551.2154320927027</v>
      </c>
      <c r="J228" s="29">
        <v>3</v>
      </c>
      <c r="K228" s="14">
        <f t="shared" si="117"/>
        <v>1426.2297754450396</v>
      </c>
      <c r="L228" s="14">
        <f t="shared" si="118"/>
        <v>1551.2154320927027</v>
      </c>
      <c r="M228" s="14">
        <f t="shared" si="119"/>
        <v>2564.0638914637993</v>
      </c>
      <c r="N228" s="14">
        <f t="shared" si="120"/>
        <v>1912.3138518949104</v>
      </c>
      <c r="O228" s="14">
        <f t="shared" si="121"/>
        <v>1426.2297754450396</v>
      </c>
      <c r="P228" s="33">
        <f t="shared" si="122"/>
        <v>0.95</v>
      </c>
      <c r="Q228" s="33">
        <f t="shared" si="123"/>
        <v>0.477093174577021</v>
      </c>
      <c r="R228" s="51">
        <f t="shared" si="124"/>
        <v>12.35</v>
      </c>
      <c r="S228" s="51">
        <f>APPLICANTS_PER_YEAR*($H228/Segments!$AH$2)*Q228</f>
        <v>9.7327007613712269</v>
      </c>
      <c r="T228" s="51">
        <f t="shared" si="125"/>
        <v>22.082700761371228</v>
      </c>
      <c r="U228" s="14">
        <f t="shared" si="126"/>
        <v>1426.2297754450396</v>
      </c>
      <c r="V228" s="44">
        <f t="shared" si="127"/>
        <v>31495.005348110491</v>
      </c>
      <c r="W228" s="44">
        <f t="shared" si="128"/>
        <v>38365.629347723247</v>
      </c>
      <c r="X228" s="44">
        <f t="shared" si="129"/>
        <v>7123.3649118023368</v>
      </c>
      <c r="Y228" s="14">
        <f t="shared" si="130"/>
        <v>1426.2297754450396</v>
      </c>
      <c r="Z228" s="14">
        <f t="shared" si="131"/>
        <v>1597.7518950554838</v>
      </c>
      <c r="AA228" s="14">
        <f t="shared" si="132"/>
        <v>2639.7358082077135</v>
      </c>
      <c r="AB228" s="14">
        <f t="shared" si="133"/>
        <v>1969.2170787507268</v>
      </c>
      <c r="AC228" s="14">
        <f t="shared" si="134"/>
        <v>1469.0166687083909</v>
      </c>
      <c r="AD228" s="33">
        <f t="shared" si="135"/>
        <v>0.95</v>
      </c>
      <c r="AE228" s="33">
        <f t="shared" si="136"/>
        <v>0.47700489332533708</v>
      </c>
      <c r="AF228" s="51">
        <f t="shared" si="137"/>
        <v>22.593704589258291</v>
      </c>
      <c r="AG228" s="51">
        <f>APPLICANTS_PER_YEAR*($H228/Segments!$AH$2)*AE228</f>
        <v>9.7308998238368751</v>
      </c>
      <c r="AH228" s="51">
        <f t="shared" si="138"/>
        <v>32.324604413095166</v>
      </c>
      <c r="AI228" s="14">
        <f t="shared" si="139"/>
        <v>1469.0166687083909</v>
      </c>
      <c r="AJ228" s="44">
        <f t="shared" si="140"/>
        <v>47485.382692241612</v>
      </c>
      <c r="AK228" s="44">
        <f t="shared" si="141"/>
        <v>57844.301712894659</v>
      </c>
      <c r="AL228" s="44">
        <f t="shared" si="142"/>
        <v>10364.821804187666</v>
      </c>
      <c r="AM228" s="14">
        <f t="shared" si="143"/>
        <v>1469.0166687083909</v>
      </c>
      <c r="AN228" s="14">
        <f t="shared" si="144"/>
        <v>1645.6844519071483</v>
      </c>
      <c r="AO228" s="14">
        <f t="shared" si="145"/>
        <v>2717.6778824539447</v>
      </c>
      <c r="AP228" s="14">
        <f t="shared" si="146"/>
        <v>2027.827293629839</v>
      </c>
      <c r="AQ228" s="14">
        <f t="shared" si="147"/>
        <v>1513.0871687696424</v>
      </c>
      <c r="AR228" s="33">
        <f t="shared" si="148"/>
        <v>0.95</v>
      </c>
      <c r="AS228" s="33">
        <f t="shared" si="149"/>
        <v>0.47691912335857867</v>
      </c>
      <c r="AT228" s="51">
        <f t="shared" si="150"/>
        <v>34.511278305094486</v>
      </c>
      <c r="AU228" s="51">
        <f>APPLICANTS_PER_YEAR*($H228/Segments!$AH$2)*AS228</f>
        <v>9.7291501165150045</v>
      </c>
      <c r="AV228" s="51">
        <f t="shared" si="151"/>
        <v>44.240428421609494</v>
      </c>
      <c r="AW228" s="14">
        <f t="shared" si="152"/>
        <v>1513.0871687696424</v>
      </c>
      <c r="AX228" s="44">
        <f t="shared" si="153"/>
        <v>66939.624585609126</v>
      </c>
      <c r="AY228" s="44">
        <f t="shared" si="154"/>
        <v>81542.479423052311</v>
      </c>
      <c r="AZ228" s="44">
        <f t="shared" si="155"/>
        <v>14294.863195176829</v>
      </c>
    </row>
    <row r="229" spans="1:52" ht="15" customHeight="1" x14ac:dyDescent="0.35">
      <c r="A229" s="59" t="str">
        <f>Segments!$A$209</f>
        <v>Greek</v>
      </c>
      <c r="B229" s="59" t="str">
        <f>Segments!$B$209</f>
        <v>On campus</v>
      </c>
      <c r="C229" s="59" t="str">
        <f>Segments!$C$209</f>
        <v>Yes</v>
      </c>
      <c r="D229" s="59" t="str">
        <f>Segments!$D$209</f>
        <v>&lt;1.0</v>
      </c>
      <c r="E229" s="59" t="str">
        <f>Segments!$E$209</f>
        <v>Grad student</v>
      </c>
      <c r="F229" s="59">
        <f>Segments!$F$209</f>
        <v>3</v>
      </c>
      <c r="G229" s="59" t="str">
        <f>Segments!$G$209</f>
        <v>Grad</v>
      </c>
      <c r="H229" s="60">
        <f>Segments!$H$209</f>
        <v>7</v>
      </c>
      <c r="I229" s="26">
        <f>Segments!$Y$209</f>
        <v>1847.0018530162408</v>
      </c>
      <c r="J229" s="29">
        <v>4</v>
      </c>
      <c r="K229" s="14">
        <f t="shared" si="117"/>
        <v>1426.2297754450396</v>
      </c>
      <c r="L229" s="14">
        <f t="shared" si="118"/>
        <v>1847.0018530162408</v>
      </c>
      <c r="M229" s="14">
        <f t="shared" si="119"/>
        <v>3045.0356712917492</v>
      </c>
      <c r="N229" s="14">
        <f t="shared" si="120"/>
        <v>2083.9675001517098</v>
      </c>
      <c r="O229" s="14">
        <f t="shared" si="121"/>
        <v>1426.2297754450396</v>
      </c>
      <c r="P229" s="33">
        <f t="shared" si="122"/>
        <v>0.95</v>
      </c>
      <c r="Q229" s="33">
        <f t="shared" si="123"/>
        <v>0.50780901685337887</v>
      </c>
      <c r="R229" s="51">
        <f t="shared" si="124"/>
        <v>3.3249999999999997</v>
      </c>
      <c r="S229" s="51">
        <f>APPLICANTS_PER_YEAR*($H229/Segments!$AH$2)*Q229</f>
        <v>4.2655957415683829</v>
      </c>
      <c r="T229" s="51">
        <f t="shared" si="125"/>
        <v>7.5905957415683822</v>
      </c>
      <c r="U229" s="14">
        <f t="shared" si="126"/>
        <v>1426.2297754450396</v>
      </c>
      <c r="V229" s="44">
        <f t="shared" si="127"/>
        <v>10825.933659991148</v>
      </c>
      <c r="W229" s="44">
        <f t="shared" si="128"/>
        <v>15702.225728194868</v>
      </c>
      <c r="X229" s="44">
        <f t="shared" si="129"/>
        <v>2517.4834580911779</v>
      </c>
      <c r="Y229" s="14">
        <f t="shared" si="130"/>
        <v>1426.2297754450396</v>
      </c>
      <c r="Z229" s="14">
        <f t="shared" si="131"/>
        <v>1902.411908606728</v>
      </c>
      <c r="AA229" s="14">
        <f t="shared" si="132"/>
        <v>3135.1367414305014</v>
      </c>
      <c r="AB229" s="14">
        <f t="shared" si="133"/>
        <v>2146.0587438002517</v>
      </c>
      <c r="AC229" s="14">
        <f t="shared" si="134"/>
        <v>1469.0166687083909</v>
      </c>
      <c r="AD229" s="33">
        <f t="shared" si="135"/>
        <v>0.95</v>
      </c>
      <c r="AE229" s="33">
        <f t="shared" si="136"/>
        <v>0.50774080673415101</v>
      </c>
      <c r="AF229" s="51">
        <f t="shared" si="137"/>
        <v>3.6055329772449816</v>
      </c>
      <c r="AG229" s="51">
        <f>APPLICANTS_PER_YEAR*($H229/Segments!$AH$2)*AE229</f>
        <v>4.2650227765668687</v>
      </c>
      <c r="AH229" s="51">
        <f t="shared" si="138"/>
        <v>7.8705557538118498</v>
      </c>
      <c r="AI229" s="14">
        <f t="shared" si="139"/>
        <v>1469.0166687083911</v>
      </c>
      <c r="AJ229" s="44">
        <f t="shared" si="140"/>
        <v>11561.977594348344</v>
      </c>
      <c r="AK229" s="44">
        <f t="shared" si="141"/>
        <v>16769.803672613452</v>
      </c>
      <c r="AL229" s="44">
        <f t="shared" si="142"/>
        <v>2668.5390841141639</v>
      </c>
      <c r="AM229" s="14">
        <f t="shared" si="143"/>
        <v>1469.0166687083911</v>
      </c>
      <c r="AN229" s="14">
        <f t="shared" si="144"/>
        <v>1959.4842658649297</v>
      </c>
      <c r="AO229" s="14">
        <f t="shared" si="145"/>
        <v>3227.9408436734161</v>
      </c>
      <c r="AP229" s="14">
        <f t="shared" si="146"/>
        <v>2210.01264071265</v>
      </c>
      <c r="AQ229" s="14">
        <f t="shared" si="147"/>
        <v>1513.0871687696424</v>
      </c>
      <c r="AR229" s="33">
        <f t="shared" si="148"/>
        <v>0.95</v>
      </c>
      <c r="AS229" s="33">
        <f t="shared" si="149"/>
        <v>0.50767454427732916</v>
      </c>
      <c r="AT229" s="51">
        <f t="shared" si="150"/>
        <v>3.7385139830606287</v>
      </c>
      <c r="AU229" s="51">
        <f>APPLICANTS_PER_YEAR*($H229/Segments!$AH$2)*AS229</f>
        <v>4.2644661719295653</v>
      </c>
      <c r="AV229" s="51">
        <f t="shared" si="151"/>
        <v>8.002980154990194</v>
      </c>
      <c r="AW229" s="14">
        <f t="shared" si="152"/>
        <v>1513.0871687696424</v>
      </c>
      <c r="AX229" s="44">
        <f t="shared" si="153"/>
        <v>12109.206584433747</v>
      </c>
      <c r="AY229" s="44">
        <f t="shared" si="154"/>
        <v>17563.519336980469</v>
      </c>
      <c r="AZ229" s="44">
        <f t="shared" si="155"/>
        <v>2781.1491184799797</v>
      </c>
    </row>
    <row r="230" spans="1:52" ht="15" customHeight="1" x14ac:dyDescent="0.35">
      <c r="A230" s="61" t="str">
        <f>Segments!$A$210</f>
        <v>Greek</v>
      </c>
      <c r="B230" s="61" t="str">
        <f>Segments!$B$210</f>
        <v>On campus</v>
      </c>
      <c r="C230" s="61" t="str">
        <f>Segments!$C$210</f>
        <v>Yes</v>
      </c>
      <c r="D230" s="61" t="str">
        <f>Segments!$D$210</f>
        <v>1.0-2.0</v>
      </c>
      <c r="E230" s="61" t="str">
        <f>Segments!$E$210</f>
        <v>Freshman</v>
      </c>
      <c r="F230" s="61">
        <f>Segments!$F$210</f>
        <v>1</v>
      </c>
      <c r="G230" s="61" t="str">
        <f>Segments!$G$210</f>
        <v>Base</v>
      </c>
      <c r="H230" s="62">
        <f>Segments!$H$210</f>
        <v>56</v>
      </c>
      <c r="I230" s="63">
        <f>Segments!$Y$210</f>
        <v>1272.7205099553787</v>
      </c>
      <c r="J230" s="42">
        <v>0</v>
      </c>
      <c r="K230" s="40">
        <f t="shared" si="117"/>
        <v>2111.209436701452</v>
      </c>
      <c r="L230" s="40">
        <f t="shared" si="118"/>
        <v>1272.7205099553787</v>
      </c>
      <c r="M230" s="40">
        <f t="shared" si="119"/>
        <v>2111.209436701452</v>
      </c>
      <c r="N230" s="40">
        <f t="shared" si="120"/>
        <v>1735.2434298461299</v>
      </c>
      <c r="O230" s="40">
        <f t="shared" si="121"/>
        <v>1426.2297754450396</v>
      </c>
      <c r="P230" s="41">
        <f t="shared" si="122"/>
        <v>0.93904043348790878</v>
      </c>
      <c r="Q230" s="41">
        <f t="shared" si="123"/>
        <v>0.43904043348790878</v>
      </c>
      <c r="R230" s="64">
        <f t="shared" si="124"/>
        <v>0</v>
      </c>
      <c r="S230" s="64">
        <f>APPLICANTS_PER_YEAR*($H230/Segments!$AH$2)*Q230</f>
        <v>29.503517130387472</v>
      </c>
      <c r="T230" s="64">
        <f t="shared" si="125"/>
        <v>29.503517130387472</v>
      </c>
      <c r="U230" s="40">
        <f t="shared" si="126"/>
        <v>1426.2297754450396</v>
      </c>
      <c r="V230" s="65">
        <f t="shared" si="127"/>
        <v>42078.794611711404</v>
      </c>
      <c r="W230" s="65">
        <f t="shared" si="128"/>
        <v>42055.69913178368</v>
      </c>
      <c r="X230" s="65">
        <f t="shared" si="129"/>
        <v>10753.308263890791</v>
      </c>
      <c r="Y230" s="40">
        <f t="shared" si="130"/>
        <v>2173.295719802496</v>
      </c>
      <c r="Z230" s="40">
        <f t="shared" si="131"/>
        <v>1310.9021252540401</v>
      </c>
      <c r="AA230" s="40">
        <f t="shared" si="132"/>
        <v>2173.295719802496</v>
      </c>
      <c r="AB230" s="40">
        <f t="shared" si="133"/>
        <v>1786.7869594393358</v>
      </c>
      <c r="AC230" s="40">
        <f t="shared" si="134"/>
        <v>1469.0166687083909</v>
      </c>
      <c r="AD230" s="41">
        <f t="shared" si="135"/>
        <v>0.93892226604078632</v>
      </c>
      <c r="AE230" s="41">
        <f t="shared" si="136"/>
        <v>0.43892226604078638</v>
      </c>
      <c r="AF230" s="64">
        <f t="shared" si="137"/>
        <v>0</v>
      </c>
      <c r="AG230" s="64">
        <f>APPLICANTS_PER_YEAR*($H230/Segments!$AH$2)*AE230</f>
        <v>29.495576277940845</v>
      </c>
      <c r="AH230" s="64">
        <f t="shared" si="138"/>
        <v>29.495576277940845</v>
      </c>
      <c r="AI230" s="40">
        <f t="shared" si="139"/>
        <v>1469.0166687083911</v>
      </c>
      <c r="AJ230" s="65">
        <f t="shared" si="140"/>
        <v>43329.493205454906</v>
      </c>
      <c r="AK230" s="65">
        <f t="shared" si="141"/>
        <v>43305.711263746743</v>
      </c>
      <c r="AL230" s="65">
        <f t="shared" si="142"/>
        <v>11033.107410529237</v>
      </c>
      <c r="AM230" s="40">
        <f t="shared" si="143"/>
        <v>2237.2445913965707</v>
      </c>
      <c r="AN230" s="40">
        <f t="shared" si="144"/>
        <v>1350.2291890116612</v>
      </c>
      <c r="AO230" s="40">
        <f t="shared" si="145"/>
        <v>2237.2445913965707</v>
      </c>
      <c r="AP230" s="40">
        <f t="shared" si="146"/>
        <v>1839.8766493005539</v>
      </c>
      <c r="AQ230" s="40">
        <f t="shared" si="147"/>
        <v>1513.0871687696424</v>
      </c>
      <c r="AR230" s="41">
        <f t="shared" si="148"/>
        <v>0.93880744278567363</v>
      </c>
      <c r="AS230" s="41">
        <f t="shared" si="149"/>
        <v>0.43880744278567357</v>
      </c>
      <c r="AT230" s="64">
        <f t="shared" si="150"/>
        <v>0</v>
      </c>
      <c r="AU230" s="64">
        <f>APPLICANTS_PER_YEAR*($H230/Segments!$AH$2)*AS230</f>
        <v>29.487860155197264</v>
      </c>
      <c r="AV230" s="64">
        <f t="shared" si="151"/>
        <v>29.487860155197264</v>
      </c>
      <c r="AW230" s="40">
        <f t="shared" si="152"/>
        <v>1513.0871687696426</v>
      </c>
      <c r="AX230" s="65">
        <f t="shared" si="153"/>
        <v>44617.702835302582</v>
      </c>
      <c r="AY230" s="65">
        <f t="shared" si="154"/>
        <v>44593.213843406236</v>
      </c>
      <c r="AZ230" s="65">
        <f t="shared" si="155"/>
        <v>11321.319142091656</v>
      </c>
    </row>
    <row r="231" spans="1:52" ht="15" customHeight="1" x14ac:dyDescent="0.35">
      <c r="A231" s="61" t="str">
        <f>Segments!$A$211</f>
        <v>Greek</v>
      </c>
      <c r="B231" s="61" t="str">
        <f>Segments!$B$211</f>
        <v>On campus</v>
      </c>
      <c r="C231" s="61" t="str">
        <f>Segments!$C$211</f>
        <v>Yes</v>
      </c>
      <c r="D231" s="61" t="str">
        <f>Segments!$D$211</f>
        <v>1.0-2.0</v>
      </c>
      <c r="E231" s="61" t="str">
        <f>Segments!$E$211</f>
        <v>Sophomore</v>
      </c>
      <c r="F231" s="61">
        <f>Segments!$F$211</f>
        <v>1</v>
      </c>
      <c r="G231" s="61" t="str">
        <f>Segments!$G$211</f>
        <v>Sophomore</v>
      </c>
      <c r="H231" s="62">
        <f>Segments!$H$211</f>
        <v>50</v>
      </c>
      <c r="I231" s="63">
        <f>Segments!$Y$211</f>
        <v>1259.7721605289635</v>
      </c>
      <c r="J231" s="42">
        <v>1</v>
      </c>
      <c r="K231" s="40">
        <f t="shared" si="117"/>
        <v>1426.2297754450396</v>
      </c>
      <c r="L231" s="40">
        <f t="shared" si="118"/>
        <v>1259.7721605289635</v>
      </c>
      <c r="M231" s="40">
        <f t="shared" si="119"/>
        <v>2090.1544110852928</v>
      </c>
      <c r="N231" s="40">
        <f t="shared" si="120"/>
        <v>1726.5689839585432</v>
      </c>
      <c r="O231" s="40">
        <f t="shared" si="121"/>
        <v>1426.2297754450396</v>
      </c>
      <c r="P231" s="41">
        <f t="shared" si="122"/>
        <v>0.93697573375403431</v>
      </c>
      <c r="Q231" s="41">
        <f t="shared" si="123"/>
        <v>0.43697573375403426</v>
      </c>
      <c r="R231" s="64">
        <f t="shared" si="124"/>
        <v>52.470641090225925</v>
      </c>
      <c r="S231" s="64">
        <f>APPLICANTS_PER_YEAR*($H231/Segments!$AH$2)*Q231</f>
        <v>26.218544025242057</v>
      </c>
      <c r="T231" s="64">
        <f t="shared" si="125"/>
        <v>78.689185115467978</v>
      </c>
      <c r="U231" s="40">
        <f t="shared" si="126"/>
        <v>1426.2297754450396</v>
      </c>
      <c r="V231" s="65">
        <f t="shared" si="127"/>
        <v>112228.85881718705</v>
      </c>
      <c r="W231" s="65">
        <f t="shared" si="128"/>
        <v>111026.09811235785</v>
      </c>
      <c r="X231" s="65">
        <f t="shared" si="129"/>
        <v>24749.280004905351</v>
      </c>
      <c r="Y231" s="40">
        <f t="shared" si="130"/>
        <v>1426.2297754450396</v>
      </c>
      <c r="Z231" s="40">
        <f t="shared" si="131"/>
        <v>1297.5653253448324</v>
      </c>
      <c r="AA231" s="40">
        <f t="shared" si="132"/>
        <v>2151.6090434178518</v>
      </c>
      <c r="AB231" s="40">
        <f t="shared" si="133"/>
        <v>1777.8496981816375</v>
      </c>
      <c r="AC231" s="40">
        <f t="shared" si="134"/>
        <v>1469.0166687083909</v>
      </c>
      <c r="AD231" s="41">
        <f t="shared" si="135"/>
        <v>0.92785577576921063</v>
      </c>
      <c r="AE231" s="41">
        <f t="shared" si="136"/>
        <v>0.4368557757692107</v>
      </c>
      <c r="AF231" s="64">
        <f t="shared" si="137"/>
        <v>27.375008774935864</v>
      </c>
      <c r="AG231" s="64">
        <f>APPLICANTS_PER_YEAR*($H231/Segments!$AH$2)*AE231</f>
        <v>26.21134654615264</v>
      </c>
      <c r="AH231" s="64">
        <f t="shared" si="138"/>
        <v>53.586355321088504</v>
      </c>
      <c r="AI231" s="40">
        <f t="shared" si="139"/>
        <v>1469.0166687083909</v>
      </c>
      <c r="AJ231" s="65">
        <f t="shared" si="140"/>
        <v>78719.249182009589</v>
      </c>
      <c r="AK231" s="65">
        <f t="shared" si="141"/>
        <v>77875.612165402257</v>
      </c>
      <c r="AL231" s="65">
        <f t="shared" si="142"/>
        <v>17952.62053997106</v>
      </c>
      <c r="AM231" s="40">
        <f t="shared" si="143"/>
        <v>1469.0166687083911</v>
      </c>
      <c r="AN231" s="40">
        <f t="shared" si="144"/>
        <v>1336.4922851051772</v>
      </c>
      <c r="AO231" s="40">
        <f t="shared" si="145"/>
        <v>2214.9073147203871</v>
      </c>
      <c r="AP231" s="40">
        <f t="shared" si="146"/>
        <v>1830.6686860045002</v>
      </c>
      <c r="AQ231" s="40">
        <f t="shared" si="147"/>
        <v>1513.0871687696424</v>
      </c>
      <c r="AR231" s="41">
        <f t="shared" si="148"/>
        <v>0.9277392116505776</v>
      </c>
      <c r="AS231" s="41">
        <f t="shared" si="149"/>
        <v>0.43673921165057744</v>
      </c>
      <c r="AT231" s="64">
        <f t="shared" si="150"/>
        <v>27.364202683276318</v>
      </c>
      <c r="AU231" s="64">
        <f>APPLICANTS_PER_YEAR*($H231/Segments!$AH$2)*AS231</f>
        <v>26.204352699034647</v>
      </c>
      <c r="AV231" s="64">
        <f t="shared" si="151"/>
        <v>53.568555382310961</v>
      </c>
      <c r="AW231" s="40">
        <f t="shared" si="152"/>
        <v>1513.0871687696426</v>
      </c>
      <c r="AX231" s="65">
        <f t="shared" si="153"/>
        <v>81053.893798500692</v>
      </c>
      <c r="AY231" s="65">
        <f t="shared" si="154"/>
        <v>80185.236311810586</v>
      </c>
      <c r="AZ231" s="65">
        <f t="shared" si="155"/>
        <v>18433.397297257539</v>
      </c>
    </row>
    <row r="232" spans="1:52" ht="15" customHeight="1" x14ac:dyDescent="0.35">
      <c r="A232" s="61" t="str">
        <f>Segments!$A$212</f>
        <v>Greek</v>
      </c>
      <c r="B232" s="61" t="str">
        <f>Segments!$B$212</f>
        <v>On campus</v>
      </c>
      <c r="C232" s="61" t="str">
        <f>Segments!$C$212</f>
        <v>Yes</v>
      </c>
      <c r="D232" s="61" t="str">
        <f>Segments!$D$212</f>
        <v>1.0-2.0</v>
      </c>
      <c r="E232" s="61" t="str">
        <f>Segments!$E$212</f>
        <v>Junior</v>
      </c>
      <c r="F232" s="61">
        <f>Segments!$F$212</f>
        <v>2</v>
      </c>
      <c r="G232" s="61" t="str">
        <f>Segments!$G$212</f>
        <v>Base</v>
      </c>
      <c r="H232" s="62">
        <f>Segments!$H$212</f>
        <v>49</v>
      </c>
      <c r="I232" s="63">
        <f>Segments!$Y$212</f>
        <v>1505.96392096562</v>
      </c>
      <c r="J232" s="42">
        <v>2</v>
      </c>
      <c r="K232" s="40">
        <f t="shared" si="117"/>
        <v>1426.2297754450396</v>
      </c>
      <c r="L232" s="40">
        <f t="shared" si="118"/>
        <v>1505.96392096562</v>
      </c>
      <c r="M232" s="40">
        <f t="shared" si="119"/>
        <v>2490.4814065791279</v>
      </c>
      <c r="N232" s="40">
        <f t="shared" si="120"/>
        <v>1884.6747032990588</v>
      </c>
      <c r="O232" s="40">
        <f t="shared" si="121"/>
        <v>1426.2297754450396</v>
      </c>
      <c r="P232" s="41">
        <f t="shared" si="122"/>
        <v>0.95</v>
      </c>
      <c r="Q232" s="41">
        <f t="shared" si="123"/>
        <v>0.47162441801004884</v>
      </c>
      <c r="R232" s="64">
        <f t="shared" si="124"/>
        <v>47.5</v>
      </c>
      <c r="S232" s="64">
        <f>APPLICANTS_PER_YEAR*($H232/Segments!$AH$2)*Q232</f>
        <v>27.731515778990872</v>
      </c>
      <c r="T232" s="64">
        <f t="shared" si="125"/>
        <v>75.231515778990868</v>
      </c>
      <c r="U232" s="40">
        <f t="shared" si="126"/>
        <v>1426.2297754450399</v>
      </c>
      <c r="V232" s="65">
        <f t="shared" si="127"/>
        <v>107297.42785586012</v>
      </c>
      <c r="W232" s="65">
        <f t="shared" si="128"/>
        <v>126891.46230064193</v>
      </c>
      <c r="X232" s="65">
        <f t="shared" si="129"/>
        <v>23861.435048089876</v>
      </c>
      <c r="Y232" s="40">
        <f t="shared" si="130"/>
        <v>1426.2297754450396</v>
      </c>
      <c r="Z232" s="40">
        <f t="shared" si="131"/>
        <v>1551.1428385945887</v>
      </c>
      <c r="AA232" s="40">
        <f t="shared" si="132"/>
        <v>2563.9458487765023</v>
      </c>
      <c r="AB232" s="40">
        <f t="shared" si="133"/>
        <v>1940.7419172879129</v>
      </c>
      <c r="AC232" s="40">
        <f t="shared" si="134"/>
        <v>1469.0166687083909</v>
      </c>
      <c r="AD232" s="41">
        <f t="shared" si="135"/>
        <v>0.95</v>
      </c>
      <c r="AE232" s="41">
        <f t="shared" si="136"/>
        <v>0.47153219456369905</v>
      </c>
      <c r="AF232" s="64">
        <f t="shared" si="137"/>
        <v>74.754725859694574</v>
      </c>
      <c r="AG232" s="64">
        <f>APPLICANTS_PER_YEAR*($H232/Segments!$AH$2)*AE232</f>
        <v>27.726093040345503</v>
      </c>
      <c r="AH232" s="64">
        <f t="shared" si="138"/>
        <v>102.48081890004008</v>
      </c>
      <c r="AI232" s="40">
        <f t="shared" si="139"/>
        <v>1469.0166687083909</v>
      </c>
      <c r="AJ232" s="65">
        <f t="shared" si="140"/>
        <v>150546.03118704478</v>
      </c>
      <c r="AK232" s="65">
        <f t="shared" si="141"/>
        <v>178037.87492971891</v>
      </c>
      <c r="AL232" s="65">
        <f t="shared" si="142"/>
        <v>32621.521847565855</v>
      </c>
      <c r="AM232" s="40">
        <f t="shared" si="143"/>
        <v>1469.0166687083909</v>
      </c>
      <c r="AN232" s="40">
        <f t="shared" si="144"/>
        <v>1597.6771237524263</v>
      </c>
      <c r="AO232" s="40">
        <f t="shared" si="145"/>
        <v>2639.6142242397973</v>
      </c>
      <c r="AP232" s="40">
        <f t="shared" si="146"/>
        <v>1998.4910340552124</v>
      </c>
      <c r="AQ232" s="40">
        <f t="shared" si="147"/>
        <v>1513.0871687696424</v>
      </c>
      <c r="AR232" s="41">
        <f t="shared" si="148"/>
        <v>0.95</v>
      </c>
      <c r="AS232" s="41">
        <f t="shared" si="149"/>
        <v>0.47144259268970018</v>
      </c>
      <c r="AT232" s="64">
        <f t="shared" si="150"/>
        <v>50.90703755503408</v>
      </c>
      <c r="AU232" s="64">
        <f>APPLICANTS_PER_YEAR*($H232/Segments!$AH$2)*AS232</f>
        <v>27.720824450154367</v>
      </c>
      <c r="AV232" s="64">
        <f t="shared" si="151"/>
        <v>78.627862005188447</v>
      </c>
      <c r="AW232" s="40">
        <f t="shared" si="152"/>
        <v>1513.0871687696424</v>
      </c>
      <c r="AX232" s="65">
        <f t="shared" si="153"/>
        <v>118970.80910784073</v>
      </c>
      <c r="AY232" s="65">
        <f t="shared" si="154"/>
        <v>140696.56878508243</v>
      </c>
      <c r="AZ232" s="65">
        <f t="shared" si="155"/>
        <v>26219.101605153079</v>
      </c>
    </row>
    <row r="233" spans="1:52" ht="15" customHeight="1" x14ac:dyDescent="0.35">
      <c r="A233" s="61" t="str">
        <f>Segments!$A$213</f>
        <v>Greek</v>
      </c>
      <c r="B233" s="61" t="str">
        <f>Segments!$B$213</f>
        <v>On campus</v>
      </c>
      <c r="C233" s="61" t="str">
        <f>Segments!$C$213</f>
        <v>Yes</v>
      </c>
      <c r="D233" s="61" t="str">
        <f>Segments!$D$213</f>
        <v>1.0-2.0</v>
      </c>
      <c r="E233" s="61" t="str">
        <f>Segments!$E$213</f>
        <v>Senior</v>
      </c>
      <c r="F233" s="61">
        <f>Segments!$F$213</f>
        <v>3</v>
      </c>
      <c r="G233" s="61" t="str">
        <f>Segments!$G$213</f>
        <v>Base</v>
      </c>
      <c r="H233" s="62">
        <f>Segments!$H$213</f>
        <v>47</v>
      </c>
      <c r="I233" s="63">
        <f>Segments!$Y$213</f>
        <v>1407.6055867933728</v>
      </c>
      <c r="J233" s="42">
        <v>3</v>
      </c>
      <c r="K233" s="40">
        <f t="shared" si="117"/>
        <v>1426.2297754450396</v>
      </c>
      <c r="L233" s="40">
        <f t="shared" si="118"/>
        <v>1407.6055867933728</v>
      </c>
      <c r="M233" s="40">
        <f t="shared" si="119"/>
        <v>2330.5430872336055</v>
      </c>
      <c r="N233" s="40">
        <f t="shared" si="120"/>
        <v>1823.1538453926962</v>
      </c>
      <c r="O233" s="40">
        <f t="shared" si="121"/>
        <v>1426.2297754450396</v>
      </c>
      <c r="P233" s="41">
        <f t="shared" si="122"/>
        <v>0.95</v>
      </c>
      <c r="Q233" s="41">
        <f t="shared" si="123"/>
        <v>0.45885643878894966</v>
      </c>
      <c r="R233" s="64">
        <f t="shared" si="124"/>
        <v>46.55</v>
      </c>
      <c r="S233" s="64">
        <f>APPLICANTS_PER_YEAR*($H233/Segments!$AH$2)*Q233</f>
        <v>25.879503147696763</v>
      </c>
      <c r="T233" s="64">
        <f t="shared" si="125"/>
        <v>72.429503147696764</v>
      </c>
      <c r="U233" s="40">
        <f t="shared" si="126"/>
        <v>1426.2297754450396</v>
      </c>
      <c r="V233" s="65">
        <f t="shared" si="127"/>
        <v>103301.11400993535</v>
      </c>
      <c r="W233" s="65">
        <f t="shared" si="128"/>
        <v>114186.4340728901</v>
      </c>
      <c r="X233" s="65">
        <f t="shared" si="129"/>
        <v>22911.342318228046</v>
      </c>
      <c r="Y233" s="40">
        <f t="shared" si="130"/>
        <v>1426.2297754450399</v>
      </c>
      <c r="Z233" s="40">
        <f t="shared" si="131"/>
        <v>1449.8337543971741</v>
      </c>
      <c r="AA233" s="40">
        <f t="shared" si="132"/>
        <v>2399.2093798506139</v>
      </c>
      <c r="AB233" s="40">
        <f t="shared" si="133"/>
        <v>1877.3594676358796</v>
      </c>
      <c r="AC233" s="40">
        <f t="shared" si="134"/>
        <v>1469.0166687083909</v>
      </c>
      <c r="AD233" s="41">
        <f t="shared" si="135"/>
        <v>0.94975455818850363</v>
      </c>
      <c r="AE233" s="41">
        <f t="shared" si="136"/>
        <v>0.45875455818850358</v>
      </c>
      <c r="AF233" s="64">
        <f t="shared" si="137"/>
        <v>71.451475030526908</v>
      </c>
      <c r="AG233" s="64">
        <f>APPLICANTS_PER_YEAR*($H233/Segments!$AH$2)*AE233</f>
        <v>25.873757081831606</v>
      </c>
      <c r="AH233" s="64">
        <f t="shared" si="138"/>
        <v>97.32523211235852</v>
      </c>
      <c r="AI233" s="40">
        <f t="shared" si="139"/>
        <v>1469.0166687083909</v>
      </c>
      <c r="AJ233" s="65">
        <f t="shared" si="140"/>
        <v>142972.38825896781</v>
      </c>
      <c r="AK233" s="65">
        <f t="shared" si="141"/>
        <v>158038.05547156165</v>
      </c>
      <c r="AL233" s="65">
        <f t="shared" si="142"/>
        <v>30945.444265474158</v>
      </c>
      <c r="AM233" s="40">
        <f t="shared" si="143"/>
        <v>1469.0166687083909</v>
      </c>
      <c r="AN233" s="40">
        <f t="shared" si="144"/>
        <v>1493.3287670290892</v>
      </c>
      <c r="AO233" s="40">
        <f t="shared" si="145"/>
        <v>2469.9356612461324</v>
      </c>
      <c r="AP233" s="40">
        <f t="shared" si="146"/>
        <v>1933.1911330021369</v>
      </c>
      <c r="AQ233" s="40">
        <f t="shared" si="147"/>
        <v>1513.0871687696424</v>
      </c>
      <c r="AR233" s="41">
        <f t="shared" si="148"/>
        <v>0.94965556877971424</v>
      </c>
      <c r="AS233" s="41">
        <f t="shared" si="149"/>
        <v>0.45865556877971414</v>
      </c>
      <c r="AT233" s="64">
        <f t="shared" si="150"/>
        <v>97.321480361528444</v>
      </c>
      <c r="AU233" s="64">
        <f>APPLICANTS_PER_YEAR*($H233/Segments!$AH$2)*AS233</f>
        <v>25.86817407917588</v>
      </c>
      <c r="AV233" s="64">
        <f t="shared" si="151"/>
        <v>123.18965444070432</v>
      </c>
      <c r="AW233" s="40">
        <f t="shared" si="152"/>
        <v>1513.0871687696426</v>
      </c>
      <c r="AX233" s="65">
        <f t="shared" si="153"/>
        <v>186396.68545939593</v>
      </c>
      <c r="AY233" s="65">
        <f t="shared" si="154"/>
        <v>206038.17334987776</v>
      </c>
      <c r="AZ233" s="65">
        <f t="shared" si="155"/>
        <v>39709.399072373824</v>
      </c>
    </row>
    <row r="234" spans="1:52" ht="15" customHeight="1" x14ac:dyDescent="0.35">
      <c r="A234" s="61" t="str">
        <f>Segments!$A$214</f>
        <v>Greek</v>
      </c>
      <c r="B234" s="61" t="str">
        <f>Segments!$B$214</f>
        <v>On campus</v>
      </c>
      <c r="C234" s="61" t="str">
        <f>Segments!$C$214</f>
        <v>Yes</v>
      </c>
      <c r="D234" s="61" t="str">
        <f>Segments!$D$214</f>
        <v>1.0-2.0</v>
      </c>
      <c r="E234" s="61" t="str">
        <f>Segments!$E$214</f>
        <v>Grad student</v>
      </c>
      <c r="F234" s="61">
        <f>Segments!$F$214</f>
        <v>3</v>
      </c>
      <c r="G234" s="61" t="str">
        <f>Segments!$G$214</f>
        <v>Grad</v>
      </c>
      <c r="H234" s="62">
        <f>Segments!$H$214</f>
        <v>18</v>
      </c>
      <c r="I234" s="63">
        <f>Segments!$Y$214</f>
        <v>1676.0084210972461</v>
      </c>
      <c r="J234" s="42">
        <v>4</v>
      </c>
      <c r="K234" s="40">
        <f t="shared" si="117"/>
        <v>1426.2297754450396</v>
      </c>
      <c r="L234" s="40">
        <f t="shared" si="118"/>
        <v>1676.0084210972461</v>
      </c>
      <c r="M234" s="40">
        <f t="shared" si="119"/>
        <v>2766.9870204031122</v>
      </c>
      <c r="N234" s="40">
        <f t="shared" si="120"/>
        <v>1986.5445569553353</v>
      </c>
      <c r="O234" s="40">
        <f t="shared" si="121"/>
        <v>1426.2297754450396</v>
      </c>
      <c r="P234" s="41">
        <f t="shared" si="122"/>
        <v>0.95</v>
      </c>
      <c r="Q234" s="41">
        <f t="shared" si="123"/>
        <v>0.49102748905090216</v>
      </c>
      <c r="R234" s="64">
        <f t="shared" si="124"/>
        <v>8.5499999999999989</v>
      </c>
      <c r="S234" s="64">
        <f>APPLICANTS_PER_YEAR*($H234/Segments!$AH$2)*Q234</f>
        <v>10.606193763499485</v>
      </c>
      <c r="T234" s="64">
        <f t="shared" si="125"/>
        <v>19.156193763499484</v>
      </c>
      <c r="U234" s="40">
        <f t="shared" si="126"/>
        <v>1426.2297754450396</v>
      </c>
      <c r="V234" s="65">
        <f t="shared" si="127"/>
        <v>27321.133929697538</v>
      </c>
      <c r="W234" s="65">
        <f t="shared" si="128"/>
        <v>35958.655111451168</v>
      </c>
      <c r="X234" s="65">
        <f t="shared" si="129"/>
        <v>6341.4134593077979</v>
      </c>
      <c r="Y234" s="40">
        <f t="shared" si="130"/>
        <v>1426.2297754450396</v>
      </c>
      <c r="Z234" s="40">
        <f t="shared" si="131"/>
        <v>1726.2886737301635</v>
      </c>
      <c r="AA234" s="40">
        <f t="shared" si="132"/>
        <v>2848.7466310152054</v>
      </c>
      <c r="AB234" s="40">
        <f t="shared" si="133"/>
        <v>2045.6921288131819</v>
      </c>
      <c r="AC234" s="40">
        <f t="shared" si="134"/>
        <v>1469.0166687083909</v>
      </c>
      <c r="AD234" s="41">
        <f t="shared" si="135"/>
        <v>0.95</v>
      </c>
      <c r="AE234" s="41">
        <f t="shared" si="136"/>
        <v>0.49094874101103181</v>
      </c>
      <c r="AF234" s="64">
        <f t="shared" si="137"/>
        <v>9.0991920376622542</v>
      </c>
      <c r="AG234" s="64">
        <f>APPLICANTS_PER_YEAR*($H234/Segments!$AH$2)*AE234</f>
        <v>10.604492805838285</v>
      </c>
      <c r="AH234" s="64">
        <f t="shared" si="138"/>
        <v>19.70368484350054</v>
      </c>
      <c r="AI234" s="40">
        <f t="shared" si="139"/>
        <v>1469.0166687083909</v>
      </c>
      <c r="AJ234" s="65">
        <f t="shared" si="140"/>
        <v>28945.041470079173</v>
      </c>
      <c r="AK234" s="65">
        <f t="shared" si="141"/>
        <v>38095.95773321372</v>
      </c>
      <c r="AL234" s="65">
        <f t="shared" si="142"/>
        <v>6675.0350391850452</v>
      </c>
      <c r="AM234" s="40">
        <f t="shared" si="143"/>
        <v>1469.0166687083909</v>
      </c>
      <c r="AN234" s="40">
        <f t="shared" si="144"/>
        <v>1778.0773339420684</v>
      </c>
      <c r="AO234" s="40">
        <f t="shared" si="145"/>
        <v>2932.9590299456618</v>
      </c>
      <c r="AP234" s="40">
        <f t="shared" si="146"/>
        <v>2106.6140307939277</v>
      </c>
      <c r="AQ234" s="40">
        <f t="shared" si="147"/>
        <v>1513.0871687696424</v>
      </c>
      <c r="AR234" s="41">
        <f t="shared" si="148"/>
        <v>0.95</v>
      </c>
      <c r="AS234" s="41">
        <f t="shared" si="149"/>
        <v>0.49087223699934263</v>
      </c>
      <c r="AT234" s="64">
        <f t="shared" si="150"/>
        <v>9.3592503006627563</v>
      </c>
      <c r="AU234" s="64">
        <f>APPLICANTS_PER_YEAR*($H234/Segments!$AH$2)*AS234</f>
        <v>10.6028403191858</v>
      </c>
      <c r="AV234" s="64">
        <f t="shared" si="151"/>
        <v>19.962090619848556</v>
      </c>
      <c r="AW234" s="40">
        <f t="shared" si="152"/>
        <v>1513.0871687696424</v>
      </c>
      <c r="AX234" s="65">
        <f t="shared" si="153"/>
        <v>30204.38317870969</v>
      </c>
      <c r="AY234" s="65">
        <f t="shared" si="154"/>
        <v>39753.437773560334</v>
      </c>
      <c r="AZ234" s="65">
        <f t="shared" si="155"/>
        <v>6934.4469985343185</v>
      </c>
    </row>
    <row r="235" spans="1:52" ht="15" customHeight="1" x14ac:dyDescent="0.35">
      <c r="A235" s="59" t="str">
        <f>Segments!$A$215</f>
        <v>Greek</v>
      </c>
      <c r="B235" s="59" t="str">
        <f>Segments!$B$215</f>
        <v>On campus</v>
      </c>
      <c r="C235" s="59" t="str">
        <f>Segments!$C$215</f>
        <v>Yes</v>
      </c>
      <c r="D235" s="59" t="str">
        <f>Segments!$D$215</f>
        <v>2.0-3.0</v>
      </c>
      <c r="E235" s="59" t="str">
        <f>Segments!$E$215</f>
        <v>Freshman</v>
      </c>
      <c r="F235" s="59">
        <f>Segments!$F$215</f>
        <v>1</v>
      </c>
      <c r="G235" s="59" t="str">
        <f>Segments!$G$215</f>
        <v>Base</v>
      </c>
      <c r="H235" s="60">
        <f>Segments!$H$215</f>
        <v>88</v>
      </c>
      <c r="I235" s="26">
        <f>Segments!$Y$215</f>
        <v>1250.6766337657414</v>
      </c>
      <c r="J235" s="29">
        <v>0</v>
      </c>
      <c r="K235" s="14">
        <f t="shared" si="117"/>
        <v>2075.3643754841978</v>
      </c>
      <c r="L235" s="14">
        <f t="shared" si="118"/>
        <v>1250.6766337657414</v>
      </c>
      <c r="M235" s="14">
        <f t="shared" si="119"/>
        <v>2075.3643754841978</v>
      </c>
      <c r="N235" s="14">
        <f t="shared" si="120"/>
        <v>1720.4494956881074</v>
      </c>
      <c r="O235" s="14">
        <f t="shared" si="121"/>
        <v>1426.2297754450396</v>
      </c>
      <c r="P235" s="33">
        <f t="shared" si="122"/>
        <v>0.93550664258975891</v>
      </c>
      <c r="Q235" s="33">
        <f t="shared" si="123"/>
        <v>0.43550664258975885</v>
      </c>
      <c r="R235" s="51">
        <f t="shared" si="124"/>
        <v>0</v>
      </c>
      <c r="S235" s="51">
        <f>APPLICANTS_PER_YEAR*($H235/Segments!$AH$2)*Q235</f>
        <v>45.989501457478539</v>
      </c>
      <c r="T235" s="51">
        <f t="shared" si="125"/>
        <v>45.989501457478539</v>
      </c>
      <c r="U235" s="14">
        <f t="shared" si="126"/>
        <v>1426.2297754450394</v>
      </c>
      <c r="V235" s="44">
        <f t="shared" si="127"/>
        <v>65591.596336528935</v>
      </c>
      <c r="W235" s="44">
        <f t="shared" si="128"/>
        <v>64420.154255972389</v>
      </c>
      <c r="X235" s="44">
        <f t="shared" si="129"/>
        <v>16762.045144969015</v>
      </c>
      <c r="Y235" s="14">
        <f t="shared" si="130"/>
        <v>2136.3753067487237</v>
      </c>
      <c r="Z235" s="14">
        <f t="shared" si="131"/>
        <v>1288.1969327787137</v>
      </c>
      <c r="AA235" s="14">
        <f t="shared" si="132"/>
        <v>2136.3753067487237</v>
      </c>
      <c r="AB235" s="14">
        <f t="shared" si="133"/>
        <v>1771.5447880962186</v>
      </c>
      <c r="AC235" s="14">
        <f t="shared" si="134"/>
        <v>1469.0166687083909</v>
      </c>
      <c r="AD235" s="33">
        <f t="shared" si="135"/>
        <v>0.93538539962992917</v>
      </c>
      <c r="AE235" s="33">
        <f t="shared" si="136"/>
        <v>0.43538539962992917</v>
      </c>
      <c r="AF235" s="51">
        <f t="shared" si="137"/>
        <v>0</v>
      </c>
      <c r="AG235" s="51">
        <f>APPLICANTS_PER_YEAR*($H235/Segments!$AH$2)*AE235</f>
        <v>45.976698200920524</v>
      </c>
      <c r="AH235" s="51">
        <f t="shared" si="138"/>
        <v>45.976698200920524</v>
      </c>
      <c r="AI235" s="14">
        <f t="shared" si="139"/>
        <v>1469.0166687083906</v>
      </c>
      <c r="AJ235" s="44">
        <f t="shared" si="140"/>
        <v>67540.536029327326</v>
      </c>
      <c r="AK235" s="44">
        <f t="shared" si="141"/>
        <v>66334.28659392464</v>
      </c>
      <c r="AL235" s="44">
        <f t="shared" si="142"/>
        <v>17198.031489610745</v>
      </c>
      <c r="AM235" s="14">
        <f t="shared" si="143"/>
        <v>2199.2165659511852</v>
      </c>
      <c r="AN235" s="14">
        <f t="shared" si="144"/>
        <v>1326.842840762075</v>
      </c>
      <c r="AO235" s="14">
        <f t="shared" si="145"/>
        <v>2199.2165659511852</v>
      </c>
      <c r="AP235" s="14">
        <f t="shared" si="146"/>
        <v>1824.17278986569</v>
      </c>
      <c r="AQ235" s="14">
        <f t="shared" si="147"/>
        <v>1513.0871687696424</v>
      </c>
      <c r="AR235" s="33">
        <f t="shared" si="148"/>
        <v>0.93526758616955141</v>
      </c>
      <c r="AS235" s="33">
        <f t="shared" si="149"/>
        <v>0.43526758616955141</v>
      </c>
      <c r="AT235" s="51">
        <f t="shared" si="150"/>
        <v>0</v>
      </c>
      <c r="AU235" s="51">
        <f>APPLICANTS_PER_YEAR*($H235/Segments!$AH$2)*AS235</f>
        <v>45.964257099504636</v>
      </c>
      <c r="AV235" s="51">
        <f t="shared" si="151"/>
        <v>45.964257099504636</v>
      </c>
      <c r="AW235" s="14">
        <f t="shared" si="152"/>
        <v>1513.0871687696426</v>
      </c>
      <c r="AX235" s="44">
        <f t="shared" si="153"/>
        <v>69547.92763928941</v>
      </c>
      <c r="AY235" s="44">
        <f t="shared" si="154"/>
        <v>68305.826919036117</v>
      </c>
      <c r="AZ235" s="44">
        <f t="shared" si="155"/>
        <v>17647.127360678536</v>
      </c>
    </row>
    <row r="236" spans="1:52" ht="15" customHeight="1" x14ac:dyDescent="0.35">
      <c r="A236" s="59" t="str">
        <f>Segments!$A$216</f>
        <v>Greek</v>
      </c>
      <c r="B236" s="59" t="str">
        <f>Segments!$B$216</f>
        <v>On campus</v>
      </c>
      <c r="C236" s="59" t="str">
        <f>Segments!$C$216</f>
        <v>Yes</v>
      </c>
      <c r="D236" s="59" t="str">
        <f>Segments!$D$216</f>
        <v>2.0-3.0</v>
      </c>
      <c r="E236" s="59" t="str">
        <f>Segments!$E$216</f>
        <v>Sophomore</v>
      </c>
      <c r="F236" s="59">
        <f>Segments!$F$216</f>
        <v>1</v>
      </c>
      <c r="G236" s="59" t="str">
        <f>Segments!$G$216</f>
        <v>Sophomore</v>
      </c>
      <c r="H236" s="60">
        <f>Segments!$H$216</f>
        <v>86</v>
      </c>
      <c r="I236" s="26">
        <f>Segments!$Y$216</f>
        <v>1237.9525533829876</v>
      </c>
      <c r="J236" s="29">
        <v>1</v>
      </c>
      <c r="K236" s="14">
        <f t="shared" si="117"/>
        <v>1426.2297754450396</v>
      </c>
      <c r="L236" s="14">
        <f t="shared" si="118"/>
        <v>1237.9525533829876</v>
      </c>
      <c r="M236" s="14">
        <f t="shared" si="119"/>
        <v>2054.6740288169685</v>
      </c>
      <c r="N236" s="14">
        <f t="shared" si="120"/>
        <v>1711.8520025786049</v>
      </c>
      <c r="O236" s="14">
        <f t="shared" si="121"/>
        <v>1426.2297754450396</v>
      </c>
      <c r="P236" s="33">
        <f t="shared" si="122"/>
        <v>0.93342491836424102</v>
      </c>
      <c r="Q236" s="33">
        <f t="shared" si="123"/>
        <v>0.43342491836424102</v>
      </c>
      <c r="R236" s="51">
        <f t="shared" si="124"/>
        <v>82.141392816053212</v>
      </c>
      <c r="S236" s="51">
        <f>APPLICANTS_PER_YEAR*($H236/Segments!$AH$2)*Q236</f>
        <v>44.729451575189671</v>
      </c>
      <c r="T236" s="51">
        <f t="shared" si="125"/>
        <v>126.87084439124288</v>
      </c>
      <c r="U236" s="14">
        <f t="shared" si="126"/>
        <v>1426.2297754450394</v>
      </c>
      <c r="V236" s="44">
        <f t="shared" si="127"/>
        <v>180946.97590664489</v>
      </c>
      <c r="W236" s="44">
        <f t="shared" si="128"/>
        <v>175907.2960556742</v>
      </c>
      <c r="X236" s="44">
        <f t="shared" si="129"/>
        <v>40087.438272215673</v>
      </c>
      <c r="Y236" s="14">
        <f t="shared" si="130"/>
        <v>1426.2297754450394</v>
      </c>
      <c r="Z236" s="14">
        <f t="shared" si="131"/>
        <v>1275.0911299844772</v>
      </c>
      <c r="AA236" s="14">
        <f t="shared" si="132"/>
        <v>2115.0642496814776</v>
      </c>
      <c r="AB236" s="14">
        <f t="shared" si="133"/>
        <v>1762.686766890617</v>
      </c>
      <c r="AC236" s="14">
        <f t="shared" si="134"/>
        <v>1469.0166687083909</v>
      </c>
      <c r="AD236" s="33">
        <f t="shared" si="135"/>
        <v>0.92430183890251261</v>
      </c>
      <c r="AE236" s="33">
        <f t="shared" si="136"/>
        <v>0.43330183890251267</v>
      </c>
      <c r="AF236" s="51">
        <f t="shared" si="137"/>
        <v>42.508180767357196</v>
      </c>
      <c r="AG236" s="51">
        <f>APPLICANTS_PER_YEAR*($H236/Segments!$AH$2)*AE236</f>
        <v>44.716749774739306</v>
      </c>
      <c r="AH236" s="51">
        <f t="shared" si="138"/>
        <v>87.224930542096502</v>
      </c>
      <c r="AI236" s="14">
        <f t="shared" si="139"/>
        <v>1469.0166687083909</v>
      </c>
      <c r="AJ236" s="44">
        <f t="shared" si="140"/>
        <v>128134.87689327137</v>
      </c>
      <c r="AK236" s="44">
        <f t="shared" si="141"/>
        <v>124566.1034774681</v>
      </c>
      <c r="AL236" s="44">
        <f t="shared" si="142"/>
        <v>29379.046865673095</v>
      </c>
      <c r="AM236" s="14">
        <f t="shared" si="143"/>
        <v>1469.0166687083906</v>
      </c>
      <c r="AN236" s="14">
        <f t="shared" si="144"/>
        <v>1313.3438638840114</v>
      </c>
      <c r="AO236" s="14">
        <f t="shared" si="145"/>
        <v>2177.2661771719218</v>
      </c>
      <c r="AP236" s="14">
        <f t="shared" si="146"/>
        <v>1815.0464224572788</v>
      </c>
      <c r="AQ236" s="14">
        <f t="shared" si="147"/>
        <v>1513.0871687696424</v>
      </c>
      <c r="AR236" s="33">
        <f t="shared" si="148"/>
        <v>0.92418223984564329</v>
      </c>
      <c r="AS236" s="33">
        <f t="shared" si="149"/>
        <v>0.4331822398456433</v>
      </c>
      <c r="AT236" s="51">
        <f t="shared" si="150"/>
        <v>42.490847924033886</v>
      </c>
      <c r="AU236" s="51">
        <f>APPLICANTS_PER_YEAR*($H236/Segments!$AH$2)*AS236</f>
        <v>44.704407152070388</v>
      </c>
      <c r="AV236" s="51">
        <f t="shared" si="151"/>
        <v>87.195255076104274</v>
      </c>
      <c r="AW236" s="14">
        <f t="shared" si="152"/>
        <v>1513.0871687696424</v>
      </c>
      <c r="AX236" s="44">
        <f t="shared" si="153"/>
        <v>131934.02163324942</v>
      </c>
      <c r="AY236" s="44">
        <f t="shared" si="154"/>
        <v>128259.4355996831</v>
      </c>
      <c r="AZ236" s="44">
        <f t="shared" si="155"/>
        <v>30164.503638731789</v>
      </c>
    </row>
    <row r="237" spans="1:52" ht="15" customHeight="1" x14ac:dyDescent="0.35">
      <c r="A237" s="59" t="str">
        <f>Segments!$A$217</f>
        <v>Greek</v>
      </c>
      <c r="B237" s="59" t="str">
        <f>Segments!$B$217</f>
        <v>On campus</v>
      </c>
      <c r="C237" s="59" t="str">
        <f>Segments!$C$217</f>
        <v>Yes</v>
      </c>
      <c r="D237" s="59" t="str">
        <f>Segments!$D$217</f>
        <v>2.0-3.0</v>
      </c>
      <c r="E237" s="59" t="str">
        <f>Segments!$E$217</f>
        <v>Junior</v>
      </c>
      <c r="F237" s="59">
        <f>Segments!$F$217</f>
        <v>2</v>
      </c>
      <c r="G237" s="59" t="str">
        <f>Segments!$G$217</f>
        <v>Base</v>
      </c>
      <c r="H237" s="60">
        <f>Segments!$H$217</f>
        <v>83</v>
      </c>
      <c r="I237" s="26">
        <f>Segments!$Y$217</f>
        <v>1479.8802034800028</v>
      </c>
      <c r="J237" s="29">
        <v>2</v>
      </c>
      <c r="K237" s="14">
        <f t="shared" si="117"/>
        <v>1426.2297754450396</v>
      </c>
      <c r="L237" s="14">
        <f t="shared" si="118"/>
        <v>1479.8802034800028</v>
      </c>
      <c r="M237" s="14">
        <f t="shared" si="119"/>
        <v>2448.0672484699912</v>
      </c>
      <c r="N237" s="14">
        <f t="shared" si="120"/>
        <v>1868.5573049975512</v>
      </c>
      <c r="O237" s="14">
        <f t="shared" si="121"/>
        <v>1426.2297754450396</v>
      </c>
      <c r="P237" s="33">
        <f t="shared" si="122"/>
        <v>0.95</v>
      </c>
      <c r="Q237" s="33">
        <f t="shared" si="123"/>
        <v>0.46836070758158826</v>
      </c>
      <c r="R237" s="51">
        <f t="shared" si="124"/>
        <v>81.7</v>
      </c>
      <c r="S237" s="51">
        <f>APPLICANTS_PER_YEAR*($H237/Segments!$AH$2)*Q237</f>
        <v>46.648726475126189</v>
      </c>
      <c r="T237" s="51">
        <f t="shared" si="125"/>
        <v>128.3487264751262</v>
      </c>
      <c r="U237" s="14">
        <f t="shared" si="126"/>
        <v>1426.2297754450396</v>
      </c>
      <c r="V237" s="44">
        <f t="shared" si="127"/>
        <v>183054.77533927606</v>
      </c>
      <c r="W237" s="44">
        <f t="shared" si="128"/>
        <v>212733.62818669807</v>
      </c>
      <c r="X237" s="44">
        <f t="shared" si="129"/>
        <v>40659.158324493423</v>
      </c>
      <c r="Y237" s="14">
        <f t="shared" si="130"/>
        <v>1426.2297754450394</v>
      </c>
      <c r="Z237" s="14">
        <f t="shared" si="131"/>
        <v>1524.2766095844029</v>
      </c>
      <c r="AA237" s="14">
        <f t="shared" si="132"/>
        <v>2520.2592659240909</v>
      </c>
      <c r="AB237" s="14">
        <f t="shared" si="133"/>
        <v>1924.1369158948285</v>
      </c>
      <c r="AC237" s="14">
        <f t="shared" si="134"/>
        <v>1469.0166687083909</v>
      </c>
      <c r="AD237" s="33">
        <f t="shared" si="135"/>
        <v>0.95</v>
      </c>
      <c r="AE237" s="33">
        <f t="shared" si="136"/>
        <v>0.46826607644882218</v>
      </c>
      <c r="AF237" s="51">
        <f t="shared" si="137"/>
        <v>120.52730217168073</v>
      </c>
      <c r="AG237" s="51">
        <f>APPLICANTS_PER_YEAR*($H237/Segments!$AH$2)*AE237</f>
        <v>46.639301214302684</v>
      </c>
      <c r="AH237" s="51">
        <f t="shared" si="138"/>
        <v>167.16660338598342</v>
      </c>
      <c r="AI237" s="14">
        <f t="shared" si="139"/>
        <v>1469.0166687083909</v>
      </c>
      <c r="AJ237" s="44">
        <f t="shared" si="140"/>
        <v>245570.52682537417</v>
      </c>
      <c r="AK237" s="44">
        <f t="shared" si="141"/>
        <v>285385.12065831869</v>
      </c>
      <c r="AL237" s="44">
        <f t="shared" si="142"/>
        <v>53320.131049598232</v>
      </c>
      <c r="AM237" s="14">
        <f t="shared" si="143"/>
        <v>1469.0166687083909</v>
      </c>
      <c r="AN237" s="14">
        <f t="shared" si="144"/>
        <v>1570.0049078719348</v>
      </c>
      <c r="AO237" s="14">
        <f t="shared" si="145"/>
        <v>2594.6170439018133</v>
      </c>
      <c r="AP237" s="14">
        <f t="shared" si="146"/>
        <v>1981.3837985102368</v>
      </c>
      <c r="AQ237" s="14">
        <f t="shared" si="147"/>
        <v>1513.0871687696424</v>
      </c>
      <c r="AR237" s="33">
        <f t="shared" si="148"/>
        <v>0.95</v>
      </c>
      <c r="AS237" s="33">
        <f t="shared" si="149"/>
        <v>0.46817413418154963</v>
      </c>
      <c r="AT237" s="51">
        <f t="shared" si="150"/>
        <v>82.863684014991676</v>
      </c>
      <c r="AU237" s="51">
        <f>APPLICANTS_PER_YEAR*($H237/Segments!$AH$2)*AS237</f>
        <v>46.630143764482341</v>
      </c>
      <c r="AV237" s="51">
        <f t="shared" si="151"/>
        <v>129.49382777947403</v>
      </c>
      <c r="AW237" s="14">
        <f t="shared" si="152"/>
        <v>1513.0871687696422</v>
      </c>
      <c r="AX237" s="44">
        <f t="shared" si="153"/>
        <v>195935.449247988</v>
      </c>
      <c r="AY237" s="44">
        <f t="shared" si="154"/>
        <v>227702.65857124503</v>
      </c>
      <c r="AZ237" s="44">
        <f t="shared" si="155"/>
        <v>43256.871584848544</v>
      </c>
    </row>
    <row r="238" spans="1:52" ht="15" customHeight="1" x14ac:dyDescent="0.35">
      <c r="A238" s="59" t="str">
        <f>Segments!$A$218</f>
        <v>Greek</v>
      </c>
      <c r="B238" s="59" t="str">
        <f>Segments!$B$218</f>
        <v>On campus</v>
      </c>
      <c r="C238" s="59" t="str">
        <f>Segments!$C$218</f>
        <v>Yes</v>
      </c>
      <c r="D238" s="59" t="str">
        <f>Segments!$D$218</f>
        <v>2.0-3.0</v>
      </c>
      <c r="E238" s="59" t="str">
        <f>Segments!$E$218</f>
        <v>Senior</v>
      </c>
      <c r="F238" s="59">
        <f>Segments!$F$218</f>
        <v>3</v>
      </c>
      <c r="G238" s="59" t="str">
        <f>Segments!$G$218</f>
        <v>Base</v>
      </c>
      <c r="H238" s="60">
        <f>Segments!$H$218</f>
        <v>102</v>
      </c>
      <c r="I238" s="26">
        <f>Segments!$Y$218</f>
        <v>1383.2254632419715</v>
      </c>
      <c r="J238" s="29">
        <v>3</v>
      </c>
      <c r="K238" s="14">
        <f t="shared" si="117"/>
        <v>1426.2297754450396</v>
      </c>
      <c r="L238" s="14">
        <f t="shared" si="118"/>
        <v>1383.2254632419715</v>
      </c>
      <c r="M238" s="14">
        <f t="shared" si="119"/>
        <v>2290.8991056730929</v>
      </c>
      <c r="N238" s="14">
        <f t="shared" si="120"/>
        <v>1807.580846615547</v>
      </c>
      <c r="O238" s="14">
        <f t="shared" si="121"/>
        <v>1426.2297754450396</v>
      </c>
      <c r="P238" s="33">
        <f t="shared" si="122"/>
        <v>0.95</v>
      </c>
      <c r="Q238" s="33">
        <f t="shared" si="123"/>
        <v>0.45548658774641698</v>
      </c>
      <c r="R238" s="51">
        <f t="shared" si="124"/>
        <v>78.849999999999994</v>
      </c>
      <c r="S238" s="51">
        <f>APPLICANTS_PER_YEAR*($H238/Segments!$AH$2)*Q238</f>
        <v>55.751558340161438</v>
      </c>
      <c r="T238" s="51">
        <f t="shared" si="125"/>
        <v>134.60155834016143</v>
      </c>
      <c r="U238" s="14">
        <f t="shared" si="126"/>
        <v>1426.2297754450396</v>
      </c>
      <c r="V238" s="44">
        <f t="shared" si="127"/>
        <v>191972.75032604084</v>
      </c>
      <c r="W238" s="44">
        <f t="shared" si="128"/>
        <v>208526.41923474037</v>
      </c>
      <c r="X238" s="44">
        <f t="shared" si="129"/>
        <v>43151.678575555976</v>
      </c>
      <c r="Y238" s="14">
        <f t="shared" si="130"/>
        <v>1426.2297754450396</v>
      </c>
      <c r="Z238" s="14">
        <f t="shared" si="131"/>
        <v>1424.7222271392307</v>
      </c>
      <c r="AA238" s="14">
        <f t="shared" si="132"/>
        <v>2358.3760788432855</v>
      </c>
      <c r="AB238" s="14">
        <f t="shared" si="133"/>
        <v>1861.3150649215518</v>
      </c>
      <c r="AC238" s="14">
        <f t="shared" si="134"/>
        <v>1469.0166687083909</v>
      </c>
      <c r="AD238" s="33">
        <f t="shared" si="135"/>
        <v>0.94638205046701607</v>
      </c>
      <c r="AE238" s="33">
        <f t="shared" si="136"/>
        <v>0.45538205046701613</v>
      </c>
      <c r="AF238" s="51">
        <f t="shared" si="137"/>
        <v>121.46693093636013</v>
      </c>
      <c r="AG238" s="51">
        <f>APPLICANTS_PER_YEAR*($H238/Segments!$AH$2)*AE238</f>
        <v>55.738762977162779</v>
      </c>
      <c r="AH238" s="51">
        <f t="shared" si="138"/>
        <v>177.20569391352291</v>
      </c>
      <c r="AI238" s="14">
        <f t="shared" si="139"/>
        <v>1469.0166687083909</v>
      </c>
      <c r="AJ238" s="44">
        <f t="shared" si="140"/>
        <v>260318.1181490022</v>
      </c>
      <c r="AK238" s="44">
        <f t="shared" si="141"/>
        <v>282765.15780153446</v>
      </c>
      <c r="AL238" s="44">
        <f t="shared" si="142"/>
        <v>57003.548299593291</v>
      </c>
      <c r="AM238" s="14">
        <f t="shared" si="143"/>
        <v>1469.0166687083909</v>
      </c>
      <c r="AN238" s="14">
        <f t="shared" si="144"/>
        <v>1467.4638939534075</v>
      </c>
      <c r="AO238" s="14">
        <f t="shared" si="145"/>
        <v>2427.8773612085843</v>
      </c>
      <c r="AP238" s="14">
        <f t="shared" si="146"/>
        <v>1916.6611809579197</v>
      </c>
      <c r="AQ238" s="14">
        <f t="shared" si="147"/>
        <v>1513.0871687696424</v>
      </c>
      <c r="AR238" s="33">
        <f t="shared" si="148"/>
        <v>0.94628047841678964</v>
      </c>
      <c r="AS238" s="33">
        <f t="shared" si="149"/>
        <v>0.45528047841678954</v>
      </c>
      <c r="AT238" s="51">
        <f t="shared" si="150"/>
        <v>158.18649342739812</v>
      </c>
      <c r="AU238" s="51">
        <f>APPLICANTS_PER_YEAR*($H238/Segments!$AH$2)*AS238</f>
        <v>55.726330558215039</v>
      </c>
      <c r="AV238" s="51">
        <f t="shared" si="151"/>
        <v>213.91282398561316</v>
      </c>
      <c r="AW238" s="14">
        <f t="shared" si="152"/>
        <v>1513.0871687696424</v>
      </c>
      <c r="AX238" s="44">
        <f t="shared" si="153"/>
        <v>323668.74920791027</v>
      </c>
      <c r="AY238" s="44">
        <f t="shared" si="154"/>
        <v>351578.46713079751</v>
      </c>
      <c r="AZ238" s="44">
        <f t="shared" si="155"/>
        <v>69795.966194521461</v>
      </c>
    </row>
    <row r="239" spans="1:52" ht="15" customHeight="1" x14ac:dyDescent="0.35">
      <c r="A239" s="59" t="str">
        <f>Segments!$A$219</f>
        <v>Greek</v>
      </c>
      <c r="B239" s="59" t="str">
        <f>Segments!$B$219</f>
        <v>On campus</v>
      </c>
      <c r="C239" s="59" t="str">
        <f>Segments!$C$219</f>
        <v>Yes</v>
      </c>
      <c r="D239" s="59" t="str">
        <f>Segments!$D$219</f>
        <v>2.0-3.0</v>
      </c>
      <c r="E239" s="59" t="str">
        <f>Segments!$E$219</f>
        <v>Grad student</v>
      </c>
      <c r="F239" s="59">
        <f>Segments!$F$219</f>
        <v>3</v>
      </c>
      <c r="G239" s="59" t="str">
        <f>Segments!$G$219</f>
        <v>Grad</v>
      </c>
      <c r="H239" s="60">
        <f>Segments!$H$219</f>
        <v>42</v>
      </c>
      <c r="I239" s="26">
        <f>Segments!$Y$219</f>
        <v>1646.9794851773304</v>
      </c>
      <c r="J239" s="29">
        <v>4</v>
      </c>
      <c r="K239" s="14">
        <f t="shared" si="117"/>
        <v>1426.2297754450396</v>
      </c>
      <c r="L239" s="14">
        <f t="shared" si="118"/>
        <v>1646.9794851773304</v>
      </c>
      <c r="M239" s="14">
        <f t="shared" si="119"/>
        <v>2719.7837075116031</v>
      </c>
      <c r="N239" s="14">
        <f t="shared" si="120"/>
        <v>1969.5269752972035</v>
      </c>
      <c r="O239" s="14">
        <f t="shared" si="121"/>
        <v>1426.2297754450396</v>
      </c>
      <c r="P239" s="33">
        <f t="shared" si="122"/>
        <v>0.95</v>
      </c>
      <c r="Q239" s="33">
        <f t="shared" si="123"/>
        <v>0.48792580824392612</v>
      </c>
      <c r="R239" s="51">
        <f t="shared" si="124"/>
        <v>19.95</v>
      </c>
      <c r="S239" s="51">
        <f>APPLICANTS_PER_YEAR*($H239/Segments!$AH$2)*Q239</f>
        <v>24.591460735493875</v>
      </c>
      <c r="T239" s="51">
        <f t="shared" si="125"/>
        <v>44.541460735493871</v>
      </c>
      <c r="U239" s="14">
        <f t="shared" si="126"/>
        <v>1426.2297754450396</v>
      </c>
      <c r="V239" s="44">
        <f t="shared" si="127"/>
        <v>63526.357542777478</v>
      </c>
      <c r="W239" s="44">
        <f t="shared" si="128"/>
        <v>82161.936719732767</v>
      </c>
      <c r="X239" s="44">
        <f t="shared" si="129"/>
        <v>14739.654881974884</v>
      </c>
      <c r="Y239" s="14">
        <f t="shared" si="130"/>
        <v>1426.2297754450396</v>
      </c>
      <c r="Z239" s="14">
        <f t="shared" si="131"/>
        <v>1696.3888697326504</v>
      </c>
      <c r="AA239" s="14">
        <f t="shared" si="132"/>
        <v>2800.1272187369514</v>
      </c>
      <c r="AB239" s="14">
        <f t="shared" si="133"/>
        <v>2028.1601413174078</v>
      </c>
      <c r="AC239" s="14">
        <f t="shared" si="134"/>
        <v>1469.0166687083909</v>
      </c>
      <c r="AD239" s="33">
        <f t="shared" si="135"/>
        <v>0.95</v>
      </c>
      <c r="AE239" s="33">
        <f t="shared" si="136"/>
        <v>0.48784500080102666</v>
      </c>
      <c r="AF239" s="51">
        <f t="shared" si="137"/>
        <v>21.157193849359587</v>
      </c>
      <c r="AG239" s="51">
        <f>APPLICANTS_PER_YEAR*($H239/Segments!$AH$2)*AE239</f>
        <v>24.587388040371742</v>
      </c>
      <c r="AH239" s="51">
        <f t="shared" si="138"/>
        <v>45.744581889731329</v>
      </c>
      <c r="AI239" s="14">
        <f t="shared" si="139"/>
        <v>1469.0166687083911</v>
      </c>
      <c r="AJ239" s="44">
        <f t="shared" si="140"/>
        <v>67199.553299111314</v>
      </c>
      <c r="AK239" s="44">
        <f t="shared" si="141"/>
        <v>86912.671516511677</v>
      </c>
      <c r="AL239" s="44">
        <f t="shared" si="142"/>
        <v>15494.466812831717</v>
      </c>
      <c r="AM239" s="14">
        <f t="shared" si="143"/>
        <v>1469.0166687083911</v>
      </c>
      <c r="AN239" s="14">
        <f t="shared" si="144"/>
        <v>1747.2805358246296</v>
      </c>
      <c r="AO239" s="14">
        <f t="shared" si="145"/>
        <v>2882.8810352990595</v>
      </c>
      <c r="AP239" s="14">
        <f t="shared" si="146"/>
        <v>2088.5522027472402</v>
      </c>
      <c r="AQ239" s="14">
        <f t="shared" si="147"/>
        <v>1513.0871687696424</v>
      </c>
      <c r="AR239" s="33">
        <f t="shared" si="148"/>
        <v>0.95</v>
      </c>
      <c r="AS239" s="33">
        <f t="shared" si="149"/>
        <v>0.48776649518758552</v>
      </c>
      <c r="AT239" s="51">
        <f t="shared" si="150"/>
        <v>21.72867639762238</v>
      </c>
      <c r="AU239" s="51">
        <f>APPLICANTS_PER_YEAR*($H239/Segments!$AH$2)*AS239</f>
        <v>24.583431357454309</v>
      </c>
      <c r="AV239" s="51">
        <f t="shared" si="151"/>
        <v>46.312107755076688</v>
      </c>
      <c r="AW239" s="14">
        <f t="shared" si="152"/>
        <v>1513.0871687696424</v>
      </c>
      <c r="AX239" s="44">
        <f t="shared" si="153"/>
        <v>70074.256002883587</v>
      </c>
      <c r="AY239" s="44">
        <f t="shared" si="154"/>
        <v>90630.673787873398</v>
      </c>
      <c r="AZ239" s="44">
        <f t="shared" si="155"/>
        <v>16086.75293287816</v>
      </c>
    </row>
    <row r="240" spans="1:52" ht="15" customHeight="1" x14ac:dyDescent="0.35">
      <c r="A240" s="61" t="str">
        <f>Segments!$A$220</f>
        <v>Greek</v>
      </c>
      <c r="B240" s="61" t="str">
        <f>Segments!$B$220</f>
        <v>On campus</v>
      </c>
      <c r="C240" s="61" t="str">
        <f>Segments!$C$220</f>
        <v>Yes</v>
      </c>
      <c r="D240" s="61" t="str">
        <f>Segments!$D$220</f>
        <v>3.0+</v>
      </c>
      <c r="E240" s="61" t="str">
        <f>Segments!$E$220</f>
        <v>Freshman</v>
      </c>
      <c r="F240" s="61">
        <f>Segments!$F$220</f>
        <v>1</v>
      </c>
      <c r="G240" s="61" t="str">
        <f>Segments!$G$220</f>
        <v>Base</v>
      </c>
      <c r="H240" s="62">
        <f>Segments!$H$220</f>
        <v>54</v>
      </c>
      <c r="I240" s="63">
        <f>Segments!$Y$220</f>
        <v>1096.2776237930291</v>
      </c>
      <c r="J240" s="42">
        <v>0</v>
      </c>
      <c r="K240" s="40">
        <f t="shared" si="117"/>
        <v>1824.2995483755672</v>
      </c>
      <c r="L240" s="40">
        <f t="shared" si="118"/>
        <v>1096.2776237930291</v>
      </c>
      <c r="M240" s="40">
        <f t="shared" si="119"/>
        <v>1824.2995483755672</v>
      </c>
      <c r="N240" s="40">
        <f t="shared" si="120"/>
        <v>1613.0314117289138</v>
      </c>
      <c r="O240" s="40">
        <f t="shared" si="121"/>
        <v>1426.2297754450396</v>
      </c>
      <c r="P240" s="41">
        <f t="shared" si="122"/>
        <v>0.90790390531938003</v>
      </c>
      <c r="Q240" s="41">
        <f t="shared" si="123"/>
        <v>0.40790390531938009</v>
      </c>
      <c r="R240" s="64">
        <f t="shared" si="124"/>
        <v>0</v>
      </c>
      <c r="S240" s="64">
        <f>APPLICANTS_PER_YEAR*($H240/Segments!$AH$2)*Q240</f>
        <v>26.432173064695828</v>
      </c>
      <c r="T240" s="64">
        <f t="shared" si="125"/>
        <v>26.432173064695828</v>
      </c>
      <c r="U240" s="40">
        <f t="shared" si="126"/>
        <v>1426.2297754450399</v>
      </c>
      <c r="V240" s="65">
        <f t="shared" si="127"/>
        <v>37698.352254585559</v>
      </c>
      <c r="W240" s="65">
        <f t="shared" si="128"/>
        <v>32454.239864536958</v>
      </c>
      <c r="X240" s="65">
        <f t="shared" si="129"/>
        <v>9633.8786929384769</v>
      </c>
      <c r="Y240" s="40">
        <f t="shared" si="130"/>
        <v>1877.7785348268344</v>
      </c>
      <c r="Z240" s="40">
        <f t="shared" si="131"/>
        <v>1129.1659525068201</v>
      </c>
      <c r="AA240" s="40">
        <f t="shared" si="132"/>
        <v>1877.7785348268344</v>
      </c>
      <c r="AB240" s="40">
        <f t="shared" si="133"/>
        <v>1660.8696420259596</v>
      </c>
      <c r="AC240" s="40">
        <f t="shared" si="134"/>
        <v>1469.0166687083909</v>
      </c>
      <c r="AD240" s="41">
        <f t="shared" si="135"/>
        <v>0.90775678249002811</v>
      </c>
      <c r="AE240" s="41">
        <f t="shared" si="136"/>
        <v>0.40775678249002817</v>
      </c>
      <c r="AF240" s="64">
        <f t="shared" si="137"/>
        <v>0</v>
      </c>
      <c r="AG240" s="64">
        <f>APPLICANTS_PER_YEAR*($H240/Segments!$AH$2)*AE240</f>
        <v>26.422639505353825</v>
      </c>
      <c r="AH240" s="64">
        <f t="shared" si="138"/>
        <v>26.422639505353825</v>
      </c>
      <c r="AI240" s="40">
        <f t="shared" si="139"/>
        <v>1469.0166687083909</v>
      </c>
      <c r="AJ240" s="65">
        <f t="shared" si="140"/>
        <v>38815.2978646376</v>
      </c>
      <c r="AK240" s="65">
        <f t="shared" si="141"/>
        <v>33415.810293384049</v>
      </c>
      <c r="AL240" s="65">
        <f t="shared" si="142"/>
        <v>9883.6454994197429</v>
      </c>
      <c r="AM240" s="40">
        <f t="shared" si="143"/>
        <v>1932.8618908716394</v>
      </c>
      <c r="AN240" s="40">
        <f t="shared" si="144"/>
        <v>1163.0409310820246</v>
      </c>
      <c r="AO240" s="40">
        <f t="shared" si="145"/>
        <v>1932.8618908716394</v>
      </c>
      <c r="AP240" s="40">
        <f t="shared" si="146"/>
        <v>1710.1428379178467</v>
      </c>
      <c r="AQ240" s="40">
        <f t="shared" si="147"/>
        <v>1513.0871687696424</v>
      </c>
      <c r="AR240" s="41">
        <f t="shared" si="148"/>
        <v>0.90761380417442961</v>
      </c>
      <c r="AS240" s="41">
        <f t="shared" si="149"/>
        <v>0.40761380417442961</v>
      </c>
      <c r="AT240" s="64">
        <f t="shared" si="150"/>
        <v>0</v>
      </c>
      <c r="AU240" s="64">
        <f>APPLICANTS_PER_YEAR*($H240/Segments!$AH$2)*AS240</f>
        <v>26.413374510503036</v>
      </c>
      <c r="AV240" s="64">
        <f t="shared" si="151"/>
        <v>26.413374510503036</v>
      </c>
      <c r="AW240" s="40">
        <f t="shared" si="152"/>
        <v>1513.0871687696426</v>
      </c>
      <c r="AX240" s="65">
        <f t="shared" si="153"/>
        <v>39965.738055749287</v>
      </c>
      <c r="AY240" s="65">
        <f t="shared" si="154"/>
        <v>34406.215965759307</v>
      </c>
      <c r="AZ240" s="65">
        <f t="shared" si="155"/>
        <v>10140.927177460477</v>
      </c>
    </row>
    <row r="241" spans="1:52" ht="15" customHeight="1" x14ac:dyDescent="0.35">
      <c r="A241" s="61" t="str">
        <f>Segments!$A$221</f>
        <v>Greek</v>
      </c>
      <c r="B241" s="61" t="str">
        <f>Segments!$B$221</f>
        <v>On campus</v>
      </c>
      <c r="C241" s="61" t="str">
        <f>Segments!$C$221</f>
        <v>Yes</v>
      </c>
      <c r="D241" s="61" t="str">
        <f>Segments!$D$221</f>
        <v>3.0+</v>
      </c>
      <c r="E241" s="61" t="str">
        <f>Segments!$E$221</f>
        <v>Sophomore</v>
      </c>
      <c r="F241" s="61">
        <f>Segments!$F$221</f>
        <v>1</v>
      </c>
      <c r="G241" s="61" t="str">
        <f>Segments!$G$221</f>
        <v>Sophomore</v>
      </c>
      <c r="H241" s="62">
        <f>Segments!$H$221</f>
        <v>48</v>
      </c>
      <c r="I241" s="63">
        <f>Segments!$Y$221</f>
        <v>1085.124361446585</v>
      </c>
      <c r="J241" s="42">
        <v>1</v>
      </c>
      <c r="K241" s="40">
        <f t="shared" si="117"/>
        <v>1426.2297754450396</v>
      </c>
      <c r="L241" s="40">
        <f t="shared" si="118"/>
        <v>1085.124361446585</v>
      </c>
      <c r="M241" s="40">
        <f t="shared" si="119"/>
        <v>1806.1634742958042</v>
      </c>
      <c r="N241" s="40">
        <f t="shared" si="120"/>
        <v>1604.993497295842</v>
      </c>
      <c r="O241" s="40">
        <f t="shared" si="121"/>
        <v>1426.2297754450396</v>
      </c>
      <c r="P241" s="41">
        <f t="shared" si="122"/>
        <v>0.90568985860440887</v>
      </c>
      <c r="Q241" s="41">
        <f t="shared" si="123"/>
        <v>0.40568985860440887</v>
      </c>
      <c r="R241" s="64">
        <f t="shared" si="124"/>
        <v>48.907252364638076</v>
      </c>
      <c r="S241" s="64">
        <f>APPLICANTS_PER_YEAR*($H241/Segments!$AH$2)*Q241</f>
        <v>23.367735855613947</v>
      </c>
      <c r="T241" s="64">
        <f t="shared" si="125"/>
        <v>72.274988220252027</v>
      </c>
      <c r="U241" s="40">
        <f t="shared" si="126"/>
        <v>1426.2297754450396</v>
      </c>
      <c r="V241" s="65">
        <f t="shared" si="127"/>
        <v>103080.74021966293</v>
      </c>
      <c r="W241" s="65">
        <f t="shared" si="128"/>
        <v>87838.632493987694</v>
      </c>
      <c r="X241" s="65">
        <f t="shared" si="129"/>
        <v>22678.424685482081</v>
      </c>
      <c r="Y241" s="40">
        <f t="shared" si="130"/>
        <v>1426.2297754450399</v>
      </c>
      <c r="Z241" s="40">
        <f t="shared" si="131"/>
        <v>1117.6780922899825</v>
      </c>
      <c r="AA241" s="40">
        <f t="shared" si="132"/>
        <v>1859.0983785246781</v>
      </c>
      <c r="AB241" s="40">
        <f t="shared" si="133"/>
        <v>1652.5878212129887</v>
      </c>
      <c r="AC241" s="40">
        <f t="shared" si="134"/>
        <v>1469.0166687083909</v>
      </c>
      <c r="AD241" s="41">
        <f t="shared" si="135"/>
        <v>0.89654051353526798</v>
      </c>
      <c r="AE241" s="41">
        <f t="shared" si="136"/>
        <v>0.40554051353526793</v>
      </c>
      <c r="AF241" s="64">
        <f t="shared" si="137"/>
        <v>23.697514013275477</v>
      </c>
      <c r="AG241" s="64">
        <f>APPLICANTS_PER_YEAR*($H241/Segments!$AH$2)*AE241</f>
        <v>23.359133579631429</v>
      </c>
      <c r="AH241" s="64">
        <f t="shared" si="138"/>
        <v>47.056647592906906</v>
      </c>
      <c r="AI241" s="40">
        <f t="shared" si="139"/>
        <v>1469.0166687083911</v>
      </c>
      <c r="AJ241" s="65">
        <f t="shared" si="140"/>
        <v>69126.999687516829</v>
      </c>
      <c r="AK241" s="65">
        <f t="shared" si="141"/>
        <v>58905.486204546454</v>
      </c>
      <c r="AL241" s="65">
        <f t="shared" si="142"/>
        <v>15791.137713116861</v>
      </c>
      <c r="AM241" s="40">
        <f t="shared" si="143"/>
        <v>1469.0166687083909</v>
      </c>
      <c r="AN241" s="40">
        <f t="shared" si="144"/>
        <v>1151.208435058682</v>
      </c>
      <c r="AO241" s="40">
        <f t="shared" si="145"/>
        <v>1913.6213298804184</v>
      </c>
      <c r="AP241" s="40">
        <f t="shared" si="146"/>
        <v>1701.6097907939884</v>
      </c>
      <c r="AQ241" s="40">
        <f t="shared" si="147"/>
        <v>1513.0871687696424</v>
      </c>
      <c r="AR241" s="41">
        <f t="shared" si="148"/>
        <v>0.89639537414637815</v>
      </c>
      <c r="AS241" s="41">
        <f t="shared" si="149"/>
        <v>0.405395374146378</v>
      </c>
      <c r="AT241" s="64">
        <f t="shared" si="150"/>
        <v>23.685131825336516</v>
      </c>
      <c r="AU241" s="64">
        <f>APPLICANTS_PER_YEAR*($H241/Segments!$AH$2)*AS241</f>
        <v>23.35077355083137</v>
      </c>
      <c r="AV241" s="64">
        <f t="shared" si="151"/>
        <v>47.035905376167889</v>
      </c>
      <c r="AW241" s="40">
        <f t="shared" si="152"/>
        <v>1513.0871687696424</v>
      </c>
      <c r="AX241" s="65">
        <f t="shared" si="153"/>
        <v>71169.424896142678</v>
      </c>
      <c r="AY241" s="65">
        <f t="shared" si="154"/>
        <v>60645.906742026469</v>
      </c>
      <c r="AZ241" s="65">
        <f t="shared" si="155"/>
        <v>16212.120206086405</v>
      </c>
    </row>
    <row r="242" spans="1:52" ht="15" customHeight="1" x14ac:dyDescent="0.35">
      <c r="A242" s="61" t="str">
        <f>Segments!$A$222</f>
        <v>Greek</v>
      </c>
      <c r="B242" s="61" t="str">
        <f>Segments!$B$222</f>
        <v>On campus</v>
      </c>
      <c r="C242" s="61" t="str">
        <f>Segments!$C$222</f>
        <v>Yes</v>
      </c>
      <c r="D242" s="61" t="str">
        <f>Segments!$D$222</f>
        <v>3.0+</v>
      </c>
      <c r="E242" s="61" t="str">
        <f>Segments!$E$222</f>
        <v>Junior</v>
      </c>
      <c r="F242" s="61">
        <f>Segments!$F$222</f>
        <v>2</v>
      </c>
      <c r="G242" s="61" t="str">
        <f>Segments!$G$222</f>
        <v>Base</v>
      </c>
      <c r="H242" s="62">
        <f>Segments!$H$222</f>
        <v>55</v>
      </c>
      <c r="I242" s="63">
        <f>Segments!$Y$222</f>
        <v>1297.1854667857165</v>
      </c>
      <c r="J242" s="42">
        <v>2</v>
      </c>
      <c r="K242" s="40">
        <f t="shared" si="117"/>
        <v>1426.2297754450396</v>
      </c>
      <c r="L242" s="40">
        <f t="shared" si="118"/>
        <v>1297.1854667857165</v>
      </c>
      <c r="M242" s="40">
        <f t="shared" si="119"/>
        <v>2150.9913637870886</v>
      </c>
      <c r="N242" s="40">
        <f t="shared" si="120"/>
        <v>1751.5158948060619</v>
      </c>
      <c r="O242" s="40">
        <f t="shared" si="121"/>
        <v>1426.2297754450396</v>
      </c>
      <c r="P242" s="41">
        <f t="shared" si="122"/>
        <v>0.94285845487489561</v>
      </c>
      <c r="Q242" s="41">
        <f t="shared" si="123"/>
        <v>0.44285845487489561</v>
      </c>
      <c r="R242" s="64">
        <f t="shared" si="124"/>
        <v>45.257205833994988</v>
      </c>
      <c r="S242" s="64">
        <f>APPLICANTS_PER_YEAR*($H242/Segments!$AH$2)*Q242</f>
        <v>29.228658021743112</v>
      </c>
      <c r="T242" s="64">
        <f t="shared" si="125"/>
        <v>74.485863855738103</v>
      </c>
      <c r="U242" s="40">
        <f t="shared" si="126"/>
        <v>1426.2297754450396</v>
      </c>
      <c r="V242" s="65">
        <f t="shared" si="127"/>
        <v>106233.95688079915</v>
      </c>
      <c r="W242" s="65">
        <f t="shared" si="128"/>
        <v>108216.61768360013</v>
      </c>
      <c r="X242" s="65">
        <f t="shared" si="129"/>
        <v>23757.688960971249</v>
      </c>
      <c r="Y242" s="40">
        <f t="shared" si="130"/>
        <v>1426.2297754450396</v>
      </c>
      <c r="Z242" s="40">
        <f t="shared" si="131"/>
        <v>1336.101030789288</v>
      </c>
      <c r="AA242" s="40">
        <f t="shared" si="132"/>
        <v>2214.271104700701</v>
      </c>
      <c r="AB242" s="40">
        <f t="shared" si="133"/>
        <v>1803.5523729142637</v>
      </c>
      <c r="AC242" s="40">
        <f t="shared" si="134"/>
        <v>1469.0166687083909</v>
      </c>
      <c r="AD242" s="41">
        <f t="shared" si="135"/>
        <v>0.9337435513462008</v>
      </c>
      <c r="AE242" s="41">
        <f t="shared" si="136"/>
        <v>0.44274355134620086</v>
      </c>
      <c r="AF242" s="64">
        <f t="shared" si="137"/>
        <v>67.486304174282949</v>
      </c>
      <c r="AG242" s="64">
        <f>APPLICANTS_PER_YEAR*($H242/Segments!$AH$2)*AE242</f>
        <v>29.221074388849257</v>
      </c>
      <c r="AH242" s="64">
        <f t="shared" si="138"/>
        <v>96.70737856313221</v>
      </c>
      <c r="AI242" s="40">
        <f t="shared" si="139"/>
        <v>1469.0166687083909</v>
      </c>
      <c r="AJ242" s="65">
        <f t="shared" si="140"/>
        <v>142064.75109633373</v>
      </c>
      <c r="AK242" s="65">
        <f t="shared" si="141"/>
        <v>144716.12756510655</v>
      </c>
      <c r="AL242" s="65">
        <f t="shared" si="142"/>
        <v>31017.330975608511</v>
      </c>
      <c r="AM242" s="40">
        <f t="shared" si="143"/>
        <v>1469.0166687083911</v>
      </c>
      <c r="AN242" s="40">
        <f t="shared" si="144"/>
        <v>1376.1840617129665</v>
      </c>
      <c r="AO242" s="40">
        <f t="shared" si="145"/>
        <v>2279.4492378417217</v>
      </c>
      <c r="AP242" s="40">
        <f t="shared" si="146"/>
        <v>1857.1498037692195</v>
      </c>
      <c r="AQ242" s="40">
        <f t="shared" si="147"/>
        <v>1513.0871687696424</v>
      </c>
      <c r="AR242" s="41">
        <f t="shared" si="148"/>
        <v>0.93363190139569718</v>
      </c>
      <c r="AS242" s="41">
        <f t="shared" si="149"/>
        <v>0.44263190139569708</v>
      </c>
      <c r="AT242" s="64">
        <f t="shared" si="150"/>
        <v>43.933587365472931</v>
      </c>
      <c r="AU242" s="64">
        <f>APPLICANTS_PER_YEAR*($H242/Segments!$AH$2)*AS242</f>
        <v>29.213705492116006</v>
      </c>
      <c r="AV242" s="64">
        <f t="shared" si="151"/>
        <v>73.147292857588937</v>
      </c>
      <c r="AW242" s="40">
        <f t="shared" si="152"/>
        <v>1513.0871687696424</v>
      </c>
      <c r="AX242" s="65">
        <f t="shared" si="153"/>
        <v>110678.23025305313</v>
      </c>
      <c r="AY242" s="65">
        <f t="shared" si="154"/>
        <v>112743.83521863238</v>
      </c>
      <c r="AZ242" s="65">
        <f t="shared" si="155"/>
        <v>24658.574914913483</v>
      </c>
    </row>
    <row r="243" spans="1:52" ht="15" customHeight="1" x14ac:dyDescent="0.35">
      <c r="A243" s="61" t="str">
        <f>Segments!$A$223</f>
        <v>Greek</v>
      </c>
      <c r="B243" s="61" t="str">
        <f>Segments!$B$223</f>
        <v>On campus</v>
      </c>
      <c r="C243" s="61" t="str">
        <f>Segments!$C$223</f>
        <v>Yes</v>
      </c>
      <c r="D243" s="61" t="str">
        <f>Segments!$D$223</f>
        <v>3.0+</v>
      </c>
      <c r="E243" s="61" t="str">
        <f>Segments!$E$223</f>
        <v>Senior</v>
      </c>
      <c r="F243" s="61">
        <f>Segments!$F$223</f>
        <v>3</v>
      </c>
      <c r="G243" s="61" t="str">
        <f>Segments!$G$223</f>
        <v>Base</v>
      </c>
      <c r="H243" s="62">
        <f>Segments!$H$223</f>
        <v>38</v>
      </c>
      <c r="I243" s="63">
        <f>Segments!$Y$223</f>
        <v>1212.4629844943199</v>
      </c>
      <c r="J243" s="42">
        <v>3</v>
      </c>
      <c r="K243" s="40">
        <f t="shared" si="117"/>
        <v>1426.2297754450396</v>
      </c>
      <c r="L243" s="40">
        <f t="shared" si="118"/>
        <v>1212.4629844943199</v>
      </c>
      <c r="M243" s="40">
        <f t="shared" si="119"/>
        <v>2013.226002646089</v>
      </c>
      <c r="N243" s="40">
        <f t="shared" si="120"/>
        <v>1694.4978222689006</v>
      </c>
      <c r="O243" s="40">
        <f t="shared" si="121"/>
        <v>1426.2297754450396</v>
      </c>
      <c r="P243" s="41">
        <f t="shared" si="122"/>
        <v>0.92915856937032082</v>
      </c>
      <c r="Q243" s="41">
        <f t="shared" si="123"/>
        <v>0.42915856937032087</v>
      </c>
      <c r="R243" s="64">
        <f t="shared" si="124"/>
        <v>51.103721315367643</v>
      </c>
      <c r="S243" s="64">
        <f>APPLICANTS_PER_YEAR*($H243/Segments!$AH$2)*Q243</f>
        <v>19.569630763286632</v>
      </c>
      <c r="T243" s="64">
        <f t="shared" si="125"/>
        <v>70.673352078654275</v>
      </c>
      <c r="U243" s="40">
        <f t="shared" si="126"/>
        <v>1426.2297754450399</v>
      </c>
      <c r="V243" s="65">
        <f t="shared" si="127"/>
        <v>100796.43906508732</v>
      </c>
      <c r="W243" s="65">
        <f t="shared" si="128"/>
        <v>95971.482191763382</v>
      </c>
      <c r="X243" s="65">
        <f t="shared" si="129"/>
        <v>21930.112447074021</v>
      </c>
      <c r="Y243" s="40">
        <f t="shared" si="130"/>
        <v>1426.2297754450396</v>
      </c>
      <c r="Z243" s="40">
        <f t="shared" si="131"/>
        <v>1248.8368740291496</v>
      </c>
      <c r="AA243" s="40">
        <f t="shared" si="132"/>
        <v>2072.372782725472</v>
      </c>
      <c r="AB243" s="40">
        <f t="shared" si="133"/>
        <v>1744.8066258474921</v>
      </c>
      <c r="AC243" s="40">
        <f t="shared" si="134"/>
        <v>1469.0166687083909</v>
      </c>
      <c r="AD243" s="41">
        <f t="shared" si="135"/>
        <v>0.92003166833893235</v>
      </c>
      <c r="AE243" s="41">
        <f t="shared" si="136"/>
        <v>0.4290316683389323</v>
      </c>
      <c r="AF243" s="64">
        <f t="shared" si="137"/>
        <v>68.529353590861305</v>
      </c>
      <c r="AG243" s="64">
        <f>APPLICANTS_PER_YEAR*($H243/Segments!$AH$2)*AE243</f>
        <v>19.563844076255315</v>
      </c>
      <c r="AH243" s="64">
        <f t="shared" si="138"/>
        <v>88.093197667116613</v>
      </c>
      <c r="AI243" s="40">
        <f t="shared" si="139"/>
        <v>1469.0166687083909</v>
      </c>
      <c r="AJ243" s="65">
        <f t="shared" si="140"/>
        <v>129410.37577281744</v>
      </c>
      <c r="AK243" s="65">
        <f t="shared" si="141"/>
        <v>123215.71762957396</v>
      </c>
      <c r="AL243" s="65">
        <f t="shared" si="142"/>
        <v>27715.407533132297</v>
      </c>
      <c r="AM243" s="40">
        <f t="shared" si="143"/>
        <v>1469.0166687083909</v>
      </c>
      <c r="AN243" s="40">
        <f t="shared" si="144"/>
        <v>1286.3019802500239</v>
      </c>
      <c r="AO243" s="40">
        <f t="shared" si="145"/>
        <v>2133.2939662072354</v>
      </c>
      <c r="AP243" s="40">
        <f t="shared" si="146"/>
        <v>1796.6245371478894</v>
      </c>
      <c r="AQ243" s="40">
        <f t="shared" si="147"/>
        <v>1513.0871687696424</v>
      </c>
      <c r="AR243" s="41">
        <f t="shared" si="148"/>
        <v>0.91990835355848977</v>
      </c>
      <c r="AS243" s="41">
        <f t="shared" si="149"/>
        <v>0.42890835355848966</v>
      </c>
      <c r="AT243" s="64">
        <f t="shared" si="150"/>
        <v>88.961925390968545</v>
      </c>
      <c r="AU243" s="64">
        <f>APPLICANTS_PER_YEAR*($H243/Segments!$AH$2)*AS243</f>
        <v>19.558220922267129</v>
      </c>
      <c r="AV243" s="64">
        <f t="shared" si="151"/>
        <v>108.52014631323567</v>
      </c>
      <c r="AW243" s="40">
        <f t="shared" si="152"/>
        <v>1513.0871687696424</v>
      </c>
      <c r="AX243" s="65">
        <f t="shared" si="153"/>
        <v>164200.44093956111</v>
      </c>
      <c r="AY243" s="65">
        <f t="shared" si="154"/>
        <v>156340.44059170588</v>
      </c>
      <c r="AZ243" s="65">
        <f t="shared" si="155"/>
        <v>34729.007046148996</v>
      </c>
    </row>
    <row r="244" spans="1:52" ht="15" customHeight="1" x14ac:dyDescent="0.35">
      <c r="A244" s="61" t="str">
        <f>Segments!$A$224</f>
        <v>Greek</v>
      </c>
      <c r="B244" s="61" t="str">
        <f>Segments!$B$224</f>
        <v>On campus</v>
      </c>
      <c r="C244" s="61" t="str">
        <f>Segments!$C$224</f>
        <v>Yes</v>
      </c>
      <c r="D244" s="61" t="str">
        <f>Segments!$D$224</f>
        <v>3.0+</v>
      </c>
      <c r="E244" s="61" t="str">
        <f>Segments!$E$224</f>
        <v>Grad student</v>
      </c>
      <c r="F244" s="61">
        <f>Segments!$F$224</f>
        <v>3</v>
      </c>
      <c r="G244" s="61" t="str">
        <f>Segments!$G$224</f>
        <v>Grad</v>
      </c>
      <c r="H244" s="62">
        <f>Segments!$H$224</f>
        <v>15</v>
      </c>
      <c r="I244" s="63">
        <f>Segments!$Y$224</f>
        <v>1443.6559440705589</v>
      </c>
      <c r="J244" s="42">
        <v>4</v>
      </c>
      <c r="K244" s="40">
        <f t="shared" si="117"/>
        <v>1426.2297754450396</v>
      </c>
      <c r="L244" s="40">
        <f t="shared" si="118"/>
        <v>1443.6559440705589</v>
      </c>
      <c r="M244" s="40">
        <f t="shared" si="119"/>
        <v>2389.1637786395981</v>
      </c>
      <c r="N244" s="40">
        <f t="shared" si="120"/>
        <v>1845.9405514562425</v>
      </c>
      <c r="O244" s="40">
        <f t="shared" si="121"/>
        <v>1426.2297754450396</v>
      </c>
      <c r="P244" s="41">
        <f t="shared" si="122"/>
        <v>0.95</v>
      </c>
      <c r="Q244" s="41">
        <f t="shared" si="123"/>
        <v>0.46368480303444698</v>
      </c>
      <c r="R244" s="64">
        <f t="shared" si="124"/>
        <v>7.125</v>
      </c>
      <c r="S244" s="64">
        <f>APPLICANTS_PER_YEAR*($H244/Segments!$AH$2)*Q244</f>
        <v>8.346326454620046</v>
      </c>
      <c r="T244" s="64">
        <f t="shared" si="125"/>
        <v>15.471326454620046</v>
      </c>
      <c r="U244" s="40">
        <f t="shared" si="126"/>
        <v>1426.2297754450396</v>
      </c>
      <c r="V244" s="65">
        <f t="shared" si="127"/>
        <v>22065.666455209648</v>
      </c>
      <c r="W244" s="65">
        <f t="shared" si="128"/>
        <v>25015.505086732519</v>
      </c>
      <c r="X244" s="65">
        <f t="shared" si="129"/>
        <v>5105.127926173257</v>
      </c>
      <c r="Y244" s="40">
        <f t="shared" si="130"/>
        <v>1426.2297754450396</v>
      </c>
      <c r="Z244" s="40">
        <f t="shared" si="131"/>
        <v>1486.9656223926756</v>
      </c>
      <c r="AA244" s="40">
        <f t="shared" si="132"/>
        <v>2459.5886919987861</v>
      </c>
      <c r="AB244" s="40">
        <f t="shared" si="133"/>
        <v>1900.8358126658086</v>
      </c>
      <c r="AC244" s="40">
        <f t="shared" si="134"/>
        <v>1469.0166687083909</v>
      </c>
      <c r="AD244" s="41">
        <f t="shared" si="135"/>
        <v>0.95</v>
      </c>
      <c r="AE244" s="41">
        <f t="shared" si="136"/>
        <v>0.46358664990423792</v>
      </c>
      <c r="AF244" s="64">
        <f t="shared" si="137"/>
        <v>7.3488800659445213</v>
      </c>
      <c r="AG244" s="64">
        <f>APPLICANTS_PER_YEAR*($H244/Segments!$AH$2)*AE244</f>
        <v>8.3445596982762833</v>
      </c>
      <c r="AH244" s="64">
        <f t="shared" si="138"/>
        <v>15.693439764220805</v>
      </c>
      <c r="AI244" s="40">
        <f t="shared" si="139"/>
        <v>1469.0166687083909</v>
      </c>
      <c r="AJ244" s="65">
        <f t="shared" si="140"/>
        <v>23053.924603011441</v>
      </c>
      <c r="AK244" s="65">
        <f t="shared" si="141"/>
        <v>26135.878077664944</v>
      </c>
      <c r="AL244" s="65">
        <f t="shared" si="142"/>
        <v>5308.7149428534904</v>
      </c>
      <c r="AM244" s="40">
        <f t="shared" si="143"/>
        <v>1469.0166687083909</v>
      </c>
      <c r="AN244" s="40">
        <f t="shared" si="144"/>
        <v>1531.5745910644559</v>
      </c>
      <c r="AO244" s="40">
        <f t="shared" si="145"/>
        <v>2532.1263527587494</v>
      </c>
      <c r="AP244" s="40">
        <f t="shared" si="146"/>
        <v>1957.3778107618207</v>
      </c>
      <c r="AQ244" s="40">
        <f t="shared" si="147"/>
        <v>1513.0871687696424</v>
      </c>
      <c r="AR244" s="41">
        <f t="shared" si="148"/>
        <v>0.95</v>
      </c>
      <c r="AS244" s="41">
        <f t="shared" si="149"/>
        <v>0.46349128398958866</v>
      </c>
      <c r="AT244" s="64">
        <f t="shared" si="150"/>
        <v>7.4543838880048821</v>
      </c>
      <c r="AU244" s="64">
        <f>APPLICANTS_PER_YEAR*($H244/Segments!$AH$2)*AS244</f>
        <v>8.3428431118125967</v>
      </c>
      <c r="AV244" s="64">
        <f t="shared" si="151"/>
        <v>15.797226999817479</v>
      </c>
      <c r="AW244" s="40">
        <f t="shared" si="152"/>
        <v>1513.0871687696424</v>
      </c>
      <c r="AX244" s="65">
        <f t="shared" si="153"/>
        <v>23902.581475565181</v>
      </c>
      <c r="AY244" s="65">
        <f t="shared" si="154"/>
        <v>27097.987260061582</v>
      </c>
      <c r="AZ244" s="65">
        <f t="shared" si="155"/>
        <v>5483.9242268974476</v>
      </c>
    </row>
    <row r="245" spans="1:52" ht="15" customHeight="1" x14ac:dyDescent="0.35">
      <c r="A245" s="59" t="str">
        <f>Segments!$A$225</f>
        <v>Greek</v>
      </c>
      <c r="B245" s="59" t="str">
        <f>Segments!$B$225</f>
        <v>On campus</v>
      </c>
      <c r="C245" s="59" t="str">
        <f>Segments!$C$225</f>
        <v>No</v>
      </c>
      <c r="D245" s="59" t="str">
        <f>Segments!$D$225</f>
        <v>&lt;1.0</v>
      </c>
      <c r="E245" s="59" t="str">
        <f>Segments!$E$225</f>
        <v>Freshman</v>
      </c>
      <c r="F245" s="59">
        <f>Segments!$F$225</f>
        <v>1</v>
      </c>
      <c r="G245" s="59" t="str">
        <f>Segments!$G$225</f>
        <v>Base</v>
      </c>
      <c r="H245" s="60">
        <f>Segments!$H$225</f>
        <v>8</v>
      </c>
      <c r="I245" s="26">
        <f>Segments!$Y$225</f>
        <v>2160.0608199582612</v>
      </c>
      <c r="J245" s="29">
        <v>0</v>
      </c>
      <c r="K245" s="14">
        <f t="shared" si="117"/>
        <v>3554.0939575074176</v>
      </c>
      <c r="L245" s="14">
        <f t="shared" si="118"/>
        <v>2160.0608199582612</v>
      </c>
      <c r="M245" s="14">
        <f t="shared" si="119"/>
        <v>3554.0939575074176</v>
      </c>
      <c r="N245" s="14">
        <f t="shared" si="120"/>
        <v>2251.4339046319737</v>
      </c>
      <c r="O245" s="14">
        <f t="shared" si="121"/>
        <v>1426.2297754450396</v>
      </c>
      <c r="P245" s="33">
        <f t="shared" si="122"/>
        <v>0.95</v>
      </c>
      <c r="Q245" s="33">
        <f t="shared" si="123"/>
        <v>0.5332619042222837</v>
      </c>
      <c r="R245" s="51">
        <f t="shared" si="124"/>
        <v>0</v>
      </c>
      <c r="S245" s="51">
        <f>APPLICANTS_PER_YEAR*($H245/Segments!$AH$2)*Q245</f>
        <v>5.1193142805339233</v>
      </c>
      <c r="T245" s="51">
        <f t="shared" si="125"/>
        <v>5.1193142805339233</v>
      </c>
      <c r="U245" s="14">
        <f t="shared" si="126"/>
        <v>1426.2297754450396</v>
      </c>
      <c r="V245" s="44">
        <f t="shared" si="127"/>
        <v>7301.3184567584822</v>
      </c>
      <c r="W245" s="44">
        <f t="shared" si="128"/>
        <v>12384.993826726241</v>
      </c>
      <c r="X245" s="44">
        <f t="shared" si="129"/>
        <v>1865.8644769379266</v>
      </c>
      <c r="Y245" s="14">
        <f t="shared" si="130"/>
        <v>3659.4667762326403</v>
      </c>
      <c r="Z245" s="14">
        <f t="shared" si="131"/>
        <v>2224.8626445570089</v>
      </c>
      <c r="AA245" s="14">
        <f t="shared" si="132"/>
        <v>3659.4667762326403</v>
      </c>
      <c r="AB245" s="14">
        <f t="shared" si="133"/>
        <v>2318.5809653471902</v>
      </c>
      <c r="AC245" s="14">
        <f t="shared" si="134"/>
        <v>1469.0166687083909</v>
      </c>
      <c r="AD245" s="33">
        <f t="shared" si="135"/>
        <v>0.95</v>
      </c>
      <c r="AE245" s="33">
        <f t="shared" si="136"/>
        <v>0.53320781317023869</v>
      </c>
      <c r="AF245" s="51">
        <f t="shared" si="137"/>
        <v>0</v>
      </c>
      <c r="AG245" s="51">
        <f>APPLICANTS_PER_YEAR*($H245/Segments!$AH$2)*AE245</f>
        <v>5.1187950064342909</v>
      </c>
      <c r="AH245" s="51">
        <f t="shared" si="138"/>
        <v>5.1187950064342909</v>
      </c>
      <c r="AI245" s="14">
        <f t="shared" si="139"/>
        <v>1469.0166687083909</v>
      </c>
      <c r="AJ245" s="44">
        <f t="shared" si="140"/>
        <v>7519.5951881532483</v>
      </c>
      <c r="AK245" s="44">
        <f t="shared" si="141"/>
        <v>12755.249690355882</v>
      </c>
      <c r="AL245" s="44">
        <f t="shared" si="142"/>
        <v>1914.7350974358708</v>
      </c>
      <c r="AM245" s="14">
        <f t="shared" si="143"/>
        <v>3768.0007795196198</v>
      </c>
      <c r="AN245" s="14">
        <f t="shared" si="144"/>
        <v>2291.6085238937194</v>
      </c>
      <c r="AO245" s="14">
        <f t="shared" si="145"/>
        <v>3768.0007795196198</v>
      </c>
      <c r="AP245" s="14">
        <f t="shared" si="146"/>
        <v>2387.742371237975</v>
      </c>
      <c r="AQ245" s="14">
        <f t="shared" si="147"/>
        <v>1513.0871687696424</v>
      </c>
      <c r="AR245" s="33">
        <f t="shared" si="148"/>
        <v>0.95</v>
      </c>
      <c r="AS245" s="33">
        <f t="shared" si="149"/>
        <v>0.53315527106361338</v>
      </c>
      <c r="AT245" s="51">
        <f t="shared" si="150"/>
        <v>0</v>
      </c>
      <c r="AU245" s="51">
        <f>APPLICANTS_PER_YEAR*($H245/Segments!$AH$2)*AS245</f>
        <v>5.1182906022106884</v>
      </c>
      <c r="AV245" s="51">
        <f t="shared" si="151"/>
        <v>5.1182906022106884</v>
      </c>
      <c r="AW245" s="14">
        <f t="shared" si="152"/>
        <v>1513.0871687696424</v>
      </c>
      <c r="AX245" s="44">
        <f t="shared" si="153"/>
        <v>7744.419836239239</v>
      </c>
      <c r="AY245" s="44">
        <f t="shared" si="154"/>
        <v>13136.612576406069</v>
      </c>
      <c r="AZ245" s="44">
        <f t="shared" si="155"/>
        <v>1965.0731204170706</v>
      </c>
    </row>
    <row r="246" spans="1:52" ht="15" customHeight="1" x14ac:dyDescent="0.35">
      <c r="A246" s="59" t="str">
        <f>Segments!$A$226</f>
        <v>Greek</v>
      </c>
      <c r="B246" s="59" t="str">
        <f>Segments!$B$226</f>
        <v>On campus</v>
      </c>
      <c r="C246" s="59" t="str">
        <f>Segments!$C$226</f>
        <v>No</v>
      </c>
      <c r="D246" s="59" t="str">
        <f>Segments!$D$226</f>
        <v>&lt;1.0</v>
      </c>
      <c r="E246" s="59" t="str">
        <f>Segments!$E$226</f>
        <v>Sophomore</v>
      </c>
      <c r="F246" s="59">
        <f>Segments!$F$226</f>
        <v>1</v>
      </c>
      <c r="G246" s="59" t="str">
        <f>Segments!$G$226</f>
        <v>Sophomore</v>
      </c>
      <c r="H246" s="60">
        <f>Segments!$H$226</f>
        <v>8</v>
      </c>
      <c r="I246" s="26">
        <f>Segments!$Y$226</f>
        <v>2138.0848856817647</v>
      </c>
      <c r="J246" s="29">
        <v>1</v>
      </c>
      <c r="K246" s="14">
        <f t="shared" si="117"/>
        <v>1426.2297754450396</v>
      </c>
      <c r="L246" s="14">
        <f t="shared" si="118"/>
        <v>2138.0848856817647</v>
      </c>
      <c r="M246" s="14">
        <f t="shared" si="119"/>
        <v>3518.3593751376584</v>
      </c>
      <c r="N246" s="14">
        <f t="shared" si="120"/>
        <v>2240.0868066969042</v>
      </c>
      <c r="O246" s="14">
        <f t="shared" si="121"/>
        <v>1426.2297754450396</v>
      </c>
      <c r="P246" s="33">
        <f t="shared" si="122"/>
        <v>0.95</v>
      </c>
      <c r="Q246" s="33">
        <f t="shared" si="123"/>
        <v>0.53165747613413439</v>
      </c>
      <c r="R246" s="51">
        <f t="shared" si="124"/>
        <v>7.6</v>
      </c>
      <c r="S246" s="51">
        <f>APPLICANTS_PER_YEAR*($H246/Segments!$AH$2)*Q246</f>
        <v>5.1039117708876898</v>
      </c>
      <c r="T246" s="51">
        <f t="shared" si="125"/>
        <v>12.703911770887689</v>
      </c>
      <c r="U246" s="14">
        <f t="shared" si="126"/>
        <v>1426.2297754450396</v>
      </c>
      <c r="V246" s="44">
        <f t="shared" si="127"/>
        <v>18118.697232266746</v>
      </c>
      <c r="W246" s="44">
        <f t="shared" si="128"/>
        <v>30421.486755933991</v>
      </c>
      <c r="X246" s="44">
        <f t="shared" si="129"/>
        <v>4060.8870894493166</v>
      </c>
      <c r="Y246" s="14">
        <f t="shared" si="130"/>
        <v>1426.2297754450396</v>
      </c>
      <c r="Z246" s="14">
        <f t="shared" si="131"/>
        <v>2202.2274322522176</v>
      </c>
      <c r="AA246" s="14">
        <f t="shared" si="132"/>
        <v>3622.660156391788</v>
      </c>
      <c r="AB246" s="14">
        <f t="shared" si="133"/>
        <v>2306.8914484225916</v>
      </c>
      <c r="AC246" s="14">
        <f t="shared" si="134"/>
        <v>1469.0166687083909</v>
      </c>
      <c r="AD246" s="33">
        <f t="shared" si="135"/>
        <v>0.95</v>
      </c>
      <c r="AE246" s="33">
        <f t="shared" si="136"/>
        <v>0.53160255877820428</v>
      </c>
      <c r="AF246" s="51">
        <f t="shared" si="137"/>
        <v>4.8633485665072271</v>
      </c>
      <c r="AG246" s="51">
        <f>APPLICANTS_PER_YEAR*($H246/Segments!$AH$2)*AE246</f>
        <v>5.1033845642707609</v>
      </c>
      <c r="AH246" s="51">
        <f t="shared" si="138"/>
        <v>9.9667331307779889</v>
      </c>
      <c r="AI246" s="14">
        <f t="shared" si="139"/>
        <v>1469.0166687083906</v>
      </c>
      <c r="AJ246" s="44">
        <f t="shared" si="140"/>
        <v>14641.29710168103</v>
      </c>
      <c r="AK246" s="44">
        <f t="shared" si="141"/>
        <v>24582.894683800674</v>
      </c>
      <c r="AL246" s="44">
        <f t="shared" si="142"/>
        <v>3356.5179236510439</v>
      </c>
      <c r="AM246" s="14">
        <f t="shared" si="143"/>
        <v>1469.0166687083909</v>
      </c>
      <c r="AN246" s="14">
        <f t="shared" si="144"/>
        <v>2268.2942552197842</v>
      </c>
      <c r="AO246" s="14">
        <f t="shared" si="145"/>
        <v>3730.0899610835418</v>
      </c>
      <c r="AP246" s="14">
        <f t="shared" si="146"/>
        <v>2375.700161735896</v>
      </c>
      <c r="AQ246" s="14">
        <f t="shared" si="147"/>
        <v>1513.0871687696424</v>
      </c>
      <c r="AR246" s="33">
        <f t="shared" si="148"/>
        <v>0.95</v>
      </c>
      <c r="AS246" s="33">
        <f t="shared" si="149"/>
        <v>0.53154921375598851</v>
      </c>
      <c r="AT246" s="51">
        <f t="shared" si="150"/>
        <v>4.8628552561125762</v>
      </c>
      <c r="AU246" s="51">
        <f>APPLICANTS_PER_YEAR*($H246/Segments!$AH$2)*AS246</f>
        <v>5.1028724520574897</v>
      </c>
      <c r="AV246" s="51">
        <f t="shared" si="151"/>
        <v>9.9657277081700659</v>
      </c>
      <c r="AW246" s="14">
        <f t="shared" si="152"/>
        <v>1513.0871687696426</v>
      </c>
      <c r="AX246" s="44">
        <f t="shared" si="153"/>
        <v>15079.014722684224</v>
      </c>
      <c r="AY246" s="44">
        <f t="shared" si="154"/>
        <v>25317.827258670004</v>
      </c>
      <c r="AZ246" s="44">
        <f t="shared" si="155"/>
        <v>3447.0583271398264</v>
      </c>
    </row>
    <row r="247" spans="1:52" ht="15" customHeight="1" x14ac:dyDescent="0.35">
      <c r="A247" s="59" t="str">
        <f>Segments!$A$227</f>
        <v>Greek</v>
      </c>
      <c r="B247" s="59" t="str">
        <f>Segments!$B$227</f>
        <v>On campus</v>
      </c>
      <c r="C247" s="59" t="str">
        <f>Segments!$C$227</f>
        <v>No</v>
      </c>
      <c r="D247" s="59" t="str">
        <f>Segments!$D$227</f>
        <v>&lt;1.0</v>
      </c>
      <c r="E247" s="59" t="str">
        <f>Segments!$E$227</f>
        <v>Junior</v>
      </c>
      <c r="F247" s="59">
        <f>Segments!$F$227</f>
        <v>2</v>
      </c>
      <c r="G247" s="59" t="str">
        <f>Segments!$G$227</f>
        <v>Base</v>
      </c>
      <c r="H247" s="60">
        <f>Segments!$H$227</f>
        <v>10</v>
      </c>
      <c r="I247" s="26">
        <f>Segments!$Y$227</f>
        <v>2555.9214584061378</v>
      </c>
      <c r="J247" s="29">
        <v>2</v>
      </c>
      <c r="K247" s="14">
        <f t="shared" si="117"/>
        <v>1426.2297754450396</v>
      </c>
      <c r="L247" s="14">
        <f t="shared" si="118"/>
        <v>2555.9214584061378</v>
      </c>
      <c r="M247" s="14">
        <f t="shared" si="119"/>
        <v>4197.7942167810588</v>
      </c>
      <c r="N247" s="14">
        <f t="shared" si="120"/>
        <v>2446.8385936068885</v>
      </c>
      <c r="O247" s="14">
        <f t="shared" si="121"/>
        <v>1426.2297754450396</v>
      </c>
      <c r="P247" s="33">
        <f t="shared" si="122"/>
        <v>0.95</v>
      </c>
      <c r="Q247" s="33">
        <f t="shared" si="123"/>
        <v>0.55855662911899873</v>
      </c>
      <c r="R247" s="51">
        <f t="shared" si="124"/>
        <v>7.6</v>
      </c>
      <c r="S247" s="51">
        <f>APPLICANTS_PER_YEAR*($H247/Segments!$AH$2)*Q247</f>
        <v>6.7026795494279847</v>
      </c>
      <c r="T247" s="51">
        <f t="shared" si="125"/>
        <v>14.302679549427985</v>
      </c>
      <c r="U247" s="14">
        <f t="shared" si="126"/>
        <v>1426.2297754450394</v>
      </c>
      <c r="V247" s="44">
        <f t="shared" si="127"/>
        <v>20398.907442043033</v>
      </c>
      <c r="W247" s="44">
        <f t="shared" si="128"/>
        <v>40943.308641860378</v>
      </c>
      <c r="X247" s="44">
        <f t="shared" si="129"/>
        <v>4643.5987264735186</v>
      </c>
      <c r="Y247" s="14">
        <f t="shared" si="130"/>
        <v>1426.2297754450396</v>
      </c>
      <c r="Z247" s="14">
        <f t="shared" si="131"/>
        <v>2632.5991021583222</v>
      </c>
      <c r="AA247" s="14">
        <f t="shared" si="132"/>
        <v>4322.4780432844909</v>
      </c>
      <c r="AB247" s="14">
        <f t="shared" si="133"/>
        <v>2519.8794208673849</v>
      </c>
      <c r="AC247" s="14">
        <f t="shared" si="134"/>
        <v>1469.0166687083909</v>
      </c>
      <c r="AD247" s="33">
        <f t="shared" si="135"/>
        <v>0.95</v>
      </c>
      <c r="AE247" s="33">
        <f t="shared" si="136"/>
        <v>0.55851449149842036</v>
      </c>
      <c r="AF247" s="51">
        <f t="shared" si="137"/>
        <v>12.068716182343305</v>
      </c>
      <c r="AG247" s="51">
        <f>APPLICANTS_PER_YEAR*($H247/Segments!$AH$2)*AE247</f>
        <v>6.7021738979810443</v>
      </c>
      <c r="AH247" s="51">
        <f t="shared" si="138"/>
        <v>18.770890080324349</v>
      </c>
      <c r="AI247" s="14">
        <f t="shared" si="139"/>
        <v>1469.0166687083909</v>
      </c>
      <c r="AJ247" s="44">
        <f t="shared" si="140"/>
        <v>27574.750414489456</v>
      </c>
      <c r="AK247" s="44">
        <f t="shared" si="141"/>
        <v>55346.175776835378</v>
      </c>
      <c r="AL247" s="44">
        <f t="shared" si="142"/>
        <v>6099.1961584395958</v>
      </c>
      <c r="AM247" s="14">
        <f t="shared" si="143"/>
        <v>1469.0166687083906</v>
      </c>
      <c r="AN247" s="14">
        <f t="shared" si="144"/>
        <v>2711.5770752230715</v>
      </c>
      <c r="AO247" s="14">
        <f t="shared" si="145"/>
        <v>4450.9023845830252</v>
      </c>
      <c r="AP247" s="14">
        <f t="shared" si="146"/>
        <v>2595.1114210296982</v>
      </c>
      <c r="AQ247" s="14">
        <f t="shared" si="147"/>
        <v>1513.0871687696424</v>
      </c>
      <c r="AR247" s="33">
        <f t="shared" si="148"/>
        <v>0.95</v>
      </c>
      <c r="AS247" s="33">
        <f t="shared" si="149"/>
        <v>0.55847356369591372</v>
      </c>
      <c r="AT247" s="51">
        <f t="shared" si="150"/>
        <v>9.4683964742390891</v>
      </c>
      <c r="AU247" s="51">
        <f>APPLICANTS_PER_YEAR*($H247/Segments!$AH$2)*AS247</f>
        <v>6.7016827643509647</v>
      </c>
      <c r="AV247" s="51">
        <f t="shared" si="151"/>
        <v>16.170079238590056</v>
      </c>
      <c r="AW247" s="14">
        <f t="shared" si="152"/>
        <v>1513.0871687696422</v>
      </c>
      <c r="AX247" s="44">
        <f t="shared" si="153"/>
        <v>24466.739413898998</v>
      </c>
      <c r="AY247" s="44">
        <f t="shared" si="154"/>
        <v>49107.986108049496</v>
      </c>
      <c r="AZ247" s="44">
        <f t="shared" si="155"/>
        <v>5470.0654601041297</v>
      </c>
    </row>
    <row r="248" spans="1:52" ht="15" customHeight="1" x14ac:dyDescent="0.35">
      <c r="A248" s="59" t="str">
        <f>Segments!$A$228</f>
        <v>Greek</v>
      </c>
      <c r="B248" s="59" t="str">
        <f>Segments!$B$228</f>
        <v>On campus</v>
      </c>
      <c r="C248" s="59" t="str">
        <f>Segments!$C$228</f>
        <v>No</v>
      </c>
      <c r="D248" s="59" t="str">
        <f>Segments!$D$228</f>
        <v>&lt;1.0</v>
      </c>
      <c r="E248" s="59" t="str">
        <f>Segments!$E$228</f>
        <v>Senior</v>
      </c>
      <c r="F248" s="59">
        <f>Segments!$F$228</f>
        <v>3</v>
      </c>
      <c r="G248" s="59" t="str">
        <f>Segments!$G$228</f>
        <v>Base</v>
      </c>
      <c r="H248" s="60">
        <f>Segments!$H$228</f>
        <v>5</v>
      </c>
      <c r="I248" s="26">
        <f>Segments!$Y$228</f>
        <v>2388.9877268445393</v>
      </c>
      <c r="J248" s="29">
        <v>3</v>
      </c>
      <c r="K248" s="14">
        <f t="shared" si="117"/>
        <v>1426.2297754450396</v>
      </c>
      <c r="L248" s="14">
        <f t="shared" si="118"/>
        <v>2388.9877268445393</v>
      </c>
      <c r="M248" s="14">
        <f t="shared" si="119"/>
        <v>3926.3469551663729</v>
      </c>
      <c r="N248" s="14">
        <f t="shared" si="120"/>
        <v>2366.4050659568516</v>
      </c>
      <c r="O248" s="14">
        <f t="shared" si="121"/>
        <v>1426.2297754450396</v>
      </c>
      <c r="P248" s="33">
        <f t="shared" si="122"/>
        <v>0.95</v>
      </c>
      <c r="Q248" s="33">
        <f t="shared" si="123"/>
        <v>0.54865054044153116</v>
      </c>
      <c r="R248" s="51">
        <f t="shared" si="124"/>
        <v>9.5</v>
      </c>
      <c r="S248" s="51">
        <f>APPLICANTS_PER_YEAR*($H248/Segments!$AH$2)*Q248</f>
        <v>3.291903242649187</v>
      </c>
      <c r="T248" s="51">
        <f t="shared" si="125"/>
        <v>12.791903242649187</v>
      </c>
      <c r="U248" s="14">
        <f t="shared" si="126"/>
        <v>1426.2297754450396</v>
      </c>
      <c r="V248" s="44">
        <f t="shared" si="127"/>
        <v>18244.193289278224</v>
      </c>
      <c r="W248" s="44">
        <f t="shared" si="128"/>
        <v>34226.863831632392</v>
      </c>
      <c r="X248" s="44">
        <f t="shared" si="129"/>
        <v>3950.6135423820601</v>
      </c>
      <c r="Y248" s="14">
        <f t="shared" si="130"/>
        <v>1426.2297754450394</v>
      </c>
      <c r="Z248" s="14">
        <f t="shared" si="131"/>
        <v>2460.6573586498757</v>
      </c>
      <c r="AA248" s="14">
        <f t="shared" si="132"/>
        <v>4042.8873638213645</v>
      </c>
      <c r="AB248" s="14">
        <f t="shared" si="133"/>
        <v>2437.0205019991331</v>
      </c>
      <c r="AC248" s="14">
        <f t="shared" si="134"/>
        <v>1469.0166687083909</v>
      </c>
      <c r="AD248" s="33">
        <f t="shared" si="135"/>
        <v>0.95</v>
      </c>
      <c r="AE248" s="33">
        <f t="shared" si="136"/>
        <v>0.54860395768042791</v>
      </c>
      <c r="AF248" s="51">
        <f t="shared" si="137"/>
        <v>13.587545571956586</v>
      </c>
      <c r="AG248" s="51">
        <f>APPLICANTS_PER_YEAR*($H248/Segments!$AH$2)*AE248</f>
        <v>3.2916237460825677</v>
      </c>
      <c r="AH248" s="51">
        <f t="shared" si="138"/>
        <v>16.879169318039153</v>
      </c>
      <c r="AI248" s="14">
        <f t="shared" si="139"/>
        <v>1469.0166687083909</v>
      </c>
      <c r="AJ248" s="44">
        <f t="shared" si="140"/>
        <v>24795.781082150759</v>
      </c>
      <c r="AK248" s="44">
        <f t="shared" si="141"/>
        <v>46517.914453169877</v>
      </c>
      <c r="AL248" s="44">
        <f t="shared" si="142"/>
        <v>5275.5173597932471</v>
      </c>
      <c r="AM248" s="14">
        <f t="shared" si="143"/>
        <v>1469.0166687083909</v>
      </c>
      <c r="AN248" s="14">
        <f t="shared" si="144"/>
        <v>2534.4770794093715</v>
      </c>
      <c r="AO248" s="14">
        <f t="shared" si="145"/>
        <v>4162.923984736005</v>
      </c>
      <c r="AP248" s="14">
        <f t="shared" si="146"/>
        <v>2509.7543437291711</v>
      </c>
      <c r="AQ248" s="14">
        <f t="shared" si="147"/>
        <v>1513.0871687696424</v>
      </c>
      <c r="AR248" s="33">
        <f t="shared" si="148"/>
        <v>0.95</v>
      </c>
      <c r="AS248" s="33">
        <f t="shared" si="149"/>
        <v>0.54855871102480291</v>
      </c>
      <c r="AT248" s="51">
        <f t="shared" si="150"/>
        <v>17.832345576308132</v>
      </c>
      <c r="AU248" s="51">
        <f>APPLICANTS_PER_YEAR*($H248/Segments!$AH$2)*AS248</f>
        <v>3.2913522661488175</v>
      </c>
      <c r="AV248" s="51">
        <f t="shared" si="151"/>
        <v>21.123697842456949</v>
      </c>
      <c r="AW248" s="14">
        <f t="shared" si="152"/>
        <v>1513.0871687696424</v>
      </c>
      <c r="AX248" s="44">
        <f t="shared" si="153"/>
        <v>31961.99616238859</v>
      </c>
      <c r="AY248" s="44">
        <f t="shared" si="154"/>
        <v>59962.031375765495</v>
      </c>
      <c r="AZ248" s="44">
        <f t="shared" si="155"/>
        <v>6719.8786390576761</v>
      </c>
    </row>
    <row r="249" spans="1:52" ht="15" customHeight="1" x14ac:dyDescent="0.35">
      <c r="A249" s="59" t="str">
        <f>Segments!$A$229</f>
        <v>Greek</v>
      </c>
      <c r="B249" s="59" t="str">
        <f>Segments!$B$229</f>
        <v>On campus</v>
      </c>
      <c r="C249" s="59" t="str">
        <f>Segments!$C$229</f>
        <v>No</v>
      </c>
      <c r="D249" s="59" t="str">
        <f>Segments!$D$229</f>
        <v>&lt;1.0</v>
      </c>
      <c r="E249" s="59" t="str">
        <f>Segments!$E$229</f>
        <v>Grad student</v>
      </c>
      <c r="F249" s="59">
        <f>Segments!$F$229</f>
        <v>3</v>
      </c>
      <c r="G249" s="59" t="str">
        <f>Segments!$G$229</f>
        <v>Grad</v>
      </c>
      <c r="H249" s="60">
        <f>Segments!$H$229</f>
        <v>4</v>
      </c>
      <c r="I249" s="26">
        <f>Segments!$Y$229</f>
        <v>2844.5209266402048</v>
      </c>
      <c r="J249" s="29">
        <v>4</v>
      </c>
      <c r="K249" s="14">
        <f t="shared" si="117"/>
        <v>1426.2297754450396</v>
      </c>
      <c r="L249" s="14">
        <f t="shared" si="118"/>
        <v>2844.5209266402048</v>
      </c>
      <c r="M249" s="14">
        <f t="shared" si="119"/>
        <v>4667.0794512436023</v>
      </c>
      <c r="N249" s="14">
        <f t="shared" si="120"/>
        <v>2579.9859840183867</v>
      </c>
      <c r="O249" s="14">
        <f t="shared" si="121"/>
        <v>1426.2297754450396</v>
      </c>
      <c r="P249" s="33">
        <f t="shared" si="122"/>
        <v>0.95</v>
      </c>
      <c r="Q249" s="33">
        <f t="shared" si="123"/>
        <v>0.57359737915636766</v>
      </c>
      <c r="R249" s="51">
        <f t="shared" si="124"/>
        <v>1.9</v>
      </c>
      <c r="S249" s="51">
        <f>APPLICANTS_PER_YEAR*($H249/Segments!$AH$2)*Q249</f>
        <v>2.7532674199505647</v>
      </c>
      <c r="T249" s="51">
        <f t="shared" si="125"/>
        <v>4.6532674199505646</v>
      </c>
      <c r="U249" s="14">
        <f t="shared" si="126"/>
        <v>1426.2297754450396</v>
      </c>
      <c r="V249" s="44">
        <f t="shared" si="127"/>
        <v>6636.6285474418128</v>
      </c>
      <c r="W249" s="44">
        <f t="shared" si="128"/>
        <v>14824.674539698752</v>
      </c>
      <c r="X249" s="44">
        <f t="shared" si="129"/>
        <v>1553.6575484576463</v>
      </c>
      <c r="Y249" s="14">
        <f t="shared" si="130"/>
        <v>1426.2297754450396</v>
      </c>
      <c r="Z249" s="14">
        <f t="shared" si="131"/>
        <v>2929.856554439411</v>
      </c>
      <c r="AA249" s="14">
        <f t="shared" si="132"/>
        <v>4805.8418347809102</v>
      </c>
      <c r="AB249" s="14">
        <f t="shared" si="133"/>
        <v>2657.0400377994442</v>
      </c>
      <c r="AC249" s="14">
        <f t="shared" si="134"/>
        <v>1469.0166687083909</v>
      </c>
      <c r="AD249" s="33">
        <f t="shared" si="135"/>
        <v>0.95</v>
      </c>
      <c r="AE249" s="33">
        <f t="shared" si="136"/>
        <v>0.57356143531713055</v>
      </c>
      <c r="AF249" s="51">
        <f t="shared" si="137"/>
        <v>2.2103020244765181</v>
      </c>
      <c r="AG249" s="51">
        <f>APPLICANTS_PER_YEAR*($H249/Segments!$AH$2)*AE249</f>
        <v>2.7530948895222265</v>
      </c>
      <c r="AH249" s="51">
        <f t="shared" si="138"/>
        <v>4.9633969139987446</v>
      </c>
      <c r="AI249" s="14">
        <f t="shared" si="139"/>
        <v>1469.0166687083911</v>
      </c>
      <c r="AJ249" s="44">
        <f t="shared" si="140"/>
        <v>7291.3128000799443</v>
      </c>
      <c r="AK249" s="44">
        <f t="shared" si="141"/>
        <v>16287.085898455198</v>
      </c>
      <c r="AL249" s="44">
        <f t="shared" si="142"/>
        <v>1687.7054096466813</v>
      </c>
      <c r="AM249" s="14">
        <f t="shared" si="143"/>
        <v>1469.0166687083911</v>
      </c>
      <c r="AN249" s="14">
        <f t="shared" si="144"/>
        <v>3017.752251072593</v>
      </c>
      <c r="AO249" s="14">
        <f t="shared" si="145"/>
        <v>4948.7670898243368</v>
      </c>
      <c r="AP249" s="14">
        <f t="shared" si="146"/>
        <v>2736.405668909983</v>
      </c>
      <c r="AQ249" s="14">
        <f t="shared" si="147"/>
        <v>1513.0871687696424</v>
      </c>
      <c r="AR249" s="33">
        <f t="shared" si="148"/>
        <v>0.95</v>
      </c>
      <c r="AS249" s="33">
        <f t="shared" si="149"/>
        <v>0.57352652496653311</v>
      </c>
      <c r="AT249" s="51">
        <f t="shared" si="150"/>
        <v>2.3576135341494036</v>
      </c>
      <c r="AU249" s="51">
        <f>APPLICANTS_PER_YEAR*($H249/Segments!$AH$2)*AS249</f>
        <v>2.7529273198393587</v>
      </c>
      <c r="AV249" s="51">
        <f t="shared" si="151"/>
        <v>5.1105408539887627</v>
      </c>
      <c r="AW249" s="14">
        <f t="shared" si="152"/>
        <v>1513.0871687696424</v>
      </c>
      <c r="AX249" s="44">
        <f t="shared" si="153"/>
        <v>7732.6937916434472</v>
      </c>
      <c r="AY249" s="44">
        <f t="shared" si="154"/>
        <v>17273.027706281806</v>
      </c>
      <c r="AZ249" s="44">
        <f t="shared" si="155"/>
        <v>1778.3027918435225</v>
      </c>
    </row>
    <row r="250" spans="1:52" ht="15" customHeight="1" x14ac:dyDescent="0.35">
      <c r="A250" s="61" t="str">
        <f>Segments!$A$230</f>
        <v>Greek</v>
      </c>
      <c r="B250" s="61" t="str">
        <f>Segments!$B$230</f>
        <v>On campus</v>
      </c>
      <c r="C250" s="61" t="str">
        <f>Segments!$C$230</f>
        <v>No</v>
      </c>
      <c r="D250" s="61" t="str">
        <f>Segments!$D$230</f>
        <v>1.0-2.0</v>
      </c>
      <c r="E250" s="61" t="str">
        <f>Segments!$E$230</f>
        <v>Freshman</v>
      </c>
      <c r="F250" s="61">
        <f>Segments!$F$230</f>
        <v>1</v>
      </c>
      <c r="G250" s="61" t="str">
        <f>Segments!$G$230</f>
        <v>Base</v>
      </c>
      <c r="H250" s="62">
        <f>Segments!$H$230</f>
        <v>24</v>
      </c>
      <c r="I250" s="63">
        <f>Segments!$Y$230</f>
        <v>1960.0847278091142</v>
      </c>
      <c r="J250" s="42">
        <v>0</v>
      </c>
      <c r="K250" s="40">
        <f t="shared" si="117"/>
        <v>3228.9172416064639</v>
      </c>
      <c r="L250" s="40">
        <f t="shared" si="118"/>
        <v>1960.0847278091142</v>
      </c>
      <c r="M250" s="40">
        <f t="shared" si="119"/>
        <v>3228.9172416064639</v>
      </c>
      <c r="N250" s="40">
        <f t="shared" si="120"/>
        <v>2145.9678265125513</v>
      </c>
      <c r="O250" s="40">
        <f t="shared" si="121"/>
        <v>1426.2297754450396</v>
      </c>
      <c r="P250" s="41">
        <f t="shared" si="122"/>
        <v>0.95</v>
      </c>
      <c r="Q250" s="41">
        <f t="shared" si="123"/>
        <v>0.5176954430945897</v>
      </c>
      <c r="R250" s="64">
        <f t="shared" si="124"/>
        <v>0</v>
      </c>
      <c r="S250" s="64">
        <f>APPLICANTS_PER_YEAR*($H250/Segments!$AH$2)*Q250</f>
        <v>14.909628761124182</v>
      </c>
      <c r="T250" s="64">
        <f t="shared" si="125"/>
        <v>14.909628761124182</v>
      </c>
      <c r="U250" s="40">
        <f t="shared" si="126"/>
        <v>1426.2297754450396</v>
      </c>
      <c r="V250" s="65">
        <f t="shared" si="127"/>
        <v>21264.556479947049</v>
      </c>
      <c r="W250" s="65">
        <f t="shared" si="128"/>
        <v>32731.031907821001</v>
      </c>
      <c r="X250" s="65">
        <f t="shared" si="129"/>
        <v>5434.1939457587268</v>
      </c>
      <c r="Y250" s="40">
        <f t="shared" si="130"/>
        <v>3324.5347588546579</v>
      </c>
      <c r="Z250" s="40">
        <f t="shared" si="131"/>
        <v>2018.8872696433875</v>
      </c>
      <c r="AA250" s="40">
        <f t="shared" si="132"/>
        <v>3324.5347588546579</v>
      </c>
      <c r="AB250" s="40">
        <f t="shared" si="133"/>
        <v>2209.9314415741324</v>
      </c>
      <c r="AC250" s="40">
        <f t="shared" si="134"/>
        <v>1469.0166687083909</v>
      </c>
      <c r="AD250" s="41">
        <f t="shared" si="135"/>
        <v>0.95</v>
      </c>
      <c r="AE250" s="41">
        <f t="shared" si="136"/>
        <v>0.51763297696194333</v>
      </c>
      <c r="AF250" s="64">
        <f t="shared" si="137"/>
        <v>0</v>
      </c>
      <c r="AG250" s="64">
        <f>APPLICANTS_PER_YEAR*($H250/Segments!$AH$2)*AE250</f>
        <v>14.907829736503967</v>
      </c>
      <c r="AH250" s="64">
        <f t="shared" si="138"/>
        <v>14.907829736503967</v>
      </c>
      <c r="AI250" s="40">
        <f t="shared" si="139"/>
        <v>1469.0166687083909</v>
      </c>
      <c r="AJ250" s="65">
        <f t="shared" si="140"/>
        <v>21899.850377190945</v>
      </c>
      <c r="AK250" s="65">
        <f t="shared" si="141"/>
        <v>33708.894993803675</v>
      </c>
      <c r="AL250" s="65">
        <f t="shared" si="142"/>
        <v>5576.41882263345</v>
      </c>
      <c r="AM250" s="40">
        <f t="shared" si="143"/>
        <v>3423.0208016202973</v>
      </c>
      <c r="AN250" s="40">
        <f t="shared" si="144"/>
        <v>2079.4538877326891</v>
      </c>
      <c r="AO250" s="40">
        <f t="shared" si="145"/>
        <v>3423.0208016202973</v>
      </c>
      <c r="AP250" s="40">
        <f t="shared" si="146"/>
        <v>2275.8138881207419</v>
      </c>
      <c r="AQ250" s="40">
        <f t="shared" si="147"/>
        <v>1513.0871687696424</v>
      </c>
      <c r="AR250" s="41">
        <f t="shared" si="148"/>
        <v>0.95</v>
      </c>
      <c r="AS250" s="41">
        <f t="shared" si="149"/>
        <v>0.51757229651606584</v>
      </c>
      <c r="AT250" s="64">
        <f t="shared" si="150"/>
        <v>0</v>
      </c>
      <c r="AU250" s="64">
        <f>APPLICANTS_PER_YEAR*($H250/Segments!$AH$2)*AS250</f>
        <v>14.906082139662695</v>
      </c>
      <c r="AV250" s="64">
        <f t="shared" si="151"/>
        <v>14.906082139662695</v>
      </c>
      <c r="AW250" s="40">
        <f t="shared" si="152"/>
        <v>1513.0871687696424</v>
      </c>
      <c r="AX250" s="65">
        <f t="shared" si="153"/>
        <v>22554.201622149962</v>
      </c>
      <c r="AY250" s="65">
        <f t="shared" si="154"/>
        <v>34716.091710926521</v>
      </c>
      <c r="AZ250" s="65">
        <f t="shared" si="155"/>
        <v>5722.9148596464129</v>
      </c>
    </row>
    <row r="251" spans="1:52" ht="15" customHeight="1" x14ac:dyDescent="0.35">
      <c r="A251" s="61" t="str">
        <f>Segments!$A$231</f>
        <v>Greek</v>
      </c>
      <c r="B251" s="61" t="str">
        <f>Segments!$B$231</f>
        <v>On campus</v>
      </c>
      <c r="C251" s="61" t="str">
        <f>Segments!$C$231</f>
        <v>No</v>
      </c>
      <c r="D251" s="61" t="str">
        <f>Segments!$D$231</f>
        <v>1.0-2.0</v>
      </c>
      <c r="E251" s="61" t="str">
        <f>Segments!$E$231</f>
        <v>Sophomore</v>
      </c>
      <c r="F251" s="61">
        <f>Segments!$F$231</f>
        <v>1</v>
      </c>
      <c r="G251" s="61" t="str">
        <f>Segments!$G$231</f>
        <v>Sophomore</v>
      </c>
      <c r="H251" s="62">
        <f>Segments!$H$231</f>
        <v>23</v>
      </c>
      <c r="I251" s="63">
        <f>Segments!$Y$231</f>
        <v>1940.1433017359677</v>
      </c>
      <c r="J251" s="42">
        <v>1</v>
      </c>
      <c r="K251" s="40">
        <f t="shared" si="117"/>
        <v>1426.2297754450396</v>
      </c>
      <c r="L251" s="40">
        <f t="shared" si="118"/>
        <v>1940.1433017359677</v>
      </c>
      <c r="M251" s="40">
        <f t="shared" si="119"/>
        <v>3196.4909281849018</v>
      </c>
      <c r="N251" s="40">
        <f t="shared" si="120"/>
        <v>2135.1652251564183</v>
      </c>
      <c r="O251" s="40">
        <f t="shared" si="121"/>
        <v>1426.2297754450396</v>
      </c>
      <c r="P251" s="41">
        <f t="shared" si="122"/>
        <v>0.95</v>
      </c>
      <c r="Q251" s="41">
        <f t="shared" si="123"/>
        <v>0.51601418975888458</v>
      </c>
      <c r="R251" s="64">
        <f t="shared" si="124"/>
        <v>22.799999999999997</v>
      </c>
      <c r="S251" s="64">
        <f>APPLICANTS_PER_YEAR*($H251/Segments!$AH$2)*Q251</f>
        <v>14.241991637345214</v>
      </c>
      <c r="T251" s="64">
        <f t="shared" si="125"/>
        <v>37.041991637345212</v>
      </c>
      <c r="U251" s="40">
        <f t="shared" si="126"/>
        <v>1426.2297754450396</v>
      </c>
      <c r="V251" s="65">
        <f t="shared" si="127"/>
        <v>52830.391414967897</v>
      </c>
      <c r="W251" s="65">
        <f t="shared" si="128"/>
        <v>80490.784593133663</v>
      </c>
      <c r="X251" s="65">
        <f t="shared" si="129"/>
        <v>11792.765939828201</v>
      </c>
      <c r="Y251" s="40">
        <f t="shared" si="130"/>
        <v>1426.2297754450396</v>
      </c>
      <c r="Z251" s="40">
        <f t="shared" si="131"/>
        <v>1998.3476007880467</v>
      </c>
      <c r="AA251" s="40">
        <f t="shared" si="132"/>
        <v>3291.1356560304489</v>
      </c>
      <c r="AB251" s="40">
        <f t="shared" si="133"/>
        <v>2198.8026600150488</v>
      </c>
      <c r="AC251" s="40">
        <f t="shared" si="134"/>
        <v>1469.0166687083909</v>
      </c>
      <c r="AD251" s="41">
        <f t="shared" si="135"/>
        <v>0.95</v>
      </c>
      <c r="AE251" s="41">
        <f t="shared" si="136"/>
        <v>0.51595077052109417</v>
      </c>
      <c r="AF251" s="64">
        <f t="shared" si="137"/>
        <v>14.164147323067972</v>
      </c>
      <c r="AG251" s="64">
        <f>APPLICANTS_PER_YEAR*($H251/Segments!$AH$2)*AE251</f>
        <v>14.240241266382197</v>
      </c>
      <c r="AH251" s="64">
        <f t="shared" si="138"/>
        <v>28.404388589450171</v>
      </c>
      <c r="AI251" s="40">
        <f t="shared" si="139"/>
        <v>1469.0166687083906</v>
      </c>
      <c r="AJ251" s="65">
        <f t="shared" si="140"/>
        <v>41726.520302372715</v>
      </c>
      <c r="AK251" s="65">
        <f t="shared" si="141"/>
        <v>63573.262804328624</v>
      </c>
      <c r="AL251" s="65">
        <f t="shared" si="142"/>
        <v>9542.5764531330606</v>
      </c>
      <c r="AM251" s="40">
        <f t="shared" si="143"/>
        <v>1469.0166687083909</v>
      </c>
      <c r="AN251" s="40">
        <f t="shared" si="144"/>
        <v>2058.2980288116883</v>
      </c>
      <c r="AO251" s="40">
        <f t="shared" si="145"/>
        <v>3388.6197257113627</v>
      </c>
      <c r="AP251" s="40">
        <f t="shared" si="146"/>
        <v>2264.3491397780444</v>
      </c>
      <c r="AQ251" s="40">
        <f t="shared" si="147"/>
        <v>1513.0871687696424</v>
      </c>
      <c r="AR251" s="41">
        <f t="shared" si="148"/>
        <v>0.95</v>
      </c>
      <c r="AS251" s="41">
        <f t="shared" si="149"/>
        <v>0.51588916386852823</v>
      </c>
      <c r="AT251" s="64">
        <f t="shared" si="150"/>
        <v>14.162438249678768</v>
      </c>
      <c r="AU251" s="64">
        <f>APPLICANTS_PER_YEAR*($H251/Segments!$AH$2)*AS251</f>
        <v>14.238540922771378</v>
      </c>
      <c r="AV251" s="64">
        <f t="shared" si="151"/>
        <v>28.400979172450146</v>
      </c>
      <c r="AW251" s="40">
        <f t="shared" si="152"/>
        <v>1513.0871687696424</v>
      </c>
      <c r="AX251" s="65">
        <f t="shared" si="153"/>
        <v>42973.157166328172</v>
      </c>
      <c r="AY251" s="65">
        <f t="shared" si="154"/>
        <v>65472.600980613068</v>
      </c>
      <c r="AZ251" s="65">
        <f t="shared" si="155"/>
        <v>9799.9551859829498</v>
      </c>
    </row>
    <row r="252" spans="1:52" ht="15" customHeight="1" x14ac:dyDescent="0.35">
      <c r="A252" s="61" t="str">
        <f>Segments!$A$232</f>
        <v>Greek</v>
      </c>
      <c r="B252" s="61" t="str">
        <f>Segments!$B$232</f>
        <v>On campus</v>
      </c>
      <c r="C252" s="61" t="str">
        <f>Segments!$C$232</f>
        <v>No</v>
      </c>
      <c r="D252" s="61" t="str">
        <f>Segments!$D$232</f>
        <v>1.0-2.0</v>
      </c>
      <c r="E252" s="61" t="str">
        <f>Segments!$E$232</f>
        <v>Junior</v>
      </c>
      <c r="F252" s="61">
        <f>Segments!$F$232</f>
        <v>2</v>
      </c>
      <c r="G252" s="61" t="str">
        <f>Segments!$G$232</f>
        <v>Base</v>
      </c>
      <c r="H252" s="62">
        <f>Segments!$H$232</f>
        <v>22</v>
      </c>
      <c r="I252" s="63">
        <f>Segments!$Y$232</f>
        <v>2319.2970169230116</v>
      </c>
      <c r="J252" s="42">
        <v>2</v>
      </c>
      <c r="K252" s="40">
        <f t="shared" si="117"/>
        <v>1426.2297754450396</v>
      </c>
      <c r="L252" s="40">
        <f t="shared" si="118"/>
        <v>2319.2970169230116</v>
      </c>
      <c r="M252" s="40">
        <f t="shared" si="119"/>
        <v>3813.0244277705142</v>
      </c>
      <c r="N252" s="40">
        <f t="shared" si="120"/>
        <v>2332.0053544933362</v>
      </c>
      <c r="O252" s="40">
        <f t="shared" si="121"/>
        <v>1426.2297754450396</v>
      </c>
      <c r="P252" s="41">
        <f t="shared" si="122"/>
        <v>0.95</v>
      </c>
      <c r="Q252" s="41">
        <f t="shared" si="123"/>
        <v>0.5442052957346426</v>
      </c>
      <c r="R252" s="64">
        <f t="shared" si="124"/>
        <v>21.849999999999998</v>
      </c>
      <c r="S252" s="64">
        <f>APPLICANTS_PER_YEAR*($H252/Segments!$AH$2)*Q252</f>
        <v>14.367019807394566</v>
      </c>
      <c r="T252" s="64">
        <f t="shared" si="125"/>
        <v>36.217019807394564</v>
      </c>
      <c r="U252" s="40">
        <f t="shared" si="126"/>
        <v>1426.2297754450396</v>
      </c>
      <c r="V252" s="65">
        <f t="shared" si="127"/>
        <v>51653.792027188902</v>
      </c>
      <c r="W252" s="65">
        <f t="shared" si="128"/>
        <v>94077.789121267662</v>
      </c>
      <c r="X252" s="65">
        <f t="shared" si="129"/>
        <v>11563.256084651475</v>
      </c>
      <c r="Y252" s="40">
        <f t="shared" si="130"/>
        <v>1426.2297754450396</v>
      </c>
      <c r="Z252" s="40">
        <f t="shared" si="131"/>
        <v>2388.8759274307022</v>
      </c>
      <c r="AA252" s="40">
        <f t="shared" si="132"/>
        <v>3926.1651606036303</v>
      </c>
      <c r="AB252" s="40">
        <f t="shared" si="133"/>
        <v>2401.5832413282883</v>
      </c>
      <c r="AC252" s="40">
        <f t="shared" si="134"/>
        <v>1469.0166687083909</v>
      </c>
      <c r="AD252" s="41">
        <f t="shared" si="135"/>
        <v>0.95</v>
      </c>
      <c r="AE252" s="41">
        <f t="shared" si="136"/>
        <v>0.54415662063499937</v>
      </c>
      <c r="AF252" s="64">
        <f t="shared" si="137"/>
        <v>35.189892055477948</v>
      </c>
      <c r="AG252" s="64">
        <f>APPLICANTS_PER_YEAR*($H252/Segments!$AH$2)*AE252</f>
        <v>14.365734784763985</v>
      </c>
      <c r="AH252" s="64">
        <f t="shared" si="138"/>
        <v>49.555626840241935</v>
      </c>
      <c r="AI252" s="40">
        <f t="shared" si="139"/>
        <v>1469.0166687083909</v>
      </c>
      <c r="AJ252" s="65">
        <f t="shared" si="140"/>
        <v>72798.041856608324</v>
      </c>
      <c r="AK252" s="65">
        <f t="shared" si="141"/>
        <v>132588.11331067988</v>
      </c>
      <c r="AL252" s="65">
        <f t="shared" si="142"/>
        <v>15847.708452320088</v>
      </c>
      <c r="AM252" s="40">
        <f t="shared" si="143"/>
        <v>1469.0166687083906</v>
      </c>
      <c r="AN252" s="40">
        <f t="shared" si="144"/>
        <v>2460.5422052536228</v>
      </c>
      <c r="AO252" s="40">
        <f t="shared" si="145"/>
        <v>4042.7001154217382</v>
      </c>
      <c r="AP252" s="40">
        <f t="shared" si="146"/>
        <v>2473.2484047964504</v>
      </c>
      <c r="AQ252" s="40">
        <f t="shared" si="147"/>
        <v>1513.0871687696424</v>
      </c>
      <c r="AR252" s="41">
        <f t="shared" si="148"/>
        <v>0.95</v>
      </c>
      <c r="AS252" s="41">
        <f t="shared" si="149"/>
        <v>0.54410934101175124</v>
      </c>
      <c r="AT252" s="64">
        <f t="shared" si="150"/>
        <v>26.984169159977661</v>
      </c>
      <c r="AU252" s="64">
        <f>APPLICANTS_PER_YEAR*($H252/Segments!$AH$2)*AS252</f>
        <v>14.364486602710233</v>
      </c>
      <c r="AV252" s="64">
        <f t="shared" si="151"/>
        <v>41.348655762687898</v>
      </c>
      <c r="AW252" s="40">
        <f t="shared" si="152"/>
        <v>1513.0871687696422</v>
      </c>
      <c r="AX252" s="65">
        <f t="shared" si="153"/>
        <v>62564.120480395984</v>
      </c>
      <c r="AY252" s="65">
        <f t="shared" si="154"/>
        <v>113948.92615074865</v>
      </c>
      <c r="AZ252" s="65">
        <f t="shared" si="155"/>
        <v>13771.419263874704</v>
      </c>
    </row>
    <row r="253" spans="1:52" ht="15" customHeight="1" x14ac:dyDescent="0.35">
      <c r="A253" s="61" t="str">
        <f>Segments!$A$233</f>
        <v>Greek</v>
      </c>
      <c r="B253" s="61" t="str">
        <f>Segments!$B$233</f>
        <v>On campus</v>
      </c>
      <c r="C253" s="61" t="str">
        <f>Segments!$C$233</f>
        <v>No</v>
      </c>
      <c r="D253" s="61" t="str">
        <f>Segments!$D$233</f>
        <v>1.0-2.0</v>
      </c>
      <c r="E253" s="61" t="str">
        <f>Segments!$E$233</f>
        <v>Senior</v>
      </c>
      <c r="F253" s="61">
        <f>Segments!$F$233</f>
        <v>3</v>
      </c>
      <c r="G253" s="61" t="str">
        <f>Segments!$G$233</f>
        <v>Base</v>
      </c>
      <c r="H253" s="62">
        <f>Segments!$H$233</f>
        <v>23</v>
      </c>
      <c r="I253" s="63">
        <f>Segments!$Y$233</f>
        <v>2167.8178295006874</v>
      </c>
      <c r="J253" s="42">
        <v>3</v>
      </c>
      <c r="K253" s="40">
        <f t="shared" si="117"/>
        <v>1426.2297754450396</v>
      </c>
      <c r="L253" s="40">
        <f t="shared" si="118"/>
        <v>2167.8178295006874</v>
      </c>
      <c r="M253" s="40">
        <f t="shared" si="119"/>
        <v>3566.7074597571627</v>
      </c>
      <c r="N253" s="40">
        <f t="shared" si="120"/>
        <v>2255.4255428649394</v>
      </c>
      <c r="O253" s="40">
        <f t="shared" si="121"/>
        <v>1426.2297754450396</v>
      </c>
      <c r="P253" s="41">
        <f t="shared" si="122"/>
        <v>0.95</v>
      </c>
      <c r="Q253" s="41">
        <f t="shared" si="123"/>
        <v>0.53382246535317224</v>
      </c>
      <c r="R253" s="64">
        <f t="shared" si="124"/>
        <v>20.9</v>
      </c>
      <c r="S253" s="64">
        <f>APPLICANTS_PER_YEAR*($H253/Segments!$AH$2)*Q253</f>
        <v>14.733500043747553</v>
      </c>
      <c r="T253" s="64">
        <f t="shared" si="125"/>
        <v>35.633500043747553</v>
      </c>
      <c r="U253" s="40">
        <f t="shared" si="126"/>
        <v>1426.2297754450396</v>
      </c>
      <c r="V253" s="65">
        <f t="shared" si="127"/>
        <v>50821.558765714879</v>
      </c>
      <c r="W253" s="65">
        <f t="shared" si="128"/>
        <v>86516.569129031413</v>
      </c>
      <c r="X253" s="65">
        <f t="shared" si="129"/>
        <v>11421.749584750725</v>
      </c>
      <c r="Y253" s="40">
        <f t="shared" si="130"/>
        <v>1426.2297754450396</v>
      </c>
      <c r="Z253" s="40">
        <f t="shared" si="131"/>
        <v>2232.8523643857079</v>
      </c>
      <c r="AA253" s="40">
        <f t="shared" si="132"/>
        <v>3672.4586835498776</v>
      </c>
      <c r="AB253" s="40">
        <f t="shared" si="133"/>
        <v>2322.6930536077389</v>
      </c>
      <c r="AC253" s="40">
        <f t="shared" si="134"/>
        <v>1469.0166687083909</v>
      </c>
      <c r="AD253" s="41">
        <f t="shared" si="135"/>
        <v>0.95</v>
      </c>
      <c r="AE253" s="41">
        <f t="shared" si="136"/>
        <v>0.53376866103193643</v>
      </c>
      <c r="AF253" s="64">
        <f t="shared" si="137"/>
        <v>34.406168817024835</v>
      </c>
      <c r="AG253" s="64">
        <f>APPLICANTS_PER_YEAR*($H253/Segments!$AH$2)*AE253</f>
        <v>14.732015044481445</v>
      </c>
      <c r="AH253" s="64">
        <f t="shared" si="138"/>
        <v>49.138183861506278</v>
      </c>
      <c r="AI253" s="40">
        <f t="shared" si="139"/>
        <v>1469.0166687083911</v>
      </c>
      <c r="AJ253" s="65">
        <f t="shared" si="140"/>
        <v>72184.811162610378</v>
      </c>
      <c r="AK253" s="65">
        <f t="shared" si="141"/>
        <v>122884.50721879801</v>
      </c>
      <c r="AL253" s="65">
        <f t="shared" si="142"/>
        <v>15751.448511315733</v>
      </c>
      <c r="AM253" s="40">
        <f t="shared" si="143"/>
        <v>1469.0166687083909</v>
      </c>
      <c r="AN253" s="40">
        <f t="shared" si="144"/>
        <v>2299.8379353172791</v>
      </c>
      <c r="AO253" s="40">
        <f t="shared" si="145"/>
        <v>3781.382444056374</v>
      </c>
      <c r="AP253" s="40">
        <f t="shared" si="146"/>
        <v>2391.9785233802768</v>
      </c>
      <c r="AQ253" s="40">
        <f t="shared" si="147"/>
        <v>1513.0871687696424</v>
      </c>
      <c r="AR253" s="41">
        <f t="shared" si="148"/>
        <v>0.95</v>
      </c>
      <c r="AS253" s="41">
        <f t="shared" si="149"/>
        <v>0.53371639753868061</v>
      </c>
      <c r="AT253" s="64">
        <f t="shared" si="150"/>
        <v>47.077845498229834</v>
      </c>
      <c r="AU253" s="64">
        <f>APPLICANTS_PER_YEAR*($H253/Segments!$AH$2)*AS253</f>
        <v>14.730572572067583</v>
      </c>
      <c r="AV253" s="64">
        <f t="shared" si="151"/>
        <v>61.808418070297421</v>
      </c>
      <c r="AW253" s="40">
        <f t="shared" si="152"/>
        <v>1513.0871687696424</v>
      </c>
      <c r="AX253" s="65">
        <f t="shared" si="153"/>
        <v>93521.524304116727</v>
      </c>
      <c r="AY253" s="65">
        <f t="shared" si="154"/>
        <v>159207.26595202246</v>
      </c>
      <c r="AZ253" s="65">
        <f t="shared" si="155"/>
        <v>20060.103181345592</v>
      </c>
    </row>
    <row r="254" spans="1:52" ht="15" customHeight="1" x14ac:dyDescent="0.35">
      <c r="A254" s="61" t="str">
        <f>Segments!$A$234</f>
        <v>Greek</v>
      </c>
      <c r="B254" s="61" t="str">
        <f>Segments!$B$234</f>
        <v>On campus</v>
      </c>
      <c r="C254" s="61" t="str">
        <f>Segments!$C$234</f>
        <v>No</v>
      </c>
      <c r="D254" s="61" t="str">
        <f>Segments!$D$234</f>
        <v>1.0-2.0</v>
      </c>
      <c r="E254" s="61" t="str">
        <f>Segments!$E$234</f>
        <v>Grad student</v>
      </c>
      <c r="F254" s="61">
        <f>Segments!$F$234</f>
        <v>3</v>
      </c>
      <c r="G254" s="61" t="str">
        <f>Segments!$G$234</f>
        <v>Grad</v>
      </c>
      <c r="H254" s="62">
        <f>Segments!$H$234</f>
        <v>8</v>
      </c>
      <c r="I254" s="63">
        <f>Segments!$Y$234</f>
        <v>2581.1782588365409</v>
      </c>
      <c r="J254" s="42">
        <v>4</v>
      </c>
      <c r="K254" s="40">
        <f t="shared" si="117"/>
        <v>1426.2297754450396</v>
      </c>
      <c r="L254" s="40">
        <f t="shared" si="118"/>
        <v>2581.1782588365409</v>
      </c>
      <c r="M254" s="40">
        <f t="shared" si="119"/>
        <v>4238.8637432922524</v>
      </c>
      <c r="N254" s="40">
        <f t="shared" si="120"/>
        <v>2458.778901149477</v>
      </c>
      <c r="O254" s="40">
        <f t="shared" si="121"/>
        <v>1426.2297754450396</v>
      </c>
      <c r="P254" s="41">
        <f t="shared" si="122"/>
        <v>0.95</v>
      </c>
      <c r="Q254" s="41">
        <f t="shared" si="123"/>
        <v>0.55997193469118378</v>
      </c>
      <c r="R254" s="64">
        <f t="shared" si="124"/>
        <v>3.8</v>
      </c>
      <c r="S254" s="64">
        <f>APPLICANTS_PER_YEAR*($H254/Segments!$AH$2)*Q254</f>
        <v>5.3757305730353639</v>
      </c>
      <c r="T254" s="64">
        <f t="shared" si="125"/>
        <v>9.1757305730353629</v>
      </c>
      <c r="U254" s="40">
        <f t="shared" si="126"/>
        <v>1426.2297754450396</v>
      </c>
      <c r="V254" s="65">
        <f t="shared" si="127"/>
        <v>13086.700154724411</v>
      </c>
      <c r="W254" s="65">
        <f t="shared" si="128"/>
        <v>26526.299815747912</v>
      </c>
      <c r="X254" s="65">
        <f t="shared" si="129"/>
        <v>3059.6401503106695</v>
      </c>
      <c r="Y254" s="40">
        <f t="shared" si="130"/>
        <v>1426.2297754450396</v>
      </c>
      <c r="Z254" s="40">
        <f t="shared" si="131"/>
        <v>2658.613606601637</v>
      </c>
      <c r="AA254" s="40">
        <f t="shared" si="132"/>
        <v>4364.7796555910199</v>
      </c>
      <c r="AB254" s="40">
        <f t="shared" si="133"/>
        <v>2532.1797071500432</v>
      </c>
      <c r="AC254" s="40">
        <f t="shared" si="134"/>
        <v>1469.0166687083909</v>
      </c>
      <c r="AD254" s="41">
        <f t="shared" si="135"/>
        <v>0.95</v>
      </c>
      <c r="AE254" s="41">
        <f t="shared" si="136"/>
        <v>0.55993040806693717</v>
      </c>
      <c r="AF254" s="64">
        <f t="shared" si="137"/>
        <v>4.3584720221917967</v>
      </c>
      <c r="AG254" s="64">
        <f>APPLICANTS_PER_YEAR*($H254/Segments!$AH$2)*AE254</f>
        <v>5.3753319174425966</v>
      </c>
      <c r="AH254" s="64">
        <f t="shared" si="138"/>
        <v>9.7338039396343934</v>
      </c>
      <c r="AI254" s="40">
        <f t="shared" si="139"/>
        <v>1469.0166687083909</v>
      </c>
      <c r="AJ254" s="65">
        <f t="shared" si="140"/>
        <v>14299.120237262327</v>
      </c>
      <c r="AK254" s="65">
        <f t="shared" si="141"/>
        <v>28983.834429653172</v>
      </c>
      <c r="AL254" s="65">
        <f t="shared" si="142"/>
        <v>3307.9689281010519</v>
      </c>
      <c r="AM254" s="40">
        <f t="shared" si="143"/>
        <v>1469.0166687083909</v>
      </c>
      <c r="AN254" s="40">
        <f t="shared" si="144"/>
        <v>2738.372014799686</v>
      </c>
      <c r="AO254" s="40">
        <f t="shared" si="145"/>
        <v>4494.4730452587501</v>
      </c>
      <c r="AP254" s="40">
        <f t="shared" si="146"/>
        <v>2607.7824861675172</v>
      </c>
      <c r="AQ254" s="40">
        <f t="shared" si="147"/>
        <v>1513.0871687696424</v>
      </c>
      <c r="AR254" s="41">
        <f t="shared" si="148"/>
        <v>0.95</v>
      </c>
      <c r="AS254" s="41">
        <f t="shared" si="149"/>
        <v>0.55989007388547096</v>
      </c>
      <c r="AT254" s="64">
        <f t="shared" si="150"/>
        <v>4.6235568713263371</v>
      </c>
      <c r="AU254" s="64">
        <f>APPLICANTS_PER_YEAR*($H254/Segments!$AH$2)*AS254</f>
        <v>5.3749447093005207</v>
      </c>
      <c r="AV254" s="64">
        <f t="shared" si="151"/>
        <v>9.9985015806268578</v>
      </c>
      <c r="AW254" s="40">
        <f t="shared" si="152"/>
        <v>1513.0871687696424</v>
      </c>
      <c r="AX254" s="65">
        <f t="shared" si="153"/>
        <v>15128.604448569487</v>
      </c>
      <c r="AY254" s="65">
        <f t="shared" si="154"/>
        <v>30665.170948517298</v>
      </c>
      <c r="AZ254" s="65">
        <f t="shared" si="155"/>
        <v>3478.296485661795</v>
      </c>
    </row>
    <row r="255" spans="1:52" ht="15" customHeight="1" x14ac:dyDescent="0.35">
      <c r="A255" s="59" t="str">
        <f>Segments!$A$235</f>
        <v>Greek</v>
      </c>
      <c r="B255" s="59" t="str">
        <f>Segments!$B$235</f>
        <v>On campus</v>
      </c>
      <c r="C255" s="59" t="str">
        <f>Segments!$C$235</f>
        <v>No</v>
      </c>
      <c r="D255" s="59" t="str">
        <f>Segments!$D$235</f>
        <v>2.0-3.0</v>
      </c>
      <c r="E255" s="59" t="str">
        <f>Segments!$E$235</f>
        <v>Freshman</v>
      </c>
      <c r="F255" s="59">
        <f>Segments!$F$235</f>
        <v>1</v>
      </c>
      <c r="G255" s="59" t="str">
        <f>Segments!$G$235</f>
        <v>Base</v>
      </c>
      <c r="H255" s="60">
        <f>Segments!$H$235</f>
        <v>34</v>
      </c>
      <c r="I255" s="26">
        <f>Segments!$Y$235</f>
        <v>1926.1355105826724</v>
      </c>
      <c r="J255" s="29">
        <v>0</v>
      </c>
      <c r="K255" s="14">
        <f t="shared" si="117"/>
        <v>3173.7131677271277</v>
      </c>
      <c r="L255" s="14">
        <f t="shared" si="118"/>
        <v>1926.1355105826724</v>
      </c>
      <c r="M255" s="14">
        <f t="shared" si="119"/>
        <v>3173.7131677271277</v>
      </c>
      <c r="N255" s="14">
        <f t="shared" si="120"/>
        <v>2127.5441754601543</v>
      </c>
      <c r="O255" s="14">
        <f t="shared" si="121"/>
        <v>1426.2297754450396</v>
      </c>
      <c r="P255" s="33">
        <f t="shared" si="122"/>
        <v>0.95</v>
      </c>
      <c r="Q255" s="33">
        <f t="shared" si="123"/>
        <v>0.51481782331580295</v>
      </c>
      <c r="R255" s="51">
        <f t="shared" si="124"/>
        <v>0</v>
      </c>
      <c r="S255" s="51">
        <f>APPLICANTS_PER_YEAR*($H255/Segments!$AH$2)*Q255</f>
        <v>21.00456719128476</v>
      </c>
      <c r="T255" s="51">
        <f t="shared" si="125"/>
        <v>21.00456719128476</v>
      </c>
      <c r="U255" s="14">
        <f t="shared" si="126"/>
        <v>1426.2297754450396</v>
      </c>
      <c r="V255" s="44">
        <f t="shared" si="127"/>
        <v>29957.339148546311</v>
      </c>
      <c r="W255" s="44">
        <f t="shared" si="128"/>
        <v>45312.559881739726</v>
      </c>
      <c r="X255" s="44">
        <f t="shared" si="129"/>
        <v>7655.6494928821876</v>
      </c>
      <c r="Y255" s="14">
        <f t="shared" si="130"/>
        <v>3267.6745627589421</v>
      </c>
      <c r="Z255" s="14">
        <f t="shared" si="131"/>
        <v>1983.9195759001527</v>
      </c>
      <c r="AA255" s="14">
        <f t="shared" si="132"/>
        <v>3267.6745627589421</v>
      </c>
      <c r="AB255" s="14">
        <f t="shared" si="133"/>
        <v>2190.9514829423515</v>
      </c>
      <c r="AC255" s="14">
        <f t="shared" si="134"/>
        <v>1469.0166687083909</v>
      </c>
      <c r="AD255" s="33">
        <f t="shared" si="135"/>
        <v>0.95</v>
      </c>
      <c r="AE255" s="33">
        <f t="shared" si="136"/>
        <v>0.51475371998298058</v>
      </c>
      <c r="AF255" s="51">
        <f t="shared" si="137"/>
        <v>0</v>
      </c>
      <c r="AG255" s="51">
        <f>APPLICANTS_PER_YEAR*($H255/Segments!$AH$2)*AE255</f>
        <v>21.001951775305606</v>
      </c>
      <c r="AH255" s="51">
        <f t="shared" si="138"/>
        <v>21.001951775305606</v>
      </c>
      <c r="AI255" s="14">
        <f t="shared" si="139"/>
        <v>1469.0166687083909</v>
      </c>
      <c r="AJ255" s="44">
        <f t="shared" si="140"/>
        <v>30852.217233333718</v>
      </c>
      <c r="AK255" s="44">
        <f t="shared" si="141"/>
        <v>46666.125250236539</v>
      </c>
      <c r="AL255" s="44">
        <f t="shared" si="142"/>
        <v>7855.9844901555052</v>
      </c>
      <c r="AM255" s="14">
        <f t="shared" si="143"/>
        <v>3364.45479964171</v>
      </c>
      <c r="AN255" s="14">
        <f t="shared" si="144"/>
        <v>2043.4371631771571</v>
      </c>
      <c r="AO255" s="14">
        <f t="shared" si="145"/>
        <v>3364.45479964171</v>
      </c>
      <c r="AP255" s="14">
        <f t="shared" si="146"/>
        <v>2256.2609306645609</v>
      </c>
      <c r="AQ255" s="14">
        <f t="shared" si="147"/>
        <v>1513.0871687696424</v>
      </c>
      <c r="AR255" s="33">
        <f t="shared" si="148"/>
        <v>0.95</v>
      </c>
      <c r="AS255" s="33">
        <f t="shared" si="149"/>
        <v>0.5146914485365004</v>
      </c>
      <c r="AT255" s="51">
        <f t="shared" si="150"/>
        <v>0</v>
      </c>
      <c r="AU255" s="51">
        <f>APPLICANTS_PER_YEAR*($H255/Segments!$AH$2)*AS255</f>
        <v>20.999411100289215</v>
      </c>
      <c r="AV255" s="51">
        <f t="shared" si="151"/>
        <v>20.999411100289215</v>
      </c>
      <c r="AW255" s="14">
        <f t="shared" si="152"/>
        <v>1513.0871687696426</v>
      </c>
      <c r="AX255" s="44">
        <f t="shared" si="153"/>
        <v>31773.939487566415</v>
      </c>
      <c r="AY255" s="44">
        <f t="shared" si="154"/>
        <v>48060.294292825813</v>
      </c>
      <c r="AZ255" s="44">
        <f t="shared" si="155"/>
        <v>8062.3359447278917</v>
      </c>
    </row>
    <row r="256" spans="1:52" ht="15" customHeight="1" x14ac:dyDescent="0.35">
      <c r="A256" s="59" t="str">
        <f>Segments!$A$236</f>
        <v>Greek</v>
      </c>
      <c r="B256" s="59" t="str">
        <f>Segments!$B$236</f>
        <v>On campus</v>
      </c>
      <c r="C256" s="59" t="str">
        <f>Segments!$C$236</f>
        <v>No</v>
      </c>
      <c r="D256" s="59" t="str">
        <f>Segments!$D$236</f>
        <v>2.0-3.0</v>
      </c>
      <c r="E256" s="59" t="str">
        <f>Segments!$E$236</f>
        <v>Sophomore</v>
      </c>
      <c r="F256" s="59">
        <f>Segments!$F$236</f>
        <v>1</v>
      </c>
      <c r="G256" s="59" t="str">
        <f>Segments!$G$236</f>
        <v>Sophomore</v>
      </c>
      <c r="H256" s="60">
        <f>Segments!$H$236</f>
        <v>39</v>
      </c>
      <c r="I256" s="26">
        <f>Segments!$Y$236</f>
        <v>1906.5394756020423</v>
      </c>
      <c r="J256" s="29">
        <v>1</v>
      </c>
      <c r="K256" s="14">
        <f t="shared" si="117"/>
        <v>1426.2297754450396</v>
      </c>
      <c r="L256" s="14">
        <f t="shared" si="118"/>
        <v>1906.5394756020423</v>
      </c>
      <c r="M256" s="14">
        <f t="shared" si="119"/>
        <v>3141.8484871485666</v>
      </c>
      <c r="N256" s="14">
        <f t="shared" si="120"/>
        <v>2116.8367585404972</v>
      </c>
      <c r="O256" s="14">
        <f t="shared" si="121"/>
        <v>1426.2297754450396</v>
      </c>
      <c r="P256" s="33">
        <f t="shared" si="122"/>
        <v>0.95</v>
      </c>
      <c r="Q256" s="33">
        <f t="shared" si="123"/>
        <v>0.51312239956840422</v>
      </c>
      <c r="R256" s="51">
        <f t="shared" si="124"/>
        <v>32.299999999999997</v>
      </c>
      <c r="S256" s="51">
        <f>APPLICANTS_PER_YEAR*($H256/Segments!$AH$2)*Q256</f>
        <v>24.014128299801317</v>
      </c>
      <c r="T256" s="51">
        <f t="shared" si="125"/>
        <v>56.314128299801311</v>
      </c>
      <c r="U256" s="14">
        <f t="shared" si="126"/>
        <v>1426.2297754450399</v>
      </c>
      <c r="V256" s="44">
        <f t="shared" si="127"/>
        <v>80316.886559408784</v>
      </c>
      <c r="W256" s="44">
        <f t="shared" si="128"/>
        <v>120248.92167421205</v>
      </c>
      <c r="X256" s="44">
        <f t="shared" si="129"/>
        <v>18105.265601658011</v>
      </c>
      <c r="Y256" s="14">
        <f t="shared" si="130"/>
        <v>1426.2297754450396</v>
      </c>
      <c r="Z256" s="14">
        <f t="shared" si="131"/>
        <v>1963.7356598701037</v>
      </c>
      <c r="AA256" s="14">
        <f t="shared" si="132"/>
        <v>3234.8539417630241</v>
      </c>
      <c r="AB256" s="14">
        <f t="shared" si="133"/>
        <v>2179.9207236243533</v>
      </c>
      <c r="AC256" s="14">
        <f t="shared" si="134"/>
        <v>1469.0166687083909</v>
      </c>
      <c r="AD256" s="33">
        <f t="shared" si="135"/>
        <v>0.95</v>
      </c>
      <c r="AE256" s="33">
        <f t="shared" si="136"/>
        <v>0.5130573183721121</v>
      </c>
      <c r="AF256" s="51">
        <f t="shared" si="137"/>
        <v>19.95433883172052</v>
      </c>
      <c r="AG256" s="51">
        <f>APPLICANTS_PER_YEAR*($H256/Segments!$AH$2)*AE256</f>
        <v>24.011082499814844</v>
      </c>
      <c r="AH256" s="51">
        <f t="shared" si="138"/>
        <v>43.965421331535367</v>
      </c>
      <c r="AI256" s="14">
        <f t="shared" si="139"/>
        <v>1469.0166687083906</v>
      </c>
      <c r="AJ256" s="44">
        <f t="shared" si="140"/>
        <v>64585.936782812903</v>
      </c>
      <c r="AK256" s="44">
        <f t="shared" si="141"/>
        <v>96696.841550343728</v>
      </c>
      <c r="AL256" s="44">
        <f t="shared" si="142"/>
        <v>14920.871355986332</v>
      </c>
      <c r="AM256" s="14">
        <f t="shared" si="143"/>
        <v>1469.0166687083909</v>
      </c>
      <c r="AN256" s="14">
        <f t="shared" si="144"/>
        <v>2022.6477296662067</v>
      </c>
      <c r="AO256" s="14">
        <f t="shared" si="145"/>
        <v>3330.6495600159146</v>
      </c>
      <c r="AP256" s="14">
        <f t="shared" si="146"/>
        <v>2244.8971274711757</v>
      </c>
      <c r="AQ256" s="14">
        <f t="shared" si="147"/>
        <v>1513.0871687696424</v>
      </c>
      <c r="AR256" s="33">
        <f t="shared" si="148"/>
        <v>0.95</v>
      </c>
      <c r="AS256" s="33">
        <f t="shared" si="149"/>
        <v>0.51299409664395179</v>
      </c>
      <c r="AT256" s="51">
        <f t="shared" si="150"/>
        <v>19.951854186540324</v>
      </c>
      <c r="AU256" s="51">
        <f>APPLICANTS_PER_YEAR*($H256/Segments!$AH$2)*AS256</f>
        <v>24.008123722936944</v>
      </c>
      <c r="AV256" s="51">
        <f t="shared" si="151"/>
        <v>43.959977909477267</v>
      </c>
      <c r="AW256" s="14">
        <f t="shared" si="152"/>
        <v>1513.0871687696424</v>
      </c>
      <c r="AX256" s="44">
        <f t="shared" si="153"/>
        <v>66515.278514226986</v>
      </c>
      <c r="AY256" s="44">
        <f t="shared" si="154"/>
        <v>99585.415456554503</v>
      </c>
      <c r="AZ256" s="44">
        <f t="shared" si="155"/>
        <v>15322.213728751218</v>
      </c>
    </row>
    <row r="257" spans="1:52" ht="15" customHeight="1" x14ac:dyDescent="0.35">
      <c r="A257" s="59" t="str">
        <f>Segments!$A$237</f>
        <v>Greek</v>
      </c>
      <c r="B257" s="59" t="str">
        <f>Segments!$B$237</f>
        <v>On campus</v>
      </c>
      <c r="C257" s="59" t="str">
        <f>Segments!$C$237</f>
        <v>No</v>
      </c>
      <c r="D257" s="59" t="str">
        <f>Segments!$D$237</f>
        <v>2.0-3.0</v>
      </c>
      <c r="E257" s="59" t="str">
        <f>Segments!$E$237</f>
        <v>Junior</v>
      </c>
      <c r="F257" s="59">
        <f>Segments!$F$237</f>
        <v>2</v>
      </c>
      <c r="G257" s="59" t="str">
        <f>Segments!$G$237</f>
        <v>Base</v>
      </c>
      <c r="H257" s="60">
        <f>Segments!$H$237</f>
        <v>38</v>
      </c>
      <c r="I257" s="26">
        <f>Segments!$Y$237</f>
        <v>2279.1261421016115</v>
      </c>
      <c r="J257" s="29">
        <v>2</v>
      </c>
      <c r="K257" s="14">
        <f t="shared" si="117"/>
        <v>1426.2297754450396</v>
      </c>
      <c r="L257" s="14">
        <f t="shared" si="118"/>
        <v>2279.1261421016115</v>
      </c>
      <c r="M257" s="14">
        <f t="shared" si="119"/>
        <v>3747.7034536035185</v>
      </c>
      <c r="N257" s="14">
        <f t="shared" si="120"/>
        <v>2311.944258641965</v>
      </c>
      <c r="O257" s="14">
        <f t="shared" si="121"/>
        <v>1426.2297754450396</v>
      </c>
      <c r="P257" s="33">
        <f t="shared" si="122"/>
        <v>0.95</v>
      </c>
      <c r="Q257" s="33">
        <f t="shared" si="123"/>
        <v>0.54155186806216371</v>
      </c>
      <c r="R257" s="51">
        <f t="shared" si="124"/>
        <v>37.049999999999997</v>
      </c>
      <c r="S257" s="51">
        <f>APPLICANTS_PER_YEAR*($H257/Segments!$AH$2)*Q257</f>
        <v>24.694765183634665</v>
      </c>
      <c r="T257" s="51">
        <f t="shared" si="125"/>
        <v>61.744765183634662</v>
      </c>
      <c r="U257" s="14">
        <f t="shared" si="126"/>
        <v>1426.2297754450396</v>
      </c>
      <c r="V257" s="44">
        <f t="shared" si="127"/>
        <v>88062.22258276197</v>
      </c>
      <c r="W257" s="44">
        <f t="shared" si="128"/>
        <v>157611.00148410085</v>
      </c>
      <c r="X257" s="44">
        <f t="shared" si="129"/>
        <v>19728.738830493887</v>
      </c>
      <c r="Y257" s="14">
        <f t="shared" si="130"/>
        <v>1426.2297754450399</v>
      </c>
      <c r="Z257" s="14">
        <f t="shared" si="131"/>
        <v>2347.49992636466</v>
      </c>
      <c r="AA257" s="14">
        <f t="shared" si="132"/>
        <v>3858.8845572116243</v>
      </c>
      <c r="AB257" s="14">
        <f t="shared" si="133"/>
        <v>2380.9169950179435</v>
      </c>
      <c r="AC257" s="14">
        <f t="shared" si="134"/>
        <v>1469.0166687083909</v>
      </c>
      <c r="AD257" s="33">
        <f t="shared" si="135"/>
        <v>0.95</v>
      </c>
      <c r="AE257" s="33">
        <f t="shared" si="136"/>
        <v>0.54150191464416841</v>
      </c>
      <c r="AF257" s="51">
        <f t="shared" si="137"/>
        <v>53.498421884811243</v>
      </c>
      <c r="AG257" s="51">
        <f>APPLICANTS_PER_YEAR*($H257/Segments!$AH$2)*AE257</f>
        <v>24.69248730777408</v>
      </c>
      <c r="AH257" s="51">
        <f t="shared" si="138"/>
        <v>78.190909192585323</v>
      </c>
      <c r="AI257" s="14">
        <f t="shared" si="139"/>
        <v>1469.0166687083911</v>
      </c>
      <c r="AJ257" s="44">
        <f t="shared" si="140"/>
        <v>114863.748945372</v>
      </c>
      <c r="AK257" s="44">
        <f t="shared" si="141"/>
        <v>205579.53200061747</v>
      </c>
      <c r="AL257" s="44">
        <f t="shared" si="142"/>
        <v>25159.957557866033</v>
      </c>
      <c r="AM257" s="14">
        <f t="shared" si="143"/>
        <v>1469.0166687083906</v>
      </c>
      <c r="AN257" s="14">
        <f t="shared" si="144"/>
        <v>2417.9249241555995</v>
      </c>
      <c r="AO257" s="14">
        <f t="shared" si="145"/>
        <v>3973.4010939279724</v>
      </c>
      <c r="AP257" s="14">
        <f t="shared" si="146"/>
        <v>2451.9588519381145</v>
      </c>
      <c r="AQ257" s="14">
        <f t="shared" si="147"/>
        <v>1513.0871687696424</v>
      </c>
      <c r="AR257" s="33">
        <f t="shared" si="148"/>
        <v>0.95</v>
      </c>
      <c r="AS257" s="33">
        <f t="shared" si="149"/>
        <v>0.54145339295281292</v>
      </c>
      <c r="AT257" s="51">
        <f t="shared" si="150"/>
        <v>41.767150264958595</v>
      </c>
      <c r="AU257" s="51">
        <f>APPLICANTS_PER_YEAR*($H257/Segments!$AH$2)*AS257</f>
        <v>24.690274718648269</v>
      </c>
      <c r="AV257" s="51">
        <f t="shared" si="151"/>
        <v>66.45742498360687</v>
      </c>
      <c r="AW257" s="14">
        <f t="shared" si="152"/>
        <v>1513.0871687696422</v>
      </c>
      <c r="AX257" s="44">
        <f t="shared" si="153"/>
        <v>100555.8770121666</v>
      </c>
      <c r="AY257" s="44">
        <f t="shared" si="154"/>
        <v>179971.7519746318</v>
      </c>
      <c r="AZ257" s="44">
        <f t="shared" si="155"/>
        <v>22259.014948394281</v>
      </c>
    </row>
    <row r="258" spans="1:52" ht="15" customHeight="1" x14ac:dyDescent="0.35">
      <c r="A258" s="59" t="str">
        <f>Segments!$A$238</f>
        <v>Greek</v>
      </c>
      <c r="B258" s="59" t="str">
        <f>Segments!$B$238</f>
        <v>On campus</v>
      </c>
      <c r="C258" s="59" t="str">
        <f>Segments!$C$238</f>
        <v>No</v>
      </c>
      <c r="D258" s="59" t="str">
        <f>Segments!$D$238</f>
        <v>2.0-3.0</v>
      </c>
      <c r="E258" s="59" t="str">
        <f>Segments!$E$238</f>
        <v>Senior</v>
      </c>
      <c r="F258" s="59">
        <f>Segments!$F$238</f>
        <v>3</v>
      </c>
      <c r="G258" s="59" t="str">
        <f>Segments!$G$238</f>
        <v>Base</v>
      </c>
      <c r="H258" s="60">
        <f>Segments!$H$238</f>
        <v>41</v>
      </c>
      <c r="I258" s="26">
        <f>Segments!$Y$238</f>
        <v>2130.2706166904873</v>
      </c>
      <c r="J258" s="29">
        <v>3</v>
      </c>
      <c r="K258" s="14">
        <f t="shared" si="117"/>
        <v>1426.2297754450396</v>
      </c>
      <c r="L258" s="14">
        <f t="shared" si="118"/>
        <v>2130.2706166904873</v>
      </c>
      <c r="M258" s="14">
        <f t="shared" si="119"/>
        <v>3505.6527645601541</v>
      </c>
      <c r="N258" s="14">
        <f t="shared" si="120"/>
        <v>2236.038093411405</v>
      </c>
      <c r="O258" s="14">
        <f t="shared" si="121"/>
        <v>1426.2297754450396</v>
      </c>
      <c r="P258" s="33">
        <f t="shared" si="122"/>
        <v>0.95</v>
      </c>
      <c r="Q258" s="33">
        <f t="shared" si="123"/>
        <v>0.53108106484243378</v>
      </c>
      <c r="R258" s="51">
        <f t="shared" si="124"/>
        <v>36.1</v>
      </c>
      <c r="S258" s="51">
        <f>APPLICANTS_PER_YEAR*($H258/Segments!$AH$2)*Q258</f>
        <v>26.129188390247744</v>
      </c>
      <c r="T258" s="51">
        <f t="shared" si="125"/>
        <v>62.229188390247742</v>
      </c>
      <c r="U258" s="14">
        <f t="shared" si="126"/>
        <v>1426.2297754450399</v>
      </c>
      <c r="V258" s="44">
        <f t="shared" si="127"/>
        <v>88753.121383950114</v>
      </c>
      <c r="W258" s="44">
        <f t="shared" si="128"/>
        <v>148472.81291163058</v>
      </c>
      <c r="X258" s="44">
        <f t="shared" si="129"/>
        <v>19976.471346291168</v>
      </c>
      <c r="Y258" s="14">
        <f t="shared" si="130"/>
        <v>1426.2297754450396</v>
      </c>
      <c r="Z258" s="14">
        <f t="shared" si="131"/>
        <v>2194.1787351912021</v>
      </c>
      <c r="AA258" s="14">
        <f t="shared" si="132"/>
        <v>3609.5723474969591</v>
      </c>
      <c r="AB258" s="14">
        <f t="shared" si="133"/>
        <v>2302.7205530376255</v>
      </c>
      <c r="AC258" s="14">
        <f t="shared" si="134"/>
        <v>1469.0166687083909</v>
      </c>
      <c r="AD258" s="33">
        <f t="shared" si="135"/>
        <v>0.95</v>
      </c>
      <c r="AE258" s="33">
        <f t="shared" si="136"/>
        <v>0.53102584858363666</v>
      </c>
      <c r="AF258" s="51">
        <f t="shared" si="137"/>
        <v>58.657526924452924</v>
      </c>
      <c r="AG258" s="51">
        <f>APPLICANTS_PER_YEAR*($H258/Segments!$AH$2)*AE258</f>
        <v>26.126471750314924</v>
      </c>
      <c r="AH258" s="51">
        <f t="shared" si="138"/>
        <v>84.783998674767844</v>
      </c>
      <c r="AI258" s="14">
        <f t="shared" si="139"/>
        <v>1469.0166687083909</v>
      </c>
      <c r="AJ258" s="44">
        <f t="shared" si="140"/>
        <v>124549.10729298409</v>
      </c>
      <c r="AK258" s="44">
        <f t="shared" si="141"/>
        <v>208354.99661385323</v>
      </c>
      <c r="AL258" s="44">
        <f t="shared" si="142"/>
        <v>27231.930832978527</v>
      </c>
      <c r="AM258" s="14">
        <f t="shared" si="143"/>
        <v>1469.0166687083911</v>
      </c>
      <c r="AN258" s="14">
        <f t="shared" si="144"/>
        <v>2260.0040972469378</v>
      </c>
      <c r="AO258" s="14">
        <f t="shared" si="145"/>
        <v>3716.6095179218673</v>
      </c>
      <c r="AP258" s="14">
        <f t="shared" si="146"/>
        <v>2371.4034184201355</v>
      </c>
      <c r="AQ258" s="14">
        <f t="shared" si="147"/>
        <v>1513.0871687696424</v>
      </c>
      <c r="AR258" s="33">
        <f t="shared" si="148"/>
        <v>0.95</v>
      </c>
      <c r="AS258" s="33">
        <f t="shared" si="149"/>
        <v>0.53097221311722576</v>
      </c>
      <c r="AT258" s="51">
        <f t="shared" si="150"/>
        <v>74.281363732956052</v>
      </c>
      <c r="AU258" s="51">
        <f>APPLICANTS_PER_YEAR*($H258/Segments!$AH$2)*AS258</f>
        <v>26.123832885367509</v>
      </c>
      <c r="AV258" s="51">
        <f t="shared" si="151"/>
        <v>100.40519661832356</v>
      </c>
      <c r="AW258" s="14">
        <f t="shared" si="152"/>
        <v>1513.0871687696426</v>
      </c>
      <c r="AX258" s="44">
        <f t="shared" si="153"/>
        <v>151921.81468097848</v>
      </c>
      <c r="AY258" s="44">
        <f t="shared" si="154"/>
        <v>254146.09443137114</v>
      </c>
      <c r="AZ258" s="44">
        <f t="shared" si="155"/>
        <v>32757.890001033211</v>
      </c>
    </row>
    <row r="259" spans="1:52" ht="15" customHeight="1" x14ac:dyDescent="0.35">
      <c r="A259" s="59" t="str">
        <f>Segments!$A$239</f>
        <v>Greek</v>
      </c>
      <c r="B259" s="59" t="str">
        <f>Segments!$B$239</f>
        <v>On campus</v>
      </c>
      <c r="C259" s="59" t="str">
        <f>Segments!$C$239</f>
        <v>No</v>
      </c>
      <c r="D259" s="59" t="str">
        <f>Segments!$D$239</f>
        <v>2.0-3.0</v>
      </c>
      <c r="E259" s="59" t="str">
        <f>Segments!$E$239</f>
        <v>Grad student</v>
      </c>
      <c r="F259" s="59">
        <f>Segments!$F$239</f>
        <v>3</v>
      </c>
      <c r="G259" s="59" t="str">
        <f>Segments!$G$239</f>
        <v>Grad</v>
      </c>
      <c r="H259" s="60">
        <f>Segments!$H$239</f>
        <v>16</v>
      </c>
      <c r="I259" s="26">
        <f>Segments!$Y$239</f>
        <v>2536.4715274559248</v>
      </c>
      <c r="J259" s="29">
        <v>4</v>
      </c>
      <c r="K259" s="14">
        <f t="shared" si="117"/>
        <v>1426.2297754450396</v>
      </c>
      <c r="L259" s="14">
        <f t="shared" si="118"/>
        <v>2536.4715274559248</v>
      </c>
      <c r="M259" s="14">
        <f t="shared" si="119"/>
        <v>4166.167112746175</v>
      </c>
      <c r="N259" s="14">
        <f t="shared" si="120"/>
        <v>2437.603656396685</v>
      </c>
      <c r="O259" s="14">
        <f t="shared" si="121"/>
        <v>1426.2297754450396</v>
      </c>
      <c r="P259" s="33">
        <f t="shared" si="122"/>
        <v>0.95</v>
      </c>
      <c r="Q259" s="33">
        <f t="shared" si="123"/>
        <v>0.55745248685068816</v>
      </c>
      <c r="R259" s="51">
        <f t="shared" si="124"/>
        <v>7.6</v>
      </c>
      <c r="S259" s="51">
        <f>APPLICANTS_PER_YEAR*($H259/Segments!$AH$2)*Q259</f>
        <v>10.703087747533212</v>
      </c>
      <c r="T259" s="51">
        <f t="shared" si="125"/>
        <v>18.303087747533212</v>
      </c>
      <c r="U259" s="14">
        <f t="shared" si="126"/>
        <v>1426.2297754450399</v>
      </c>
      <c r="V259" s="44">
        <f t="shared" si="127"/>
        <v>26104.408728115151</v>
      </c>
      <c r="W259" s="44">
        <f t="shared" si="128"/>
        <v>51996.292248482838</v>
      </c>
      <c r="X259" s="44">
        <f t="shared" si="129"/>
        <v>6101.6493834684079</v>
      </c>
      <c r="Y259" s="14">
        <f t="shared" si="130"/>
        <v>1426.2297754450399</v>
      </c>
      <c r="Z259" s="14">
        <f t="shared" si="131"/>
        <v>2612.5656732796028</v>
      </c>
      <c r="AA259" s="14">
        <f t="shared" si="132"/>
        <v>4289.9021261285607</v>
      </c>
      <c r="AB259" s="14">
        <f t="shared" si="133"/>
        <v>2510.3660550625723</v>
      </c>
      <c r="AC259" s="14">
        <f t="shared" si="134"/>
        <v>1469.0166687083909</v>
      </c>
      <c r="AD259" s="33">
        <f t="shared" si="135"/>
        <v>0.95</v>
      </c>
      <c r="AE259" s="33">
        <f t="shared" si="136"/>
        <v>0.55740986842419382</v>
      </c>
      <c r="AF259" s="51">
        <f t="shared" si="137"/>
        <v>8.693966680078276</v>
      </c>
      <c r="AG259" s="51">
        <f>APPLICANTS_PER_YEAR*($H259/Segments!$AH$2)*AE259</f>
        <v>10.70226947374452</v>
      </c>
      <c r="AH259" s="51">
        <f t="shared" si="138"/>
        <v>19.396236153822798</v>
      </c>
      <c r="AI259" s="14">
        <f t="shared" si="139"/>
        <v>1469.0166687083909</v>
      </c>
      <c r="AJ259" s="44">
        <f t="shared" si="140"/>
        <v>28493.394220170019</v>
      </c>
      <c r="AK259" s="44">
        <f t="shared" si="141"/>
        <v>56754.813658258507</v>
      </c>
      <c r="AL259" s="44">
        <f t="shared" si="142"/>
        <v>6590.9963962800912</v>
      </c>
      <c r="AM259" s="14">
        <f t="shared" si="143"/>
        <v>1469.0166687083909</v>
      </c>
      <c r="AN259" s="14">
        <f t="shared" si="144"/>
        <v>2690.9426434779907</v>
      </c>
      <c r="AO259" s="14">
        <f t="shared" si="145"/>
        <v>4417.3491899124174</v>
      </c>
      <c r="AP259" s="14">
        <f t="shared" si="146"/>
        <v>2585.3112731799733</v>
      </c>
      <c r="AQ259" s="14">
        <f t="shared" si="147"/>
        <v>1513.0871687696424</v>
      </c>
      <c r="AR259" s="33">
        <f t="shared" si="148"/>
        <v>0.95</v>
      </c>
      <c r="AS259" s="33">
        <f t="shared" si="149"/>
        <v>0.55736847348587903</v>
      </c>
      <c r="AT259" s="51">
        <f t="shared" si="150"/>
        <v>9.2132121730658287</v>
      </c>
      <c r="AU259" s="51">
        <f>APPLICANTS_PER_YEAR*($H259/Segments!$AH$2)*AS259</f>
        <v>10.701474690928878</v>
      </c>
      <c r="AV259" s="51">
        <f t="shared" si="151"/>
        <v>19.914686863994707</v>
      </c>
      <c r="AW259" s="14">
        <f t="shared" si="152"/>
        <v>1513.0871687696424</v>
      </c>
      <c r="AX259" s="44">
        <f t="shared" si="153"/>
        <v>30132.657163975739</v>
      </c>
      <c r="AY259" s="44">
        <f t="shared" si="154"/>
        <v>60019.99372749446</v>
      </c>
      <c r="AZ259" s="44">
        <f t="shared" si="155"/>
        <v>6927.6320500060456</v>
      </c>
    </row>
    <row r="260" spans="1:52" ht="15" customHeight="1" x14ac:dyDescent="0.35">
      <c r="A260" s="61" t="str">
        <f>Segments!$A$240</f>
        <v>Greek</v>
      </c>
      <c r="B260" s="61" t="str">
        <f>Segments!$B$240</f>
        <v>On campus</v>
      </c>
      <c r="C260" s="61" t="str">
        <f>Segments!$C$240</f>
        <v>No</v>
      </c>
      <c r="D260" s="61" t="str">
        <f>Segments!$D$240</f>
        <v>3.0+</v>
      </c>
      <c r="E260" s="61" t="str">
        <f>Segments!$E$240</f>
        <v>Freshman</v>
      </c>
      <c r="F260" s="61">
        <f>Segments!$F$240</f>
        <v>1</v>
      </c>
      <c r="G260" s="61" t="str">
        <f>Segments!$G$240</f>
        <v>Base</v>
      </c>
      <c r="H260" s="62">
        <f>Segments!$H$240</f>
        <v>16</v>
      </c>
      <c r="I260" s="63">
        <f>Segments!$Y$240</f>
        <v>1688.3494930956354</v>
      </c>
      <c r="J260" s="42">
        <v>0</v>
      </c>
      <c r="K260" s="40">
        <f t="shared" si="117"/>
        <v>2787.0545655781643</v>
      </c>
      <c r="L260" s="40">
        <f t="shared" si="118"/>
        <v>1688.3494930956354</v>
      </c>
      <c r="M260" s="40">
        <f t="shared" si="119"/>
        <v>2787.0545655781643</v>
      </c>
      <c r="N260" s="40">
        <f t="shared" si="120"/>
        <v>1993.7352399999397</v>
      </c>
      <c r="O260" s="40">
        <f t="shared" si="121"/>
        <v>1426.2297754450396</v>
      </c>
      <c r="P260" s="41">
        <f t="shared" si="122"/>
        <v>0.95</v>
      </c>
      <c r="Q260" s="41">
        <f t="shared" si="123"/>
        <v>0.49232217326782995</v>
      </c>
      <c r="R260" s="64">
        <f t="shared" si="124"/>
        <v>0</v>
      </c>
      <c r="S260" s="64">
        <f>APPLICANTS_PER_YEAR*($H260/Segments!$AH$2)*Q260</f>
        <v>9.4525857267423348</v>
      </c>
      <c r="T260" s="64">
        <f t="shared" si="125"/>
        <v>9.4525857267423348</v>
      </c>
      <c r="U260" s="40">
        <f t="shared" si="126"/>
        <v>1426.2297754450396</v>
      </c>
      <c r="V260" s="65">
        <f t="shared" si="127"/>
        <v>13481.559218426706</v>
      </c>
      <c r="W260" s="65">
        <f t="shared" si="128"/>
        <v>17874.380518611077</v>
      </c>
      <c r="X260" s="65">
        <f t="shared" si="129"/>
        <v>3445.2356226309871</v>
      </c>
      <c r="Y260" s="40">
        <f t="shared" si="130"/>
        <v>2869.4162025455093</v>
      </c>
      <c r="Z260" s="40">
        <f t="shared" si="131"/>
        <v>1738.9999778885044</v>
      </c>
      <c r="AA260" s="40">
        <f t="shared" si="132"/>
        <v>2869.4162025455093</v>
      </c>
      <c r="AB260" s="40">
        <f t="shared" si="133"/>
        <v>2053.1001512350254</v>
      </c>
      <c r="AC260" s="40">
        <f t="shared" si="134"/>
        <v>1469.0166687083909</v>
      </c>
      <c r="AD260" s="41">
        <f t="shared" si="135"/>
        <v>0.95</v>
      </c>
      <c r="AE260" s="41">
        <f t="shared" si="136"/>
        <v>0.49224427439043433</v>
      </c>
      <c r="AF260" s="64">
        <f t="shared" si="137"/>
        <v>0</v>
      </c>
      <c r="AG260" s="64">
        <f>APPLICANTS_PER_YEAR*($H260/Segments!$AH$2)*AE260</f>
        <v>9.4510900682963381</v>
      </c>
      <c r="AH260" s="64">
        <f t="shared" si="138"/>
        <v>9.4510900682963381</v>
      </c>
      <c r="AI260" s="40">
        <f t="shared" si="139"/>
        <v>1469.0166687083911</v>
      </c>
      <c r="AJ260" s="65">
        <f t="shared" si="140"/>
        <v>13883.808847791646</v>
      </c>
      <c r="AK260" s="65">
        <f t="shared" si="141"/>
        <v>18407.69887016435</v>
      </c>
      <c r="AL260" s="65">
        <f t="shared" si="142"/>
        <v>3535.2722349786641</v>
      </c>
      <c r="AM260" s="40">
        <f t="shared" si="143"/>
        <v>2954.2486886218749</v>
      </c>
      <c r="AN260" s="40">
        <f t="shared" si="144"/>
        <v>1791.1699772251595</v>
      </c>
      <c r="AO260" s="40">
        <f t="shared" si="145"/>
        <v>2954.2486886218749</v>
      </c>
      <c r="AP260" s="40">
        <f t="shared" si="146"/>
        <v>2114.2459138208833</v>
      </c>
      <c r="AQ260" s="40">
        <f t="shared" si="147"/>
        <v>1513.0871687696424</v>
      </c>
      <c r="AR260" s="41">
        <f t="shared" si="148"/>
        <v>0.95</v>
      </c>
      <c r="AS260" s="41">
        <f t="shared" si="149"/>
        <v>0.49216859569680366</v>
      </c>
      <c r="AT260" s="64">
        <f t="shared" si="150"/>
        <v>0</v>
      </c>
      <c r="AU260" s="64">
        <f>APPLICANTS_PER_YEAR*($H260/Segments!$AH$2)*AS260</f>
        <v>9.4496370373786291</v>
      </c>
      <c r="AV260" s="64">
        <f t="shared" si="151"/>
        <v>9.4496370373786291</v>
      </c>
      <c r="AW260" s="40">
        <f t="shared" si="152"/>
        <v>1513.0871687696426</v>
      </c>
      <c r="AX260" s="65">
        <f t="shared" si="153"/>
        <v>14298.124550787983</v>
      </c>
      <c r="AY260" s="65">
        <f t="shared" si="154"/>
        <v>18957.014895870805</v>
      </c>
      <c r="AZ260" s="65">
        <f t="shared" si="155"/>
        <v>3628.0135660585465</v>
      </c>
    </row>
    <row r="261" spans="1:52" ht="15" customHeight="1" x14ac:dyDescent="0.35">
      <c r="A261" s="61" t="str">
        <f>Segments!$A$241</f>
        <v>Greek</v>
      </c>
      <c r="B261" s="61" t="str">
        <f>Segments!$B$241</f>
        <v>On campus</v>
      </c>
      <c r="C261" s="61" t="str">
        <f>Segments!$C$241</f>
        <v>No</v>
      </c>
      <c r="D261" s="61" t="str">
        <f>Segments!$D$241</f>
        <v>3.0+</v>
      </c>
      <c r="E261" s="61" t="str">
        <f>Segments!$E$241</f>
        <v>Sophomore</v>
      </c>
      <c r="F261" s="61">
        <f>Segments!$F$241</f>
        <v>1</v>
      </c>
      <c r="G261" s="61" t="str">
        <f>Segments!$G$241</f>
        <v>Sophomore</v>
      </c>
      <c r="H261" s="62">
        <f>Segments!$H$241</f>
        <v>23</v>
      </c>
      <c r="I261" s="63">
        <f>Segments!$Y$241</f>
        <v>1671.1726353177405</v>
      </c>
      <c r="J261" s="42">
        <v>1</v>
      </c>
      <c r="K261" s="40">
        <f t="shared" si="117"/>
        <v>1426.2297754450396</v>
      </c>
      <c r="L261" s="40">
        <f t="shared" si="118"/>
        <v>1671.1726353177405</v>
      </c>
      <c r="M261" s="40">
        <f t="shared" si="119"/>
        <v>2759.1236557294624</v>
      </c>
      <c r="N261" s="40">
        <f t="shared" si="120"/>
        <v>1983.719816893537</v>
      </c>
      <c r="O261" s="40">
        <f t="shared" si="121"/>
        <v>1426.2297754450396</v>
      </c>
      <c r="P261" s="41">
        <f t="shared" si="122"/>
        <v>0.95</v>
      </c>
      <c r="Q261" s="41">
        <f t="shared" si="123"/>
        <v>0.49051632612147689</v>
      </c>
      <c r="R261" s="64">
        <f t="shared" si="124"/>
        <v>15.2</v>
      </c>
      <c r="S261" s="64">
        <f>APPLICANTS_PER_YEAR*($H261/Segments!$AH$2)*Q261</f>
        <v>13.538250600952761</v>
      </c>
      <c r="T261" s="64">
        <f t="shared" si="125"/>
        <v>28.73825060095276</v>
      </c>
      <c r="U261" s="40">
        <f t="shared" si="126"/>
        <v>1426.2297754450396</v>
      </c>
      <c r="V261" s="65">
        <f t="shared" si="127"/>
        <v>40987.348701280134</v>
      </c>
      <c r="W261" s="65">
        <f t="shared" si="128"/>
        <v>53789.767350161768</v>
      </c>
      <c r="X261" s="65">
        <f t="shared" si="129"/>
        <v>9335.633145592863</v>
      </c>
      <c r="Y261" s="40">
        <f t="shared" si="130"/>
        <v>1426.2297754450396</v>
      </c>
      <c r="Z261" s="40">
        <f t="shared" si="131"/>
        <v>1721.3078143772727</v>
      </c>
      <c r="AA261" s="40">
        <f t="shared" si="132"/>
        <v>2840.6473654013462</v>
      </c>
      <c r="AB261" s="40">
        <f t="shared" si="133"/>
        <v>2042.7820073853088</v>
      </c>
      <c r="AC261" s="40">
        <f t="shared" si="134"/>
        <v>1469.0166687083909</v>
      </c>
      <c r="AD261" s="41">
        <f t="shared" si="135"/>
        <v>0.95</v>
      </c>
      <c r="AE261" s="41">
        <f t="shared" si="136"/>
        <v>0.49043724112572296</v>
      </c>
      <c r="AF261" s="64">
        <f t="shared" si="137"/>
        <v>8.9799564404052177</v>
      </c>
      <c r="AG261" s="64">
        <f>APPLICANTS_PER_YEAR*($H261/Segments!$AH$2)*AE261</f>
        <v>13.536067855069952</v>
      </c>
      <c r="AH261" s="64">
        <f t="shared" si="138"/>
        <v>22.516024295475169</v>
      </c>
      <c r="AI261" s="40">
        <f t="shared" si="139"/>
        <v>1469.0166687083911</v>
      </c>
      <c r="AJ261" s="65">
        <f t="shared" si="140"/>
        <v>33076.415003096132</v>
      </c>
      <c r="AK261" s="65">
        <f t="shared" si="141"/>
        <v>43407.849596731132</v>
      </c>
      <c r="AL261" s="65">
        <f t="shared" si="142"/>
        <v>7736.129443646716</v>
      </c>
      <c r="AM261" s="40">
        <f t="shared" si="143"/>
        <v>1469.0166687083911</v>
      </c>
      <c r="AN261" s="40">
        <f t="shared" si="144"/>
        <v>1772.9470488085908</v>
      </c>
      <c r="AO261" s="40">
        <f t="shared" si="145"/>
        <v>2924.6167863633864</v>
      </c>
      <c r="AP261" s="40">
        <f t="shared" si="146"/>
        <v>2103.6159661437132</v>
      </c>
      <c r="AQ261" s="40">
        <f t="shared" si="147"/>
        <v>1513.0871687696424</v>
      </c>
      <c r="AR261" s="41">
        <f t="shared" si="148"/>
        <v>0.95</v>
      </c>
      <c r="AS261" s="41">
        <f t="shared" si="149"/>
        <v>0.49036040961806604</v>
      </c>
      <c r="AT261" s="64">
        <f t="shared" si="150"/>
        <v>8.9785355648815202</v>
      </c>
      <c r="AU261" s="64">
        <f>APPLICANTS_PER_YEAR*($H261/Segments!$AH$2)*AS261</f>
        <v>13.533947305458621</v>
      </c>
      <c r="AV261" s="64">
        <f t="shared" si="151"/>
        <v>22.512482870340143</v>
      </c>
      <c r="AW261" s="40">
        <f t="shared" si="152"/>
        <v>1513.0871687696424</v>
      </c>
      <c r="AX261" s="65">
        <f t="shared" si="153"/>
        <v>34063.34896825804</v>
      </c>
      <c r="AY261" s="65">
        <f t="shared" si="154"/>
        <v>44703.052874282337</v>
      </c>
      <c r="AZ261" s="65">
        <f t="shared" si="155"/>
        <v>7943.3027654183252</v>
      </c>
    </row>
    <row r="262" spans="1:52" ht="15" customHeight="1" x14ac:dyDescent="0.35">
      <c r="A262" s="61" t="str">
        <f>Segments!$A$242</f>
        <v>Greek</v>
      </c>
      <c r="B262" s="61" t="str">
        <f>Segments!$B$242</f>
        <v>On campus</v>
      </c>
      <c r="C262" s="61" t="str">
        <f>Segments!$C$242</f>
        <v>No</v>
      </c>
      <c r="D262" s="61" t="str">
        <f>Segments!$D$242</f>
        <v>3.0+</v>
      </c>
      <c r="E262" s="61" t="str">
        <f>Segments!$E$242</f>
        <v>Junior</v>
      </c>
      <c r="F262" s="61">
        <f>Segments!$F$242</f>
        <v>2</v>
      </c>
      <c r="G262" s="61" t="str">
        <f>Segments!$G$242</f>
        <v>Base</v>
      </c>
      <c r="H262" s="62">
        <f>Segments!$H$242</f>
        <v>24</v>
      </c>
      <c r="I262" s="63">
        <f>Segments!$Y$242</f>
        <v>1997.7625902106056</v>
      </c>
      <c r="J262" s="42">
        <v>2</v>
      </c>
      <c r="K262" s="40">
        <f t="shared" si="117"/>
        <v>1426.2297754450396</v>
      </c>
      <c r="L262" s="40">
        <f t="shared" si="118"/>
        <v>1997.7625902106056</v>
      </c>
      <c r="M262" s="40">
        <f t="shared" si="119"/>
        <v>3290.1843832243089</v>
      </c>
      <c r="N262" s="40">
        <f t="shared" si="120"/>
        <v>2166.2315051856258</v>
      </c>
      <c r="O262" s="40">
        <f t="shared" si="121"/>
        <v>1426.2297754450396</v>
      </c>
      <c r="P262" s="41">
        <f t="shared" si="122"/>
        <v>0.95</v>
      </c>
      <c r="Q262" s="41">
        <f t="shared" si="123"/>
        <v>0.52080393484471432</v>
      </c>
      <c r="R262" s="64">
        <f t="shared" si="124"/>
        <v>21.849999999999998</v>
      </c>
      <c r="S262" s="64">
        <f>APPLICANTS_PER_YEAR*($H262/Segments!$AH$2)*Q262</f>
        <v>14.999153323527771</v>
      </c>
      <c r="T262" s="64">
        <f t="shared" si="125"/>
        <v>36.849153323527773</v>
      </c>
      <c r="U262" s="40">
        <f t="shared" si="126"/>
        <v>1426.2297754450396</v>
      </c>
      <c r="V262" s="65">
        <f t="shared" si="127"/>
        <v>52555.359669954851</v>
      </c>
      <c r="W262" s="65">
        <f t="shared" si="128"/>
        <v>82449.763189560021</v>
      </c>
      <c r="X262" s="65">
        <f t="shared" si="129"/>
        <v>11793.653244857041</v>
      </c>
      <c r="Y262" s="40">
        <f t="shared" si="130"/>
        <v>1426.2297754450396</v>
      </c>
      <c r="Z262" s="40">
        <f t="shared" si="131"/>
        <v>2057.6954679169239</v>
      </c>
      <c r="AA262" s="40">
        <f t="shared" si="132"/>
        <v>3387.6399147210386</v>
      </c>
      <c r="AB262" s="40">
        <f t="shared" si="133"/>
        <v>2230.8069173075191</v>
      </c>
      <c r="AC262" s="40">
        <f t="shared" si="134"/>
        <v>1469.0166687083909</v>
      </c>
      <c r="AD262" s="41">
        <f t="shared" si="135"/>
        <v>0.95</v>
      </c>
      <c r="AE262" s="41">
        <f t="shared" si="136"/>
        <v>0.52074320567343713</v>
      </c>
      <c r="AF262" s="64">
        <f t="shared" si="137"/>
        <v>27.301338070905121</v>
      </c>
      <c r="AG262" s="64">
        <f>APPLICANTS_PER_YEAR*($H262/Segments!$AH$2)*AE262</f>
        <v>14.997404323394989</v>
      </c>
      <c r="AH262" s="64">
        <f t="shared" si="138"/>
        <v>42.298742394300106</v>
      </c>
      <c r="AI262" s="40">
        <f t="shared" si="139"/>
        <v>1469.0166687083911</v>
      </c>
      <c r="AJ262" s="65">
        <f t="shared" si="140"/>
        <v>62137.557642629137</v>
      </c>
      <c r="AK262" s="65">
        <f t="shared" si="141"/>
        <v>97482.482186137204</v>
      </c>
      <c r="AL262" s="65">
        <f t="shared" si="142"/>
        <v>13736.008643272711</v>
      </c>
      <c r="AM262" s="40">
        <f t="shared" si="143"/>
        <v>1469.0166687083911</v>
      </c>
      <c r="AN262" s="40">
        <f t="shared" si="144"/>
        <v>2119.4263319544316</v>
      </c>
      <c r="AO262" s="40">
        <f t="shared" si="145"/>
        <v>3488.0191121626694</v>
      </c>
      <c r="AP262" s="40">
        <f t="shared" si="146"/>
        <v>2297.3195169668097</v>
      </c>
      <c r="AQ262" s="40">
        <f t="shared" si="147"/>
        <v>1513.0871687696424</v>
      </c>
      <c r="AR262" s="41">
        <f t="shared" si="148"/>
        <v>0.95</v>
      </c>
      <c r="AS262" s="41">
        <f t="shared" si="149"/>
        <v>0.52068421314606739</v>
      </c>
      <c r="AT262" s="64">
        <f t="shared" si="150"/>
        <v>21.390223080701411</v>
      </c>
      <c r="AU262" s="64">
        <f>APPLICANTS_PER_YEAR*($H262/Segments!$AH$2)*AS262</f>
        <v>14.99570533860674</v>
      </c>
      <c r="AV262" s="64">
        <f t="shared" si="151"/>
        <v>36.385928419308151</v>
      </c>
      <c r="AW262" s="40">
        <f t="shared" si="152"/>
        <v>1513.0871687696424</v>
      </c>
      <c r="AX262" s="65">
        <f t="shared" si="153"/>
        <v>55055.081415025837</v>
      </c>
      <c r="AY262" s="65">
        <f t="shared" si="154"/>
        <v>86371.370181029692</v>
      </c>
      <c r="AZ262" s="65">
        <f t="shared" si="155"/>
        <v>12302.164915998585</v>
      </c>
    </row>
    <row r="263" spans="1:52" ht="15" customHeight="1" x14ac:dyDescent="0.35">
      <c r="A263" s="61" t="str">
        <f>Segments!$A$243</f>
        <v>Greek</v>
      </c>
      <c r="B263" s="61" t="str">
        <f>Segments!$B$243</f>
        <v>On campus</v>
      </c>
      <c r="C263" s="61" t="str">
        <f>Segments!$C$243</f>
        <v>No</v>
      </c>
      <c r="D263" s="61" t="str">
        <f>Segments!$D$243</f>
        <v>3.0+</v>
      </c>
      <c r="E263" s="61" t="str">
        <f>Segments!$E$243</f>
        <v>Senior</v>
      </c>
      <c r="F263" s="61">
        <f>Segments!$F$243</f>
        <v>3</v>
      </c>
      <c r="G263" s="61" t="str">
        <f>Segments!$G$243</f>
        <v>Base</v>
      </c>
      <c r="H263" s="62">
        <f>Segments!$H$243</f>
        <v>23</v>
      </c>
      <c r="I263" s="63">
        <f>Segments!$Y$243</f>
        <v>1867.2836340356425</v>
      </c>
      <c r="J263" s="42">
        <v>3</v>
      </c>
      <c r="K263" s="40">
        <f t="shared" si="117"/>
        <v>1426.2297754450396</v>
      </c>
      <c r="L263" s="40">
        <f t="shared" si="118"/>
        <v>1867.2836340356425</v>
      </c>
      <c r="M263" s="40">
        <f t="shared" si="119"/>
        <v>3078.0154283898751</v>
      </c>
      <c r="N263" s="40">
        <f t="shared" si="120"/>
        <v>2095.2224829952688</v>
      </c>
      <c r="O263" s="40">
        <f t="shared" si="121"/>
        <v>1426.2297754450396</v>
      </c>
      <c r="P263" s="41">
        <f t="shared" si="122"/>
        <v>0.95</v>
      </c>
      <c r="Q263" s="41">
        <f t="shared" si="123"/>
        <v>0.50964717660767378</v>
      </c>
      <c r="R263" s="64">
        <f t="shared" si="124"/>
        <v>22.799999999999997</v>
      </c>
      <c r="S263" s="64">
        <f>APPLICANTS_PER_YEAR*($H263/Segments!$AH$2)*Q263</f>
        <v>14.066262074371796</v>
      </c>
      <c r="T263" s="64">
        <f t="shared" si="125"/>
        <v>36.866262074371789</v>
      </c>
      <c r="U263" s="40">
        <f t="shared" si="126"/>
        <v>1426.2297754450399</v>
      </c>
      <c r="V263" s="65">
        <f t="shared" si="127"/>
        <v>52579.760679829269</v>
      </c>
      <c r="W263" s="65">
        <f t="shared" si="128"/>
        <v>77100.539957888555</v>
      </c>
      <c r="X263" s="65">
        <f t="shared" si="129"/>
        <v>11728.716824823345</v>
      </c>
      <c r="Y263" s="40">
        <f t="shared" si="130"/>
        <v>1426.2297754450396</v>
      </c>
      <c r="Z263" s="40">
        <f t="shared" si="131"/>
        <v>1923.3021430567119</v>
      </c>
      <c r="AA263" s="40">
        <f t="shared" si="132"/>
        <v>3169.1058912415715</v>
      </c>
      <c r="AB263" s="40">
        <f t="shared" si="133"/>
        <v>2157.6536745121607</v>
      </c>
      <c r="AC263" s="40">
        <f t="shared" si="134"/>
        <v>1469.0166687083909</v>
      </c>
      <c r="AD263" s="41">
        <f t="shared" si="135"/>
        <v>0.95</v>
      </c>
      <c r="AE263" s="41">
        <f t="shared" si="136"/>
        <v>0.50958006002966827</v>
      </c>
      <c r="AF263" s="64">
        <f t="shared" si="137"/>
        <v>35.006695657351379</v>
      </c>
      <c r="AG263" s="64">
        <f>APPLICANTS_PER_YEAR*($H263/Segments!$AH$2)*AE263</f>
        <v>14.064409656818842</v>
      </c>
      <c r="AH263" s="64">
        <f t="shared" si="138"/>
        <v>49.071105314170225</v>
      </c>
      <c r="AI263" s="40">
        <f t="shared" si="139"/>
        <v>1469.0166687083909</v>
      </c>
      <c r="AJ263" s="65">
        <f t="shared" si="140"/>
        <v>72086.271658460959</v>
      </c>
      <c r="AK263" s="65">
        <f t="shared" si="141"/>
        <v>105703.98945445383</v>
      </c>
      <c r="AL263" s="65">
        <f t="shared" si="142"/>
        <v>15680.467518902353</v>
      </c>
      <c r="AM263" s="40">
        <f t="shared" si="143"/>
        <v>1469.0166687083911</v>
      </c>
      <c r="AN263" s="40">
        <f t="shared" si="144"/>
        <v>1981.0012073484131</v>
      </c>
      <c r="AO263" s="40">
        <f t="shared" si="145"/>
        <v>3262.9290679788182</v>
      </c>
      <c r="AP263" s="40">
        <f t="shared" si="146"/>
        <v>2221.957719076634</v>
      </c>
      <c r="AQ263" s="40">
        <f t="shared" si="147"/>
        <v>1513.0871687696424</v>
      </c>
      <c r="AR263" s="41">
        <f t="shared" si="148"/>
        <v>0.95</v>
      </c>
      <c r="AS263" s="41">
        <f t="shared" si="149"/>
        <v>0.50951486030111603</v>
      </c>
      <c r="AT263" s="64">
        <f t="shared" si="150"/>
        <v>40.183805274585097</v>
      </c>
      <c r="AU263" s="64">
        <f>APPLICANTS_PER_YEAR*($H263/Segments!$AH$2)*AS263</f>
        <v>14.062610144310801</v>
      </c>
      <c r="AV263" s="64">
        <f t="shared" si="151"/>
        <v>54.2464154188959</v>
      </c>
      <c r="AW263" s="40">
        <f t="shared" si="152"/>
        <v>1513.0871687696422</v>
      </c>
      <c r="AX263" s="65">
        <f t="shared" si="153"/>
        <v>82079.555122079066</v>
      </c>
      <c r="AY263" s="65">
        <f t="shared" si="154"/>
        <v>120357.68017185513</v>
      </c>
      <c r="AZ263" s="65">
        <f t="shared" si="155"/>
        <v>17694.257903965459</v>
      </c>
    </row>
    <row r="264" spans="1:52" ht="15" customHeight="1" x14ac:dyDescent="0.35">
      <c r="A264" s="61" t="str">
        <f>Segments!$A$244</f>
        <v>Greek</v>
      </c>
      <c r="B264" s="61" t="str">
        <f>Segments!$B$244</f>
        <v>On campus</v>
      </c>
      <c r="C264" s="61" t="str">
        <f>Segments!$C$244</f>
        <v>No</v>
      </c>
      <c r="D264" s="61" t="str">
        <f>Segments!$D$244</f>
        <v>3.0+</v>
      </c>
      <c r="E264" s="61" t="str">
        <f>Segments!$E$244</f>
        <v>Grad student</v>
      </c>
      <c r="F264" s="61">
        <f>Segments!$F$244</f>
        <v>3</v>
      </c>
      <c r="G264" s="61" t="str">
        <f>Segments!$G$244</f>
        <v>Grad</v>
      </c>
      <c r="H264" s="62">
        <f>Segments!$H$244</f>
        <v>13</v>
      </c>
      <c r="I264" s="63">
        <f>Segments!$Y$244</f>
        <v>2223.3380746592666</v>
      </c>
      <c r="J264" s="42">
        <v>4</v>
      </c>
      <c r="K264" s="40">
        <f t="shared" si="117"/>
        <v>1426.2297754450396</v>
      </c>
      <c r="L264" s="40">
        <f t="shared" si="118"/>
        <v>2223.3380746592666</v>
      </c>
      <c r="M264" s="40">
        <f t="shared" si="119"/>
        <v>3656.9877067239731</v>
      </c>
      <c r="N264" s="40">
        <f t="shared" si="120"/>
        <v>2283.7917496492983</v>
      </c>
      <c r="O264" s="40">
        <f t="shared" si="121"/>
        <v>1426.2297754450396</v>
      </c>
      <c r="P264" s="41">
        <f t="shared" si="122"/>
        <v>0.95</v>
      </c>
      <c r="Q264" s="41">
        <f t="shared" si="123"/>
        <v>0.53774959983456172</v>
      </c>
      <c r="R264" s="64">
        <f t="shared" si="124"/>
        <v>6.1749999999999998</v>
      </c>
      <c r="S264" s="64">
        <f>APPLICANTS_PER_YEAR*($H264/Segments!$AH$2)*Q264</f>
        <v>8.3888937574191633</v>
      </c>
      <c r="T264" s="64">
        <f t="shared" si="125"/>
        <v>14.563893757419162</v>
      </c>
      <c r="U264" s="40">
        <f t="shared" si="126"/>
        <v>1426.2297754450399</v>
      </c>
      <c r="V264" s="65">
        <f t="shared" si="127"/>
        <v>20771.458923249349</v>
      </c>
      <c r="W264" s="65">
        <f t="shared" si="128"/>
        <v>36266.11464690193</v>
      </c>
      <c r="X264" s="65">
        <f t="shared" si="129"/>
        <v>4845.5631076736572</v>
      </c>
      <c r="Y264" s="40">
        <f t="shared" si="130"/>
        <v>1426.2297754450399</v>
      </c>
      <c r="Z264" s="40">
        <f t="shared" si="131"/>
        <v>2290.0382168990445</v>
      </c>
      <c r="AA264" s="40">
        <f t="shared" si="132"/>
        <v>3765.4473379256924</v>
      </c>
      <c r="AB264" s="40">
        <f t="shared" si="133"/>
        <v>2351.9151567512972</v>
      </c>
      <c r="AC264" s="40">
        <f t="shared" si="134"/>
        <v>1469.0166687083909</v>
      </c>
      <c r="AD264" s="41">
        <f t="shared" si="135"/>
        <v>0.95</v>
      </c>
      <c r="AE264" s="41">
        <f t="shared" si="136"/>
        <v>0.53769777589733614</v>
      </c>
      <c r="AF264" s="64">
        <f t="shared" si="137"/>
        <v>6.9178495347741018</v>
      </c>
      <c r="AG264" s="64">
        <f>APPLICANTS_PER_YEAR*($H264/Segments!$AH$2)*AE264</f>
        <v>8.3880853039984444</v>
      </c>
      <c r="AH264" s="64">
        <f t="shared" si="138"/>
        <v>15.305934838772547</v>
      </c>
      <c r="AI264" s="40">
        <f t="shared" si="139"/>
        <v>1469.0166687083906</v>
      </c>
      <c r="AJ264" s="65">
        <f t="shared" si="140"/>
        <v>22484.673408321345</v>
      </c>
      <c r="AK264" s="65">
        <f t="shared" si="141"/>
        <v>39257.316813294332</v>
      </c>
      <c r="AL264" s="65">
        <f t="shared" si="142"/>
        <v>5196.702403102403</v>
      </c>
      <c r="AM264" s="40">
        <f t="shared" si="143"/>
        <v>1469.0166687083906</v>
      </c>
      <c r="AN264" s="40">
        <f t="shared" si="144"/>
        <v>2358.7393634060159</v>
      </c>
      <c r="AO264" s="40">
        <f t="shared" si="145"/>
        <v>3877.1607580634632</v>
      </c>
      <c r="AP264" s="40">
        <f t="shared" si="146"/>
        <v>2422.0822022142452</v>
      </c>
      <c r="AQ264" s="40">
        <f t="shared" si="147"/>
        <v>1513.0871687696424</v>
      </c>
      <c r="AR264" s="41">
        <f t="shared" si="148"/>
        <v>0.95</v>
      </c>
      <c r="AS264" s="41">
        <f t="shared" si="149"/>
        <v>0.53764743670004422</v>
      </c>
      <c r="AT264" s="64">
        <f t="shared" si="150"/>
        <v>7.27031904841696</v>
      </c>
      <c r="AU264" s="64">
        <f>APPLICANTS_PER_YEAR*($H264/Segments!$AH$2)*AS264</f>
        <v>8.38730001252069</v>
      </c>
      <c r="AV264" s="64">
        <f t="shared" si="151"/>
        <v>15.65761906093765</v>
      </c>
      <c r="AW264" s="40">
        <f t="shared" si="152"/>
        <v>1513.0871687696424</v>
      </c>
      <c r="AX264" s="65">
        <f t="shared" si="153"/>
        <v>23691.342494587734</v>
      </c>
      <c r="AY264" s="65">
        <f t="shared" si="154"/>
        <v>41364.111506199974</v>
      </c>
      <c r="AZ264" s="65">
        <f t="shared" si="155"/>
        <v>5444.6736740436809</v>
      </c>
    </row>
    <row r="265" spans="1:52" ht="15" customHeight="1" x14ac:dyDescent="0.35">
      <c r="A265" s="59" t="str">
        <f>Segments!$A$245</f>
        <v>Greek</v>
      </c>
      <c r="B265" s="59" t="str">
        <f>Segments!$B$245</f>
        <v>Off 0-1mi</v>
      </c>
      <c r="C265" s="59" t="str">
        <f>Segments!$C$245</f>
        <v>Yes</v>
      </c>
      <c r="D265" s="59" t="str">
        <f>Segments!$D$245</f>
        <v>&lt;1.0</v>
      </c>
      <c r="E265" s="59" t="str">
        <f>Segments!$E$245</f>
        <v>Freshman</v>
      </c>
      <c r="F265" s="59">
        <f>Segments!$F$245</f>
        <v>1</v>
      </c>
      <c r="G265" s="59" t="str">
        <f>Segments!$G$245</f>
        <v>Base</v>
      </c>
      <c r="H265" s="60">
        <f>Segments!$H$245</f>
        <v>1</v>
      </c>
      <c r="I265" s="26">
        <f>Segments!$Y$245</f>
        <v>3200.6454870823927</v>
      </c>
      <c r="J265" s="29">
        <v>0</v>
      </c>
      <c r="K265" s="14">
        <f t="shared" si="117"/>
        <v>5246.1657498692011</v>
      </c>
      <c r="L265" s="14">
        <f t="shared" si="118"/>
        <v>3200.6454870823927</v>
      </c>
      <c r="M265" s="14">
        <f t="shared" si="119"/>
        <v>5246.1657498692011</v>
      </c>
      <c r="N265" s="14">
        <f t="shared" si="120"/>
        <v>2735.3679458865145</v>
      </c>
      <c r="O265" s="14">
        <f t="shared" si="121"/>
        <v>1426.2297754450396</v>
      </c>
      <c r="P265" s="33">
        <f t="shared" si="122"/>
        <v>0.95</v>
      </c>
      <c r="Q265" s="33">
        <f t="shared" si="123"/>
        <v>0.58929836795999879</v>
      </c>
      <c r="R265" s="51">
        <f t="shared" si="124"/>
        <v>0</v>
      </c>
      <c r="S265" s="51">
        <f>APPLICANTS_PER_YEAR*($H265/Segments!$AH$2)*Q265</f>
        <v>0.70715804155199857</v>
      </c>
      <c r="T265" s="51">
        <f t="shared" si="125"/>
        <v>0.70715804155199857</v>
      </c>
      <c r="U265" s="14">
        <f t="shared" si="126"/>
        <v>1426.2297754450396</v>
      </c>
      <c r="V265" s="44">
        <f t="shared" si="127"/>
        <v>1008.5698548068609</v>
      </c>
      <c r="W265" s="44">
        <f t="shared" si="128"/>
        <v>2534.9656576691186</v>
      </c>
      <c r="X265" s="44">
        <f t="shared" si="129"/>
        <v>257.74175934657683</v>
      </c>
      <c r="Y265" s="14">
        <f t="shared" si="130"/>
        <v>5402.3007223652776</v>
      </c>
      <c r="Z265" s="14">
        <f t="shared" si="131"/>
        <v>3296.6648516948644</v>
      </c>
      <c r="AA265" s="14">
        <f t="shared" si="132"/>
        <v>5402.3007223652776</v>
      </c>
      <c r="AB265" s="14">
        <f t="shared" si="133"/>
        <v>2817.1030883746466</v>
      </c>
      <c r="AC265" s="14">
        <f t="shared" si="134"/>
        <v>1469.0166687083909</v>
      </c>
      <c r="AD265" s="33">
        <f t="shared" si="135"/>
        <v>0.95</v>
      </c>
      <c r="AE265" s="33">
        <f t="shared" si="136"/>
        <v>0.58926820875483943</v>
      </c>
      <c r="AF265" s="51">
        <f t="shared" si="137"/>
        <v>0</v>
      </c>
      <c r="AG265" s="51">
        <f>APPLICANTS_PER_YEAR*($H265/Segments!$AH$2)*AE265</f>
        <v>0.70712185050580734</v>
      </c>
      <c r="AH265" s="51">
        <f t="shared" si="138"/>
        <v>0.70712185050580734</v>
      </c>
      <c r="AI265" s="14">
        <f t="shared" si="139"/>
        <v>1469.0166687083909</v>
      </c>
      <c r="AJ265" s="44">
        <f t="shared" si="140"/>
        <v>1038.7737852009539</v>
      </c>
      <c r="AK265" s="44">
        <f t="shared" si="141"/>
        <v>2610.8810004792767</v>
      </c>
      <c r="AL265" s="44">
        <f t="shared" si="142"/>
        <v>264.50581115777499</v>
      </c>
      <c r="AM265" s="14">
        <f t="shared" si="143"/>
        <v>5563.1197440362357</v>
      </c>
      <c r="AN265" s="14">
        <f t="shared" si="144"/>
        <v>3395.5647972457105</v>
      </c>
      <c r="AO265" s="14">
        <f t="shared" si="145"/>
        <v>5563.1197440362357</v>
      </c>
      <c r="AP265" s="14">
        <f t="shared" si="146"/>
        <v>2901.2902479811091</v>
      </c>
      <c r="AQ265" s="14">
        <f t="shared" si="147"/>
        <v>1513.0871687696424</v>
      </c>
      <c r="AR265" s="33">
        <f t="shared" si="148"/>
        <v>0.95</v>
      </c>
      <c r="AS265" s="33">
        <f t="shared" si="149"/>
        <v>0.58923891795684025</v>
      </c>
      <c r="AT265" s="51">
        <f t="shared" si="150"/>
        <v>0</v>
      </c>
      <c r="AU265" s="51">
        <f>APPLICANTS_PER_YEAR*($H265/Segments!$AH$2)*AS265</f>
        <v>0.7070867015482083</v>
      </c>
      <c r="AV265" s="51">
        <f t="shared" si="151"/>
        <v>0.7070867015482083</v>
      </c>
      <c r="AW265" s="14">
        <f t="shared" si="152"/>
        <v>1513.0871687696424</v>
      </c>
      <c r="AX265" s="44">
        <f t="shared" si="153"/>
        <v>1069.8838153202437</v>
      </c>
      <c r="AY265" s="44">
        <f t="shared" si="154"/>
        <v>2689.0737578630019</v>
      </c>
      <c r="AZ265" s="44">
        <f t="shared" si="155"/>
        <v>271.47287620140395</v>
      </c>
    </row>
    <row r="266" spans="1:52" ht="15" customHeight="1" x14ac:dyDescent="0.35">
      <c r="A266" s="59" t="str">
        <f>Segments!$A$246</f>
        <v>Greek</v>
      </c>
      <c r="B266" s="59" t="str">
        <f>Segments!$B$246</f>
        <v>Off 0-1mi</v>
      </c>
      <c r="C266" s="59" t="str">
        <f>Segments!$C$246</f>
        <v>Yes</v>
      </c>
      <c r="D266" s="59" t="str">
        <f>Segments!$D$246</f>
        <v>&lt;1.0</v>
      </c>
      <c r="E266" s="59" t="str">
        <f>Segments!$E$246</f>
        <v>Sophomore</v>
      </c>
      <c r="F266" s="59">
        <f>Segments!$F$246</f>
        <v>1</v>
      </c>
      <c r="G266" s="59" t="str">
        <f>Segments!$G$246</f>
        <v>Sophomore</v>
      </c>
      <c r="H266" s="60">
        <f>Segments!$H$246</f>
        <v>3</v>
      </c>
      <c r="I266" s="26">
        <f>Segments!$Y$246</f>
        <v>3168.0828970772427</v>
      </c>
      <c r="J266" s="29">
        <v>1</v>
      </c>
      <c r="K266" s="14">
        <f t="shared" si="117"/>
        <v>1426.2297754450396</v>
      </c>
      <c r="L266" s="14">
        <f t="shared" si="118"/>
        <v>3168.0828970772427</v>
      </c>
      <c r="M266" s="14">
        <f t="shared" si="119"/>
        <v>5193.2164399526609</v>
      </c>
      <c r="N266" s="14">
        <f t="shared" si="120"/>
        <v>2721.5289667742236</v>
      </c>
      <c r="O266" s="14">
        <f t="shared" si="121"/>
        <v>1426.2297754450396</v>
      </c>
      <c r="P266" s="33">
        <f t="shared" si="122"/>
        <v>0.95</v>
      </c>
      <c r="Q266" s="33">
        <f t="shared" si="123"/>
        <v>0.58797269974761235</v>
      </c>
      <c r="R266" s="51">
        <f t="shared" si="124"/>
        <v>0.95</v>
      </c>
      <c r="S266" s="51">
        <f>APPLICANTS_PER_YEAR*($H266/Segments!$AH$2)*Q266</f>
        <v>2.1167017190914041</v>
      </c>
      <c r="T266" s="51">
        <f t="shared" si="125"/>
        <v>3.0667017190914043</v>
      </c>
      <c r="U266" s="14">
        <f t="shared" si="126"/>
        <v>1426.2297754450396</v>
      </c>
      <c r="V266" s="44">
        <f t="shared" si="127"/>
        <v>4373.8213041766503</v>
      </c>
      <c r="W266" s="44">
        <f t="shared" si="128"/>
        <v>10881.43309869376</v>
      </c>
      <c r="X266" s="44">
        <f t="shared" si="129"/>
        <v>1046.5654094611355</v>
      </c>
      <c r="Y266" s="14">
        <f t="shared" si="130"/>
        <v>1426.2297754450396</v>
      </c>
      <c r="Z266" s="14">
        <f t="shared" si="131"/>
        <v>3263.1253839895599</v>
      </c>
      <c r="AA266" s="14">
        <f t="shared" si="132"/>
        <v>5347.7629331512408</v>
      </c>
      <c r="AB266" s="14">
        <f t="shared" si="133"/>
        <v>2802.8472825147019</v>
      </c>
      <c r="AC266" s="14">
        <f t="shared" si="134"/>
        <v>1469.0166687083909</v>
      </c>
      <c r="AD266" s="33">
        <f t="shared" si="135"/>
        <v>0.95</v>
      </c>
      <c r="AE266" s="33">
        <f t="shared" si="136"/>
        <v>0.58794207806598797</v>
      </c>
      <c r="AF266" s="51">
        <f t="shared" si="137"/>
        <v>0.67180013947439865</v>
      </c>
      <c r="AG266" s="51">
        <f>APPLICANTS_PER_YEAR*($H266/Segments!$AH$2)*AE266</f>
        <v>2.1165914810375566</v>
      </c>
      <c r="AH266" s="51">
        <f t="shared" si="138"/>
        <v>2.7883916205119554</v>
      </c>
      <c r="AI266" s="14">
        <f t="shared" si="139"/>
        <v>1469.0166687083906</v>
      </c>
      <c r="AJ266" s="44">
        <f t="shared" si="140"/>
        <v>4096.1937694188637</v>
      </c>
      <c r="AK266" s="44">
        <f t="shared" si="141"/>
        <v>10190.736054683908</v>
      </c>
      <c r="AL266" s="44">
        <f t="shared" si="142"/>
        <v>991.68902768350563</v>
      </c>
      <c r="AM266" s="14">
        <f t="shared" si="143"/>
        <v>1469.0166687083909</v>
      </c>
      <c r="AN266" s="14">
        <f t="shared" si="144"/>
        <v>3361.0191455092468</v>
      </c>
      <c r="AO266" s="14">
        <f t="shared" si="145"/>
        <v>5506.9458211457777</v>
      </c>
      <c r="AP266" s="14">
        <f t="shared" si="146"/>
        <v>2886.6051100012414</v>
      </c>
      <c r="AQ266" s="14">
        <f t="shared" si="147"/>
        <v>1513.0871687696424</v>
      </c>
      <c r="AR266" s="33">
        <f t="shared" si="148"/>
        <v>0.95</v>
      </c>
      <c r="AS266" s="33">
        <f t="shared" si="149"/>
        <v>0.58791233800438469</v>
      </c>
      <c r="AT266" s="51">
        <f t="shared" si="150"/>
        <v>0.67176575798051696</v>
      </c>
      <c r="AU266" s="51">
        <f>APPLICANTS_PER_YEAR*($H266/Segments!$AH$2)*AS266</f>
        <v>2.1164844168157848</v>
      </c>
      <c r="AV266" s="51">
        <f t="shared" si="151"/>
        <v>2.7882501747963016</v>
      </c>
      <c r="AW266" s="14">
        <f t="shared" si="152"/>
        <v>1513.0871687696426</v>
      </c>
      <c r="AX266" s="44">
        <f t="shared" si="153"/>
        <v>4218.8655628039969</v>
      </c>
      <c r="AY266" s="44">
        <f t="shared" si="154"/>
        <v>10495.92568635506</v>
      </c>
      <c r="AZ266" s="44">
        <f t="shared" si="155"/>
        <v>1018.1275947757465</v>
      </c>
    </row>
    <row r="267" spans="1:52" ht="15" customHeight="1" x14ac:dyDescent="0.35">
      <c r="A267" s="59" t="str">
        <f>Segments!$A$247</f>
        <v>Greek</v>
      </c>
      <c r="B267" s="59" t="str">
        <f>Segments!$B$247</f>
        <v>Off 0-1mi</v>
      </c>
      <c r="C267" s="59" t="str">
        <f>Segments!$C$247</f>
        <v>Yes</v>
      </c>
      <c r="D267" s="59" t="str">
        <f>Segments!$D$247</f>
        <v>&lt;1.0</v>
      </c>
      <c r="E267" s="59" t="str">
        <f>Segments!$E$247</f>
        <v>Junior</v>
      </c>
      <c r="F267" s="59">
        <f>Segments!$F$247</f>
        <v>2</v>
      </c>
      <c r="G267" s="59" t="str">
        <f>Segments!$G$247</f>
        <v>Base</v>
      </c>
      <c r="H267" s="60">
        <f>Segments!$H$247</f>
        <v>0</v>
      </c>
      <c r="I267" s="26">
        <f>Segments!$Y$247</f>
        <v>3787.2074737889689</v>
      </c>
      <c r="J267" s="29">
        <v>2</v>
      </c>
      <c r="K267" s="14">
        <f t="shared" si="117"/>
        <v>1426.2297754450396</v>
      </c>
      <c r="L267" s="14">
        <f t="shared" si="118"/>
        <v>3787.2074737889689</v>
      </c>
      <c r="M267" s="14">
        <f t="shared" si="119"/>
        <v>6199.9612684221274</v>
      </c>
      <c r="N267" s="14">
        <f t="shared" si="120"/>
        <v>2973.6458039971126</v>
      </c>
      <c r="O267" s="14">
        <f t="shared" si="121"/>
        <v>1426.2297754450396</v>
      </c>
      <c r="P267" s="33">
        <f t="shared" si="122"/>
        <v>0.95</v>
      </c>
      <c r="Q267" s="33">
        <f t="shared" si="123"/>
        <v>0.61018835640614433</v>
      </c>
      <c r="R267" s="51">
        <f t="shared" si="124"/>
        <v>2.8499999999999996</v>
      </c>
      <c r="S267" s="51">
        <f>APPLICANTS_PER_YEAR*($H267/Segments!$AH$2)*Q267</f>
        <v>0</v>
      </c>
      <c r="T267" s="51">
        <f t="shared" si="125"/>
        <v>2.8499999999999996</v>
      </c>
      <c r="U267" s="14">
        <f t="shared" si="126"/>
        <v>1426.2297754450396</v>
      </c>
      <c r="V267" s="44">
        <f t="shared" si="127"/>
        <v>4064.7548600183627</v>
      </c>
      <c r="W267" s="44">
        <f t="shared" si="128"/>
        <v>12088.766256334389</v>
      </c>
      <c r="X267" s="44">
        <f t="shared" si="129"/>
        <v>825.23866854347057</v>
      </c>
      <c r="Y267" s="14">
        <f t="shared" si="130"/>
        <v>1426.2297754450396</v>
      </c>
      <c r="Z267" s="14">
        <f t="shared" si="131"/>
        <v>3900.8236980026381</v>
      </c>
      <c r="AA267" s="14">
        <f t="shared" si="132"/>
        <v>6384.7101064747912</v>
      </c>
      <c r="AB267" s="14">
        <f t="shared" si="133"/>
        <v>3062.5553988919764</v>
      </c>
      <c r="AC267" s="14">
        <f t="shared" si="134"/>
        <v>1469.0166687083909</v>
      </c>
      <c r="AD267" s="33">
        <f t="shared" si="135"/>
        <v>0.95</v>
      </c>
      <c r="AE267" s="33">
        <f t="shared" si="136"/>
        <v>0.61016488236590316</v>
      </c>
      <c r="AF267" s="51">
        <f t="shared" si="137"/>
        <v>2.913366633136834</v>
      </c>
      <c r="AG267" s="51">
        <f>APPLICANTS_PER_YEAR*($H267/Segments!$AH$2)*AE267</f>
        <v>0</v>
      </c>
      <c r="AH267" s="51">
        <f t="shared" si="138"/>
        <v>2.913366633136834</v>
      </c>
      <c r="AI267" s="14">
        <f t="shared" si="139"/>
        <v>1469.0166687083909</v>
      </c>
      <c r="AJ267" s="44">
        <f t="shared" si="140"/>
        <v>4279.7841461368525</v>
      </c>
      <c r="AK267" s="44">
        <f t="shared" si="141"/>
        <v>12728.27315593156</v>
      </c>
      <c r="AL267" s="44">
        <f t="shared" si="142"/>
        <v>867.1465362826018</v>
      </c>
      <c r="AM267" s="14">
        <f t="shared" si="143"/>
        <v>1469.0166687083906</v>
      </c>
      <c r="AN267" s="14">
        <f t="shared" si="144"/>
        <v>4017.848408942717</v>
      </c>
      <c r="AO267" s="14">
        <f t="shared" si="145"/>
        <v>6575.0014096690347</v>
      </c>
      <c r="AP267" s="14">
        <f t="shared" si="146"/>
        <v>3154.1322527142911</v>
      </c>
      <c r="AQ267" s="14">
        <f t="shared" si="147"/>
        <v>1513.0871687696424</v>
      </c>
      <c r="AR267" s="33">
        <f t="shared" si="148"/>
        <v>0.95</v>
      </c>
      <c r="AS267" s="33">
        <f t="shared" si="149"/>
        <v>0.61014208543925919</v>
      </c>
      <c r="AT267" s="51">
        <f t="shared" si="150"/>
        <v>2.6489720394863574</v>
      </c>
      <c r="AU267" s="51">
        <f>APPLICANTS_PER_YEAR*($H267/Segments!$AH$2)*AS267</f>
        <v>0</v>
      </c>
      <c r="AV267" s="51">
        <f t="shared" si="151"/>
        <v>2.6489720394863574</v>
      </c>
      <c r="AW267" s="14">
        <f t="shared" si="152"/>
        <v>1513.0871687696424</v>
      </c>
      <c r="AX267" s="44">
        <f t="shared" si="153"/>
        <v>4008.125603376358</v>
      </c>
      <c r="AY267" s="44">
        <f t="shared" si="154"/>
        <v>11920.348265486087</v>
      </c>
      <c r="AZ267" s="44">
        <f t="shared" si="155"/>
        <v>810.51517982785879</v>
      </c>
    </row>
    <row r="268" spans="1:52" ht="15" customHeight="1" x14ac:dyDescent="0.35">
      <c r="A268" s="59" t="str">
        <f>Segments!$A$248</f>
        <v>Greek</v>
      </c>
      <c r="B268" s="59" t="str">
        <f>Segments!$B$248</f>
        <v>Off 0-1mi</v>
      </c>
      <c r="C268" s="59" t="str">
        <f>Segments!$C$248</f>
        <v>Yes</v>
      </c>
      <c r="D268" s="59" t="str">
        <f>Segments!$D$248</f>
        <v>&lt;1.0</v>
      </c>
      <c r="E268" s="59" t="str">
        <f>Segments!$E$248</f>
        <v>Senior</v>
      </c>
      <c r="F268" s="59">
        <f>Segments!$F$248</f>
        <v>3</v>
      </c>
      <c r="G268" s="59" t="str">
        <f>Segments!$G$248</f>
        <v>Base</v>
      </c>
      <c r="H268" s="60">
        <f>Segments!$H$248</f>
        <v>1</v>
      </c>
      <c r="I268" s="26">
        <f>Segments!$Y$248</f>
        <v>3539.8553207256209</v>
      </c>
      <c r="J268" s="29">
        <v>3</v>
      </c>
      <c r="K268" s="14">
        <f t="shared" si="117"/>
        <v>1426.2297754450396</v>
      </c>
      <c r="L268" s="14">
        <f t="shared" si="118"/>
        <v>3539.8553207256209</v>
      </c>
      <c r="M268" s="14">
        <f t="shared" si="119"/>
        <v>5797.7473840534876</v>
      </c>
      <c r="N268" s="14">
        <f t="shared" si="120"/>
        <v>2875.5729776247504</v>
      </c>
      <c r="O268" s="14">
        <f t="shared" si="121"/>
        <v>1426.2297754450396</v>
      </c>
      <c r="P268" s="33">
        <f t="shared" si="122"/>
        <v>0.95</v>
      </c>
      <c r="Q268" s="33">
        <f t="shared" si="123"/>
        <v>0.60200946271530231</v>
      </c>
      <c r="R268" s="51">
        <f t="shared" si="124"/>
        <v>0</v>
      </c>
      <c r="S268" s="51">
        <f>APPLICANTS_PER_YEAR*($H268/Segments!$AH$2)*Q268</f>
        <v>0.72241135525836275</v>
      </c>
      <c r="T268" s="51">
        <f t="shared" si="125"/>
        <v>0.72241135525836275</v>
      </c>
      <c r="U268" s="14">
        <f t="shared" si="126"/>
        <v>1426.2297754450394</v>
      </c>
      <c r="V268" s="44">
        <f t="shared" si="127"/>
        <v>1030.3245849890814</v>
      </c>
      <c r="W268" s="44">
        <f t="shared" si="128"/>
        <v>2864.0994812235931</v>
      </c>
      <c r="X268" s="44">
        <f t="shared" si="129"/>
        <v>263.30121802418057</v>
      </c>
      <c r="Y268" s="14">
        <f t="shared" si="130"/>
        <v>1426.2297754450396</v>
      </c>
      <c r="Z268" s="14">
        <f t="shared" si="131"/>
        <v>3646.0509803473897</v>
      </c>
      <c r="AA268" s="14">
        <f t="shared" si="132"/>
        <v>5970.4298055750924</v>
      </c>
      <c r="AB268" s="14">
        <f t="shared" si="133"/>
        <v>2961.5301625584038</v>
      </c>
      <c r="AC268" s="14">
        <f t="shared" si="134"/>
        <v>1469.0166687083909</v>
      </c>
      <c r="AD268" s="33">
        <f t="shared" si="135"/>
        <v>0.95</v>
      </c>
      <c r="AE268" s="33">
        <f t="shared" si="136"/>
        <v>0.60198350378452026</v>
      </c>
      <c r="AF268" s="51">
        <f t="shared" si="137"/>
        <v>2.7074999999999996</v>
      </c>
      <c r="AG268" s="51">
        <f>APPLICANTS_PER_YEAR*($H268/Segments!$AH$2)*AE268</f>
        <v>0.72238020454142426</v>
      </c>
      <c r="AH268" s="51">
        <f t="shared" si="138"/>
        <v>3.4298802045414236</v>
      </c>
      <c r="AI268" s="14">
        <f t="shared" si="139"/>
        <v>1469.0166687083909</v>
      </c>
      <c r="AJ268" s="44">
        <f t="shared" si="140"/>
        <v>5038.5511921442967</v>
      </c>
      <c r="AK268" s="44">
        <f t="shared" si="141"/>
        <v>14006.180252111448</v>
      </c>
      <c r="AL268" s="44">
        <f t="shared" si="142"/>
        <v>1076.0848841762077</v>
      </c>
      <c r="AM268" s="14">
        <f t="shared" si="143"/>
        <v>1469.0166687083909</v>
      </c>
      <c r="AN268" s="14">
        <f t="shared" si="144"/>
        <v>3755.4325097578112</v>
      </c>
      <c r="AO268" s="14">
        <f t="shared" si="145"/>
        <v>6148.2926997423447</v>
      </c>
      <c r="AP268" s="14">
        <f t="shared" si="146"/>
        <v>3050.0660310590338</v>
      </c>
      <c r="AQ268" s="14">
        <f t="shared" si="147"/>
        <v>1513.0871687696424</v>
      </c>
      <c r="AR268" s="33">
        <f t="shared" si="148"/>
        <v>0.95</v>
      </c>
      <c r="AS268" s="33">
        <f t="shared" si="149"/>
        <v>0.60195829313828442</v>
      </c>
      <c r="AT268" s="51">
        <f t="shared" si="150"/>
        <v>2.7676983014799923</v>
      </c>
      <c r="AU268" s="51">
        <f>APPLICANTS_PER_YEAR*($H268/Segments!$AH$2)*AS268</f>
        <v>0.7223499517659413</v>
      </c>
      <c r="AV268" s="51">
        <f t="shared" si="151"/>
        <v>3.4900482532459334</v>
      </c>
      <c r="AW268" s="14">
        <f t="shared" si="152"/>
        <v>1513.0871687696426</v>
      </c>
      <c r="AX268" s="44">
        <f t="shared" si="153"/>
        <v>5280.7472303733257</v>
      </c>
      <c r="AY268" s="44">
        <f t="shared" si="154"/>
        <v>14679.437551366831</v>
      </c>
      <c r="AZ268" s="44">
        <f t="shared" si="155"/>
        <v>1124.1751859178705</v>
      </c>
    </row>
    <row r="269" spans="1:52" ht="15" customHeight="1" x14ac:dyDescent="0.35">
      <c r="A269" s="59" t="str">
        <f>Segments!$A$249</f>
        <v>Greek</v>
      </c>
      <c r="B269" s="59" t="str">
        <f>Segments!$B$249</f>
        <v>Off 0-1mi</v>
      </c>
      <c r="C269" s="59" t="str">
        <f>Segments!$C$249</f>
        <v>Yes</v>
      </c>
      <c r="D269" s="59" t="str">
        <f>Segments!$D$249</f>
        <v>&lt;1.0</v>
      </c>
      <c r="E269" s="59" t="str">
        <f>Segments!$E$249</f>
        <v>Grad student</v>
      </c>
      <c r="F269" s="59">
        <f>Segments!$F$249</f>
        <v>3</v>
      </c>
      <c r="G269" s="59" t="str">
        <f>Segments!$G$249</f>
        <v>Grad</v>
      </c>
      <c r="H269" s="60">
        <f>Segments!$H$249</f>
        <v>0</v>
      </c>
      <c r="I269" s="26">
        <f>Segments!$Y$249</f>
        <v>4214.8364447156264</v>
      </c>
      <c r="J269" s="29">
        <v>4</v>
      </c>
      <c r="K269" s="14">
        <f t="shared" si="117"/>
        <v>1426.2297754450396</v>
      </c>
      <c r="L269" s="14">
        <f t="shared" si="118"/>
        <v>4214.8364447156264</v>
      </c>
      <c r="M269" s="14">
        <f t="shared" si="119"/>
        <v>6895.3193129543924</v>
      </c>
      <c r="N269" s="14">
        <f t="shared" si="120"/>
        <v>3135.970298860751</v>
      </c>
      <c r="O269" s="14">
        <f t="shared" si="121"/>
        <v>1426.2297754450396</v>
      </c>
      <c r="P269" s="33">
        <f t="shared" si="122"/>
        <v>0.95</v>
      </c>
      <c r="Q269" s="33">
        <f t="shared" si="123"/>
        <v>0.62260151730978341</v>
      </c>
      <c r="R269" s="51">
        <f t="shared" si="124"/>
        <v>0</v>
      </c>
      <c r="S269" s="51">
        <f>APPLICANTS_PER_YEAR*($H269/Segments!$AH$2)*Q269</f>
        <v>0</v>
      </c>
      <c r="T269" s="51">
        <f t="shared" si="125"/>
        <v>0</v>
      </c>
      <c r="U269" s="14">
        <f t="shared" si="126"/>
        <v>6895.3193129543924</v>
      </c>
      <c r="V269" s="44">
        <f t="shared" si="127"/>
        <v>0</v>
      </c>
      <c r="W269" s="44">
        <f t="shared" si="128"/>
        <v>0</v>
      </c>
      <c r="X269" s="44">
        <f t="shared" si="129"/>
        <v>0</v>
      </c>
      <c r="Y269" s="14">
        <f t="shared" si="130"/>
        <v>6895.3193129543924</v>
      </c>
      <c r="Z269" s="14">
        <f t="shared" si="131"/>
        <v>4341.2815380570955</v>
      </c>
      <c r="AA269" s="14">
        <f t="shared" si="132"/>
        <v>7100.9288923430249</v>
      </c>
      <c r="AB269" s="14">
        <f t="shared" si="133"/>
        <v>3229.7651472150283</v>
      </c>
      <c r="AC269" s="14">
        <f t="shared" si="134"/>
        <v>1469.0166687083909</v>
      </c>
      <c r="AD269" s="33">
        <f t="shared" si="135"/>
        <v>0.95</v>
      </c>
      <c r="AE269" s="33">
        <f t="shared" si="136"/>
        <v>0.62258150333699969</v>
      </c>
      <c r="AF269" s="51">
        <f t="shared" si="137"/>
        <v>0</v>
      </c>
      <c r="AG269" s="51">
        <f>APPLICANTS_PER_YEAR*($H269/Segments!$AH$2)*AE269</f>
        <v>0</v>
      </c>
      <c r="AH269" s="51">
        <f t="shared" si="138"/>
        <v>0</v>
      </c>
      <c r="AI269" s="14">
        <f t="shared" si="139"/>
        <v>7100.9288923430249</v>
      </c>
      <c r="AJ269" s="44">
        <f t="shared" si="140"/>
        <v>0</v>
      </c>
      <c r="AK269" s="44">
        <f t="shared" si="141"/>
        <v>0</v>
      </c>
      <c r="AL269" s="44">
        <f t="shared" si="142"/>
        <v>0</v>
      </c>
      <c r="AM269" s="14">
        <f t="shared" si="143"/>
        <v>7100.9288923430249</v>
      </c>
      <c r="AN269" s="14">
        <f t="shared" si="144"/>
        <v>4471.5199841988078</v>
      </c>
      <c r="AO269" s="14">
        <f t="shared" si="145"/>
        <v>7312.7067591133145</v>
      </c>
      <c r="AP269" s="14">
        <f t="shared" si="146"/>
        <v>3326.3738163636081</v>
      </c>
      <c r="AQ269" s="14">
        <f t="shared" si="147"/>
        <v>1513.0871687696424</v>
      </c>
      <c r="AR269" s="33">
        <f t="shared" si="148"/>
        <v>0.95</v>
      </c>
      <c r="AS269" s="33">
        <f t="shared" si="149"/>
        <v>0.62256206723877028</v>
      </c>
      <c r="AT269" s="51">
        <f t="shared" si="150"/>
        <v>0</v>
      </c>
      <c r="AU269" s="51">
        <f>APPLICANTS_PER_YEAR*($H269/Segments!$AH$2)*AS269</f>
        <v>0</v>
      </c>
      <c r="AV269" s="51">
        <f t="shared" si="151"/>
        <v>0</v>
      </c>
      <c r="AW269" s="14">
        <f t="shared" si="152"/>
        <v>7312.7067591133145</v>
      </c>
      <c r="AX269" s="44">
        <f t="shared" si="153"/>
        <v>0</v>
      </c>
      <c r="AY269" s="44">
        <f t="shared" si="154"/>
        <v>0</v>
      </c>
      <c r="AZ269" s="44">
        <f t="shared" si="155"/>
        <v>0</v>
      </c>
    </row>
    <row r="270" spans="1:52" ht="15" customHeight="1" x14ac:dyDescent="0.35">
      <c r="A270" s="61" t="str">
        <f>Segments!$A$250</f>
        <v>Greek</v>
      </c>
      <c r="B270" s="61" t="str">
        <f>Segments!$B$250</f>
        <v>Off 0-1mi</v>
      </c>
      <c r="C270" s="61" t="str">
        <f>Segments!$C$250</f>
        <v>Yes</v>
      </c>
      <c r="D270" s="61" t="str">
        <f>Segments!$D$250</f>
        <v>1.0-2.0</v>
      </c>
      <c r="E270" s="61" t="str">
        <f>Segments!$E$250</f>
        <v>Freshman</v>
      </c>
      <c r="F270" s="61">
        <f>Segments!$F$250</f>
        <v>1</v>
      </c>
      <c r="G270" s="61" t="str">
        <f>Segments!$G$250</f>
        <v>Base</v>
      </c>
      <c r="H270" s="62">
        <f>Segments!$H$250</f>
        <v>2</v>
      </c>
      <c r="I270" s="63">
        <f>Segments!$Y$250</f>
        <v>2904.3331930267523</v>
      </c>
      <c r="J270" s="42">
        <v>0</v>
      </c>
      <c r="K270" s="40">
        <f t="shared" si="117"/>
        <v>4764.3388593315676</v>
      </c>
      <c r="L270" s="40">
        <f t="shared" si="118"/>
        <v>2904.3331930267523</v>
      </c>
      <c r="M270" s="40">
        <f t="shared" si="119"/>
        <v>4764.3388593315676</v>
      </c>
      <c r="N270" s="40">
        <f t="shared" si="120"/>
        <v>2606.7301244065407</v>
      </c>
      <c r="O270" s="40">
        <f t="shared" si="121"/>
        <v>1426.2297754450396</v>
      </c>
      <c r="P270" s="41">
        <f t="shared" si="122"/>
        <v>0.95</v>
      </c>
      <c r="Q270" s="41">
        <f t="shared" si="123"/>
        <v>0.57643317348209544</v>
      </c>
      <c r="R270" s="64">
        <f t="shared" si="124"/>
        <v>0</v>
      </c>
      <c r="S270" s="64">
        <f>APPLICANTS_PER_YEAR*($H270/Segments!$AH$2)*Q270</f>
        <v>1.3834396163570291</v>
      </c>
      <c r="T270" s="64">
        <f t="shared" si="125"/>
        <v>1.3834396163570291</v>
      </c>
      <c r="U270" s="40">
        <f t="shared" si="126"/>
        <v>1426.2297754450396</v>
      </c>
      <c r="V270" s="65">
        <f t="shared" si="127"/>
        <v>1973.1027733786573</v>
      </c>
      <c r="W270" s="65">
        <f t="shared" si="128"/>
        <v>4500.1259501339855</v>
      </c>
      <c r="X270" s="65">
        <f t="shared" si="129"/>
        <v>504.22980397288558</v>
      </c>
      <c r="Y270" s="40">
        <f t="shared" si="130"/>
        <v>4906.0190251115146</v>
      </c>
      <c r="Z270" s="40">
        <f t="shared" si="131"/>
        <v>2991.463188817555</v>
      </c>
      <c r="AA270" s="40">
        <f t="shared" si="132"/>
        <v>4906.0190251115146</v>
      </c>
      <c r="AB270" s="40">
        <f t="shared" si="133"/>
        <v>2684.5900478265394</v>
      </c>
      <c r="AC270" s="40">
        <f t="shared" si="134"/>
        <v>1469.0166687083909</v>
      </c>
      <c r="AD270" s="41">
        <f t="shared" si="135"/>
        <v>0.95</v>
      </c>
      <c r="AE270" s="41">
        <f t="shared" si="136"/>
        <v>0.57639832478375685</v>
      </c>
      <c r="AF270" s="64">
        <f t="shared" si="137"/>
        <v>0</v>
      </c>
      <c r="AG270" s="64">
        <f>APPLICANTS_PER_YEAR*($H270/Segments!$AH$2)*AE270</f>
        <v>1.3833559794810164</v>
      </c>
      <c r="AH270" s="64">
        <f t="shared" si="138"/>
        <v>1.3833559794810164</v>
      </c>
      <c r="AI270" s="40">
        <f t="shared" si="139"/>
        <v>1469.0166687083909</v>
      </c>
      <c r="AJ270" s="65">
        <f t="shared" si="140"/>
        <v>2032.1729926150358</v>
      </c>
      <c r="AK270" s="65">
        <f t="shared" si="141"/>
        <v>4634.8495084058868</v>
      </c>
      <c r="AL270" s="65">
        <f t="shared" si="142"/>
        <v>517.45776942241378</v>
      </c>
      <c r="AM270" s="40">
        <f t="shared" si="143"/>
        <v>5051.9495958648595</v>
      </c>
      <c r="AN270" s="40">
        <f t="shared" si="144"/>
        <v>3081.2070844820814</v>
      </c>
      <c r="AO270" s="40">
        <f t="shared" si="145"/>
        <v>5051.9495958648595</v>
      </c>
      <c r="AP270" s="40">
        <f t="shared" si="146"/>
        <v>2764.7857260146038</v>
      </c>
      <c r="AQ270" s="40">
        <f t="shared" si="147"/>
        <v>1513.0871687696424</v>
      </c>
      <c r="AR270" s="41">
        <f t="shared" si="148"/>
        <v>0.95</v>
      </c>
      <c r="AS270" s="41">
        <f t="shared" si="149"/>
        <v>0.57636447835132332</v>
      </c>
      <c r="AT270" s="64">
        <f t="shared" si="150"/>
        <v>0</v>
      </c>
      <c r="AU270" s="64">
        <f>APPLICANTS_PER_YEAR*($H270/Segments!$AH$2)*AS270</f>
        <v>1.383274748043176</v>
      </c>
      <c r="AV270" s="64">
        <f t="shared" si="151"/>
        <v>1.383274748043176</v>
      </c>
      <c r="AW270" s="40">
        <f t="shared" si="152"/>
        <v>1513.0871687696426</v>
      </c>
      <c r="AX270" s="65">
        <f t="shared" si="153"/>
        <v>2093.01527214719</v>
      </c>
      <c r="AY270" s="65">
        <f t="shared" si="154"/>
        <v>4773.6146678704963</v>
      </c>
      <c r="AZ270" s="65">
        <f t="shared" si="155"/>
        <v>531.08278462291344</v>
      </c>
    </row>
    <row r="271" spans="1:52" ht="15" customHeight="1" x14ac:dyDescent="0.35">
      <c r="A271" s="61" t="str">
        <f>Segments!$A$251</f>
        <v>Greek</v>
      </c>
      <c r="B271" s="61" t="str">
        <f>Segments!$B$251</f>
        <v>Off 0-1mi</v>
      </c>
      <c r="C271" s="61" t="str">
        <f>Segments!$C$251</f>
        <v>Yes</v>
      </c>
      <c r="D271" s="61" t="str">
        <f>Segments!$D$251</f>
        <v>1.0-2.0</v>
      </c>
      <c r="E271" s="61" t="str">
        <f>Segments!$E$251</f>
        <v>Sophomore</v>
      </c>
      <c r="F271" s="61">
        <f>Segments!$F$251</f>
        <v>1</v>
      </c>
      <c r="G271" s="61" t="str">
        <f>Segments!$G$251</f>
        <v>Sophomore</v>
      </c>
      <c r="H271" s="62">
        <f>Segments!$H$251</f>
        <v>5</v>
      </c>
      <c r="I271" s="63">
        <f>Segments!$Y$251</f>
        <v>2874.7852123508019</v>
      </c>
      <c r="J271" s="42">
        <v>1</v>
      </c>
      <c r="K271" s="40">
        <f t="shared" si="117"/>
        <v>1426.2297754450396</v>
      </c>
      <c r="L271" s="40">
        <f t="shared" si="118"/>
        <v>2874.7852123508019</v>
      </c>
      <c r="M271" s="40">
        <f t="shared" si="119"/>
        <v>4716.2915392021978</v>
      </c>
      <c r="N271" s="40">
        <f t="shared" si="120"/>
        <v>2593.5526643755838</v>
      </c>
      <c r="O271" s="40">
        <f t="shared" si="121"/>
        <v>1426.2297754450396</v>
      </c>
      <c r="P271" s="41">
        <f t="shared" si="122"/>
        <v>0.95</v>
      </c>
      <c r="Q271" s="41">
        <f t="shared" si="123"/>
        <v>0.57504322063025959</v>
      </c>
      <c r="R271" s="64">
        <f t="shared" si="124"/>
        <v>1.9</v>
      </c>
      <c r="S271" s="64">
        <f>APPLICANTS_PER_YEAR*($H271/Segments!$AH$2)*Q271</f>
        <v>3.4502593237815575</v>
      </c>
      <c r="T271" s="64">
        <f t="shared" si="125"/>
        <v>5.3502593237815574</v>
      </c>
      <c r="U271" s="40">
        <f t="shared" si="126"/>
        <v>1426.2297754450394</v>
      </c>
      <c r="V271" s="65">
        <f t="shared" si="127"/>
        <v>7630.6991539296996</v>
      </c>
      <c r="W271" s="65">
        <f t="shared" si="128"/>
        <v>17226.547952599132</v>
      </c>
      <c r="X271" s="65">
        <f t="shared" si="129"/>
        <v>1807.6939999833276</v>
      </c>
      <c r="Y271" s="40">
        <f t="shared" si="130"/>
        <v>1426.2297754450396</v>
      </c>
      <c r="Z271" s="40">
        <f t="shared" si="131"/>
        <v>2961.0287687213258</v>
      </c>
      <c r="AA271" s="40">
        <f t="shared" si="132"/>
        <v>4856.5302853782632</v>
      </c>
      <c r="AB271" s="40">
        <f t="shared" si="133"/>
        <v>2671.0155262199032</v>
      </c>
      <c r="AC271" s="40">
        <f t="shared" si="134"/>
        <v>1469.0166687083909</v>
      </c>
      <c r="AD271" s="41">
        <f t="shared" si="135"/>
        <v>0.95</v>
      </c>
      <c r="AE271" s="41">
        <f t="shared" si="136"/>
        <v>0.57500783797625754</v>
      </c>
      <c r="AF271" s="64">
        <f t="shared" si="137"/>
        <v>1.3142676355391776</v>
      </c>
      <c r="AG271" s="64">
        <f>APPLICANTS_PER_YEAR*($H271/Segments!$AH$2)*AE271</f>
        <v>3.4500470278575452</v>
      </c>
      <c r="AH271" s="64">
        <f t="shared" si="138"/>
        <v>4.764314663396723</v>
      </c>
      <c r="AI271" s="40">
        <f t="shared" si="139"/>
        <v>1469.0166687083909</v>
      </c>
      <c r="AJ271" s="65">
        <f t="shared" si="140"/>
        <v>6998.8576555015925</v>
      </c>
      <c r="AK271" s="65">
        <f t="shared" si="141"/>
        <v>15800.145515345584</v>
      </c>
      <c r="AL271" s="65">
        <f t="shared" si="142"/>
        <v>1681.7077465654443</v>
      </c>
      <c r="AM271" s="40">
        <f t="shared" si="143"/>
        <v>1469.0166687083909</v>
      </c>
      <c r="AN271" s="40">
        <f t="shared" si="144"/>
        <v>3049.8596317829656</v>
      </c>
      <c r="AO271" s="40">
        <f t="shared" si="145"/>
        <v>5000.9761939396112</v>
      </c>
      <c r="AP271" s="40">
        <f t="shared" si="146"/>
        <v>2750.8022303270855</v>
      </c>
      <c r="AQ271" s="40">
        <f t="shared" si="147"/>
        <v>1513.0871687696424</v>
      </c>
      <c r="AR271" s="41">
        <f t="shared" si="148"/>
        <v>0.95</v>
      </c>
      <c r="AS271" s="41">
        <f t="shared" si="149"/>
        <v>0.57497347281310585</v>
      </c>
      <c r="AT271" s="64">
        <f t="shared" si="150"/>
        <v>1.3141881805069655</v>
      </c>
      <c r="AU271" s="64">
        <f>APPLICANTS_PER_YEAR*($H271/Segments!$AH$2)*AS271</f>
        <v>3.4498408368786349</v>
      </c>
      <c r="AV271" s="64">
        <f t="shared" si="151"/>
        <v>4.7640290173856004</v>
      </c>
      <c r="AW271" s="40">
        <f t="shared" si="152"/>
        <v>1513.0871687696424</v>
      </c>
      <c r="AX271" s="65">
        <f t="shared" si="153"/>
        <v>7208.3911778523998</v>
      </c>
      <c r="AY271" s="65">
        <f t="shared" si="154"/>
        <v>16273.174158939053</v>
      </c>
      <c r="AZ271" s="65">
        <f t="shared" si="155"/>
        <v>1726.6093805440321</v>
      </c>
    </row>
    <row r="272" spans="1:52" ht="15" customHeight="1" x14ac:dyDescent="0.35">
      <c r="A272" s="61" t="str">
        <f>Segments!$A$252</f>
        <v>Greek</v>
      </c>
      <c r="B272" s="61" t="str">
        <f>Segments!$B$252</f>
        <v>Off 0-1mi</v>
      </c>
      <c r="C272" s="61" t="str">
        <f>Segments!$C$252</f>
        <v>Yes</v>
      </c>
      <c r="D272" s="61" t="str">
        <f>Segments!$D$252</f>
        <v>1.0-2.0</v>
      </c>
      <c r="E272" s="61" t="str">
        <f>Segments!$E$252</f>
        <v>Junior</v>
      </c>
      <c r="F272" s="61">
        <f>Segments!$F$252</f>
        <v>2</v>
      </c>
      <c r="G272" s="61" t="str">
        <f>Segments!$G$252</f>
        <v>Base</v>
      </c>
      <c r="H272" s="62">
        <f>Segments!$H$252</f>
        <v>5</v>
      </c>
      <c r="I272" s="63">
        <f>Segments!$Y$252</f>
        <v>3436.591906037967</v>
      </c>
      <c r="J272" s="42">
        <v>2</v>
      </c>
      <c r="K272" s="40">
        <f t="shared" si="117"/>
        <v>1426.2297754450396</v>
      </c>
      <c r="L272" s="40">
        <f t="shared" si="118"/>
        <v>3436.591906037967</v>
      </c>
      <c r="M272" s="40">
        <f t="shared" si="119"/>
        <v>5629.833021391546</v>
      </c>
      <c r="N272" s="40">
        <f t="shared" si="120"/>
        <v>2833.625854959037</v>
      </c>
      <c r="O272" s="40">
        <f t="shared" si="121"/>
        <v>1426.2297754450396</v>
      </c>
      <c r="P272" s="41">
        <f t="shared" si="122"/>
        <v>0.95</v>
      </c>
      <c r="Q272" s="41">
        <f t="shared" si="123"/>
        <v>0.59833837485124564</v>
      </c>
      <c r="R272" s="64">
        <f t="shared" si="124"/>
        <v>4.75</v>
      </c>
      <c r="S272" s="64">
        <f>APPLICANTS_PER_YEAR*($H272/Segments!$AH$2)*Q272</f>
        <v>3.5900302491074738</v>
      </c>
      <c r="T272" s="64">
        <f t="shared" si="125"/>
        <v>8.3400302491074747</v>
      </c>
      <c r="U272" s="40">
        <f t="shared" si="126"/>
        <v>1426.2297754450394</v>
      </c>
      <c r="V272" s="65">
        <f t="shared" si="127"/>
        <v>11894.799469389391</v>
      </c>
      <c r="W272" s="65">
        <f t="shared" si="128"/>
        <v>32100.634104217908</v>
      </c>
      <c r="X272" s="65">
        <f t="shared" si="129"/>
        <v>2683.8757421853225</v>
      </c>
      <c r="Y272" s="40">
        <f t="shared" si="130"/>
        <v>1426.2297754450394</v>
      </c>
      <c r="Z272" s="40">
        <f t="shared" si="131"/>
        <v>3539.689663219106</v>
      </c>
      <c r="AA272" s="40">
        <f t="shared" si="132"/>
        <v>5797.4780120332925</v>
      </c>
      <c r="AB272" s="40">
        <f t="shared" si="133"/>
        <v>2918.3200366216333</v>
      </c>
      <c r="AC272" s="40">
        <f t="shared" si="134"/>
        <v>1469.0166687083909</v>
      </c>
      <c r="AD272" s="41">
        <f t="shared" si="135"/>
        <v>0.95</v>
      </c>
      <c r="AE272" s="41">
        <f t="shared" si="136"/>
        <v>0.5983112458068538</v>
      </c>
      <c r="AF272" s="64">
        <f t="shared" si="137"/>
        <v>5.0827463575924794</v>
      </c>
      <c r="AG272" s="64">
        <f>APPLICANTS_PER_YEAR*($H272/Segments!$AH$2)*AE272</f>
        <v>3.5898674748411228</v>
      </c>
      <c r="AH272" s="64">
        <f t="shared" si="138"/>
        <v>8.6726138324336013</v>
      </c>
      <c r="AI272" s="40">
        <f t="shared" si="139"/>
        <v>1469.0166687083911</v>
      </c>
      <c r="AJ272" s="65">
        <f t="shared" si="140"/>
        <v>12740.214281115921</v>
      </c>
      <c r="AK272" s="65">
        <f t="shared" si="141"/>
        <v>34382.164920047013</v>
      </c>
      <c r="AL272" s="65">
        <f t="shared" si="142"/>
        <v>2855.674593215459</v>
      </c>
      <c r="AM272" s="40">
        <f t="shared" si="143"/>
        <v>1469.0166687083909</v>
      </c>
      <c r="AN272" s="40">
        <f t="shared" si="144"/>
        <v>3645.8803531156791</v>
      </c>
      <c r="AO272" s="40">
        <f t="shared" si="145"/>
        <v>5970.1523523942915</v>
      </c>
      <c r="AP272" s="40">
        <f t="shared" si="146"/>
        <v>3005.5550103113569</v>
      </c>
      <c r="AQ272" s="40">
        <f t="shared" si="147"/>
        <v>1513.0871687696424</v>
      </c>
      <c r="AR272" s="41">
        <f t="shared" si="148"/>
        <v>0.95</v>
      </c>
      <c r="AS272" s="41">
        <f t="shared" si="149"/>
        <v>0.59828489853311717</v>
      </c>
      <c r="AT272" s="64">
        <f t="shared" si="150"/>
        <v>4.5260989302268868</v>
      </c>
      <c r="AU272" s="64">
        <f>APPLICANTS_PER_YEAR*($H272/Segments!$AH$2)*AS272</f>
        <v>3.5897093911987028</v>
      </c>
      <c r="AV272" s="64">
        <f t="shared" si="151"/>
        <v>8.1158083214255896</v>
      </c>
      <c r="AW272" s="40">
        <f t="shared" si="152"/>
        <v>1513.0871687696424</v>
      </c>
      <c r="AX272" s="65">
        <f t="shared" si="153"/>
        <v>12279.92543534295</v>
      </c>
      <c r="AY272" s="65">
        <f t="shared" si="154"/>
        <v>33139.978041786897</v>
      </c>
      <c r="AZ272" s="65">
        <f t="shared" si="155"/>
        <v>2763.0688211685092</v>
      </c>
    </row>
    <row r="273" spans="1:52" ht="15" customHeight="1" x14ac:dyDescent="0.35">
      <c r="A273" s="61" t="str">
        <f>Segments!$A$253</f>
        <v>Greek</v>
      </c>
      <c r="B273" s="61" t="str">
        <f>Segments!$B$253</f>
        <v>Off 0-1mi</v>
      </c>
      <c r="C273" s="61" t="str">
        <f>Segments!$C$253</f>
        <v>Yes</v>
      </c>
      <c r="D273" s="61" t="str">
        <f>Segments!$D$253</f>
        <v>1.0-2.0</v>
      </c>
      <c r="E273" s="61" t="str">
        <f>Segments!$E$253</f>
        <v>Senior</v>
      </c>
      <c r="F273" s="61">
        <f>Segments!$F$253</f>
        <v>3</v>
      </c>
      <c r="G273" s="61" t="str">
        <f>Segments!$G$253</f>
        <v>Base</v>
      </c>
      <c r="H273" s="62">
        <f>Segments!$H$253</f>
        <v>6</v>
      </c>
      <c r="I273" s="63">
        <f>Segments!$Y$253</f>
        <v>3212.139347512536</v>
      </c>
      <c r="J273" s="42">
        <v>3</v>
      </c>
      <c r="K273" s="40">
        <f t="shared" si="117"/>
        <v>1426.2297754450396</v>
      </c>
      <c r="L273" s="40">
        <f t="shared" si="118"/>
        <v>3212.139347512536</v>
      </c>
      <c r="M273" s="40">
        <f t="shared" si="119"/>
        <v>5264.8556629859677</v>
      </c>
      <c r="N273" s="40">
        <f t="shared" si="120"/>
        <v>2740.2361047856848</v>
      </c>
      <c r="O273" s="40">
        <f t="shared" si="121"/>
        <v>1426.2297754450396</v>
      </c>
      <c r="P273" s="41">
        <f t="shared" si="122"/>
        <v>0.95</v>
      </c>
      <c r="Q273" s="41">
        <f t="shared" si="123"/>
        <v>0.58976151672583965</v>
      </c>
      <c r="R273" s="64">
        <f t="shared" si="124"/>
        <v>4.75</v>
      </c>
      <c r="S273" s="64">
        <f>APPLICANTS_PER_YEAR*($H273/Segments!$AH$2)*Q273</f>
        <v>4.2462829204260455</v>
      </c>
      <c r="T273" s="64">
        <f t="shared" si="125"/>
        <v>8.9962829204260455</v>
      </c>
      <c r="U273" s="40">
        <f t="shared" si="126"/>
        <v>1426.2297754450396</v>
      </c>
      <c r="V273" s="65">
        <f t="shared" si="127"/>
        <v>12830.766569439285</v>
      </c>
      <c r="W273" s="65">
        <f t="shared" si="128"/>
        <v>32364.992072062152</v>
      </c>
      <c r="X273" s="65">
        <f t="shared" si="129"/>
        <v>2923.063742805834</v>
      </c>
      <c r="Y273" s="40">
        <f t="shared" si="130"/>
        <v>1426.2297754450394</v>
      </c>
      <c r="Z273" s="40">
        <f t="shared" si="131"/>
        <v>3308.5035279379122</v>
      </c>
      <c r="AA273" s="40">
        <f t="shared" si="132"/>
        <v>5421.5513328755469</v>
      </c>
      <c r="AB273" s="40">
        <f t="shared" si="133"/>
        <v>2822.1178710770341</v>
      </c>
      <c r="AC273" s="40">
        <f t="shared" si="134"/>
        <v>1469.0166687083909</v>
      </c>
      <c r="AD273" s="41">
        <f t="shared" si="135"/>
        <v>0.95</v>
      </c>
      <c r="AE273" s="41">
        <f t="shared" si="136"/>
        <v>0.58973151799152967</v>
      </c>
      <c r="AF273" s="64">
        <f t="shared" si="137"/>
        <v>7.9230287366521006</v>
      </c>
      <c r="AG273" s="64">
        <f>APPLICANTS_PER_YEAR*($H273/Segments!$AH$2)*AE273</f>
        <v>4.2460669295390137</v>
      </c>
      <c r="AH273" s="64">
        <f t="shared" si="138"/>
        <v>12.169095666191115</v>
      </c>
      <c r="AI273" s="40">
        <f t="shared" si="139"/>
        <v>1469.0166687083906</v>
      </c>
      <c r="AJ273" s="65">
        <f t="shared" si="140"/>
        <v>17876.604376741787</v>
      </c>
      <c r="AK273" s="65">
        <f t="shared" si="141"/>
        <v>45092.875456616137</v>
      </c>
      <c r="AL273" s="65">
        <f t="shared" si="142"/>
        <v>3946.5258221245449</v>
      </c>
      <c r="AM273" s="40">
        <f t="shared" si="143"/>
        <v>1469.0166687083911</v>
      </c>
      <c r="AN273" s="40">
        <f t="shared" si="144"/>
        <v>3407.7586337760495</v>
      </c>
      <c r="AO273" s="40">
        <f t="shared" si="145"/>
        <v>5582.9478728618133</v>
      </c>
      <c r="AP273" s="40">
        <f t="shared" si="146"/>
        <v>2906.4560533985336</v>
      </c>
      <c r="AQ273" s="40">
        <f t="shared" si="147"/>
        <v>1513.0871687696424</v>
      </c>
      <c r="AR273" s="41">
        <f t="shared" si="148"/>
        <v>0.95</v>
      </c>
      <c r="AS273" s="41">
        <f t="shared" si="149"/>
        <v>0.58970238307914857</v>
      </c>
      <c r="AT273" s="64">
        <f t="shared" si="150"/>
        <v>8.2389831408119214</v>
      </c>
      <c r="AU273" s="64">
        <f>APPLICANTS_PER_YEAR*($H273/Segments!$AH$2)*AS273</f>
        <v>4.2458571581698692</v>
      </c>
      <c r="AV273" s="64">
        <f t="shared" si="151"/>
        <v>12.484840298981791</v>
      </c>
      <c r="AW273" s="40">
        <f t="shared" si="152"/>
        <v>1513.0871687696426</v>
      </c>
      <c r="AX273" s="65">
        <f t="shared" si="153"/>
        <v>18890.651660527496</v>
      </c>
      <c r="AY273" s="65">
        <f t="shared" si="154"/>
        <v>47650.760998590798</v>
      </c>
      <c r="AZ273" s="65">
        <f t="shared" si="155"/>
        <v>4151.0287182995244</v>
      </c>
    </row>
    <row r="274" spans="1:52" ht="15" customHeight="1" x14ac:dyDescent="0.35">
      <c r="A274" s="61" t="str">
        <f>Segments!$A$254</f>
        <v>Greek</v>
      </c>
      <c r="B274" s="61" t="str">
        <f>Segments!$B$254</f>
        <v>Off 0-1mi</v>
      </c>
      <c r="C274" s="61" t="str">
        <f>Segments!$C$254</f>
        <v>Yes</v>
      </c>
      <c r="D274" s="61" t="str">
        <f>Segments!$D$254</f>
        <v>1.0-2.0</v>
      </c>
      <c r="E274" s="61" t="str">
        <f>Segments!$E$254</f>
        <v>Grad student</v>
      </c>
      <c r="F274" s="61">
        <f>Segments!$F$254</f>
        <v>3</v>
      </c>
      <c r="G274" s="61" t="str">
        <f>Segments!$G$254</f>
        <v>Grad</v>
      </c>
      <c r="H274" s="62">
        <f>Segments!$H$254</f>
        <v>3</v>
      </c>
      <c r="I274" s="63">
        <f>Segments!$Y$254</f>
        <v>3824.6314498033435</v>
      </c>
      <c r="J274" s="42">
        <v>4</v>
      </c>
      <c r="K274" s="40">
        <f t="shared" si="117"/>
        <v>1426.2297754450396</v>
      </c>
      <c r="L274" s="40">
        <f t="shared" si="118"/>
        <v>3824.6314498033435</v>
      </c>
      <c r="M274" s="40">
        <f t="shared" si="119"/>
        <v>6260.8155709816265</v>
      </c>
      <c r="N274" s="40">
        <f t="shared" si="120"/>
        <v>2988.2037390218111</v>
      </c>
      <c r="O274" s="40">
        <f t="shared" si="121"/>
        <v>1426.2297754450396</v>
      </c>
      <c r="P274" s="41">
        <f t="shared" si="122"/>
        <v>0.95</v>
      </c>
      <c r="Q274" s="41">
        <f t="shared" si="123"/>
        <v>0.61135667109634295</v>
      </c>
      <c r="R274" s="64">
        <f t="shared" si="124"/>
        <v>1.4249999999999998</v>
      </c>
      <c r="S274" s="64">
        <f>APPLICANTS_PER_YEAR*($H274/Segments!$AH$2)*Q274</f>
        <v>2.2008840159468344</v>
      </c>
      <c r="T274" s="64">
        <f t="shared" si="125"/>
        <v>3.6258840159468342</v>
      </c>
      <c r="U274" s="40">
        <f t="shared" si="126"/>
        <v>1426.2297754450396</v>
      </c>
      <c r="V274" s="65">
        <f t="shared" si="127"/>
        <v>5171.3437458536118</v>
      </c>
      <c r="W274" s="65">
        <f t="shared" si="128"/>
        <v>15531.790445617053</v>
      </c>
      <c r="X274" s="65">
        <f t="shared" si="129"/>
        <v>1214.7875697384952</v>
      </c>
      <c r="Y274" s="40">
        <f t="shared" si="130"/>
        <v>1426.2297754450396</v>
      </c>
      <c r="Z274" s="40">
        <f t="shared" si="131"/>
        <v>3939.370393297444</v>
      </c>
      <c r="AA274" s="40">
        <f t="shared" si="132"/>
        <v>6447.3900381110752</v>
      </c>
      <c r="AB274" s="40">
        <f t="shared" si="133"/>
        <v>3077.5515325741658</v>
      </c>
      <c r="AC274" s="40">
        <f t="shared" si="134"/>
        <v>1469.0166687083909</v>
      </c>
      <c r="AD274" s="41">
        <f t="shared" si="135"/>
        <v>0.95</v>
      </c>
      <c r="AE274" s="41">
        <f t="shared" si="136"/>
        <v>0.61133353850298378</v>
      </c>
      <c r="AF274" s="64">
        <f t="shared" si="137"/>
        <v>1.7222949075747462</v>
      </c>
      <c r="AG274" s="64">
        <f>APPLICANTS_PER_YEAR*($H274/Segments!$AH$2)*AE274</f>
        <v>2.2008007386107415</v>
      </c>
      <c r="AH274" s="64">
        <f t="shared" si="138"/>
        <v>3.9230956461854878</v>
      </c>
      <c r="AI274" s="40">
        <f t="shared" si="139"/>
        <v>1469.0166687083906</v>
      </c>
      <c r="AJ274" s="65">
        <f t="shared" si="140"/>
        <v>5763.0928971837966</v>
      </c>
      <c r="AK274" s="65">
        <f t="shared" si="141"/>
        <v>17309.070059296082</v>
      </c>
      <c r="AL274" s="65">
        <f t="shared" si="142"/>
        <v>1335.8619428900881</v>
      </c>
      <c r="AM274" s="40">
        <f t="shared" si="143"/>
        <v>1469.0166687083906</v>
      </c>
      <c r="AN274" s="40">
        <f t="shared" si="144"/>
        <v>4057.5515050963668</v>
      </c>
      <c r="AO274" s="40">
        <f t="shared" si="145"/>
        <v>6639.5617392544063</v>
      </c>
      <c r="AP274" s="40">
        <f t="shared" si="146"/>
        <v>3169.579731434389</v>
      </c>
      <c r="AQ274" s="40">
        <f t="shared" si="147"/>
        <v>1513.0871687696424</v>
      </c>
      <c r="AR274" s="41">
        <f t="shared" si="148"/>
        <v>0.95</v>
      </c>
      <c r="AS274" s="41">
        <f t="shared" si="149"/>
        <v>0.61131107323731892</v>
      </c>
      <c r="AT274" s="64">
        <f t="shared" si="150"/>
        <v>1.8634704319381066</v>
      </c>
      <c r="AU274" s="64">
        <f>APPLICANTS_PER_YEAR*($H274/Segments!$AH$2)*AS274</f>
        <v>2.2007198636543479</v>
      </c>
      <c r="AV274" s="64">
        <f t="shared" si="151"/>
        <v>4.0641902955924545</v>
      </c>
      <c r="AW274" s="40">
        <f t="shared" si="152"/>
        <v>1513.0871687696424</v>
      </c>
      <c r="AX274" s="65">
        <f t="shared" si="153"/>
        <v>6149.4741876990429</v>
      </c>
      <c r="AY274" s="65">
        <f t="shared" si="154"/>
        <v>18469.540824984721</v>
      </c>
      <c r="AZ274" s="65">
        <f t="shared" si="155"/>
        <v>1415.0982585496427</v>
      </c>
    </row>
    <row r="275" spans="1:52" ht="15" customHeight="1" x14ac:dyDescent="0.35">
      <c r="A275" s="59" t="str">
        <f>Segments!$A$255</f>
        <v>Greek</v>
      </c>
      <c r="B275" s="59" t="str">
        <f>Segments!$B$255</f>
        <v>Off 0-1mi</v>
      </c>
      <c r="C275" s="59" t="str">
        <f>Segments!$C$255</f>
        <v>Yes</v>
      </c>
      <c r="D275" s="59" t="str">
        <f>Segments!$D$255</f>
        <v>2.0-3.0</v>
      </c>
      <c r="E275" s="59" t="str">
        <f>Segments!$E$255</f>
        <v>Freshman</v>
      </c>
      <c r="F275" s="59">
        <f>Segments!$F$255</f>
        <v>1</v>
      </c>
      <c r="G275" s="59" t="str">
        <f>Segments!$G$255</f>
        <v>Base</v>
      </c>
      <c r="H275" s="60">
        <f>Segments!$H$255</f>
        <v>8</v>
      </c>
      <c r="I275" s="26">
        <f>Segments!$Y$255</f>
        <v>2854.0293275513854</v>
      </c>
      <c r="J275" s="29">
        <v>0</v>
      </c>
      <c r="K275" s="14">
        <f t="shared" si="117"/>
        <v>4682.5408523968026</v>
      </c>
      <c r="L275" s="14">
        <f t="shared" si="118"/>
        <v>2854.0293275513854</v>
      </c>
      <c r="M275" s="14">
        <f t="shared" si="119"/>
        <v>4682.5408523968026</v>
      </c>
      <c r="N275" s="14">
        <f t="shared" si="120"/>
        <v>2584.2560222288575</v>
      </c>
      <c r="O275" s="14">
        <f t="shared" si="121"/>
        <v>1426.2297754450396</v>
      </c>
      <c r="P275" s="33">
        <f t="shared" si="122"/>
        <v>0.95</v>
      </c>
      <c r="Q275" s="33">
        <f t="shared" si="123"/>
        <v>0.5740540869060351</v>
      </c>
      <c r="R275" s="51">
        <f t="shared" si="124"/>
        <v>0</v>
      </c>
      <c r="S275" s="51">
        <f>APPLICANTS_PER_YEAR*($H275/Segments!$AH$2)*Q275</f>
        <v>5.510919234297937</v>
      </c>
      <c r="T275" s="51">
        <f t="shared" si="125"/>
        <v>5.510919234297937</v>
      </c>
      <c r="U275" s="14">
        <f t="shared" si="126"/>
        <v>1426.2297754450396</v>
      </c>
      <c r="V275" s="44">
        <f t="shared" si="127"/>
        <v>7859.8371020284967</v>
      </c>
      <c r="W275" s="44">
        <f t="shared" si="128"/>
        <v>17615.724130427741</v>
      </c>
      <c r="X275" s="44">
        <f t="shared" si="129"/>
        <v>2008.5948763977904</v>
      </c>
      <c r="Y275" s="14">
        <f t="shared" si="130"/>
        <v>4821.7670779687069</v>
      </c>
      <c r="Z275" s="14">
        <f t="shared" si="131"/>
        <v>2939.650207377927</v>
      </c>
      <c r="AA275" s="14">
        <f t="shared" si="132"/>
        <v>4821.7670779687069</v>
      </c>
      <c r="AB275" s="14">
        <f t="shared" si="133"/>
        <v>2661.438748152093</v>
      </c>
      <c r="AC275" s="14">
        <f t="shared" si="134"/>
        <v>1469.0166687083909</v>
      </c>
      <c r="AD275" s="33">
        <f t="shared" si="135"/>
        <v>0.95</v>
      </c>
      <c r="AE275" s="33">
        <f t="shared" si="136"/>
        <v>0.57401832096861738</v>
      </c>
      <c r="AF275" s="51">
        <f t="shared" si="137"/>
        <v>0</v>
      </c>
      <c r="AG275" s="51">
        <f>APPLICANTS_PER_YEAR*($H275/Segments!$AH$2)*AE275</f>
        <v>5.5105758812987267</v>
      </c>
      <c r="AH275" s="51">
        <f t="shared" si="138"/>
        <v>5.5105758812987267</v>
      </c>
      <c r="AI275" s="14">
        <f t="shared" si="139"/>
        <v>1469.0166687083909</v>
      </c>
      <c r="AJ275" s="44">
        <f t="shared" si="140"/>
        <v>8095.1278238102605</v>
      </c>
      <c r="AK275" s="44">
        <f t="shared" si="141"/>
        <v>18143.065396099399</v>
      </c>
      <c r="AL275" s="44">
        <f t="shared" si="142"/>
        <v>2061.2845471919409</v>
      </c>
      <c r="AM275" s="14">
        <f t="shared" si="143"/>
        <v>4965.1700903077672</v>
      </c>
      <c r="AN275" s="14">
        <f t="shared" si="144"/>
        <v>3027.8397135992645</v>
      </c>
      <c r="AO275" s="14">
        <f t="shared" si="145"/>
        <v>4965.1700903077672</v>
      </c>
      <c r="AP275" s="14">
        <f t="shared" si="146"/>
        <v>2740.9369117882829</v>
      </c>
      <c r="AQ275" s="14">
        <f t="shared" si="147"/>
        <v>1513.0871687696424</v>
      </c>
      <c r="AR275" s="33">
        <f t="shared" si="148"/>
        <v>0.95</v>
      </c>
      <c r="AS275" s="33">
        <f t="shared" si="149"/>
        <v>0.57398358344876099</v>
      </c>
      <c r="AT275" s="51">
        <f t="shared" si="150"/>
        <v>0</v>
      </c>
      <c r="AU275" s="51">
        <f>APPLICANTS_PER_YEAR*($H275/Segments!$AH$2)*AS275</f>
        <v>5.5102424011081057</v>
      </c>
      <c r="AV275" s="51">
        <f t="shared" si="151"/>
        <v>5.5102424011081057</v>
      </c>
      <c r="AW275" s="14">
        <f t="shared" si="152"/>
        <v>1513.0871687696426</v>
      </c>
      <c r="AX275" s="44">
        <f t="shared" si="153"/>
        <v>8337.4770739271007</v>
      </c>
      <c r="AY275" s="44">
        <f t="shared" si="154"/>
        <v>18686.226466469732</v>
      </c>
      <c r="AZ275" s="44">
        <f t="shared" si="155"/>
        <v>2115.5557726095353</v>
      </c>
    </row>
    <row r="276" spans="1:52" ht="15" customHeight="1" x14ac:dyDescent="0.35">
      <c r="A276" s="59" t="str">
        <f>Segments!$A$256</f>
        <v>Greek</v>
      </c>
      <c r="B276" s="59" t="str">
        <f>Segments!$B$256</f>
        <v>Off 0-1mi</v>
      </c>
      <c r="C276" s="59" t="str">
        <f>Segments!$C$256</f>
        <v>Yes</v>
      </c>
      <c r="D276" s="59" t="str">
        <f>Segments!$D$256</f>
        <v>2.0-3.0</v>
      </c>
      <c r="E276" s="59" t="str">
        <f>Segments!$E$256</f>
        <v>Sophomore</v>
      </c>
      <c r="F276" s="59">
        <f>Segments!$F$256</f>
        <v>1</v>
      </c>
      <c r="G276" s="59" t="str">
        <f>Segments!$G$256</f>
        <v>Sophomore</v>
      </c>
      <c r="H276" s="60">
        <f>Segments!$H$256</f>
        <v>13</v>
      </c>
      <c r="I276" s="26">
        <f>Segments!$Y$256</f>
        <v>2824.993126188002</v>
      </c>
      <c r="J276" s="29">
        <v>1</v>
      </c>
      <c r="K276" s="14">
        <f t="shared" si="117"/>
        <v>1426.2297754450396</v>
      </c>
      <c r="L276" s="14">
        <f t="shared" si="118"/>
        <v>2824.993126188002</v>
      </c>
      <c r="M276" s="14">
        <f t="shared" si="119"/>
        <v>4635.3257253278034</v>
      </c>
      <c r="N276" s="14">
        <f t="shared" si="120"/>
        <v>2571.1941911004869</v>
      </c>
      <c r="O276" s="14">
        <f t="shared" si="121"/>
        <v>1426.2297754450396</v>
      </c>
      <c r="P276" s="33">
        <f t="shared" si="122"/>
        <v>0.95</v>
      </c>
      <c r="Q276" s="33">
        <f t="shared" si="123"/>
        <v>0.57265226399826985</v>
      </c>
      <c r="R276" s="51">
        <f t="shared" si="124"/>
        <v>7.6</v>
      </c>
      <c r="S276" s="51">
        <f>APPLICANTS_PER_YEAR*($H276/Segments!$AH$2)*Q276</f>
        <v>8.9333753183730096</v>
      </c>
      <c r="T276" s="51">
        <f t="shared" si="125"/>
        <v>16.533375318373011</v>
      </c>
      <c r="U276" s="14">
        <f t="shared" si="126"/>
        <v>1426.2297754450396</v>
      </c>
      <c r="V276" s="44">
        <f t="shared" si="127"/>
        <v>23580.3921676717</v>
      </c>
      <c r="W276" s="44">
        <f t="shared" si="128"/>
        <v>52311.472222340941</v>
      </c>
      <c r="X276" s="44">
        <f t="shared" si="129"/>
        <v>5456.6326146168658</v>
      </c>
      <c r="Y276" s="14">
        <f t="shared" si="130"/>
        <v>1426.2297754450396</v>
      </c>
      <c r="Z276" s="14">
        <f t="shared" si="131"/>
        <v>2909.7429199736421</v>
      </c>
      <c r="AA276" s="14">
        <f t="shared" si="132"/>
        <v>4773.1354970876373</v>
      </c>
      <c r="AB276" s="14">
        <f t="shared" si="133"/>
        <v>2647.9833094688206</v>
      </c>
      <c r="AC276" s="14">
        <f t="shared" si="134"/>
        <v>1469.0166687083909</v>
      </c>
      <c r="AD276" s="33">
        <f t="shared" si="135"/>
        <v>0.95</v>
      </c>
      <c r="AE276" s="33">
        <f t="shared" si="136"/>
        <v>0.57261595013544997</v>
      </c>
      <c r="AF276" s="51">
        <f t="shared" si="137"/>
        <v>5.2353732725830397</v>
      </c>
      <c r="AG276" s="51">
        <f>APPLICANTS_PER_YEAR*($H276/Segments!$AH$2)*AE276</f>
        <v>8.9328088221130191</v>
      </c>
      <c r="AH276" s="51">
        <f t="shared" si="138"/>
        <v>14.168182094696059</v>
      </c>
      <c r="AI276" s="14">
        <f t="shared" si="139"/>
        <v>1469.0166687083909</v>
      </c>
      <c r="AJ276" s="44">
        <f t="shared" si="140"/>
        <v>20813.295662404274</v>
      </c>
      <c r="AK276" s="44">
        <f t="shared" si="141"/>
        <v>46172.85964361189</v>
      </c>
      <c r="AL276" s="44">
        <f t="shared" si="142"/>
        <v>4899.6823196735832</v>
      </c>
      <c r="AM276" s="14">
        <f t="shared" si="143"/>
        <v>1469.0166687083909</v>
      </c>
      <c r="AN276" s="14">
        <f t="shared" si="144"/>
        <v>2997.035207572851</v>
      </c>
      <c r="AO276" s="14">
        <f t="shared" si="145"/>
        <v>4915.0795620002664</v>
      </c>
      <c r="AP276" s="14">
        <f t="shared" si="146"/>
        <v>2727.0760566483141</v>
      </c>
      <c r="AQ276" s="14">
        <f t="shared" si="147"/>
        <v>1513.0871687696424</v>
      </c>
      <c r="AR276" s="33">
        <f t="shared" si="148"/>
        <v>0.95</v>
      </c>
      <c r="AS276" s="33">
        <f t="shared" si="149"/>
        <v>0.57258068030759524</v>
      </c>
      <c r="AT276" s="51">
        <f t="shared" si="150"/>
        <v>5.2350470872337898</v>
      </c>
      <c r="AU276" s="51">
        <f>APPLICANTS_PER_YEAR*($H276/Segments!$AH$2)*AS276</f>
        <v>8.9322586127984849</v>
      </c>
      <c r="AV276" s="51">
        <f t="shared" si="151"/>
        <v>14.167305700032275</v>
      </c>
      <c r="AW276" s="14">
        <f t="shared" si="152"/>
        <v>1513.0871687696424</v>
      </c>
      <c r="AX276" s="44">
        <f t="shared" si="153"/>
        <v>21436.36847075585</v>
      </c>
      <c r="AY276" s="44">
        <f t="shared" si="154"/>
        <v>47555.103656977582</v>
      </c>
      <c r="AZ276" s="44">
        <f t="shared" si="155"/>
        <v>5031.1612266239763</v>
      </c>
    </row>
    <row r="277" spans="1:52" ht="15" customHeight="1" x14ac:dyDescent="0.35">
      <c r="A277" s="59" t="str">
        <f>Segments!$A$257</f>
        <v>Greek</v>
      </c>
      <c r="B277" s="59" t="str">
        <f>Segments!$B$257</f>
        <v>Off 0-1mi</v>
      </c>
      <c r="C277" s="59" t="str">
        <f>Segments!$C$257</f>
        <v>Yes</v>
      </c>
      <c r="D277" s="59" t="str">
        <f>Segments!$D$257</f>
        <v>2.0-3.0</v>
      </c>
      <c r="E277" s="59" t="str">
        <f>Segments!$E$257</f>
        <v>Junior</v>
      </c>
      <c r="F277" s="59">
        <f>Segments!$F$257</f>
        <v>2</v>
      </c>
      <c r="G277" s="59" t="str">
        <f>Segments!$G$257</f>
        <v>Base</v>
      </c>
      <c r="H277" s="60">
        <f>Segments!$H$257</f>
        <v>8</v>
      </c>
      <c r="I277" s="26">
        <f>Segments!$Y$257</f>
        <v>3377.0691703717785</v>
      </c>
      <c r="J277" s="29">
        <v>2</v>
      </c>
      <c r="K277" s="14">
        <f t="shared" si="117"/>
        <v>1426.2297754450396</v>
      </c>
      <c r="L277" s="14">
        <f t="shared" si="118"/>
        <v>3377.0691703717785</v>
      </c>
      <c r="M277" s="14">
        <f t="shared" si="119"/>
        <v>5533.0444128265981</v>
      </c>
      <c r="N277" s="14">
        <f t="shared" si="120"/>
        <v>2809.1622755606541</v>
      </c>
      <c r="O277" s="14">
        <f t="shared" si="121"/>
        <v>1426.2297754450396</v>
      </c>
      <c r="P277" s="33">
        <f t="shared" si="122"/>
        <v>0.95</v>
      </c>
      <c r="Q277" s="33">
        <f t="shared" si="123"/>
        <v>0.59614678050943282</v>
      </c>
      <c r="R277" s="51">
        <f t="shared" si="124"/>
        <v>12.35</v>
      </c>
      <c r="S277" s="51">
        <f>APPLICANTS_PER_YEAR*($H277/Segments!$AH$2)*Q277</f>
        <v>5.723009092890555</v>
      </c>
      <c r="T277" s="51">
        <f t="shared" si="125"/>
        <v>18.073009092890555</v>
      </c>
      <c r="U277" s="14">
        <f t="shared" si="126"/>
        <v>1426.2297754450396</v>
      </c>
      <c r="V277" s="44">
        <f t="shared" si="127"/>
        <v>25776.263700169457</v>
      </c>
      <c r="W277" s="44">
        <f t="shared" si="128"/>
        <v>68357.858042263455</v>
      </c>
      <c r="X277" s="44">
        <f t="shared" si="129"/>
        <v>5661.9306575819155</v>
      </c>
      <c r="Y277" s="14">
        <f t="shared" si="130"/>
        <v>1426.2297754450396</v>
      </c>
      <c r="Z277" s="14">
        <f t="shared" si="131"/>
        <v>3478.3812454829317</v>
      </c>
      <c r="AA277" s="14">
        <f t="shared" si="132"/>
        <v>5697.7857452113958</v>
      </c>
      <c r="AB277" s="14">
        <f t="shared" si="133"/>
        <v>2893.1198099015187</v>
      </c>
      <c r="AC277" s="14">
        <f t="shared" si="134"/>
        <v>1469.0166687083909</v>
      </c>
      <c r="AD277" s="33">
        <f t="shared" si="135"/>
        <v>0.95</v>
      </c>
      <c r="AE277" s="33">
        <f t="shared" si="136"/>
        <v>0.59611893643658054</v>
      </c>
      <c r="AF277" s="51">
        <f t="shared" si="137"/>
        <v>15.70670655245436</v>
      </c>
      <c r="AG277" s="51">
        <f>APPLICANTS_PER_YEAR*($H277/Segments!$AH$2)*AE277</f>
        <v>5.722741789791173</v>
      </c>
      <c r="AH277" s="51">
        <f t="shared" si="138"/>
        <v>21.429448342245532</v>
      </c>
      <c r="AI277" s="14">
        <f t="shared" si="139"/>
        <v>1469.0166687083909</v>
      </c>
      <c r="AJ277" s="44">
        <f t="shared" si="140"/>
        <v>31480.21681598408</v>
      </c>
      <c r="AK277" s="44">
        <f t="shared" si="141"/>
        <v>83484.56616047764</v>
      </c>
      <c r="AL277" s="44">
        <f t="shared" si="142"/>
        <v>6815.6565976077882</v>
      </c>
      <c r="AM277" s="14">
        <f t="shared" si="143"/>
        <v>1469.0166687083909</v>
      </c>
      <c r="AN277" s="14">
        <f t="shared" si="144"/>
        <v>3582.7326828474197</v>
      </c>
      <c r="AO277" s="14">
        <f t="shared" si="145"/>
        <v>5867.4693175677376</v>
      </c>
      <c r="AP277" s="14">
        <f t="shared" si="146"/>
        <v>2979.5960359688552</v>
      </c>
      <c r="AQ277" s="14">
        <f t="shared" si="147"/>
        <v>1513.0871687696424</v>
      </c>
      <c r="AR277" s="33">
        <f t="shared" si="148"/>
        <v>0.95</v>
      </c>
      <c r="AS277" s="33">
        <f t="shared" si="149"/>
        <v>0.5960918945883813</v>
      </c>
      <c r="AT277" s="51">
        <f t="shared" si="150"/>
        <v>13.459772989961255</v>
      </c>
      <c r="AU277" s="51">
        <f>APPLICANTS_PER_YEAR*($H277/Segments!$AH$2)*AS277</f>
        <v>5.7224821880484606</v>
      </c>
      <c r="AV277" s="51">
        <f t="shared" si="151"/>
        <v>19.182255178009715</v>
      </c>
      <c r="AW277" s="14">
        <f t="shared" si="152"/>
        <v>1513.0871687696424</v>
      </c>
      <c r="AX277" s="44">
        <f t="shared" si="153"/>
        <v>29024.424177911533</v>
      </c>
      <c r="AY277" s="44">
        <f t="shared" si="154"/>
        <v>76971.879663811502</v>
      </c>
      <c r="AZ277" s="44">
        <f t="shared" si="155"/>
        <v>6315.3748309153989</v>
      </c>
    </row>
    <row r="278" spans="1:52" ht="15" customHeight="1" x14ac:dyDescent="0.35">
      <c r="A278" s="59" t="str">
        <f>Segments!$A$258</f>
        <v>Greek</v>
      </c>
      <c r="B278" s="59" t="str">
        <f>Segments!$B$258</f>
        <v>Off 0-1mi</v>
      </c>
      <c r="C278" s="59" t="str">
        <f>Segments!$C$258</f>
        <v>Yes</v>
      </c>
      <c r="D278" s="59" t="str">
        <f>Segments!$D$258</f>
        <v>2.0-3.0</v>
      </c>
      <c r="E278" s="59" t="str">
        <f>Segments!$E$258</f>
        <v>Senior</v>
      </c>
      <c r="F278" s="59">
        <f>Segments!$F$258</f>
        <v>3</v>
      </c>
      <c r="G278" s="59" t="str">
        <f>Segments!$G$258</f>
        <v>Base</v>
      </c>
      <c r="H278" s="60">
        <f>Segments!$H$258</f>
        <v>2</v>
      </c>
      <c r="I278" s="26">
        <f>Segments!$Y$258</f>
        <v>3156.5041931117394</v>
      </c>
      <c r="J278" s="29">
        <v>3</v>
      </c>
      <c r="K278" s="14">
        <f t="shared" si="117"/>
        <v>1426.2297754450396</v>
      </c>
      <c r="L278" s="14">
        <f t="shared" si="118"/>
        <v>3156.5041931117394</v>
      </c>
      <c r="M278" s="14">
        <f t="shared" si="119"/>
        <v>5174.3885646330273</v>
      </c>
      <c r="N278" s="14">
        <f t="shared" si="120"/>
        <v>2716.5910698156144</v>
      </c>
      <c r="O278" s="14">
        <f t="shared" si="121"/>
        <v>1426.2297754450396</v>
      </c>
      <c r="P278" s="33">
        <f t="shared" si="122"/>
        <v>0.95</v>
      </c>
      <c r="Q278" s="33">
        <f t="shared" si="123"/>
        <v>0.5874964176073354</v>
      </c>
      <c r="R278" s="51">
        <f t="shared" si="124"/>
        <v>7.6</v>
      </c>
      <c r="S278" s="51">
        <f>APPLICANTS_PER_YEAR*($H278/Segments!$AH$2)*Q278</f>
        <v>1.409991402257605</v>
      </c>
      <c r="T278" s="51">
        <f t="shared" si="125"/>
        <v>9.0099914022576044</v>
      </c>
      <c r="U278" s="14">
        <f t="shared" si="126"/>
        <v>1426.2297754450396</v>
      </c>
      <c r="V278" s="44">
        <f t="shared" si="127"/>
        <v>12850.318014403601</v>
      </c>
      <c r="W278" s="44">
        <f t="shared" si="128"/>
        <v>31852.884718062072</v>
      </c>
      <c r="X278" s="44">
        <f t="shared" si="129"/>
        <v>2714.5437280596184</v>
      </c>
      <c r="Y278" s="14">
        <f t="shared" si="130"/>
        <v>1426.2297754450396</v>
      </c>
      <c r="Z278" s="14">
        <f t="shared" si="131"/>
        <v>3251.1993189050918</v>
      </c>
      <c r="AA278" s="14">
        <f t="shared" si="132"/>
        <v>5328.3702215720186</v>
      </c>
      <c r="AB278" s="14">
        <f t="shared" si="133"/>
        <v>2797.7606531901038</v>
      </c>
      <c r="AC278" s="14">
        <f t="shared" si="134"/>
        <v>1469.0166687083909</v>
      </c>
      <c r="AD278" s="33">
        <f t="shared" si="135"/>
        <v>0.95</v>
      </c>
      <c r="AE278" s="33">
        <f t="shared" si="136"/>
        <v>0.58746562862098883</v>
      </c>
      <c r="AF278" s="51">
        <f t="shared" si="137"/>
        <v>17.169358638246027</v>
      </c>
      <c r="AG278" s="51">
        <f>APPLICANTS_PER_YEAR*($H278/Segments!$AH$2)*AE278</f>
        <v>1.4099175086903732</v>
      </c>
      <c r="AH278" s="51">
        <f t="shared" si="138"/>
        <v>18.579276146936401</v>
      </c>
      <c r="AI278" s="14">
        <f t="shared" si="139"/>
        <v>1469.0166687083909</v>
      </c>
      <c r="AJ278" s="44">
        <f t="shared" si="140"/>
        <v>27293.266352385781</v>
      </c>
      <c r="AK278" s="44">
        <f t="shared" si="141"/>
        <v>67653.521549229554</v>
      </c>
      <c r="AL278" s="44">
        <f t="shared" si="142"/>
        <v>5637.752532518849</v>
      </c>
      <c r="AM278" s="14">
        <f t="shared" si="143"/>
        <v>1469.0166687083909</v>
      </c>
      <c r="AN278" s="14">
        <f t="shared" si="144"/>
        <v>3348.7352984722443</v>
      </c>
      <c r="AO278" s="14">
        <f t="shared" si="145"/>
        <v>5486.9713282191788</v>
      </c>
      <c r="AP278" s="14">
        <f t="shared" si="146"/>
        <v>2881.3652861335308</v>
      </c>
      <c r="AQ278" s="14">
        <f t="shared" si="147"/>
        <v>1513.0871687696424</v>
      </c>
      <c r="AR278" s="33">
        <f t="shared" si="148"/>
        <v>0.95</v>
      </c>
      <c r="AS278" s="33">
        <f t="shared" si="149"/>
        <v>0.58743572603388383</v>
      </c>
      <c r="AT278" s="51">
        <f t="shared" si="150"/>
        <v>20.357975925133253</v>
      </c>
      <c r="AU278" s="51">
        <f>APPLICANTS_PER_YEAR*($H278/Segments!$AH$2)*AS278</f>
        <v>1.4098457424813211</v>
      </c>
      <c r="AV278" s="51">
        <f t="shared" si="151"/>
        <v>21.767821667614573</v>
      </c>
      <c r="AW278" s="14">
        <f t="shared" si="152"/>
        <v>1513.0871687696426</v>
      </c>
      <c r="AX278" s="44">
        <f t="shared" si="153"/>
        <v>32936.611657333415</v>
      </c>
      <c r="AY278" s="44">
        <f t="shared" si="154"/>
        <v>81642.033523892664</v>
      </c>
      <c r="AZ278" s="44">
        <f t="shared" si="155"/>
        <v>6770.284862751595</v>
      </c>
    </row>
    <row r="279" spans="1:52" ht="15" customHeight="1" x14ac:dyDescent="0.35">
      <c r="A279" s="59" t="str">
        <f>Segments!$A$259</f>
        <v>Greek</v>
      </c>
      <c r="B279" s="59" t="str">
        <f>Segments!$B$259</f>
        <v>Off 0-1mi</v>
      </c>
      <c r="C279" s="59" t="str">
        <f>Segments!$C$259</f>
        <v>Yes</v>
      </c>
      <c r="D279" s="59" t="str">
        <f>Segments!$D$259</f>
        <v>2.0-3.0</v>
      </c>
      <c r="E279" s="59" t="str">
        <f>Segments!$E$259</f>
        <v>Grad student</v>
      </c>
      <c r="F279" s="59">
        <f>Segments!$F$259</f>
        <v>3</v>
      </c>
      <c r="G279" s="59" t="str">
        <f>Segments!$G$259</f>
        <v>Grad</v>
      </c>
      <c r="H279" s="60">
        <f>Segments!$H$259</f>
        <v>5</v>
      </c>
      <c r="I279" s="26">
        <f>Segments!$Y$259</f>
        <v>3758.3877604065146</v>
      </c>
      <c r="J279" s="29">
        <v>4</v>
      </c>
      <c r="K279" s="14">
        <f t="shared" si="117"/>
        <v>1426.2297754450396</v>
      </c>
      <c r="L279" s="14">
        <f t="shared" si="118"/>
        <v>3758.3877604065146</v>
      </c>
      <c r="M279" s="14">
        <f t="shared" si="119"/>
        <v>6153.0981676874471</v>
      </c>
      <c r="N279" s="14">
        <f t="shared" si="120"/>
        <v>2962.3861696261265</v>
      </c>
      <c r="O279" s="14">
        <f t="shared" si="121"/>
        <v>1426.2297754450396</v>
      </c>
      <c r="P279" s="33">
        <f t="shared" si="122"/>
        <v>0.95</v>
      </c>
      <c r="Q279" s="33">
        <f t="shared" si="123"/>
        <v>0.60927686436217732</v>
      </c>
      <c r="R279" s="51">
        <f t="shared" si="124"/>
        <v>2.375</v>
      </c>
      <c r="S279" s="51">
        <f>APPLICANTS_PER_YEAR*($H279/Segments!$AH$2)*Q279</f>
        <v>3.6556611861730639</v>
      </c>
      <c r="T279" s="51">
        <f t="shared" si="125"/>
        <v>6.0306611861730639</v>
      </c>
      <c r="U279" s="14">
        <f t="shared" si="126"/>
        <v>1426.2297754450399</v>
      </c>
      <c r="V279" s="44">
        <f t="shared" si="127"/>
        <v>8601.1085493407263</v>
      </c>
      <c r="W279" s="44">
        <f t="shared" si="128"/>
        <v>25385.430771984058</v>
      </c>
      <c r="X279" s="44">
        <f t="shared" si="129"/>
        <v>2020.0977183462414</v>
      </c>
      <c r="Y279" s="14">
        <f t="shared" si="130"/>
        <v>1426.2297754450399</v>
      </c>
      <c r="Z279" s="14">
        <f t="shared" si="131"/>
        <v>3871.1393932187102</v>
      </c>
      <c r="AA279" s="14">
        <f t="shared" si="132"/>
        <v>6336.4411127180701</v>
      </c>
      <c r="AB279" s="14">
        <f t="shared" si="133"/>
        <v>3050.9568359568752</v>
      </c>
      <c r="AC279" s="14">
        <f t="shared" si="134"/>
        <v>1469.0166687083909</v>
      </c>
      <c r="AD279" s="33">
        <f t="shared" si="135"/>
        <v>0.95</v>
      </c>
      <c r="AE279" s="33">
        <f t="shared" si="136"/>
        <v>0.60925312161165635</v>
      </c>
      <c r="AF279" s="51">
        <f t="shared" si="137"/>
        <v>2.8645640634322054</v>
      </c>
      <c r="AG279" s="51">
        <f>APPLICANTS_PER_YEAR*($H279/Segments!$AH$2)*AE279</f>
        <v>3.6555187296699381</v>
      </c>
      <c r="AH279" s="51">
        <f t="shared" si="138"/>
        <v>6.5200827931021434</v>
      </c>
      <c r="AI279" s="14">
        <f t="shared" si="139"/>
        <v>1469.0166687083911</v>
      </c>
      <c r="AJ279" s="44">
        <f t="shared" si="140"/>
        <v>9578.1103044258125</v>
      </c>
      <c r="AK279" s="44">
        <f t="shared" si="141"/>
        <v>28268.967269116209</v>
      </c>
      <c r="AL279" s="44">
        <f t="shared" si="142"/>
        <v>2220.0030997733998</v>
      </c>
      <c r="AM279" s="14">
        <f t="shared" si="143"/>
        <v>1469.0166687083911</v>
      </c>
      <c r="AN279" s="14">
        <f t="shared" si="144"/>
        <v>3987.273575015271</v>
      </c>
      <c r="AO279" s="14">
        <f t="shared" si="145"/>
        <v>6525.2843460996119</v>
      </c>
      <c r="AP279" s="14">
        <f t="shared" si="146"/>
        <v>3142.1845930270761</v>
      </c>
      <c r="AQ279" s="14">
        <f t="shared" si="147"/>
        <v>1513.0871687696424</v>
      </c>
      <c r="AR279" s="33">
        <f t="shared" si="148"/>
        <v>0.95</v>
      </c>
      <c r="AS279" s="33">
        <f t="shared" si="149"/>
        <v>0.60923006367490573</v>
      </c>
      <c r="AT279" s="51">
        <f t="shared" si="150"/>
        <v>3.0970393267235181</v>
      </c>
      <c r="AU279" s="51">
        <f>APPLICANTS_PER_YEAR*($H279/Segments!$AH$2)*AS279</f>
        <v>3.6553803820494344</v>
      </c>
      <c r="AV279" s="51">
        <f t="shared" si="151"/>
        <v>6.7524197087729529</v>
      </c>
      <c r="AW279" s="14">
        <f t="shared" si="152"/>
        <v>1513.0871687696426</v>
      </c>
      <c r="AX279" s="44">
        <f t="shared" si="153"/>
        <v>10216.999619491602</v>
      </c>
      <c r="AY279" s="44">
        <f t="shared" si="154"/>
        <v>30154.594032867037</v>
      </c>
      <c r="AZ279" s="44">
        <f t="shared" si="155"/>
        <v>2351.0276521674023</v>
      </c>
    </row>
    <row r="280" spans="1:52" ht="15" customHeight="1" x14ac:dyDescent="0.35">
      <c r="A280" s="61" t="str">
        <f>Segments!$A$260</f>
        <v>Greek</v>
      </c>
      <c r="B280" s="61" t="str">
        <f>Segments!$B$260</f>
        <v>Off 0-1mi</v>
      </c>
      <c r="C280" s="61" t="str">
        <f>Segments!$C$260</f>
        <v>Yes</v>
      </c>
      <c r="D280" s="61" t="str">
        <f>Segments!$D$260</f>
        <v>3.0+</v>
      </c>
      <c r="E280" s="61" t="str">
        <f>Segments!$E$260</f>
        <v>Freshman</v>
      </c>
      <c r="F280" s="61">
        <f>Segments!$F$260</f>
        <v>1</v>
      </c>
      <c r="G280" s="61" t="str">
        <f>Segments!$G$260</f>
        <v>Base</v>
      </c>
      <c r="H280" s="62">
        <f>Segments!$H$260</f>
        <v>6</v>
      </c>
      <c r="I280" s="63">
        <f>Segments!$Y$260</f>
        <v>2501.6926078029637</v>
      </c>
      <c r="J280" s="42">
        <v>0</v>
      </c>
      <c r="K280" s="40">
        <f t="shared" si="117"/>
        <v>4109.6138780380061</v>
      </c>
      <c r="L280" s="40">
        <f t="shared" si="118"/>
        <v>2501.6926078029637</v>
      </c>
      <c r="M280" s="40">
        <f t="shared" si="119"/>
        <v>4109.6138780380061</v>
      </c>
      <c r="N280" s="40">
        <f t="shared" si="120"/>
        <v>2421.0026184289773</v>
      </c>
      <c r="O280" s="40">
        <f t="shared" si="121"/>
        <v>1426.2297754450396</v>
      </c>
      <c r="P280" s="41">
        <f t="shared" si="122"/>
        <v>0.95</v>
      </c>
      <c r="Q280" s="41">
        <f t="shared" si="123"/>
        <v>0.55544646160470901</v>
      </c>
      <c r="R280" s="64">
        <f t="shared" si="124"/>
        <v>0</v>
      </c>
      <c r="S280" s="64">
        <f>APPLICANTS_PER_YEAR*($H280/Segments!$AH$2)*Q280</f>
        <v>3.9992145235539045</v>
      </c>
      <c r="T280" s="64">
        <f t="shared" si="125"/>
        <v>3.9992145235539045</v>
      </c>
      <c r="U280" s="40">
        <f t="shared" si="126"/>
        <v>1426.2297754450396</v>
      </c>
      <c r="V280" s="65">
        <f t="shared" si="127"/>
        <v>5703.7988318848265</v>
      </c>
      <c r="W280" s="65">
        <f t="shared" si="128"/>
        <v>11205.382059864223</v>
      </c>
      <c r="X280" s="65">
        <f t="shared" si="129"/>
        <v>1457.6155919021269</v>
      </c>
      <c r="Y280" s="40">
        <f t="shared" si="130"/>
        <v>4231.652294379147</v>
      </c>
      <c r="Z280" s="40">
        <f t="shared" si="131"/>
        <v>2576.7433860370529</v>
      </c>
      <c r="AA280" s="40">
        <f t="shared" si="132"/>
        <v>4231.652294379147</v>
      </c>
      <c r="AB280" s="40">
        <f t="shared" si="133"/>
        <v>2493.2644778725489</v>
      </c>
      <c r="AC280" s="40">
        <f t="shared" si="134"/>
        <v>1469.0166687083909</v>
      </c>
      <c r="AD280" s="41">
        <f t="shared" si="135"/>
        <v>0.95</v>
      </c>
      <c r="AE280" s="41">
        <f t="shared" si="136"/>
        <v>0.55540296030650693</v>
      </c>
      <c r="AF280" s="64">
        <f t="shared" si="137"/>
        <v>0</v>
      </c>
      <c r="AG280" s="64">
        <f>APPLICANTS_PER_YEAR*($H280/Segments!$AH$2)*AE280</f>
        <v>3.9989013142068495</v>
      </c>
      <c r="AH280" s="64">
        <f t="shared" si="138"/>
        <v>3.9989013142068495</v>
      </c>
      <c r="AI280" s="40">
        <f t="shared" si="139"/>
        <v>1469.0166687083909</v>
      </c>
      <c r="AJ280" s="65">
        <f t="shared" si="140"/>
        <v>5874.4526870897525</v>
      </c>
      <c r="AK280" s="65">
        <f t="shared" si="141"/>
        <v>11540.639614333064</v>
      </c>
      <c r="AL280" s="65">
        <f t="shared" si="142"/>
        <v>1495.8279610474128</v>
      </c>
      <c r="AM280" s="40">
        <f t="shared" si="143"/>
        <v>4357.3518632105215</v>
      </c>
      <c r="AN280" s="40">
        <f t="shared" si="144"/>
        <v>2654.0456876181643</v>
      </c>
      <c r="AO280" s="40">
        <f t="shared" si="145"/>
        <v>4357.3518632105215</v>
      </c>
      <c r="AP280" s="40">
        <f t="shared" si="146"/>
        <v>2567.6941395030549</v>
      </c>
      <c r="AQ280" s="40">
        <f t="shared" si="147"/>
        <v>1513.0871687696424</v>
      </c>
      <c r="AR280" s="41">
        <f t="shared" si="148"/>
        <v>0.95</v>
      </c>
      <c r="AS280" s="41">
        <f t="shared" si="149"/>
        <v>0.55536070759142642</v>
      </c>
      <c r="AT280" s="64">
        <f t="shared" si="150"/>
        <v>0</v>
      </c>
      <c r="AU280" s="64">
        <f>APPLICANTS_PER_YEAR*($H280/Segments!$AH$2)*AS280</f>
        <v>3.9985970946582698</v>
      </c>
      <c r="AV280" s="64">
        <f t="shared" si="151"/>
        <v>3.9985970946582698</v>
      </c>
      <c r="AW280" s="40">
        <f t="shared" si="152"/>
        <v>1513.0871687696426</v>
      </c>
      <c r="AX280" s="65">
        <f t="shared" si="153"/>
        <v>6050.225957007</v>
      </c>
      <c r="AY280" s="65">
        <f t="shared" si="154"/>
        <v>11885.954500672338</v>
      </c>
      <c r="AZ280" s="65">
        <f t="shared" si="155"/>
        <v>1535.1874836291902</v>
      </c>
    </row>
    <row r="281" spans="1:52" ht="15" customHeight="1" x14ac:dyDescent="0.35">
      <c r="A281" s="61" t="str">
        <f>Segments!$A$261</f>
        <v>Greek</v>
      </c>
      <c r="B281" s="61" t="str">
        <f>Segments!$B$261</f>
        <v>Off 0-1mi</v>
      </c>
      <c r="C281" s="61" t="str">
        <f>Segments!$C$261</f>
        <v>Yes</v>
      </c>
      <c r="D281" s="61" t="str">
        <f>Segments!$D$261</f>
        <v>3.0+</v>
      </c>
      <c r="E281" s="61" t="str">
        <f>Segments!$E$261</f>
        <v>Sophomore</v>
      </c>
      <c r="F281" s="61">
        <f>Segments!$F$261</f>
        <v>1</v>
      </c>
      <c r="G281" s="61" t="str">
        <f>Segments!$G$261</f>
        <v>Sophomore</v>
      </c>
      <c r="H281" s="62">
        <f>Segments!$H$261</f>
        <v>4</v>
      </c>
      <c r="I281" s="63">
        <f>Segments!$Y$261</f>
        <v>2476.2409946719326</v>
      </c>
      <c r="J281" s="42">
        <v>1</v>
      </c>
      <c r="K281" s="40">
        <f t="shared" ref="K281:K344" si="156">IF($J281=0,M281,CURRENT_FLAT)</f>
        <v>1426.2297754450396</v>
      </c>
      <c r="L281" s="40">
        <f t="shared" ref="L281:L344" si="157">$I281*(1+LOSS_TREND)^0</f>
        <v>2476.2409946719326</v>
      </c>
      <c r="M281" s="40">
        <f t="shared" ref="M281:M344" si="158">L281*GROSS_MULT+POLICY_FEE</f>
        <v>4068.2275708880611</v>
      </c>
      <c r="N281" s="40">
        <f t="shared" ref="N281:N344" si="159">M281^MARKET_RISK_WEIGHT*(CURRENT_FLAT*(1+LOSS_TREND)^0)^(1-MARKET_RISK_WEIGHT)</f>
        <v>2408.7812883047309</v>
      </c>
      <c r="O281" s="40">
        <f t="shared" ref="O281:O344" si="160">CURRENT_FLAT*(1+LOSS_TREND)^0</f>
        <v>1426.2297754450396</v>
      </c>
      <c r="P281" s="41">
        <f t="shared" ref="P281:P344" si="161">MEDIAN(RET_FLOOR,BASE_RETENTION-ELAST_MARKET*(O281/N281-1)-ELAST_INCREASE*MAX(O281/K281-1,0),RET_CEIL)</f>
        <v>0.95</v>
      </c>
      <c r="Q281" s="41">
        <f t="shared" ref="Q281:Q344" si="162">MEDIAN(CONV_FLOOR,BASE_CONVERSION-ELAST_MARKET*(CURRENT_FLAT*(1+LOSS_TREND)^0/N281-1),CONV_CEIL)</f>
        <v>0.55395199797304928</v>
      </c>
      <c r="R281" s="64">
        <f t="shared" ref="R281:R344" si="163">IF($J281=0,0,IF($J281=4,$H281*GRAD_CONTINUE,$H280)*P281)</f>
        <v>5.6999999999999993</v>
      </c>
      <c r="S281" s="64">
        <f>APPLICANTS_PER_YEAR*($H281/Segments!$AH$2)*Q281</f>
        <v>2.6589695902706363</v>
      </c>
      <c r="T281" s="64">
        <f t="shared" ref="T281:T344" si="164">R281+S281</f>
        <v>8.358969590270636</v>
      </c>
      <c r="U281" s="40">
        <f t="shared" ref="U281:U344" si="165">IFERROR((R281*O281+S281*CURRENT_FLAT*(1+LOSS_TREND)^0)/T281,M281)</f>
        <v>1426.2297754450396</v>
      </c>
      <c r="V281" s="65">
        <f t="shared" ref="V281:V344" si="166">R281*O281+S281*CURRENT_FLAT*(1+LOSS_TREND)^0</f>
        <v>11921.811321683605</v>
      </c>
      <c r="W281" s="65">
        <f t="shared" ref="W281:W344" si="167">T281*L281*(1+LAE_RATIO)</f>
        <v>23182.681953361502</v>
      </c>
      <c r="X281" s="65">
        <f t="shared" ref="X281:X344" si="168">R281*O281*(PREMIUM_TAX+OTHER_VARIABLE+COMMISSION_RN)+S281*CURRENT_FLAT*(1+LOSS_TREND)^0*(PREMIUM_TAX+OTHER_VARIABLE+COMMISSION_NB)+T281*FIXED_PER_POLICY+S281*NB_ACQUISITION</f>
        <v>2619.606527418021</v>
      </c>
      <c r="Y281" s="40">
        <f t="shared" ref="Y281:Y344" si="169">IF($J281=0,AA281,IF($J281=4,U281,U280))</f>
        <v>1426.2297754450396</v>
      </c>
      <c r="Z281" s="40">
        <f t="shared" ref="Z281:Z344" si="170">$I281*(1+LOSS_TREND)^1</f>
        <v>2550.5282245120907</v>
      </c>
      <c r="AA281" s="40">
        <f t="shared" ref="AA281:AA344" si="171">Z281*GROSS_MULT+POLICY_FEE</f>
        <v>4189.0243980147034</v>
      </c>
      <c r="AB281" s="40">
        <f t="shared" ref="AB281:AB344" si="172">AA281^MARKET_RISK_WEIGHT*(CURRENT_FLAT*(1+LOSS_TREND)^1)^(1-MARKET_RISK_WEIGHT)</f>
        <v>2480.6746393490885</v>
      </c>
      <c r="AC281" s="40">
        <f t="shared" ref="AC281:AC344" si="173">CURRENT_FLAT*(1+LOSS_TREND)^1</f>
        <v>1469.0166687083909</v>
      </c>
      <c r="AD281" s="41">
        <f t="shared" ref="AD281:AD344" si="174">MEDIAN(RET_FLOOR,BASE_RETENTION-ELAST_MARKET*(AC281/AB281-1)-ELAST_INCREASE*MAX(AC281/Y281-1,0),RET_CEIL)</f>
        <v>0.95</v>
      </c>
      <c r="AE281" s="41">
        <f t="shared" ref="AE281:AE344" si="175">MEDIAN(CONV_FLOOR,BASE_CONVERSION-ELAST_MARKET*(CURRENT_FLAT*(1+LOSS_TREND)^1/AB281-1),CONV_CEIL)</f>
        <v>0.55390783107819197</v>
      </c>
      <c r="AF281" s="64">
        <f t="shared" ref="AF281:AF344" si="176">IF($J281=0,0,IF($J281=4,T281*GRAD_CONTINUE,T280)*AD281)</f>
        <v>3.7992537973762093</v>
      </c>
      <c r="AG281" s="64">
        <f>APPLICANTS_PER_YEAR*($H281/Segments!$AH$2)*AE281</f>
        <v>2.6587575891753215</v>
      </c>
      <c r="AH281" s="64">
        <f t="shared" ref="AH281:AH344" si="177">AF281+AG281</f>
        <v>6.4580113865515312</v>
      </c>
      <c r="AI281" s="40">
        <f t="shared" ref="AI281:AI344" si="178">IFERROR((AF281*AC281+AG281*CURRENT_FLAT*(1+LOSS_TREND)^1)/AH281,AA281)</f>
        <v>1469.0166687083906</v>
      </c>
      <c r="AJ281" s="65">
        <f t="shared" ref="AJ281:AJ344" si="179">AF281*AC281+AG281*CURRENT_FLAT*(1+LOSS_TREND)^1</f>
        <v>9486.9263735527857</v>
      </c>
      <c r="AK281" s="65">
        <f t="shared" ref="AK281:AK344" si="180">AH281*Z281*(1+LAE_RATIO)</f>
        <v>18447.90115349456</v>
      </c>
      <c r="AL281" s="65">
        <f t="shared" ref="AL281:AL344" si="181">AF281*AC281*(PREMIUM_TAX+OTHER_VARIABLE+COMMISSION_RN)+AG281*CURRENT_FLAT*(1+LOSS_TREND)^1*(PREMIUM_TAX+OTHER_VARIABLE+COMMISSION_NB)+AH281*FIXED_PER_POLICY+AG281*NB_ACQUISITION</f>
        <v>2125.3598246412621</v>
      </c>
      <c r="AM281" s="40">
        <f t="shared" ref="AM281:AM344" si="182">IF($J281=0,AO281,IF($J281=4,AI281,AI280))</f>
        <v>1469.0166687083909</v>
      </c>
      <c r="AN281" s="40">
        <f t="shared" ref="AN281:AN344" si="183">$I281*(1+LOSS_TREND)^2</f>
        <v>2627.0440712474533</v>
      </c>
      <c r="AO281" s="40">
        <f t="shared" ref="AO281:AO344" si="184">AN281*GROSS_MULT+POLICY_FEE</f>
        <v>4313.4451299551447</v>
      </c>
      <c r="AP281" s="40">
        <f t="shared" ref="AP281:AP344" si="185">AO281^MARKET_RISK_WEIGHT*(CURRENT_FLAT*(1+LOSS_TREND)^2)^(1-MARKET_RISK_WEIGHT)</f>
        <v>2554.7247365082276</v>
      </c>
      <c r="AQ281" s="40">
        <f t="shared" ref="AQ281:AQ344" si="186">CURRENT_FLAT*(1+LOSS_TREND)^2</f>
        <v>1513.0871687696424</v>
      </c>
      <c r="AR281" s="41">
        <f t="shared" ref="AR281:AR344" si="187">MEDIAN(RET_FLOOR,BASE_RETENTION-ELAST_MARKET*(AQ281/AP281-1)-ELAST_INCREASE*MAX(AQ281/AM281-1,0),RET_CEIL)</f>
        <v>0.95</v>
      </c>
      <c r="AS281" s="41">
        <f t="shared" ref="AS281:AS344" si="188">MEDIAN(CONV_FLOOR,BASE_CONVERSION-ELAST_MARKET*(CURRENT_FLAT*(1+LOSS_TREND)^2/AP281-1),CONV_CEIL)</f>
        <v>0.55386493167993611</v>
      </c>
      <c r="AT281" s="64">
        <f t="shared" ref="AT281:AT344" si="189">IF($J281=0,0,IF($J281=4,AH281*GRAD_CONTINUE,AH280)*AR281)</f>
        <v>3.7989562484965069</v>
      </c>
      <c r="AU281" s="64">
        <f>APPLICANTS_PER_YEAR*($H281/Segments!$AH$2)*AS281</f>
        <v>2.6585516720636932</v>
      </c>
      <c r="AV281" s="64">
        <f t="shared" ref="AV281:AV344" si="190">AT281+AU281</f>
        <v>6.4575079205602002</v>
      </c>
      <c r="AW281" s="40">
        <f t="shared" ref="AW281:AW344" si="191">IFERROR((AT281*AQ281+AU281*CURRENT_FLAT*(1+LOSS_TREND)^2)/AV281,AO281)</f>
        <v>1513.0871687696424</v>
      </c>
      <c r="AX281" s="65">
        <f t="shared" ref="AX281:AX344" si="192">AT281*AQ281+AU281*CURRENT_FLAT*(1+LOSS_TREND)^2</f>
        <v>9770.7723768279739</v>
      </c>
      <c r="AY281" s="65">
        <f t="shared" ref="AY281:AY344" si="193">AV281*AN281*(1+LAE_RATIO)</f>
        <v>18999.856845470083</v>
      </c>
      <c r="AZ281" s="65">
        <f t="shared" ref="AZ281:AZ344" si="194">AT281*AQ281*(PREMIUM_TAX+OTHER_VARIABLE+COMMISSION_RN)+AU281*CURRENT_FLAT*(1+LOSS_TREND)^2*(PREMIUM_TAX+OTHER_VARIABLE+COMMISSION_NB)+AV281*FIXED_PER_POLICY+AU281*NB_ACQUISITION</f>
        <v>2183.0816442211562</v>
      </c>
    </row>
    <row r="282" spans="1:52" ht="15" customHeight="1" x14ac:dyDescent="0.35">
      <c r="A282" s="61" t="str">
        <f>Segments!$A$262</f>
        <v>Greek</v>
      </c>
      <c r="B282" s="61" t="str">
        <f>Segments!$B$262</f>
        <v>Off 0-1mi</v>
      </c>
      <c r="C282" s="61" t="str">
        <f>Segments!$C$262</f>
        <v>Yes</v>
      </c>
      <c r="D282" s="61" t="str">
        <f>Segments!$D$262</f>
        <v>3.0+</v>
      </c>
      <c r="E282" s="61" t="str">
        <f>Segments!$E$262</f>
        <v>Junior</v>
      </c>
      <c r="F282" s="61">
        <f>Segments!$F$262</f>
        <v>2</v>
      </c>
      <c r="G282" s="61" t="str">
        <f>Segments!$G$262</f>
        <v>Base</v>
      </c>
      <c r="H282" s="62">
        <f>Segments!$H$262</f>
        <v>6</v>
      </c>
      <c r="I282" s="63">
        <f>Segments!$Y$262</f>
        <v>2960.1619359695442</v>
      </c>
      <c r="J282" s="42">
        <v>2</v>
      </c>
      <c r="K282" s="40">
        <f t="shared" si="156"/>
        <v>1426.2297754450396</v>
      </c>
      <c r="L282" s="40">
        <f t="shared" si="157"/>
        <v>2960.1619359695442</v>
      </c>
      <c r="M282" s="40">
        <f t="shared" si="158"/>
        <v>4855.1207477458875</v>
      </c>
      <c r="N282" s="40">
        <f t="shared" si="159"/>
        <v>2631.4478474437169</v>
      </c>
      <c r="O282" s="40">
        <f t="shared" si="160"/>
        <v>1426.2297754450396</v>
      </c>
      <c r="P282" s="41">
        <f t="shared" si="161"/>
        <v>0.95</v>
      </c>
      <c r="Q282" s="41">
        <f t="shared" si="162"/>
        <v>0.57900284213678588</v>
      </c>
      <c r="R282" s="64">
        <f t="shared" si="163"/>
        <v>3.8</v>
      </c>
      <c r="S282" s="64">
        <f>APPLICANTS_PER_YEAR*($H282/Segments!$AH$2)*Q282</f>
        <v>4.1688204633848578</v>
      </c>
      <c r="T282" s="64">
        <f t="shared" si="164"/>
        <v>7.9688204633848576</v>
      </c>
      <c r="U282" s="40">
        <f t="shared" si="165"/>
        <v>1426.2297754450396</v>
      </c>
      <c r="V282" s="65">
        <f t="shared" si="166"/>
        <v>11365.369020055223</v>
      </c>
      <c r="W282" s="65">
        <f t="shared" si="167"/>
        <v>26419.678891521486</v>
      </c>
      <c r="X282" s="65">
        <f t="shared" si="168"/>
        <v>2619.751021210498</v>
      </c>
      <c r="Y282" s="40">
        <f t="shared" si="169"/>
        <v>1426.2297754450396</v>
      </c>
      <c r="Z282" s="40">
        <f t="shared" si="170"/>
        <v>3048.9667940486306</v>
      </c>
      <c r="AA282" s="40">
        <f t="shared" si="171"/>
        <v>4999.5243701782638</v>
      </c>
      <c r="AB282" s="40">
        <f t="shared" si="172"/>
        <v>2710.052515248678</v>
      </c>
      <c r="AC282" s="40">
        <f t="shared" si="173"/>
        <v>1469.0166687083909</v>
      </c>
      <c r="AD282" s="41">
        <f t="shared" si="174"/>
        <v>0.95</v>
      </c>
      <c r="AE282" s="41">
        <f t="shared" si="175"/>
        <v>0.5789689663866916</v>
      </c>
      <c r="AF282" s="64">
        <f t="shared" si="176"/>
        <v>7.941021110757104</v>
      </c>
      <c r="AG282" s="64">
        <f>APPLICANTS_PER_YEAR*($H282/Segments!$AH$2)*AE282</f>
        <v>4.1685765579841787</v>
      </c>
      <c r="AH282" s="64">
        <f t="shared" si="177"/>
        <v>12.109597668741284</v>
      </c>
      <c r="AI282" s="40">
        <f t="shared" si="178"/>
        <v>1469.0166687083909</v>
      </c>
      <c r="AJ282" s="65">
        <f t="shared" si="179"/>
        <v>17789.200826733217</v>
      </c>
      <c r="AK282" s="65">
        <f t="shared" si="180"/>
        <v>41352.372523034595</v>
      </c>
      <c r="AL282" s="65">
        <f t="shared" si="181"/>
        <v>3922.8951192733111</v>
      </c>
      <c r="AM282" s="40">
        <f t="shared" si="182"/>
        <v>1469.0166687083906</v>
      </c>
      <c r="AN282" s="40">
        <f t="shared" si="183"/>
        <v>3140.4357978700891</v>
      </c>
      <c r="AO282" s="40">
        <f t="shared" si="184"/>
        <v>5148.2601012836112</v>
      </c>
      <c r="AP282" s="40">
        <f t="shared" si="185"/>
        <v>2791.0152813520986</v>
      </c>
      <c r="AQ282" s="40">
        <f t="shared" si="186"/>
        <v>1513.0871687696424</v>
      </c>
      <c r="AR282" s="41">
        <f t="shared" si="187"/>
        <v>0.95</v>
      </c>
      <c r="AS282" s="41">
        <f t="shared" si="188"/>
        <v>0.57893606515177654</v>
      </c>
      <c r="AT282" s="64">
        <f t="shared" si="189"/>
        <v>6.1351108172239543</v>
      </c>
      <c r="AU282" s="64">
        <f>APPLICANTS_PER_YEAR*($H282/Segments!$AH$2)*AS282</f>
        <v>4.1683396690927905</v>
      </c>
      <c r="AV282" s="64">
        <f t="shared" si="190"/>
        <v>10.303450486316745</v>
      </c>
      <c r="AW282" s="40">
        <f t="shared" si="191"/>
        <v>1513.0871687696426</v>
      </c>
      <c r="AX282" s="65">
        <f t="shared" si="192"/>
        <v>15590.018724899201</v>
      </c>
      <c r="AY282" s="65">
        <f t="shared" si="193"/>
        <v>36240.203718668417</v>
      </c>
      <c r="AZ282" s="65">
        <f t="shared" si="194"/>
        <v>3477.5381848528264</v>
      </c>
    </row>
    <row r="283" spans="1:52" ht="15" customHeight="1" x14ac:dyDescent="0.35">
      <c r="A283" s="61" t="str">
        <f>Segments!$A$263</f>
        <v>Greek</v>
      </c>
      <c r="B283" s="61" t="str">
        <f>Segments!$B$263</f>
        <v>Off 0-1mi</v>
      </c>
      <c r="C283" s="61" t="str">
        <f>Segments!$C$263</f>
        <v>Yes</v>
      </c>
      <c r="D283" s="61" t="str">
        <f>Segments!$D$263</f>
        <v>3.0+</v>
      </c>
      <c r="E283" s="61" t="str">
        <f>Segments!$E$263</f>
        <v>Senior</v>
      </c>
      <c r="F283" s="61">
        <f>Segments!$F$263</f>
        <v>3</v>
      </c>
      <c r="G283" s="61" t="str">
        <f>Segments!$G$263</f>
        <v>Base</v>
      </c>
      <c r="H283" s="62">
        <f>Segments!$H$263</f>
        <v>3</v>
      </c>
      <c r="I283" s="63">
        <f>Segments!$Y$263</f>
        <v>2766.8262306125589</v>
      </c>
      <c r="J283" s="42">
        <v>3</v>
      </c>
      <c r="K283" s="40">
        <f t="shared" si="156"/>
        <v>1426.2297754450396</v>
      </c>
      <c r="L283" s="40">
        <f t="shared" si="157"/>
        <v>2766.8262306125589</v>
      </c>
      <c r="M283" s="40">
        <f t="shared" si="158"/>
        <v>4540.741818451228</v>
      </c>
      <c r="N283" s="40">
        <f t="shared" si="159"/>
        <v>2544.8263563716082</v>
      </c>
      <c r="O283" s="40">
        <f t="shared" si="160"/>
        <v>1426.2297754450396</v>
      </c>
      <c r="P283" s="41">
        <f t="shared" si="161"/>
        <v>0.95</v>
      </c>
      <c r="Q283" s="41">
        <f t="shared" si="162"/>
        <v>0.56977856723424036</v>
      </c>
      <c r="R283" s="64">
        <f t="shared" si="163"/>
        <v>5.6999999999999993</v>
      </c>
      <c r="S283" s="64">
        <f>APPLICANTS_PER_YEAR*($H283/Segments!$AH$2)*Q283</f>
        <v>2.0512028420432653</v>
      </c>
      <c r="T283" s="64">
        <f t="shared" si="164"/>
        <v>7.7512028420432646</v>
      </c>
      <c r="U283" s="40">
        <f t="shared" si="165"/>
        <v>1426.2297754450396</v>
      </c>
      <c r="V283" s="65">
        <f t="shared" si="166"/>
        <v>11054.996288836319</v>
      </c>
      <c r="W283" s="65">
        <f t="shared" si="167"/>
        <v>24019.779103223591</v>
      </c>
      <c r="X283" s="65">
        <f t="shared" si="168"/>
        <v>2398.0904563899971</v>
      </c>
      <c r="Y283" s="40">
        <f t="shared" si="169"/>
        <v>1426.2297754450396</v>
      </c>
      <c r="Z283" s="40">
        <f t="shared" si="170"/>
        <v>2849.8310175309357</v>
      </c>
      <c r="AA283" s="40">
        <f t="shared" si="171"/>
        <v>4675.7140730047649</v>
      </c>
      <c r="AB283" s="40">
        <f t="shared" si="172"/>
        <v>2620.8208468642797</v>
      </c>
      <c r="AC283" s="40">
        <f t="shared" si="173"/>
        <v>1469.0166687083909</v>
      </c>
      <c r="AD283" s="41">
        <f t="shared" si="174"/>
        <v>0.95</v>
      </c>
      <c r="AE283" s="41">
        <f t="shared" si="175"/>
        <v>0.56974111270024086</v>
      </c>
      <c r="AF283" s="64">
        <f t="shared" si="176"/>
        <v>7.5703794402156142</v>
      </c>
      <c r="AG283" s="64">
        <f>APPLICANTS_PER_YEAR*($H283/Segments!$AH$2)*AE283</f>
        <v>2.0510680057208668</v>
      </c>
      <c r="AH283" s="64">
        <f t="shared" si="177"/>
        <v>9.6214474459364805</v>
      </c>
      <c r="AI283" s="40">
        <f t="shared" si="178"/>
        <v>1469.0166687083909</v>
      </c>
      <c r="AJ283" s="65">
        <f t="shared" si="179"/>
        <v>14134.066675182465</v>
      </c>
      <c r="AK283" s="65">
        <f t="shared" si="180"/>
        <v>30709.839288770418</v>
      </c>
      <c r="AL283" s="65">
        <f t="shared" si="181"/>
        <v>3020.5011087882822</v>
      </c>
      <c r="AM283" s="40">
        <f t="shared" si="182"/>
        <v>1469.0166687083909</v>
      </c>
      <c r="AN283" s="40">
        <f t="shared" si="183"/>
        <v>2935.3259480568636</v>
      </c>
      <c r="AO283" s="40">
        <f t="shared" si="184"/>
        <v>4814.7354951949083</v>
      </c>
      <c r="AP283" s="40">
        <f t="shared" si="185"/>
        <v>2699.0951259263106</v>
      </c>
      <c r="AQ283" s="40">
        <f t="shared" si="186"/>
        <v>1513.0871687696424</v>
      </c>
      <c r="AR283" s="41">
        <f t="shared" si="187"/>
        <v>0.95</v>
      </c>
      <c r="AS283" s="41">
        <f t="shared" si="188"/>
        <v>0.56970473470245664</v>
      </c>
      <c r="AT283" s="64">
        <f t="shared" si="189"/>
        <v>11.504117785304219</v>
      </c>
      <c r="AU283" s="64">
        <f>APPLICANTS_PER_YEAR*($H283/Segments!$AH$2)*AS283</f>
        <v>2.0509370449288435</v>
      </c>
      <c r="AV283" s="64">
        <f t="shared" si="190"/>
        <v>13.555054830233063</v>
      </c>
      <c r="AW283" s="40">
        <f t="shared" si="191"/>
        <v>1513.0871687696424</v>
      </c>
      <c r="AX283" s="65">
        <f t="shared" si="192"/>
        <v>20509.979535594612</v>
      </c>
      <c r="AY283" s="65">
        <f t="shared" si="193"/>
        <v>44563.124670978636</v>
      </c>
      <c r="AZ283" s="65">
        <f t="shared" si="194"/>
        <v>4307.3742833875294</v>
      </c>
    </row>
    <row r="284" spans="1:52" ht="15" customHeight="1" x14ac:dyDescent="0.35">
      <c r="A284" s="61" t="str">
        <f>Segments!$A$264</f>
        <v>Greek</v>
      </c>
      <c r="B284" s="61" t="str">
        <f>Segments!$B$264</f>
        <v>Off 0-1mi</v>
      </c>
      <c r="C284" s="61" t="str">
        <f>Segments!$C$264</f>
        <v>Yes</v>
      </c>
      <c r="D284" s="61" t="str">
        <f>Segments!$D$264</f>
        <v>3.0+</v>
      </c>
      <c r="E284" s="61" t="str">
        <f>Segments!$E$264</f>
        <v>Grad student</v>
      </c>
      <c r="F284" s="61">
        <f>Segments!$F$264</f>
        <v>3</v>
      </c>
      <c r="G284" s="61" t="str">
        <f>Segments!$G$264</f>
        <v>Grad</v>
      </c>
      <c r="H284" s="62">
        <f>Segments!$H$264</f>
        <v>4</v>
      </c>
      <c r="I284" s="63">
        <f>Segments!$Y$264</f>
        <v>3294.4058376347671</v>
      </c>
      <c r="J284" s="42">
        <v>4</v>
      </c>
      <c r="K284" s="40">
        <f t="shared" si="156"/>
        <v>1426.2297754450396</v>
      </c>
      <c r="L284" s="40">
        <f t="shared" si="157"/>
        <v>3294.4058376347671</v>
      </c>
      <c r="M284" s="40">
        <f t="shared" si="158"/>
        <v>5398.6273893916104</v>
      </c>
      <c r="N284" s="40">
        <f t="shared" si="159"/>
        <v>2774.8302883750275</v>
      </c>
      <c r="O284" s="40">
        <f t="shared" si="160"/>
        <v>1426.2297754450396</v>
      </c>
      <c r="P284" s="41">
        <f t="shared" si="161"/>
        <v>0.95</v>
      </c>
      <c r="Q284" s="41">
        <f t="shared" si="162"/>
        <v>0.59300594500857629</v>
      </c>
      <c r="R284" s="64">
        <f t="shared" si="163"/>
        <v>1.9</v>
      </c>
      <c r="S284" s="64">
        <f>APPLICANTS_PER_YEAR*($H284/Segments!$AH$2)*Q284</f>
        <v>2.8464285360411661</v>
      </c>
      <c r="T284" s="64">
        <f t="shared" si="164"/>
        <v>4.746428536041166</v>
      </c>
      <c r="U284" s="40">
        <f t="shared" si="165"/>
        <v>1426.2297754450396</v>
      </c>
      <c r="V284" s="65">
        <f t="shared" si="166"/>
        <v>6769.4977051239202</v>
      </c>
      <c r="W284" s="65">
        <f t="shared" si="167"/>
        <v>17513.061302296293</v>
      </c>
      <c r="X284" s="65">
        <f t="shared" si="168"/>
        <v>1587.6124900025156</v>
      </c>
      <c r="Y284" s="40">
        <f t="shared" si="169"/>
        <v>1426.2297754450396</v>
      </c>
      <c r="Z284" s="40">
        <f t="shared" si="170"/>
        <v>3393.2380127638103</v>
      </c>
      <c r="AA284" s="40">
        <f t="shared" si="171"/>
        <v>5559.3362110733588</v>
      </c>
      <c r="AB284" s="40">
        <f t="shared" si="172"/>
        <v>2857.7539364019626</v>
      </c>
      <c r="AC284" s="40">
        <f t="shared" si="173"/>
        <v>1469.0166687083909</v>
      </c>
      <c r="AD284" s="41">
        <f t="shared" si="174"/>
        <v>0.95</v>
      </c>
      <c r="AE284" s="41">
        <f t="shared" si="175"/>
        <v>0.59297705446292781</v>
      </c>
      <c r="AF284" s="64">
        <f t="shared" si="176"/>
        <v>2.2545535546195539</v>
      </c>
      <c r="AG284" s="64">
        <f>APPLICANTS_PER_YEAR*($H284/Segments!$AH$2)*AE284</f>
        <v>2.8462898614220533</v>
      </c>
      <c r="AH284" s="64">
        <f t="shared" si="177"/>
        <v>5.1008434160416076</v>
      </c>
      <c r="AI284" s="40">
        <f t="shared" si="178"/>
        <v>1469.0166687083906</v>
      </c>
      <c r="AJ284" s="65">
        <f t="shared" si="179"/>
        <v>7493.2240026365698</v>
      </c>
      <c r="AK284" s="65">
        <f t="shared" si="180"/>
        <v>19385.380869644599</v>
      </c>
      <c r="AL284" s="65">
        <f t="shared" si="181"/>
        <v>1735.7371051188595</v>
      </c>
      <c r="AM284" s="40">
        <f t="shared" si="182"/>
        <v>1469.0166687083906</v>
      </c>
      <c r="AN284" s="40">
        <f t="shared" si="183"/>
        <v>3495.035153146724</v>
      </c>
      <c r="AO284" s="40">
        <f t="shared" si="184"/>
        <v>5724.8662974055587</v>
      </c>
      <c r="AP284" s="40">
        <f t="shared" si="185"/>
        <v>2943.1652582765587</v>
      </c>
      <c r="AQ284" s="40">
        <f t="shared" si="186"/>
        <v>1513.0871687696424</v>
      </c>
      <c r="AR284" s="41">
        <f t="shared" si="187"/>
        <v>0.95</v>
      </c>
      <c r="AS284" s="41">
        <f t="shared" si="188"/>
        <v>0.59294899606560536</v>
      </c>
      <c r="AT284" s="64">
        <f t="shared" si="189"/>
        <v>2.4229006226197636</v>
      </c>
      <c r="AU284" s="64">
        <f>APPLICANTS_PER_YEAR*($H284/Segments!$AH$2)*AS284</f>
        <v>2.8461551811149057</v>
      </c>
      <c r="AV284" s="64">
        <f t="shared" si="190"/>
        <v>5.2690558037346698</v>
      </c>
      <c r="AW284" s="40">
        <f t="shared" si="191"/>
        <v>1513.0871687696422</v>
      </c>
      <c r="AX284" s="65">
        <f t="shared" si="192"/>
        <v>7972.5407281621428</v>
      </c>
      <c r="AY284" s="65">
        <f t="shared" si="193"/>
        <v>20625.399488897772</v>
      </c>
      <c r="AZ284" s="65">
        <f t="shared" si="194"/>
        <v>1834.0720241957383</v>
      </c>
    </row>
    <row r="285" spans="1:52" ht="15" customHeight="1" x14ac:dyDescent="0.35">
      <c r="A285" s="59" t="str">
        <f>Segments!$A$265</f>
        <v>Greek</v>
      </c>
      <c r="B285" s="59" t="str">
        <f>Segments!$B$265</f>
        <v>Off 0-1mi</v>
      </c>
      <c r="C285" s="59" t="str">
        <f>Segments!$C$265</f>
        <v>No</v>
      </c>
      <c r="D285" s="59" t="str">
        <f>Segments!$D$265</f>
        <v>&lt;1.0</v>
      </c>
      <c r="E285" s="59" t="str">
        <f>Segments!$E$265</f>
        <v>Freshman</v>
      </c>
      <c r="F285" s="59">
        <f>Segments!$F$265</f>
        <v>1</v>
      </c>
      <c r="G285" s="59" t="str">
        <f>Segments!$G$265</f>
        <v>Base</v>
      </c>
      <c r="H285" s="60">
        <f>Segments!$H$265</f>
        <v>3</v>
      </c>
      <c r="I285" s="26">
        <f>Segments!$Y$265</f>
        <v>4929.2333150043378</v>
      </c>
      <c r="J285" s="29">
        <v>0</v>
      </c>
      <c r="K285" s="14">
        <f t="shared" si="156"/>
        <v>8056.9843181748365</v>
      </c>
      <c r="L285" s="14">
        <f t="shared" si="157"/>
        <v>4929.2333150043378</v>
      </c>
      <c r="M285" s="14">
        <f t="shared" si="158"/>
        <v>8056.9843181748365</v>
      </c>
      <c r="N285" s="14">
        <f t="shared" si="159"/>
        <v>3389.8541170490957</v>
      </c>
      <c r="O285" s="14">
        <f t="shared" si="160"/>
        <v>1426.2297754450396</v>
      </c>
      <c r="P285" s="33">
        <f t="shared" si="161"/>
        <v>0.95</v>
      </c>
      <c r="Q285" s="33">
        <f t="shared" si="162"/>
        <v>0.63963257323200273</v>
      </c>
      <c r="R285" s="51">
        <f t="shared" si="163"/>
        <v>0</v>
      </c>
      <c r="S285" s="51">
        <f>APPLICANTS_PER_YEAR*($H285/Segments!$AH$2)*Q285</f>
        <v>2.3026772636352097</v>
      </c>
      <c r="T285" s="51">
        <f t="shared" si="164"/>
        <v>2.3026772636352097</v>
      </c>
      <c r="U285" s="14">
        <f t="shared" si="165"/>
        <v>1426.2297754450396</v>
      </c>
      <c r="V285" s="44">
        <f t="shared" si="166"/>
        <v>3284.1468766368434</v>
      </c>
      <c r="W285" s="44">
        <f t="shared" si="167"/>
        <v>12712.485499407347</v>
      </c>
      <c r="X285" s="44">
        <f t="shared" si="168"/>
        <v>839.26937723023741</v>
      </c>
      <c r="Y285" s="14">
        <f t="shared" si="169"/>
        <v>8297.4438477200802</v>
      </c>
      <c r="Z285" s="14">
        <f t="shared" si="170"/>
        <v>5077.1103144544677</v>
      </c>
      <c r="AA285" s="14">
        <f t="shared" si="171"/>
        <v>8297.4438477200802</v>
      </c>
      <c r="AB285" s="14">
        <f t="shared" si="172"/>
        <v>3491.2867713742285</v>
      </c>
      <c r="AC285" s="14">
        <f t="shared" si="173"/>
        <v>1469.0166687083909</v>
      </c>
      <c r="AD285" s="33">
        <f t="shared" si="174"/>
        <v>0.95</v>
      </c>
      <c r="AE285" s="33">
        <f t="shared" si="175"/>
        <v>0.63961672802802139</v>
      </c>
      <c r="AF285" s="51">
        <f t="shared" si="176"/>
        <v>0</v>
      </c>
      <c r="AG285" s="51">
        <f>APPLICANTS_PER_YEAR*($H285/Segments!$AH$2)*AE285</f>
        <v>2.3026202209008768</v>
      </c>
      <c r="AH285" s="51">
        <f t="shared" si="177"/>
        <v>2.3026202209008768</v>
      </c>
      <c r="AI285" s="14">
        <f t="shared" si="178"/>
        <v>1469.0166687083909</v>
      </c>
      <c r="AJ285" s="44">
        <f t="shared" si="179"/>
        <v>3382.5874862083851</v>
      </c>
      <c r="AK285" s="44">
        <f t="shared" si="180"/>
        <v>13093.53569866414</v>
      </c>
      <c r="AL285" s="44">
        <f t="shared" si="181"/>
        <v>861.31750685121779</v>
      </c>
      <c r="AM285" s="14">
        <f t="shared" si="182"/>
        <v>8545.1171631516845</v>
      </c>
      <c r="AN285" s="14">
        <f t="shared" si="183"/>
        <v>5229.4236238881022</v>
      </c>
      <c r="AO285" s="14">
        <f t="shared" si="184"/>
        <v>8545.1171631516845</v>
      </c>
      <c r="AP285" s="14">
        <f t="shared" si="185"/>
        <v>3595.7623858088932</v>
      </c>
      <c r="AQ285" s="14">
        <f t="shared" si="186"/>
        <v>1513.0871687696424</v>
      </c>
      <c r="AR285" s="33">
        <f t="shared" si="187"/>
        <v>0.95</v>
      </c>
      <c r="AS285" s="33">
        <f t="shared" si="188"/>
        <v>0.6396013409087844</v>
      </c>
      <c r="AT285" s="51">
        <f t="shared" si="189"/>
        <v>0</v>
      </c>
      <c r="AU285" s="51">
        <f>APPLICANTS_PER_YEAR*($H285/Segments!$AH$2)*AS285</f>
        <v>2.3025648272716235</v>
      </c>
      <c r="AV285" s="51">
        <f t="shared" si="190"/>
        <v>2.3025648272716235</v>
      </c>
      <c r="AW285" s="14">
        <f t="shared" si="191"/>
        <v>1513.0871687696426</v>
      </c>
      <c r="AX285" s="44">
        <f t="shared" si="192"/>
        <v>3483.9812954049821</v>
      </c>
      <c r="AY285" s="44">
        <f t="shared" si="193"/>
        <v>13486.017331660223</v>
      </c>
      <c r="AZ285" s="44">
        <f t="shared" si="194"/>
        <v>884.02722739793899</v>
      </c>
    </row>
    <row r="286" spans="1:52" ht="15" customHeight="1" x14ac:dyDescent="0.35">
      <c r="A286" s="59" t="str">
        <f>Segments!$A$266</f>
        <v>Greek</v>
      </c>
      <c r="B286" s="59" t="str">
        <f>Segments!$B$266</f>
        <v>Off 0-1mi</v>
      </c>
      <c r="C286" s="59" t="str">
        <f>Segments!$C$266</f>
        <v>No</v>
      </c>
      <c r="D286" s="59" t="str">
        <f>Segments!$D$266</f>
        <v>&lt;1.0</v>
      </c>
      <c r="E286" s="59" t="str">
        <f>Segments!$E$266</f>
        <v>Sophomore</v>
      </c>
      <c r="F286" s="59">
        <f>Segments!$F$266</f>
        <v>1</v>
      </c>
      <c r="G286" s="59" t="str">
        <f>Segments!$G$266</f>
        <v>Sophomore</v>
      </c>
      <c r="H286" s="60">
        <f>Segments!$H$266</f>
        <v>0</v>
      </c>
      <c r="I286" s="26">
        <f>Segments!$Y$266</f>
        <v>4879.0844921734379</v>
      </c>
      <c r="J286" s="29">
        <v>1</v>
      </c>
      <c r="K286" s="14">
        <f t="shared" si="156"/>
        <v>1426.2297754450396</v>
      </c>
      <c r="L286" s="14">
        <f t="shared" si="157"/>
        <v>4879.0844921734379</v>
      </c>
      <c r="M286" s="14">
        <f t="shared" si="158"/>
        <v>7975.4384226670454</v>
      </c>
      <c r="N286" s="14">
        <f t="shared" si="159"/>
        <v>3372.6558897456707</v>
      </c>
      <c r="O286" s="14">
        <f t="shared" si="160"/>
        <v>1426.2297754450396</v>
      </c>
      <c r="P286" s="33">
        <f t="shared" si="161"/>
        <v>0.95</v>
      </c>
      <c r="Q286" s="33">
        <f t="shared" si="162"/>
        <v>0.63855984392279774</v>
      </c>
      <c r="R286" s="51">
        <f t="shared" si="163"/>
        <v>2.8499999999999996</v>
      </c>
      <c r="S286" s="51">
        <f>APPLICANTS_PER_YEAR*($H286/Segments!$AH$2)*Q286</f>
        <v>0</v>
      </c>
      <c r="T286" s="51">
        <f t="shared" si="164"/>
        <v>2.8499999999999996</v>
      </c>
      <c r="U286" s="14">
        <f t="shared" si="165"/>
        <v>1426.2297754450396</v>
      </c>
      <c r="V286" s="44">
        <f t="shared" si="166"/>
        <v>4064.7548600183627</v>
      </c>
      <c r="W286" s="44">
        <f t="shared" si="167"/>
        <v>15574.037699017612</v>
      </c>
      <c r="X286" s="44">
        <f t="shared" si="168"/>
        <v>825.23866854347057</v>
      </c>
      <c r="Y286" s="14">
        <f t="shared" si="169"/>
        <v>1426.2297754450396</v>
      </c>
      <c r="Z286" s="14">
        <f t="shared" si="170"/>
        <v>5025.4570269386413</v>
      </c>
      <c r="AA286" s="14">
        <f t="shared" si="171"/>
        <v>8213.4515753470569</v>
      </c>
      <c r="AB286" s="14">
        <f t="shared" si="172"/>
        <v>3473.5712561877895</v>
      </c>
      <c r="AC286" s="14">
        <f t="shared" si="173"/>
        <v>1469.0166687083909</v>
      </c>
      <c r="AD286" s="33">
        <f t="shared" si="174"/>
        <v>0.95</v>
      </c>
      <c r="AE286" s="33">
        <f t="shared" si="175"/>
        <v>0.63854375506310723</v>
      </c>
      <c r="AF286" s="51">
        <f t="shared" si="176"/>
        <v>2.1875434004534493</v>
      </c>
      <c r="AG286" s="51">
        <f>APPLICANTS_PER_YEAR*($H286/Segments!$AH$2)*AE286</f>
        <v>0</v>
      </c>
      <c r="AH286" s="51">
        <f t="shared" si="177"/>
        <v>2.1875434004534493</v>
      </c>
      <c r="AI286" s="14">
        <f t="shared" si="178"/>
        <v>1469.0166687083909</v>
      </c>
      <c r="AJ286" s="44">
        <f t="shared" si="179"/>
        <v>3213.5377187891513</v>
      </c>
      <c r="AK286" s="44">
        <f t="shared" si="180"/>
        <v>12312.613995967084</v>
      </c>
      <c r="AL286" s="44">
        <f t="shared" si="181"/>
        <v>651.10949686021854</v>
      </c>
      <c r="AM286" s="14">
        <f t="shared" si="182"/>
        <v>1469.0166687083909</v>
      </c>
      <c r="AN286" s="14">
        <f t="shared" si="183"/>
        <v>5176.2207377468003</v>
      </c>
      <c r="AO286" s="14">
        <f t="shared" si="184"/>
        <v>8458.6051226074669</v>
      </c>
      <c r="AP286" s="14">
        <f t="shared" si="185"/>
        <v>3577.5140638027588</v>
      </c>
      <c r="AQ286" s="14">
        <f t="shared" si="186"/>
        <v>1513.0871687696424</v>
      </c>
      <c r="AR286" s="33">
        <f t="shared" si="187"/>
        <v>0.95</v>
      </c>
      <c r="AS286" s="33">
        <f t="shared" si="188"/>
        <v>0.63852813129666786</v>
      </c>
      <c r="AT286" s="51">
        <f t="shared" si="189"/>
        <v>2.187489209855833</v>
      </c>
      <c r="AU286" s="51">
        <f>APPLICANTS_PER_YEAR*($H286/Segments!$AH$2)*AS286</f>
        <v>0</v>
      </c>
      <c r="AV286" s="51">
        <f t="shared" si="190"/>
        <v>2.187489209855833</v>
      </c>
      <c r="AW286" s="14">
        <f t="shared" si="191"/>
        <v>1513.0871687696424</v>
      </c>
      <c r="AX286" s="44">
        <f t="shared" si="192"/>
        <v>3309.8618552549046</v>
      </c>
      <c r="AY286" s="44">
        <f t="shared" si="193"/>
        <v>12681.678253051501</v>
      </c>
      <c r="AZ286" s="44">
        <f t="shared" si="194"/>
        <v>669.31367484029363</v>
      </c>
    </row>
    <row r="287" spans="1:52" ht="15" customHeight="1" x14ac:dyDescent="0.35">
      <c r="A287" s="59" t="str">
        <f>Segments!$A$267</f>
        <v>Greek</v>
      </c>
      <c r="B287" s="59" t="str">
        <f>Segments!$B$267</f>
        <v>Off 0-1mi</v>
      </c>
      <c r="C287" s="59" t="str">
        <f>Segments!$C$267</f>
        <v>No</v>
      </c>
      <c r="D287" s="59" t="str">
        <f>Segments!$D$267</f>
        <v>&lt;1.0</v>
      </c>
      <c r="E287" s="59" t="str">
        <f>Segments!$E$267</f>
        <v>Junior</v>
      </c>
      <c r="F287" s="59">
        <f>Segments!$F$267</f>
        <v>2</v>
      </c>
      <c r="G287" s="59" t="str">
        <f>Segments!$G$267</f>
        <v>Base</v>
      </c>
      <c r="H287" s="60">
        <f>Segments!$H$267</f>
        <v>1</v>
      </c>
      <c r="I287" s="26">
        <f>Segments!$Y$267</f>
        <v>5832.5826230918146</v>
      </c>
      <c r="J287" s="29">
        <v>2</v>
      </c>
      <c r="K287" s="14">
        <f t="shared" si="156"/>
        <v>1426.2297754450396</v>
      </c>
      <c r="L287" s="14">
        <f t="shared" si="157"/>
        <v>5832.5826230918146</v>
      </c>
      <c r="M287" s="14">
        <f t="shared" si="158"/>
        <v>9525.9007179222626</v>
      </c>
      <c r="N287" s="14">
        <f t="shared" si="159"/>
        <v>3685.9358705536388</v>
      </c>
      <c r="O287" s="14">
        <f t="shared" si="160"/>
        <v>1426.2297754450396</v>
      </c>
      <c r="P287" s="33">
        <f t="shared" si="161"/>
        <v>0.95</v>
      </c>
      <c r="Q287" s="33">
        <f t="shared" si="162"/>
        <v>0.65653084785888915</v>
      </c>
      <c r="R287" s="51">
        <f t="shared" si="163"/>
        <v>0</v>
      </c>
      <c r="S287" s="51">
        <f>APPLICANTS_PER_YEAR*($H287/Segments!$AH$2)*Q287</f>
        <v>0.78783701743066692</v>
      </c>
      <c r="T287" s="51">
        <f t="shared" si="164"/>
        <v>0.78783701743066692</v>
      </c>
      <c r="U287" s="14">
        <f t="shared" si="165"/>
        <v>1426.2297754450396</v>
      </c>
      <c r="V287" s="44">
        <f t="shared" si="166"/>
        <v>1123.6366124574299</v>
      </c>
      <c r="W287" s="44">
        <f t="shared" si="167"/>
        <v>5146.5394374179423</v>
      </c>
      <c r="X287" s="44">
        <f t="shared" si="168"/>
        <v>287.14726697484434</v>
      </c>
      <c r="Y287" s="14">
        <f t="shared" si="169"/>
        <v>1426.2297754450396</v>
      </c>
      <c r="Z287" s="14">
        <f t="shared" si="170"/>
        <v>6007.5601017845693</v>
      </c>
      <c r="AA287" s="14">
        <f t="shared" si="171"/>
        <v>9810.4277394599303</v>
      </c>
      <c r="AB287" s="14">
        <f t="shared" si="172"/>
        <v>3796.2721025271376</v>
      </c>
      <c r="AC287" s="14">
        <f t="shared" si="173"/>
        <v>1469.0166687083909</v>
      </c>
      <c r="AD287" s="33">
        <f t="shared" si="174"/>
        <v>0.95</v>
      </c>
      <c r="AE287" s="33">
        <f t="shared" si="175"/>
        <v>0.6565185227725796</v>
      </c>
      <c r="AF287" s="51">
        <f t="shared" si="176"/>
        <v>2.7074999999999996</v>
      </c>
      <c r="AG287" s="51">
        <f>APPLICANTS_PER_YEAR*($H287/Segments!$AH$2)*AE287</f>
        <v>0.7878222273270955</v>
      </c>
      <c r="AH287" s="51">
        <f t="shared" si="177"/>
        <v>3.4953222273270952</v>
      </c>
      <c r="AI287" s="14">
        <f t="shared" si="178"/>
        <v>1469.0166687083909</v>
      </c>
      <c r="AJ287" s="44">
        <f t="shared" si="179"/>
        <v>5134.686614450442</v>
      </c>
      <c r="AK287" s="44">
        <f t="shared" si="180"/>
        <v>23518.161358463556</v>
      </c>
      <c r="AL287" s="44">
        <f t="shared" si="181"/>
        <v>1100.5641097981395</v>
      </c>
      <c r="AM287" s="14">
        <f t="shared" si="182"/>
        <v>1469.0166687083909</v>
      </c>
      <c r="AN287" s="14">
        <f t="shared" si="183"/>
        <v>6187.7869048381062</v>
      </c>
      <c r="AO287" s="14">
        <f t="shared" si="184"/>
        <v>10103.490571643728</v>
      </c>
      <c r="AP287" s="14">
        <f t="shared" si="185"/>
        <v>3909.9184062764261</v>
      </c>
      <c r="AQ287" s="14">
        <f t="shared" si="186"/>
        <v>1513.0871687696424</v>
      </c>
      <c r="AR287" s="33">
        <f t="shared" si="187"/>
        <v>0.95</v>
      </c>
      <c r="AS287" s="33">
        <f t="shared" si="188"/>
        <v>0.65650655441546457</v>
      </c>
      <c r="AT287" s="51">
        <f t="shared" si="189"/>
        <v>2.0781662304307766</v>
      </c>
      <c r="AU287" s="51">
        <f>APPLICANTS_PER_YEAR*($H287/Segments!$AH$2)*AS287</f>
        <v>0.78780786529855751</v>
      </c>
      <c r="AV287" s="51">
        <f t="shared" si="190"/>
        <v>2.8659740957293343</v>
      </c>
      <c r="AW287" s="14">
        <f t="shared" si="191"/>
        <v>1513.0871687696422</v>
      </c>
      <c r="AX287" s="44">
        <f t="shared" si="192"/>
        <v>4336.4686302742339</v>
      </c>
      <c r="AY287" s="44">
        <f t="shared" si="193"/>
        <v>19862.121416658316</v>
      </c>
      <c r="AZ287" s="44">
        <f t="shared" si="194"/>
        <v>938.32801870424771</v>
      </c>
    </row>
    <row r="288" spans="1:52" ht="15" customHeight="1" x14ac:dyDescent="0.35">
      <c r="A288" s="59" t="str">
        <f>Segments!$A$268</f>
        <v>Greek</v>
      </c>
      <c r="B288" s="59" t="str">
        <f>Segments!$B$268</f>
        <v>Off 0-1mi</v>
      </c>
      <c r="C288" s="59" t="str">
        <f>Segments!$C$268</f>
        <v>No</v>
      </c>
      <c r="D288" s="59" t="str">
        <f>Segments!$D$268</f>
        <v>&lt;1.0</v>
      </c>
      <c r="E288" s="59" t="str">
        <f>Segments!$E$268</f>
        <v>Senior</v>
      </c>
      <c r="F288" s="59">
        <f>Segments!$F$268</f>
        <v>3</v>
      </c>
      <c r="G288" s="59" t="str">
        <f>Segments!$G$268</f>
        <v>Base</v>
      </c>
      <c r="H288" s="60">
        <f>Segments!$H$268</f>
        <v>1</v>
      </c>
      <c r="I288" s="26">
        <f>Segments!$Y$268</f>
        <v>5451.6418165142823</v>
      </c>
      <c r="J288" s="29">
        <v>3</v>
      </c>
      <c r="K288" s="14">
        <f t="shared" si="156"/>
        <v>1426.2297754450396</v>
      </c>
      <c r="L288" s="14">
        <f t="shared" si="157"/>
        <v>5451.6418165142823</v>
      </c>
      <c r="M288" s="14">
        <f t="shared" si="158"/>
        <v>8906.4612684146941</v>
      </c>
      <c r="N288" s="14">
        <f t="shared" si="159"/>
        <v>3564.0791594549401</v>
      </c>
      <c r="O288" s="14">
        <f t="shared" si="160"/>
        <v>1426.2297754450396</v>
      </c>
      <c r="P288" s="33">
        <f t="shared" si="161"/>
        <v>0.95</v>
      </c>
      <c r="Q288" s="33">
        <f t="shared" si="162"/>
        <v>0.64991609169770026</v>
      </c>
      <c r="R288" s="51">
        <f t="shared" si="163"/>
        <v>0.95</v>
      </c>
      <c r="S288" s="51">
        <f>APPLICANTS_PER_YEAR*($H288/Segments!$AH$2)*Q288</f>
        <v>0.77989931003724033</v>
      </c>
      <c r="T288" s="51">
        <f t="shared" si="164"/>
        <v>1.7298993100372404</v>
      </c>
      <c r="U288" s="14">
        <f t="shared" si="165"/>
        <v>1426.2297754450394</v>
      </c>
      <c r="V288" s="44">
        <f t="shared" si="166"/>
        <v>2467.2339044969422</v>
      </c>
      <c r="W288" s="44">
        <f t="shared" si="167"/>
        <v>10562.486386993214</v>
      </c>
      <c r="X288" s="44">
        <f t="shared" si="168"/>
        <v>559.33372352544336</v>
      </c>
      <c r="Y288" s="14">
        <f t="shared" si="169"/>
        <v>1426.2297754450396</v>
      </c>
      <c r="Z288" s="14">
        <f t="shared" si="170"/>
        <v>5615.1910710097109</v>
      </c>
      <c r="AA288" s="14">
        <f t="shared" si="171"/>
        <v>9172.4051064671348</v>
      </c>
      <c r="AB288" s="14">
        <f t="shared" si="172"/>
        <v>3670.7514208328221</v>
      </c>
      <c r="AC288" s="14">
        <f t="shared" si="173"/>
        <v>1469.0166687083909</v>
      </c>
      <c r="AD288" s="33">
        <f t="shared" si="174"/>
        <v>0.95</v>
      </c>
      <c r="AE288" s="33">
        <f t="shared" si="175"/>
        <v>0.64990245861226148</v>
      </c>
      <c r="AF288" s="51">
        <f t="shared" si="176"/>
        <v>0.74844516655913351</v>
      </c>
      <c r="AG288" s="51">
        <f>APPLICANTS_PER_YEAR*($H288/Segments!$AH$2)*AE288</f>
        <v>0.77988295033471378</v>
      </c>
      <c r="AH288" s="51">
        <f t="shared" si="177"/>
        <v>1.5283281168938472</v>
      </c>
      <c r="AI288" s="14">
        <f t="shared" si="178"/>
        <v>1469.0166687083909</v>
      </c>
      <c r="AJ288" s="44">
        <f t="shared" si="179"/>
        <v>2245.1394789727674</v>
      </c>
      <c r="AK288" s="44">
        <f t="shared" si="180"/>
        <v>9611.6769230220671</v>
      </c>
      <c r="AL288" s="44">
        <f t="shared" si="181"/>
        <v>514.49313450100885</v>
      </c>
      <c r="AM288" s="14">
        <f t="shared" si="182"/>
        <v>1469.0166687083909</v>
      </c>
      <c r="AN288" s="14">
        <f t="shared" si="183"/>
        <v>5783.6468031400018</v>
      </c>
      <c r="AO288" s="14">
        <f t="shared" si="184"/>
        <v>9446.3272596611478</v>
      </c>
      <c r="AP288" s="14">
        <f t="shared" si="185"/>
        <v>3780.6238332571761</v>
      </c>
      <c r="AQ288" s="14">
        <f t="shared" si="186"/>
        <v>1513.0871687696424</v>
      </c>
      <c r="AR288" s="33">
        <f t="shared" si="187"/>
        <v>0.95</v>
      </c>
      <c r="AS288" s="33">
        <f t="shared" si="188"/>
        <v>0.64988921994044957</v>
      </c>
      <c r="AT288" s="51">
        <f t="shared" si="189"/>
        <v>3.3205561159607404</v>
      </c>
      <c r="AU288" s="51">
        <f>APPLICANTS_PER_YEAR*($H288/Segments!$AH$2)*AS288</f>
        <v>0.77986706392853944</v>
      </c>
      <c r="AV288" s="51">
        <f t="shared" si="190"/>
        <v>4.1004231798892796</v>
      </c>
      <c r="AW288" s="14">
        <f t="shared" si="191"/>
        <v>1513.0871687696424</v>
      </c>
      <c r="AX288" s="44">
        <f t="shared" si="192"/>
        <v>6204.2977000160845</v>
      </c>
      <c r="AY288" s="44">
        <f t="shared" si="193"/>
        <v>26561.247345794331</v>
      </c>
      <c r="AZ288" s="44">
        <f t="shared" si="194"/>
        <v>1315.4176451712106</v>
      </c>
    </row>
    <row r="289" spans="1:52" ht="15" customHeight="1" x14ac:dyDescent="0.35">
      <c r="A289" s="59" t="str">
        <f>Segments!$A$269</f>
        <v>Greek</v>
      </c>
      <c r="B289" s="59" t="str">
        <f>Segments!$B$269</f>
        <v>Off 0-1mi</v>
      </c>
      <c r="C289" s="59" t="str">
        <f>Segments!$C$269</f>
        <v>No</v>
      </c>
      <c r="D289" s="59" t="str">
        <f>Segments!$D$269</f>
        <v>&lt;1.0</v>
      </c>
      <c r="E289" s="59" t="str">
        <f>Segments!$E$269</f>
        <v>Grad student</v>
      </c>
      <c r="F289" s="59">
        <f>Segments!$F$269</f>
        <v>3</v>
      </c>
      <c r="G289" s="59" t="str">
        <f>Segments!$G$269</f>
        <v>Grad</v>
      </c>
      <c r="H289" s="60">
        <f>Segments!$H$269</f>
        <v>0</v>
      </c>
      <c r="I289" s="26">
        <f>Segments!$Y$269</f>
        <v>6491.1632058086407</v>
      </c>
      <c r="J289" s="29">
        <v>4</v>
      </c>
      <c r="K289" s="14">
        <f t="shared" si="156"/>
        <v>1426.2297754450396</v>
      </c>
      <c r="L289" s="14">
        <f t="shared" si="157"/>
        <v>6491.1632058086407</v>
      </c>
      <c r="M289" s="14">
        <f t="shared" si="158"/>
        <v>10596.804088132498</v>
      </c>
      <c r="N289" s="14">
        <f t="shared" si="159"/>
        <v>3887.6056275106266</v>
      </c>
      <c r="O289" s="14">
        <f t="shared" si="160"/>
        <v>1426.2297754450396</v>
      </c>
      <c r="P289" s="33">
        <f t="shared" si="161"/>
        <v>0.95</v>
      </c>
      <c r="Q289" s="33">
        <f t="shared" si="162"/>
        <v>0.66656707082730693</v>
      </c>
      <c r="R289" s="51">
        <f t="shared" si="163"/>
        <v>0</v>
      </c>
      <c r="S289" s="51">
        <f>APPLICANTS_PER_YEAR*($H289/Segments!$AH$2)*Q289</f>
        <v>0</v>
      </c>
      <c r="T289" s="51">
        <f t="shared" si="164"/>
        <v>0</v>
      </c>
      <c r="U289" s="14">
        <f t="shared" si="165"/>
        <v>10596.804088132498</v>
      </c>
      <c r="V289" s="44">
        <f t="shared" si="166"/>
        <v>0</v>
      </c>
      <c r="W289" s="44">
        <f t="shared" si="167"/>
        <v>0</v>
      </c>
      <c r="X289" s="44">
        <f t="shared" si="168"/>
        <v>0</v>
      </c>
      <c r="Y289" s="14">
        <f t="shared" si="169"/>
        <v>10596.804088132498</v>
      </c>
      <c r="Z289" s="14">
        <f t="shared" si="170"/>
        <v>6685.8981019828998</v>
      </c>
      <c r="AA289" s="14">
        <f t="shared" si="171"/>
        <v>10913.458210776473</v>
      </c>
      <c r="AB289" s="14">
        <f t="shared" si="172"/>
        <v>4004.0044986092466</v>
      </c>
      <c r="AC289" s="14">
        <f t="shared" si="173"/>
        <v>1469.0166687083909</v>
      </c>
      <c r="AD289" s="33">
        <f t="shared" si="174"/>
        <v>0.95</v>
      </c>
      <c r="AE289" s="33">
        <f t="shared" si="175"/>
        <v>0.66655656615537762</v>
      </c>
      <c r="AF289" s="51">
        <f t="shared" si="176"/>
        <v>0</v>
      </c>
      <c r="AG289" s="51">
        <f>APPLICANTS_PER_YEAR*($H289/Segments!$AH$2)*AE289</f>
        <v>0</v>
      </c>
      <c r="AH289" s="51">
        <f t="shared" si="177"/>
        <v>0</v>
      </c>
      <c r="AI289" s="14">
        <f t="shared" si="178"/>
        <v>10913.458210776473</v>
      </c>
      <c r="AJ289" s="44">
        <f t="shared" si="179"/>
        <v>0</v>
      </c>
      <c r="AK289" s="44">
        <f t="shared" si="180"/>
        <v>0</v>
      </c>
      <c r="AL289" s="44">
        <f t="shared" si="181"/>
        <v>0</v>
      </c>
      <c r="AM289" s="14">
        <f t="shared" si="182"/>
        <v>10913.458210776473</v>
      </c>
      <c r="AN289" s="14">
        <f t="shared" si="183"/>
        <v>6886.4750450423862</v>
      </c>
      <c r="AO289" s="14">
        <f t="shared" si="184"/>
        <v>11239.611957099765</v>
      </c>
      <c r="AP289" s="14">
        <f t="shared" si="185"/>
        <v>4123.8953229001227</v>
      </c>
      <c r="AQ289" s="14">
        <f t="shared" si="186"/>
        <v>1513.0871687696424</v>
      </c>
      <c r="AR289" s="33">
        <f t="shared" si="187"/>
        <v>0.95</v>
      </c>
      <c r="AS289" s="33">
        <f t="shared" si="188"/>
        <v>0.6665463657179389</v>
      </c>
      <c r="AT289" s="51">
        <f t="shared" si="189"/>
        <v>0</v>
      </c>
      <c r="AU289" s="51">
        <f>APPLICANTS_PER_YEAR*($H289/Segments!$AH$2)*AS289</f>
        <v>0</v>
      </c>
      <c r="AV289" s="51">
        <f t="shared" si="190"/>
        <v>0</v>
      </c>
      <c r="AW289" s="14">
        <f t="shared" si="191"/>
        <v>11239.611957099765</v>
      </c>
      <c r="AX289" s="44">
        <f t="shared" si="192"/>
        <v>0</v>
      </c>
      <c r="AY289" s="44">
        <f t="shared" si="193"/>
        <v>0</v>
      </c>
      <c r="AZ289" s="44">
        <f t="shared" si="194"/>
        <v>0</v>
      </c>
    </row>
    <row r="290" spans="1:52" ht="15" customHeight="1" x14ac:dyDescent="0.35">
      <c r="A290" s="61" t="str">
        <f>Segments!$A$270</f>
        <v>Greek</v>
      </c>
      <c r="B290" s="61" t="str">
        <f>Segments!$B$270</f>
        <v>Off 0-1mi</v>
      </c>
      <c r="C290" s="61" t="str">
        <f>Segments!$C$270</f>
        <v>No</v>
      </c>
      <c r="D290" s="61" t="str">
        <f>Segments!$D$270</f>
        <v>1.0-2.0</v>
      </c>
      <c r="E290" s="61" t="str">
        <f>Segments!$E$270</f>
        <v>Freshman</v>
      </c>
      <c r="F290" s="61">
        <f>Segments!$F$270</f>
        <v>1</v>
      </c>
      <c r="G290" s="61" t="str">
        <f>Segments!$G$270</f>
        <v>Base</v>
      </c>
      <c r="H290" s="62">
        <f>Segments!$H$270</f>
        <v>5</v>
      </c>
      <c r="I290" s="63">
        <f>Segments!$Y$270</f>
        <v>4472.8902312734817</v>
      </c>
      <c r="J290" s="42">
        <v>0</v>
      </c>
      <c r="K290" s="40">
        <f t="shared" si="156"/>
        <v>7314.9348876807189</v>
      </c>
      <c r="L290" s="40">
        <f t="shared" si="157"/>
        <v>4472.8902312734817</v>
      </c>
      <c r="M290" s="40">
        <f t="shared" si="158"/>
        <v>7314.9348876807189</v>
      </c>
      <c r="N290" s="40">
        <f t="shared" si="159"/>
        <v>3229.9811055564951</v>
      </c>
      <c r="O290" s="40">
        <f t="shared" si="160"/>
        <v>1426.2297754450396</v>
      </c>
      <c r="P290" s="41">
        <f t="shared" si="161"/>
        <v>0.95</v>
      </c>
      <c r="Q290" s="41">
        <f t="shared" si="162"/>
        <v>0.62922010549976359</v>
      </c>
      <c r="R290" s="64">
        <f t="shared" si="163"/>
        <v>0</v>
      </c>
      <c r="S290" s="64">
        <f>APPLICANTS_PER_YEAR*($H290/Segments!$AH$2)*Q290</f>
        <v>3.7753206329985813</v>
      </c>
      <c r="T290" s="64">
        <f t="shared" si="164"/>
        <v>3.7753206329985813</v>
      </c>
      <c r="U290" s="40">
        <f t="shared" si="165"/>
        <v>1426.2297754450396</v>
      </c>
      <c r="V290" s="65">
        <f t="shared" si="166"/>
        <v>5384.4746986345917</v>
      </c>
      <c r="W290" s="65">
        <f t="shared" si="167"/>
        <v>18912.986152776321</v>
      </c>
      <c r="X290" s="65">
        <f t="shared" si="168"/>
        <v>1376.0117609790848</v>
      </c>
      <c r="Y290" s="40">
        <f t="shared" si="169"/>
        <v>7533.1329343111402</v>
      </c>
      <c r="Z290" s="40">
        <f t="shared" si="170"/>
        <v>4607.076938211686</v>
      </c>
      <c r="AA290" s="40">
        <f t="shared" si="171"/>
        <v>7533.1329343111402</v>
      </c>
      <c r="AB290" s="40">
        <f t="shared" si="172"/>
        <v>3326.6045524076371</v>
      </c>
      <c r="AC290" s="40">
        <f t="shared" si="173"/>
        <v>1469.0166687083909</v>
      </c>
      <c r="AD290" s="41">
        <f t="shared" si="174"/>
        <v>0.95</v>
      </c>
      <c r="AE290" s="41">
        <f t="shared" si="175"/>
        <v>0.62920178885626976</v>
      </c>
      <c r="AF290" s="64">
        <f t="shared" si="176"/>
        <v>0</v>
      </c>
      <c r="AG290" s="64">
        <f>APPLICANTS_PER_YEAR*($H290/Segments!$AH$2)*AE290</f>
        <v>3.7752107331376186</v>
      </c>
      <c r="AH290" s="64">
        <f t="shared" si="177"/>
        <v>3.7752107331376186</v>
      </c>
      <c r="AI290" s="40">
        <f t="shared" si="178"/>
        <v>1469.0166687083909</v>
      </c>
      <c r="AJ290" s="65">
        <f t="shared" si="179"/>
        <v>5545.8474948659859</v>
      </c>
      <c r="AK290" s="65">
        <f t="shared" si="180"/>
        <v>19479.808662190862</v>
      </c>
      <c r="AL290" s="65">
        <f t="shared" si="181"/>
        <v>1412.1543218411739</v>
      </c>
      <c r="AM290" s="40">
        <f t="shared" si="182"/>
        <v>7757.8769223404743</v>
      </c>
      <c r="AN290" s="40">
        <f t="shared" si="183"/>
        <v>4745.2892463580365</v>
      </c>
      <c r="AO290" s="40">
        <f t="shared" si="184"/>
        <v>7757.8769223404743</v>
      </c>
      <c r="AP290" s="40">
        <f t="shared" si="185"/>
        <v>3426.1266800991898</v>
      </c>
      <c r="AQ290" s="40">
        <f t="shared" si="186"/>
        <v>1513.0871687696424</v>
      </c>
      <c r="AR290" s="41">
        <f t="shared" si="187"/>
        <v>0.95</v>
      </c>
      <c r="AS290" s="41">
        <f t="shared" si="188"/>
        <v>0.62918400134494779</v>
      </c>
      <c r="AT290" s="64">
        <f t="shared" si="189"/>
        <v>0</v>
      </c>
      <c r="AU290" s="64">
        <f>APPLICANTS_PER_YEAR*($H290/Segments!$AH$2)*AS290</f>
        <v>3.7751040080696869</v>
      </c>
      <c r="AV290" s="64">
        <f t="shared" si="190"/>
        <v>3.7751040080696869</v>
      </c>
      <c r="AW290" s="40">
        <f t="shared" si="191"/>
        <v>1513.0871687696426</v>
      </c>
      <c r="AX290" s="65">
        <f t="shared" si="192"/>
        <v>5712.0614353810925</v>
      </c>
      <c r="AY290" s="65">
        <f t="shared" si="193"/>
        <v>20063.635707781352</v>
      </c>
      <c r="AZ290" s="65">
        <f t="shared" si="194"/>
        <v>1449.3814418885006</v>
      </c>
    </row>
    <row r="291" spans="1:52" ht="15" customHeight="1" x14ac:dyDescent="0.35">
      <c r="A291" s="61" t="str">
        <f>Segments!$A$271</f>
        <v>Greek</v>
      </c>
      <c r="B291" s="61" t="str">
        <f>Segments!$B$271</f>
        <v>Off 0-1mi</v>
      </c>
      <c r="C291" s="61" t="str">
        <f>Segments!$C$271</f>
        <v>No</v>
      </c>
      <c r="D291" s="61" t="str">
        <f>Segments!$D$271</f>
        <v>1.0-2.0</v>
      </c>
      <c r="E291" s="61" t="str">
        <f>Segments!$E$271</f>
        <v>Sophomore</v>
      </c>
      <c r="F291" s="61">
        <f>Segments!$F$271</f>
        <v>1</v>
      </c>
      <c r="G291" s="61" t="str">
        <f>Segments!$G$271</f>
        <v>Sophomore</v>
      </c>
      <c r="H291" s="62">
        <f>Segments!$H$271</f>
        <v>3</v>
      </c>
      <c r="I291" s="63">
        <f>Segments!$Y$271</f>
        <v>4427.3841321672771</v>
      </c>
      <c r="J291" s="42">
        <v>1</v>
      </c>
      <c r="K291" s="40">
        <f t="shared" si="156"/>
        <v>1426.2297754450396</v>
      </c>
      <c r="L291" s="40">
        <f t="shared" si="157"/>
        <v>4427.3841321672771</v>
      </c>
      <c r="M291" s="40">
        <f t="shared" si="158"/>
        <v>7240.9384228944054</v>
      </c>
      <c r="N291" s="40">
        <f t="shared" si="159"/>
        <v>3213.6026482588113</v>
      </c>
      <c r="O291" s="40">
        <f t="shared" si="160"/>
        <v>1426.2297754450396</v>
      </c>
      <c r="P291" s="41">
        <f t="shared" si="161"/>
        <v>0.95</v>
      </c>
      <c r="Q291" s="41">
        <f t="shared" si="162"/>
        <v>0.6280948779996498</v>
      </c>
      <c r="R291" s="64">
        <f t="shared" si="163"/>
        <v>4.75</v>
      </c>
      <c r="S291" s="64">
        <f>APPLICANTS_PER_YEAR*($H291/Segments!$AH$2)*Q291</f>
        <v>2.2611415607987388</v>
      </c>
      <c r="T291" s="64">
        <f t="shared" si="164"/>
        <v>7.0111415607987393</v>
      </c>
      <c r="U291" s="40">
        <f t="shared" si="165"/>
        <v>1426.2297754450394</v>
      </c>
      <c r="V291" s="65">
        <f t="shared" si="166"/>
        <v>9999.4988538713696</v>
      </c>
      <c r="W291" s="65">
        <f t="shared" si="167"/>
        <v>34765.938922017922</v>
      </c>
      <c r="X291" s="65">
        <f t="shared" si="168"/>
        <v>2199.5284133353921</v>
      </c>
      <c r="Y291" s="40">
        <f t="shared" si="169"/>
        <v>1426.2297754450396</v>
      </c>
      <c r="Z291" s="40">
        <f t="shared" si="170"/>
        <v>4560.2056561322952</v>
      </c>
      <c r="AA291" s="40">
        <f t="shared" si="171"/>
        <v>7456.9165755812373</v>
      </c>
      <c r="AB291" s="40">
        <f t="shared" si="172"/>
        <v>3309.7333346807154</v>
      </c>
      <c r="AC291" s="40">
        <f t="shared" si="173"/>
        <v>1469.0166687083909</v>
      </c>
      <c r="AD291" s="41">
        <f t="shared" si="174"/>
        <v>0.95</v>
      </c>
      <c r="AE291" s="41">
        <f t="shared" si="175"/>
        <v>0.62807627984474701</v>
      </c>
      <c r="AF291" s="64">
        <f t="shared" si="176"/>
        <v>3.5865546013486522</v>
      </c>
      <c r="AG291" s="64">
        <f>APPLICANTS_PER_YEAR*($H291/Segments!$AH$2)*AE291</f>
        <v>2.2610746074410888</v>
      </c>
      <c r="AH291" s="64">
        <f t="shared" si="177"/>
        <v>5.8476292087897406</v>
      </c>
      <c r="AI291" s="40">
        <f t="shared" si="178"/>
        <v>1469.0166687083909</v>
      </c>
      <c r="AJ291" s="65">
        <f t="shared" si="179"/>
        <v>8590.2647801381881</v>
      </c>
      <c r="AK291" s="65">
        <f t="shared" si="180"/>
        <v>29866.358808033881</v>
      </c>
      <c r="AL291" s="65">
        <f t="shared" si="181"/>
        <v>1913.2939628712879</v>
      </c>
      <c r="AM291" s="40">
        <f t="shared" si="182"/>
        <v>1469.0166687083909</v>
      </c>
      <c r="AN291" s="40">
        <f t="shared" si="183"/>
        <v>4697.0118258162638</v>
      </c>
      <c r="AO291" s="40">
        <f t="shared" si="184"/>
        <v>7679.3740728486737</v>
      </c>
      <c r="AP291" s="40">
        <f t="shared" si="185"/>
        <v>3408.7479187833173</v>
      </c>
      <c r="AQ291" s="40">
        <f t="shared" si="186"/>
        <v>1513.0871687696424</v>
      </c>
      <c r="AR291" s="41">
        <f t="shared" si="187"/>
        <v>0.95</v>
      </c>
      <c r="AS291" s="41">
        <f t="shared" si="188"/>
        <v>0.628058218909055</v>
      </c>
      <c r="AT291" s="64">
        <f t="shared" si="189"/>
        <v>3.5864501964807376</v>
      </c>
      <c r="AU291" s="64">
        <f>APPLICANTS_PER_YEAR*($H291/Segments!$AH$2)*AS291</f>
        <v>2.2610095880725978</v>
      </c>
      <c r="AV291" s="64">
        <f t="shared" si="190"/>
        <v>5.8474597845533349</v>
      </c>
      <c r="AW291" s="40">
        <f t="shared" si="191"/>
        <v>1513.0871687696424</v>
      </c>
      <c r="AX291" s="65">
        <f t="shared" si="192"/>
        <v>8847.7163699041485</v>
      </c>
      <c r="AY291" s="65">
        <f t="shared" si="193"/>
        <v>30761.458290115886</v>
      </c>
      <c r="AZ291" s="65">
        <f t="shared" si="194"/>
        <v>1965.4314901709886</v>
      </c>
    </row>
    <row r="292" spans="1:52" ht="15" customHeight="1" x14ac:dyDescent="0.35">
      <c r="A292" s="61" t="str">
        <f>Segments!$A$272</f>
        <v>Greek</v>
      </c>
      <c r="B292" s="61" t="str">
        <f>Segments!$B$272</f>
        <v>Off 0-1mi</v>
      </c>
      <c r="C292" s="61" t="str">
        <f>Segments!$C$272</f>
        <v>No</v>
      </c>
      <c r="D292" s="61" t="str">
        <f>Segments!$D$272</f>
        <v>1.0-2.0</v>
      </c>
      <c r="E292" s="61" t="str">
        <f>Segments!$E$272</f>
        <v>Junior</v>
      </c>
      <c r="F292" s="61">
        <f>Segments!$F$272</f>
        <v>2</v>
      </c>
      <c r="G292" s="61" t="str">
        <f>Segments!$G$272</f>
        <v>Base</v>
      </c>
      <c r="H292" s="62">
        <f>Segments!$H$272</f>
        <v>1</v>
      </c>
      <c r="I292" s="63">
        <f>Segments!$Y$272</f>
        <v>5292.6084384179494</v>
      </c>
      <c r="J292" s="42">
        <v>2</v>
      </c>
      <c r="K292" s="40">
        <f t="shared" si="156"/>
        <v>1426.2297754450396</v>
      </c>
      <c r="L292" s="40">
        <f t="shared" si="157"/>
        <v>5292.6084384179494</v>
      </c>
      <c r="M292" s="40">
        <f t="shared" si="158"/>
        <v>8647.8605974433322</v>
      </c>
      <c r="N292" s="40">
        <f t="shared" si="159"/>
        <v>3511.9561896429759</v>
      </c>
      <c r="O292" s="40">
        <f t="shared" si="160"/>
        <v>1426.2297754450396</v>
      </c>
      <c r="P292" s="41">
        <f t="shared" si="161"/>
        <v>0.95</v>
      </c>
      <c r="Q292" s="41">
        <f t="shared" si="162"/>
        <v>0.64694653087485843</v>
      </c>
      <c r="R292" s="64">
        <f t="shared" si="163"/>
        <v>2.8499999999999996</v>
      </c>
      <c r="S292" s="64">
        <f>APPLICANTS_PER_YEAR*($H292/Segments!$AH$2)*Q292</f>
        <v>0.77633583704983011</v>
      </c>
      <c r="T292" s="64">
        <f t="shared" si="164"/>
        <v>3.6263358370498295</v>
      </c>
      <c r="U292" s="40">
        <f t="shared" si="165"/>
        <v>1426.2297754450399</v>
      </c>
      <c r="V292" s="65">
        <f t="shared" si="166"/>
        <v>5171.9881465638791</v>
      </c>
      <c r="W292" s="65">
        <f t="shared" si="167"/>
        <v>21495.908729912229</v>
      </c>
      <c r="X292" s="65">
        <f t="shared" si="168"/>
        <v>1108.1940373969085</v>
      </c>
      <c r="Y292" s="40">
        <f t="shared" si="169"/>
        <v>1426.2297754450394</v>
      </c>
      <c r="Z292" s="40">
        <f t="shared" si="170"/>
        <v>5451.3866915704884</v>
      </c>
      <c r="AA292" s="40">
        <f t="shared" si="171"/>
        <v>8906.0464153666344</v>
      </c>
      <c r="AB292" s="40">
        <f t="shared" si="172"/>
        <v>3617.0610495904266</v>
      </c>
      <c r="AC292" s="40">
        <f t="shared" si="173"/>
        <v>1469.0166687083909</v>
      </c>
      <c r="AD292" s="41">
        <f t="shared" si="174"/>
        <v>0.95</v>
      </c>
      <c r="AE292" s="41">
        <f t="shared" si="175"/>
        <v>0.64693228168284123</v>
      </c>
      <c r="AF292" s="64">
        <f t="shared" si="176"/>
        <v>6.6605844827588019</v>
      </c>
      <c r="AG292" s="64">
        <f>APPLICANTS_PER_YEAR*($H292/Segments!$AH$2)*AE292</f>
        <v>0.77631873801940943</v>
      </c>
      <c r="AH292" s="64">
        <f t="shared" si="177"/>
        <v>7.4369032207782109</v>
      </c>
      <c r="AI292" s="40">
        <f t="shared" si="178"/>
        <v>1469.0166687083909</v>
      </c>
      <c r="AJ292" s="65">
        <f t="shared" si="179"/>
        <v>10924.93479489431</v>
      </c>
      <c r="AK292" s="65">
        <f t="shared" si="180"/>
        <v>45406.407473557803</v>
      </c>
      <c r="AL292" s="65">
        <f t="shared" si="181"/>
        <v>2272.8735899244152</v>
      </c>
      <c r="AM292" s="40">
        <f t="shared" si="182"/>
        <v>1469.0166687083909</v>
      </c>
      <c r="AN292" s="40">
        <f t="shared" si="183"/>
        <v>5614.9282923176024</v>
      </c>
      <c r="AO292" s="40">
        <f t="shared" si="184"/>
        <v>9171.9778078276322</v>
      </c>
      <c r="AP292" s="40">
        <f t="shared" si="185"/>
        <v>3725.3190377823889</v>
      </c>
      <c r="AQ292" s="40">
        <f t="shared" si="186"/>
        <v>1513.0871687696424</v>
      </c>
      <c r="AR292" s="41">
        <f t="shared" si="187"/>
        <v>0.95</v>
      </c>
      <c r="AS292" s="41">
        <f t="shared" si="188"/>
        <v>0.64691844464543435</v>
      </c>
      <c r="AT292" s="64">
        <f t="shared" si="189"/>
        <v>5.5552477483502534</v>
      </c>
      <c r="AU292" s="64">
        <f>APPLICANTS_PER_YEAR*($H292/Segments!$AH$2)*AS292</f>
        <v>0.77630213357452116</v>
      </c>
      <c r="AV292" s="64">
        <f t="shared" si="190"/>
        <v>6.3315498819247749</v>
      </c>
      <c r="AW292" s="40">
        <f t="shared" si="191"/>
        <v>1513.0871687696422</v>
      </c>
      <c r="AX292" s="65">
        <f t="shared" si="192"/>
        <v>9580.1868847653204</v>
      </c>
      <c r="AY292" s="65">
        <f t="shared" si="193"/>
        <v>39817.342394188352</v>
      </c>
      <c r="AZ292" s="65">
        <f t="shared" si="194"/>
        <v>1997.8053201075079</v>
      </c>
    </row>
    <row r="293" spans="1:52" ht="15" customHeight="1" x14ac:dyDescent="0.35">
      <c r="A293" s="61" t="str">
        <f>Segments!$A$273</f>
        <v>Greek</v>
      </c>
      <c r="B293" s="61" t="str">
        <f>Segments!$B$273</f>
        <v>Off 0-1mi</v>
      </c>
      <c r="C293" s="61" t="str">
        <f>Segments!$C$273</f>
        <v>No</v>
      </c>
      <c r="D293" s="61" t="str">
        <f>Segments!$D$273</f>
        <v>1.0-2.0</v>
      </c>
      <c r="E293" s="61" t="str">
        <f>Segments!$E$273</f>
        <v>Senior</v>
      </c>
      <c r="F293" s="61">
        <f>Segments!$F$273</f>
        <v>3</v>
      </c>
      <c r="G293" s="61" t="str">
        <f>Segments!$G$273</f>
        <v>Base</v>
      </c>
      <c r="H293" s="62">
        <f>Segments!$H$273</f>
        <v>4</v>
      </c>
      <c r="I293" s="63">
        <f>Segments!$Y$273</f>
        <v>4946.934719292608</v>
      </c>
      <c r="J293" s="42">
        <v>3</v>
      </c>
      <c r="K293" s="40">
        <f t="shared" si="156"/>
        <v>1426.2297754450396</v>
      </c>
      <c r="L293" s="40">
        <f t="shared" si="157"/>
        <v>4946.934719292608</v>
      </c>
      <c r="M293" s="40">
        <f t="shared" si="158"/>
        <v>8085.7681815428723</v>
      </c>
      <c r="N293" s="40">
        <f t="shared" si="159"/>
        <v>3395.9039058640246</v>
      </c>
      <c r="O293" s="40">
        <f t="shared" si="160"/>
        <v>1426.2297754450396</v>
      </c>
      <c r="P293" s="41">
        <f t="shared" si="161"/>
        <v>0.95</v>
      </c>
      <c r="Q293" s="41">
        <f t="shared" si="162"/>
        <v>0.64000734193593711</v>
      </c>
      <c r="R293" s="64">
        <f t="shared" si="163"/>
        <v>0.95</v>
      </c>
      <c r="S293" s="64">
        <f>APPLICANTS_PER_YEAR*($H293/Segments!$AH$2)*Q293</f>
        <v>3.0720352412924981</v>
      </c>
      <c r="T293" s="64">
        <f t="shared" si="164"/>
        <v>4.0220352412924978</v>
      </c>
      <c r="U293" s="40">
        <f t="shared" si="165"/>
        <v>1426.2297754450399</v>
      </c>
      <c r="V293" s="65">
        <f t="shared" si="166"/>
        <v>5736.3464190206359</v>
      </c>
      <c r="W293" s="65">
        <f t="shared" si="167"/>
        <v>22284.355270652475</v>
      </c>
      <c r="X293" s="65">
        <f t="shared" si="168"/>
        <v>1394.7610436852372</v>
      </c>
      <c r="Y293" s="40">
        <f t="shared" si="169"/>
        <v>1426.2297754450399</v>
      </c>
      <c r="Z293" s="40">
        <f t="shared" si="170"/>
        <v>5095.3427608713864</v>
      </c>
      <c r="AA293" s="40">
        <f t="shared" si="171"/>
        <v>8327.0912269891578</v>
      </c>
      <c r="AB293" s="40">
        <f t="shared" si="172"/>
        <v>3497.5185223673197</v>
      </c>
      <c r="AC293" s="40">
        <f t="shared" si="173"/>
        <v>1469.0166687083909</v>
      </c>
      <c r="AD293" s="41">
        <f t="shared" si="174"/>
        <v>0.95</v>
      </c>
      <c r="AE293" s="41">
        <f t="shared" si="175"/>
        <v>0.63999158127201616</v>
      </c>
      <c r="AF293" s="64">
        <f t="shared" si="176"/>
        <v>3.4450190451973377</v>
      </c>
      <c r="AG293" s="64">
        <f>APPLICANTS_PER_YEAR*($H293/Segments!$AH$2)*AE293</f>
        <v>3.0719595901056773</v>
      </c>
      <c r="AH293" s="64">
        <f t="shared" si="177"/>
        <v>6.5169786353030155</v>
      </c>
      <c r="AI293" s="40">
        <f t="shared" si="178"/>
        <v>1469.0166687083909</v>
      </c>
      <c r="AJ293" s="65">
        <f t="shared" si="179"/>
        <v>9573.550244876591</v>
      </c>
      <c r="AK293" s="65">
        <f t="shared" si="180"/>
        <v>37190.98870160208</v>
      </c>
      <c r="AL293" s="65">
        <f t="shared" si="181"/>
        <v>2174.4861532616119</v>
      </c>
      <c r="AM293" s="40">
        <f t="shared" si="182"/>
        <v>1469.0166687083909</v>
      </c>
      <c r="AN293" s="40">
        <f t="shared" si="183"/>
        <v>5248.2030436975274</v>
      </c>
      <c r="AO293" s="40">
        <f t="shared" si="184"/>
        <v>8575.6539637988317</v>
      </c>
      <c r="AP293" s="40">
        <f t="shared" si="185"/>
        <v>3602.181557949646</v>
      </c>
      <c r="AQ293" s="40">
        <f t="shared" si="186"/>
        <v>1513.0871687696424</v>
      </c>
      <c r="AR293" s="41">
        <f t="shared" si="187"/>
        <v>0.95</v>
      </c>
      <c r="AS293" s="41">
        <f t="shared" si="188"/>
        <v>0.63997627626092113</v>
      </c>
      <c r="AT293" s="64">
        <f t="shared" si="189"/>
        <v>7.0650580597393002</v>
      </c>
      <c r="AU293" s="64">
        <f>APPLICANTS_PER_YEAR*($H293/Segments!$AH$2)*AS293</f>
        <v>3.0718861260524215</v>
      </c>
      <c r="AV293" s="64">
        <f t="shared" si="190"/>
        <v>10.136944185791721</v>
      </c>
      <c r="AW293" s="40">
        <f t="shared" si="191"/>
        <v>1513.0871687696424</v>
      </c>
      <c r="AX293" s="65">
        <f t="shared" si="192"/>
        <v>15338.080178055483</v>
      </c>
      <c r="AY293" s="65">
        <f t="shared" si="193"/>
        <v>59584.830289223763</v>
      </c>
      <c r="AZ293" s="65">
        <f t="shared" si="194"/>
        <v>3341.1142923634306</v>
      </c>
    </row>
    <row r="294" spans="1:52" ht="15" customHeight="1" x14ac:dyDescent="0.35">
      <c r="A294" s="61" t="str">
        <f>Segments!$A$274</f>
        <v>Greek</v>
      </c>
      <c r="B294" s="61" t="str">
        <f>Segments!$B$274</f>
        <v>Off 0-1mi</v>
      </c>
      <c r="C294" s="61" t="str">
        <f>Segments!$C$274</f>
        <v>No</v>
      </c>
      <c r="D294" s="61" t="str">
        <f>Segments!$D$274</f>
        <v>1.0-2.0</v>
      </c>
      <c r="E294" s="61" t="str">
        <f>Segments!$E$274</f>
        <v>Grad student</v>
      </c>
      <c r="F294" s="61">
        <f>Segments!$F$274</f>
        <v>3</v>
      </c>
      <c r="G294" s="61" t="str">
        <f>Segments!$G$274</f>
        <v>Grad</v>
      </c>
      <c r="H294" s="62">
        <f>Segments!$H$274</f>
        <v>0</v>
      </c>
      <c r="I294" s="63">
        <f>Segments!$Y$274</f>
        <v>5890.2183437908088</v>
      </c>
      <c r="J294" s="42">
        <v>4</v>
      </c>
      <c r="K294" s="40">
        <f t="shared" si="156"/>
        <v>1426.2297754450396</v>
      </c>
      <c r="L294" s="40">
        <f t="shared" si="157"/>
        <v>5890.2183437908088</v>
      </c>
      <c r="M294" s="40">
        <f t="shared" si="158"/>
        <v>9619.6208930395242</v>
      </c>
      <c r="N294" s="40">
        <f t="shared" si="159"/>
        <v>3704.0234537791703</v>
      </c>
      <c r="O294" s="40">
        <f t="shared" si="160"/>
        <v>1426.2297754450396</v>
      </c>
      <c r="P294" s="41">
        <f t="shared" si="161"/>
        <v>0.95</v>
      </c>
      <c r="Q294" s="41">
        <f t="shared" si="162"/>
        <v>0.65747560143148198</v>
      </c>
      <c r="R294" s="64">
        <f t="shared" si="163"/>
        <v>0</v>
      </c>
      <c r="S294" s="64">
        <f>APPLICANTS_PER_YEAR*($H294/Segments!$AH$2)*Q294</f>
        <v>0</v>
      </c>
      <c r="T294" s="64">
        <f t="shared" si="164"/>
        <v>0</v>
      </c>
      <c r="U294" s="40">
        <f t="shared" si="165"/>
        <v>9619.6208930395242</v>
      </c>
      <c r="V294" s="65">
        <f t="shared" si="166"/>
        <v>0</v>
      </c>
      <c r="W294" s="65">
        <f t="shared" si="167"/>
        <v>0</v>
      </c>
      <c r="X294" s="65">
        <f t="shared" si="168"/>
        <v>0</v>
      </c>
      <c r="Y294" s="40">
        <f t="shared" si="169"/>
        <v>9619.6208930395242</v>
      </c>
      <c r="Z294" s="40">
        <f t="shared" si="170"/>
        <v>6066.9248941045335</v>
      </c>
      <c r="AA294" s="40">
        <f t="shared" si="171"/>
        <v>9906.9595198307106</v>
      </c>
      <c r="AB294" s="40">
        <f t="shared" si="172"/>
        <v>3814.9034943037009</v>
      </c>
      <c r="AC294" s="40">
        <f t="shared" si="173"/>
        <v>1469.0166687083909</v>
      </c>
      <c r="AD294" s="41">
        <f t="shared" si="174"/>
        <v>0.95</v>
      </c>
      <c r="AE294" s="41">
        <f t="shared" si="175"/>
        <v>0.65746345603474865</v>
      </c>
      <c r="AF294" s="64">
        <f t="shared" si="176"/>
        <v>0</v>
      </c>
      <c r="AG294" s="64">
        <f>APPLICANTS_PER_YEAR*($H294/Segments!$AH$2)*AE294</f>
        <v>0</v>
      </c>
      <c r="AH294" s="64">
        <f t="shared" si="177"/>
        <v>0</v>
      </c>
      <c r="AI294" s="40">
        <f t="shared" si="178"/>
        <v>9906.9595198307106</v>
      </c>
      <c r="AJ294" s="65">
        <f t="shared" si="179"/>
        <v>0</v>
      </c>
      <c r="AK294" s="65">
        <f t="shared" si="180"/>
        <v>0</v>
      </c>
      <c r="AL294" s="65">
        <f t="shared" si="181"/>
        <v>0</v>
      </c>
      <c r="AM294" s="40">
        <f t="shared" si="182"/>
        <v>9906.9595198307106</v>
      </c>
      <c r="AN294" s="40">
        <f t="shared" si="183"/>
        <v>6248.9326409276691</v>
      </c>
      <c r="AO294" s="40">
        <f t="shared" si="184"/>
        <v>10202.91830542563</v>
      </c>
      <c r="AP294" s="40">
        <f t="shared" si="185"/>
        <v>3929.109921081927</v>
      </c>
      <c r="AQ294" s="40">
        <f t="shared" si="186"/>
        <v>1513.0871687696424</v>
      </c>
      <c r="AR294" s="41">
        <f t="shared" si="187"/>
        <v>0.95</v>
      </c>
      <c r="AS294" s="41">
        <f t="shared" si="188"/>
        <v>0.65745166218803619</v>
      </c>
      <c r="AT294" s="64">
        <f t="shared" si="189"/>
        <v>0</v>
      </c>
      <c r="AU294" s="64">
        <f>APPLICANTS_PER_YEAR*($H294/Segments!$AH$2)*AS294</f>
        <v>0</v>
      </c>
      <c r="AV294" s="64">
        <f t="shared" si="190"/>
        <v>0</v>
      </c>
      <c r="AW294" s="40">
        <f t="shared" si="191"/>
        <v>10202.91830542563</v>
      </c>
      <c r="AX294" s="65">
        <f t="shared" si="192"/>
        <v>0</v>
      </c>
      <c r="AY294" s="65">
        <f t="shared" si="193"/>
        <v>0</v>
      </c>
      <c r="AZ294" s="65">
        <f t="shared" si="194"/>
        <v>0</v>
      </c>
    </row>
    <row r="295" spans="1:52" ht="15" customHeight="1" x14ac:dyDescent="0.35">
      <c r="A295" s="59" t="str">
        <f>Segments!$A$275</f>
        <v>Greek</v>
      </c>
      <c r="B295" s="59" t="str">
        <f>Segments!$B$275</f>
        <v>Off 0-1mi</v>
      </c>
      <c r="C295" s="59" t="str">
        <f>Segments!$C$275</f>
        <v>No</v>
      </c>
      <c r="D295" s="59" t="str">
        <f>Segments!$D$275</f>
        <v>2.0-3.0</v>
      </c>
      <c r="E295" s="59" t="str">
        <f>Segments!$E$275</f>
        <v>Freshman</v>
      </c>
      <c r="F295" s="59">
        <f>Segments!$F$275</f>
        <v>1</v>
      </c>
      <c r="G295" s="59" t="str">
        <f>Segments!$G$275</f>
        <v>Base</v>
      </c>
      <c r="H295" s="60">
        <f>Segments!$H$275</f>
        <v>6</v>
      </c>
      <c r="I295" s="26">
        <f>Segments!$Y$275</f>
        <v>4395.4185179658307</v>
      </c>
      <c r="J295" s="29">
        <v>0</v>
      </c>
      <c r="K295" s="14">
        <f t="shared" si="156"/>
        <v>7188.9598421747123</v>
      </c>
      <c r="L295" s="14">
        <f t="shared" si="157"/>
        <v>4395.4185179658307</v>
      </c>
      <c r="M295" s="14">
        <f t="shared" si="158"/>
        <v>7188.9598421747123</v>
      </c>
      <c r="N295" s="14">
        <f t="shared" si="159"/>
        <v>3202.0475607629955</v>
      </c>
      <c r="O295" s="14">
        <f t="shared" si="160"/>
        <v>1426.2297754450396</v>
      </c>
      <c r="P295" s="33">
        <f t="shared" si="161"/>
        <v>0.95</v>
      </c>
      <c r="Q295" s="33">
        <f t="shared" si="162"/>
        <v>0.62729409879452369</v>
      </c>
      <c r="R295" s="51">
        <f t="shared" si="163"/>
        <v>0</v>
      </c>
      <c r="S295" s="51">
        <f>APPLICANTS_PER_YEAR*($H295/Segments!$AH$2)*Q295</f>
        <v>4.5165175113205702</v>
      </c>
      <c r="T295" s="51">
        <f t="shared" si="164"/>
        <v>4.5165175113205702</v>
      </c>
      <c r="U295" s="14">
        <f t="shared" si="165"/>
        <v>1426.2297754450396</v>
      </c>
      <c r="V295" s="44">
        <f t="shared" si="166"/>
        <v>6441.5917559643258</v>
      </c>
      <c r="W295" s="44">
        <f t="shared" si="167"/>
        <v>22234.222870692429</v>
      </c>
      <c r="X295" s="44">
        <f t="shared" si="168"/>
        <v>1646.1598413454346</v>
      </c>
      <c r="Y295" s="14">
        <f t="shared" si="169"/>
        <v>7403.3786374399542</v>
      </c>
      <c r="Z295" s="14">
        <f t="shared" si="170"/>
        <v>4527.281073504806</v>
      </c>
      <c r="AA295" s="14">
        <f t="shared" si="171"/>
        <v>7403.3786374399542</v>
      </c>
      <c r="AB295" s="14">
        <f t="shared" si="172"/>
        <v>3297.8305934597229</v>
      </c>
      <c r="AC295" s="14">
        <f t="shared" si="173"/>
        <v>1469.0166687083909</v>
      </c>
      <c r="AD295" s="33">
        <f t="shared" si="174"/>
        <v>0.95</v>
      </c>
      <c r="AE295" s="33">
        <f t="shared" si="175"/>
        <v>0.62727529855206121</v>
      </c>
      <c r="AF295" s="51">
        <f t="shared" si="176"/>
        <v>0</v>
      </c>
      <c r="AG295" s="51">
        <f>APPLICANTS_PER_YEAR*($H295/Segments!$AH$2)*AE295</f>
        <v>4.5163821495748406</v>
      </c>
      <c r="AH295" s="51">
        <f t="shared" si="177"/>
        <v>4.5163821495748406</v>
      </c>
      <c r="AI295" s="14">
        <f t="shared" si="178"/>
        <v>1469.0166687083909</v>
      </c>
      <c r="AJ295" s="44">
        <f t="shared" si="179"/>
        <v>6634.6406599824741</v>
      </c>
      <c r="AK295" s="44">
        <f t="shared" si="180"/>
        <v>22900.563197663345</v>
      </c>
      <c r="AL295" s="44">
        <f t="shared" si="181"/>
        <v>1689.3967045669419</v>
      </c>
      <c r="AM295" s="14">
        <f t="shared" si="182"/>
        <v>7624.2299965631528</v>
      </c>
      <c r="AN295" s="14">
        <f t="shared" si="183"/>
        <v>4663.0995057099499</v>
      </c>
      <c r="AO295" s="14">
        <f t="shared" si="184"/>
        <v>7624.2299965631528</v>
      </c>
      <c r="AP295" s="14">
        <f t="shared" si="185"/>
        <v>3396.487093976411</v>
      </c>
      <c r="AQ295" s="14">
        <f t="shared" si="186"/>
        <v>1513.0871687696424</v>
      </c>
      <c r="AR295" s="33">
        <f t="shared" si="187"/>
        <v>0.95</v>
      </c>
      <c r="AS295" s="33">
        <f t="shared" si="188"/>
        <v>0.62725704133351978</v>
      </c>
      <c r="AT295" s="51">
        <f t="shared" si="189"/>
        <v>0</v>
      </c>
      <c r="AU295" s="51">
        <f>APPLICANTS_PER_YEAR*($H295/Segments!$AH$2)*AS295</f>
        <v>4.5162506976013423</v>
      </c>
      <c r="AV295" s="51">
        <f t="shared" si="190"/>
        <v>4.5162506976013423</v>
      </c>
      <c r="AW295" s="14">
        <f t="shared" si="191"/>
        <v>1513.0871687696424</v>
      </c>
      <c r="AX295" s="44">
        <f t="shared" si="192"/>
        <v>6833.480981487538</v>
      </c>
      <c r="AY295" s="44">
        <f t="shared" si="193"/>
        <v>23586.893563124682</v>
      </c>
      <c r="AZ295" s="44">
        <f t="shared" si="194"/>
        <v>1733.931021245269</v>
      </c>
    </row>
    <row r="296" spans="1:52" ht="15" customHeight="1" x14ac:dyDescent="0.35">
      <c r="A296" s="59" t="str">
        <f>Segments!$A$276</f>
        <v>Greek</v>
      </c>
      <c r="B296" s="59" t="str">
        <f>Segments!$B$276</f>
        <v>Off 0-1mi</v>
      </c>
      <c r="C296" s="59" t="str">
        <f>Segments!$C$276</f>
        <v>No</v>
      </c>
      <c r="D296" s="59" t="str">
        <f>Segments!$D$276</f>
        <v>2.0-3.0</v>
      </c>
      <c r="E296" s="59" t="str">
        <f>Segments!$E$276</f>
        <v>Sophomore</v>
      </c>
      <c r="F296" s="59">
        <f>Segments!$F$276</f>
        <v>1</v>
      </c>
      <c r="G296" s="59" t="str">
        <f>Segments!$G$276</f>
        <v>Sophomore</v>
      </c>
      <c r="H296" s="60">
        <f>Segments!$H$276</f>
        <v>6</v>
      </c>
      <c r="I296" s="26">
        <f>Segments!$Y$276</f>
        <v>4350.7005972591442</v>
      </c>
      <c r="J296" s="29">
        <v>1</v>
      </c>
      <c r="K296" s="14">
        <f t="shared" si="156"/>
        <v>1426.2297754450396</v>
      </c>
      <c r="L296" s="14">
        <f t="shared" si="157"/>
        <v>4350.7005972591442</v>
      </c>
      <c r="M296" s="14">
        <f t="shared" si="158"/>
        <v>7116.2450169121284</v>
      </c>
      <c r="N296" s="14">
        <f t="shared" si="159"/>
        <v>3185.8123818709832</v>
      </c>
      <c r="O296" s="14">
        <f t="shared" si="160"/>
        <v>1426.2297754450396</v>
      </c>
      <c r="P296" s="33">
        <f t="shared" si="161"/>
        <v>0.95</v>
      </c>
      <c r="Q296" s="33">
        <f t="shared" si="162"/>
        <v>0.62615917001875754</v>
      </c>
      <c r="R296" s="51">
        <f t="shared" si="163"/>
        <v>5.6999999999999993</v>
      </c>
      <c r="S296" s="51">
        <f>APPLICANTS_PER_YEAR*($H296/Segments!$AH$2)*Q296</f>
        <v>4.5083460241350535</v>
      </c>
      <c r="T296" s="51">
        <f t="shared" si="164"/>
        <v>10.208346024135054</v>
      </c>
      <c r="U296" s="14">
        <f t="shared" si="165"/>
        <v>1426.2297754450394</v>
      </c>
      <c r="V296" s="44">
        <f t="shared" si="166"/>
        <v>14559.447057667399</v>
      </c>
      <c r="W296" s="44">
        <f t="shared" si="167"/>
        <v>49743.072001540277</v>
      </c>
      <c r="X296" s="44">
        <f t="shared" si="168"/>
        <v>3293.6588718022904</v>
      </c>
      <c r="Y296" s="14">
        <f t="shared" si="169"/>
        <v>1426.2297754450396</v>
      </c>
      <c r="Z296" s="14">
        <f t="shared" si="170"/>
        <v>4481.2216151769189</v>
      </c>
      <c r="AA296" s="14">
        <f t="shared" si="171"/>
        <v>7328.4823674194931</v>
      </c>
      <c r="AB296" s="14">
        <f t="shared" si="172"/>
        <v>3281.1069403594215</v>
      </c>
      <c r="AC296" s="14">
        <f t="shared" si="173"/>
        <v>1469.0166687083909</v>
      </c>
      <c r="AD296" s="33">
        <f t="shared" si="174"/>
        <v>0.95</v>
      </c>
      <c r="AE296" s="33">
        <f t="shared" si="175"/>
        <v>0.626140080861328</v>
      </c>
      <c r="AF296" s="51">
        <f t="shared" si="176"/>
        <v>4.2906916357545413</v>
      </c>
      <c r="AG296" s="51">
        <f>APPLICANTS_PER_YEAR*($H296/Segments!$AH$2)*AE296</f>
        <v>4.5082085822015614</v>
      </c>
      <c r="AH296" s="51">
        <f t="shared" si="177"/>
        <v>8.7989002179561027</v>
      </c>
      <c r="AI296" s="14">
        <f t="shared" si="178"/>
        <v>1469.0166687083909</v>
      </c>
      <c r="AJ296" s="44">
        <f t="shared" si="179"/>
        <v>12925.731086479409</v>
      </c>
      <c r="AK296" s="44">
        <f t="shared" si="180"/>
        <v>44161.400468068568</v>
      </c>
      <c r="AL296" s="44">
        <f t="shared" si="181"/>
        <v>2963.4385686231608</v>
      </c>
      <c r="AM296" s="14">
        <f t="shared" si="182"/>
        <v>1469.0166687083909</v>
      </c>
      <c r="AN296" s="14">
        <f t="shared" si="183"/>
        <v>4615.6582636322255</v>
      </c>
      <c r="AO296" s="14">
        <f t="shared" si="184"/>
        <v>7547.0868384420764</v>
      </c>
      <c r="AP296" s="14">
        <f t="shared" si="185"/>
        <v>3379.2603120856129</v>
      </c>
      <c r="AQ296" s="14">
        <f t="shared" si="186"/>
        <v>1513.0871687696424</v>
      </c>
      <c r="AR296" s="33">
        <f t="shared" si="187"/>
        <v>0.95</v>
      </c>
      <c r="AS296" s="33">
        <f t="shared" si="188"/>
        <v>0.62612154302552159</v>
      </c>
      <c r="AT296" s="51">
        <f t="shared" si="189"/>
        <v>4.2905630420960987</v>
      </c>
      <c r="AU296" s="51">
        <f>APPLICANTS_PER_YEAR*($H296/Segments!$AH$2)*AS296</f>
        <v>4.5080751097837553</v>
      </c>
      <c r="AV296" s="51">
        <f t="shared" si="190"/>
        <v>8.7986381518798531</v>
      </c>
      <c r="AW296" s="14">
        <f t="shared" si="191"/>
        <v>1513.0871687696424</v>
      </c>
      <c r="AX296" s="44">
        <f t="shared" si="192"/>
        <v>13313.106490256447</v>
      </c>
      <c r="AY296" s="44">
        <f t="shared" si="193"/>
        <v>45484.887721766099</v>
      </c>
      <c r="AZ296" s="44">
        <f t="shared" si="194"/>
        <v>3043.5906385968851</v>
      </c>
    </row>
    <row r="297" spans="1:52" ht="15" customHeight="1" x14ac:dyDescent="0.35">
      <c r="A297" s="59" t="str">
        <f>Segments!$A$277</f>
        <v>Greek</v>
      </c>
      <c r="B297" s="59" t="str">
        <f>Segments!$B$277</f>
        <v>Off 0-1mi</v>
      </c>
      <c r="C297" s="59" t="str">
        <f>Segments!$C$277</f>
        <v>No</v>
      </c>
      <c r="D297" s="59" t="str">
        <f>Segments!$D$277</f>
        <v>2.0-3.0</v>
      </c>
      <c r="E297" s="59" t="str">
        <f>Segments!$E$277</f>
        <v>Junior</v>
      </c>
      <c r="F297" s="59">
        <f>Segments!$F$277</f>
        <v>2</v>
      </c>
      <c r="G297" s="59" t="str">
        <f>Segments!$G$277</f>
        <v>Base</v>
      </c>
      <c r="H297" s="60">
        <f>Segments!$H$277</f>
        <v>4</v>
      </c>
      <c r="I297" s="26">
        <f>Segments!$Y$277</f>
        <v>5200.9389758579382</v>
      </c>
      <c r="J297" s="29">
        <v>2</v>
      </c>
      <c r="K297" s="14">
        <f t="shared" si="156"/>
        <v>1426.2297754450396</v>
      </c>
      <c r="L297" s="14">
        <f t="shared" si="157"/>
        <v>5200.9389758579382</v>
      </c>
      <c r="M297" s="14">
        <f t="shared" si="158"/>
        <v>8498.798904801406</v>
      </c>
      <c r="N297" s="14">
        <f t="shared" si="159"/>
        <v>3481.5571305879012</v>
      </c>
      <c r="O297" s="14">
        <f t="shared" si="160"/>
        <v>1426.2297754450396</v>
      </c>
      <c r="P297" s="33">
        <f t="shared" si="161"/>
        <v>0.95</v>
      </c>
      <c r="Q297" s="33">
        <f t="shared" si="162"/>
        <v>0.64517357866762848</v>
      </c>
      <c r="R297" s="51">
        <f t="shared" si="163"/>
        <v>5.6999999999999993</v>
      </c>
      <c r="S297" s="51">
        <f>APPLICANTS_PER_YEAR*($H297/Segments!$AH$2)*Q297</f>
        <v>3.0968331776046165</v>
      </c>
      <c r="T297" s="51">
        <f t="shared" si="164"/>
        <v>8.7968331776046149</v>
      </c>
      <c r="U297" s="14">
        <f t="shared" si="165"/>
        <v>1426.2297754450399</v>
      </c>
      <c r="V297" s="44">
        <f t="shared" si="166"/>
        <v>12546.305407522506</v>
      </c>
      <c r="W297" s="44">
        <f t="shared" si="167"/>
        <v>51242.007642026976</v>
      </c>
      <c r="X297" s="44">
        <f t="shared" si="168"/>
        <v>2779.1970640759641</v>
      </c>
      <c r="Y297" s="14">
        <f t="shared" si="169"/>
        <v>1426.2297754450394</v>
      </c>
      <c r="Z297" s="14">
        <f t="shared" si="170"/>
        <v>5356.9671451336762</v>
      </c>
      <c r="AA297" s="14">
        <f t="shared" si="171"/>
        <v>8752.5128719454478</v>
      </c>
      <c r="AB297" s="14">
        <f t="shared" si="172"/>
        <v>3585.7478023381132</v>
      </c>
      <c r="AC297" s="14">
        <f t="shared" si="173"/>
        <v>1469.0166687083909</v>
      </c>
      <c r="AD297" s="33">
        <f t="shared" si="174"/>
        <v>0.95</v>
      </c>
      <c r="AE297" s="33">
        <f t="shared" si="175"/>
        <v>0.6451589529315882</v>
      </c>
      <c r="AF297" s="51">
        <f t="shared" si="176"/>
        <v>9.6979287229283013</v>
      </c>
      <c r="AG297" s="51">
        <f>APPLICANTS_PER_YEAR*($H297/Segments!$AH$2)*AE297</f>
        <v>3.0967629740716234</v>
      </c>
      <c r="AH297" s="51">
        <f t="shared" si="177"/>
        <v>12.794691696999925</v>
      </c>
      <c r="AI297" s="14">
        <f t="shared" si="178"/>
        <v>1469.0166687083911</v>
      </c>
      <c r="AJ297" s="44">
        <f t="shared" si="179"/>
        <v>18795.615373877739</v>
      </c>
      <c r="AK297" s="44">
        <f t="shared" si="180"/>
        <v>76765.632219296429</v>
      </c>
      <c r="AL297" s="44">
        <f t="shared" si="181"/>
        <v>4044.906088932938</v>
      </c>
      <c r="AM297" s="14">
        <f t="shared" si="182"/>
        <v>1469.0166687083909</v>
      </c>
      <c r="AN297" s="14">
        <f t="shared" si="183"/>
        <v>5517.6761594876862</v>
      </c>
      <c r="AO297" s="14">
        <f t="shared" si="184"/>
        <v>9013.8382581038095</v>
      </c>
      <c r="AP297" s="14">
        <f t="shared" si="185"/>
        <v>3693.0641762230157</v>
      </c>
      <c r="AQ297" s="14">
        <f t="shared" si="186"/>
        <v>1513.0871687696424</v>
      </c>
      <c r="AR297" s="33">
        <f t="shared" si="187"/>
        <v>0.95</v>
      </c>
      <c r="AS297" s="33">
        <f t="shared" si="188"/>
        <v>0.64514475018992057</v>
      </c>
      <c r="AT297" s="51">
        <f t="shared" si="189"/>
        <v>8.3589552070582975</v>
      </c>
      <c r="AU297" s="51">
        <f>APPLICANTS_PER_YEAR*($H297/Segments!$AH$2)*AS297</f>
        <v>3.0966948009116186</v>
      </c>
      <c r="AV297" s="51">
        <f t="shared" si="190"/>
        <v>11.455650007969917</v>
      </c>
      <c r="AW297" s="14">
        <f t="shared" si="191"/>
        <v>1513.0871687696424</v>
      </c>
      <c r="AX297" s="44">
        <f t="shared" si="192"/>
        <v>17333.397036975133</v>
      </c>
      <c r="AY297" s="44">
        <f t="shared" si="193"/>
        <v>70793.594973259795</v>
      </c>
      <c r="AZ297" s="44">
        <f t="shared" si="194"/>
        <v>3746.5373310804152</v>
      </c>
    </row>
    <row r="298" spans="1:52" ht="15" customHeight="1" x14ac:dyDescent="0.35">
      <c r="A298" s="59" t="str">
        <f>Segments!$A$278</f>
        <v>Greek</v>
      </c>
      <c r="B298" s="59" t="str">
        <f>Segments!$B$278</f>
        <v>Off 0-1mi</v>
      </c>
      <c r="C298" s="59" t="str">
        <f>Segments!$C$278</f>
        <v>No</v>
      </c>
      <c r="D298" s="59" t="str">
        <f>Segments!$D$278</f>
        <v>2.0-3.0</v>
      </c>
      <c r="E298" s="59" t="str">
        <f>Segments!$E$278</f>
        <v>Senior</v>
      </c>
      <c r="F298" s="59">
        <f>Segments!$F$278</f>
        <v>3</v>
      </c>
      <c r="G298" s="59" t="str">
        <f>Segments!$G$278</f>
        <v>Base</v>
      </c>
      <c r="H298" s="60">
        <f>Segments!$H$278</f>
        <v>3</v>
      </c>
      <c r="I298" s="26">
        <f>Segments!$Y$278</f>
        <v>4861.252422498218</v>
      </c>
      <c r="J298" s="29">
        <v>3</v>
      </c>
      <c r="K298" s="14">
        <f t="shared" si="156"/>
        <v>1426.2297754450396</v>
      </c>
      <c r="L298" s="14">
        <f t="shared" si="157"/>
        <v>4861.252422498218</v>
      </c>
      <c r="M298" s="14">
        <f t="shared" si="158"/>
        <v>7946.4420871932016</v>
      </c>
      <c r="N298" s="14">
        <f t="shared" si="159"/>
        <v>3366.5193172777981</v>
      </c>
      <c r="O298" s="14">
        <f t="shared" si="160"/>
        <v>1426.2297754450396</v>
      </c>
      <c r="P298" s="33">
        <f t="shared" si="161"/>
        <v>0.95</v>
      </c>
      <c r="Q298" s="33">
        <f t="shared" si="162"/>
        <v>0.63817442571541461</v>
      </c>
      <c r="R298" s="51">
        <f t="shared" si="163"/>
        <v>3.8</v>
      </c>
      <c r="S298" s="51">
        <f>APPLICANTS_PER_YEAR*($H298/Segments!$AH$2)*Q298</f>
        <v>2.2974279325754923</v>
      </c>
      <c r="T298" s="51">
        <f t="shared" si="164"/>
        <v>6.0974279325754921</v>
      </c>
      <c r="U298" s="14">
        <f t="shared" si="165"/>
        <v>1426.2297754450396</v>
      </c>
      <c r="V298" s="44">
        <f t="shared" si="166"/>
        <v>8696.3332710694558</v>
      </c>
      <c r="W298" s="44">
        <f t="shared" si="167"/>
        <v>33198.072665229825</v>
      </c>
      <c r="X298" s="44">
        <f t="shared" si="168"/>
        <v>1937.6743495512653</v>
      </c>
      <c r="Y298" s="14">
        <f t="shared" si="169"/>
        <v>1426.2297754450399</v>
      </c>
      <c r="Z298" s="14">
        <f t="shared" si="170"/>
        <v>5007.0899951731644</v>
      </c>
      <c r="AA298" s="14">
        <f t="shared" si="171"/>
        <v>8183.5853498089973</v>
      </c>
      <c r="AB298" s="14">
        <f t="shared" si="172"/>
        <v>3467.2501047180322</v>
      </c>
      <c r="AC298" s="14">
        <f t="shared" si="173"/>
        <v>1469.0166687083909</v>
      </c>
      <c r="AD298" s="33">
        <f t="shared" si="174"/>
        <v>0.95</v>
      </c>
      <c r="AE298" s="33">
        <f t="shared" si="175"/>
        <v>0.63815824870703175</v>
      </c>
      <c r="AF298" s="51">
        <f t="shared" si="176"/>
        <v>8.3569915187243833</v>
      </c>
      <c r="AG298" s="51">
        <f>APPLICANTS_PER_YEAR*($H298/Segments!$AH$2)*AE298</f>
        <v>2.297369695345314</v>
      </c>
      <c r="AH298" s="51">
        <f t="shared" si="177"/>
        <v>10.654361214069697</v>
      </c>
      <c r="AI298" s="14">
        <f t="shared" si="178"/>
        <v>1469.0166687083909</v>
      </c>
      <c r="AJ298" s="44">
        <f t="shared" si="179"/>
        <v>15651.434217908552</v>
      </c>
      <c r="AK298" s="44">
        <f t="shared" si="180"/>
        <v>59749.026892720925</v>
      </c>
      <c r="AL298" s="44">
        <f t="shared" si="181"/>
        <v>3346.7631370324157</v>
      </c>
      <c r="AM298" s="14">
        <f t="shared" si="182"/>
        <v>1469.0166687083911</v>
      </c>
      <c r="AN298" s="14">
        <f t="shared" si="183"/>
        <v>5157.3026950283593</v>
      </c>
      <c r="AO298" s="14">
        <f t="shared" si="184"/>
        <v>8427.8429103032668</v>
      </c>
      <c r="AP298" s="14">
        <f t="shared" si="185"/>
        <v>3571.0027958524588</v>
      </c>
      <c r="AQ298" s="14">
        <f t="shared" si="186"/>
        <v>1513.0871687696424</v>
      </c>
      <c r="AR298" s="33">
        <f t="shared" si="187"/>
        <v>0.95</v>
      </c>
      <c r="AS298" s="33">
        <f t="shared" si="188"/>
        <v>0.63814253932718601</v>
      </c>
      <c r="AT298" s="51">
        <f t="shared" si="189"/>
        <v>12.154957112149928</v>
      </c>
      <c r="AU298" s="51">
        <f>APPLICANTS_PER_YEAR*($H298/Segments!$AH$2)*AS298</f>
        <v>2.2973131415778694</v>
      </c>
      <c r="AV298" s="51">
        <f t="shared" si="190"/>
        <v>14.452270253727797</v>
      </c>
      <c r="AW298" s="14">
        <f t="shared" si="191"/>
        <v>1513.0871687696426</v>
      </c>
      <c r="AX298" s="44">
        <f t="shared" si="192"/>
        <v>21867.544680506715</v>
      </c>
      <c r="AY298" s="44">
        <f t="shared" si="193"/>
        <v>83478.900208287989</v>
      </c>
      <c r="AZ298" s="44">
        <f t="shared" si="194"/>
        <v>4601.1054045306282</v>
      </c>
    </row>
    <row r="299" spans="1:52" ht="15" customHeight="1" x14ac:dyDescent="0.35">
      <c r="A299" s="59" t="str">
        <f>Segments!$A$279</f>
        <v>Greek</v>
      </c>
      <c r="B299" s="59" t="str">
        <f>Segments!$B$279</f>
        <v>Off 0-1mi</v>
      </c>
      <c r="C299" s="59" t="str">
        <f>Segments!$C$279</f>
        <v>No</v>
      </c>
      <c r="D299" s="59" t="str">
        <f>Segments!$D$279</f>
        <v>2.0-3.0</v>
      </c>
      <c r="E299" s="59" t="str">
        <f>Segments!$E$279</f>
        <v>Grad student</v>
      </c>
      <c r="F299" s="59">
        <f>Segments!$F$279</f>
        <v>3</v>
      </c>
      <c r="G299" s="59" t="str">
        <f>Segments!$G$279</f>
        <v>Grad</v>
      </c>
      <c r="H299" s="60">
        <f>Segments!$H$279</f>
        <v>1</v>
      </c>
      <c r="I299" s="26">
        <f>Segments!$Y$279</f>
        <v>5788.1981100593621</v>
      </c>
      <c r="J299" s="29">
        <v>4</v>
      </c>
      <c r="K299" s="14">
        <f t="shared" si="156"/>
        <v>1426.2297754450396</v>
      </c>
      <c r="L299" s="14">
        <f t="shared" si="157"/>
        <v>5788.1981100593621</v>
      </c>
      <c r="M299" s="14">
        <f t="shared" si="158"/>
        <v>9453.7280395303296</v>
      </c>
      <c r="N299" s="14">
        <f t="shared" si="159"/>
        <v>3671.9461350812076</v>
      </c>
      <c r="O299" s="14">
        <f t="shared" si="160"/>
        <v>1426.2297754450396</v>
      </c>
      <c r="P299" s="33">
        <f t="shared" si="161"/>
        <v>0.95</v>
      </c>
      <c r="Q299" s="33">
        <f t="shared" si="162"/>
        <v>0.65579375037407817</v>
      </c>
      <c r="R299" s="51">
        <f t="shared" si="163"/>
        <v>0.47499999999999998</v>
      </c>
      <c r="S299" s="51">
        <f>APPLICANTS_PER_YEAR*($H299/Segments!$AH$2)*Q299</f>
        <v>0.78695250044889375</v>
      </c>
      <c r="T299" s="51">
        <f t="shared" si="164"/>
        <v>1.2619525004488938</v>
      </c>
      <c r="U299" s="14">
        <f t="shared" si="165"/>
        <v>1426.2297754450394</v>
      </c>
      <c r="V299" s="44">
        <f t="shared" si="166"/>
        <v>1799.8342313375319</v>
      </c>
      <c r="W299" s="44">
        <f t="shared" si="167"/>
        <v>8180.962807452931</v>
      </c>
      <c r="X299" s="44">
        <f t="shared" si="168"/>
        <v>424.36466032303366</v>
      </c>
      <c r="Y299" s="14">
        <f t="shared" si="169"/>
        <v>1426.2297754450394</v>
      </c>
      <c r="Z299" s="14">
        <f t="shared" si="170"/>
        <v>5961.8440533611429</v>
      </c>
      <c r="AA299" s="14">
        <f t="shared" si="171"/>
        <v>9736.0898807162393</v>
      </c>
      <c r="AB299" s="14">
        <f t="shared" si="172"/>
        <v>3781.8617535302951</v>
      </c>
      <c r="AC299" s="14">
        <f t="shared" si="173"/>
        <v>1469.0166687083909</v>
      </c>
      <c r="AD299" s="33">
        <f t="shared" si="174"/>
        <v>0.95</v>
      </c>
      <c r="AE299" s="33">
        <f t="shared" si="175"/>
        <v>0.65578128386936774</v>
      </c>
      <c r="AF299" s="51">
        <f t="shared" si="176"/>
        <v>0.5994274377132246</v>
      </c>
      <c r="AG299" s="51">
        <f>APPLICANTS_PER_YEAR*($H299/Segments!$AH$2)*AE299</f>
        <v>0.78693754064324128</v>
      </c>
      <c r="AH299" s="51">
        <f t="shared" si="177"/>
        <v>1.386364978356466</v>
      </c>
      <c r="AI299" s="14">
        <f t="shared" si="178"/>
        <v>1469.0166687083909</v>
      </c>
      <c r="AJ299" s="44">
        <f t="shared" si="179"/>
        <v>2036.593262119196</v>
      </c>
      <c r="AK299" s="44">
        <f t="shared" si="180"/>
        <v>9257.1268182429649</v>
      </c>
      <c r="AL299" s="44">
        <f t="shared" si="181"/>
        <v>472.77771737904419</v>
      </c>
      <c r="AM299" s="14">
        <f t="shared" si="182"/>
        <v>1469.0166687083909</v>
      </c>
      <c r="AN299" s="14">
        <f t="shared" si="183"/>
        <v>6140.6993749619769</v>
      </c>
      <c r="AO299" s="14">
        <f t="shared" si="184"/>
        <v>10026.922577137726</v>
      </c>
      <c r="AP299" s="14">
        <f t="shared" si="185"/>
        <v>3895.0748251752148</v>
      </c>
      <c r="AQ299" s="14">
        <f t="shared" si="186"/>
        <v>1513.0871687696424</v>
      </c>
      <c r="AR299" s="33">
        <f t="shared" si="187"/>
        <v>0.95</v>
      </c>
      <c r="AS299" s="33">
        <f t="shared" si="188"/>
        <v>0.6557691781695647</v>
      </c>
      <c r="AT299" s="51">
        <f t="shared" si="189"/>
        <v>0.65852336471932127</v>
      </c>
      <c r="AU299" s="51">
        <f>APPLICANTS_PER_YEAR*($H299/Segments!$AH$2)*AS299</f>
        <v>0.78692301380347762</v>
      </c>
      <c r="AV299" s="51">
        <f t="shared" si="190"/>
        <v>1.4454463785227989</v>
      </c>
      <c r="AW299" s="14">
        <f t="shared" si="191"/>
        <v>1513.0871687696426</v>
      </c>
      <c r="AX299" s="44">
        <f t="shared" si="192"/>
        <v>2187.0863684873948</v>
      </c>
      <c r="AY299" s="44">
        <f t="shared" si="193"/>
        <v>9941.1778739123256</v>
      </c>
      <c r="AZ299" s="44">
        <f t="shared" si="194"/>
        <v>503.61523558450585</v>
      </c>
    </row>
    <row r="300" spans="1:52" ht="15" customHeight="1" x14ac:dyDescent="0.35">
      <c r="A300" s="61" t="str">
        <f>Segments!$A$280</f>
        <v>Greek</v>
      </c>
      <c r="B300" s="61" t="str">
        <f>Segments!$B$280</f>
        <v>Off 0-1mi</v>
      </c>
      <c r="C300" s="61" t="str">
        <f>Segments!$C$280</f>
        <v>No</v>
      </c>
      <c r="D300" s="61" t="str">
        <f>Segments!$D$280</f>
        <v>3.0+</v>
      </c>
      <c r="E300" s="61" t="str">
        <f>Segments!$E$280</f>
        <v>Freshman</v>
      </c>
      <c r="F300" s="61">
        <f>Segments!$F$280</f>
        <v>1</v>
      </c>
      <c r="G300" s="61" t="str">
        <f>Segments!$G$280</f>
        <v>Base</v>
      </c>
      <c r="H300" s="62">
        <f>Segments!$H$280</f>
        <v>3</v>
      </c>
      <c r="I300" s="63">
        <f>Segments!$Y$280</f>
        <v>3852.7936305508752</v>
      </c>
      <c r="J300" s="42">
        <v>0</v>
      </c>
      <c r="K300" s="40">
        <f t="shared" si="156"/>
        <v>6306.6094723909073</v>
      </c>
      <c r="L300" s="40">
        <f t="shared" si="157"/>
        <v>3852.7936305508752</v>
      </c>
      <c r="M300" s="40">
        <f t="shared" si="158"/>
        <v>6306.6094723909073</v>
      </c>
      <c r="N300" s="40">
        <f t="shared" si="159"/>
        <v>2999.1122372508239</v>
      </c>
      <c r="O300" s="40">
        <f t="shared" si="160"/>
        <v>1426.2297754450396</v>
      </c>
      <c r="P300" s="41">
        <f t="shared" si="161"/>
        <v>0.95</v>
      </c>
      <c r="Q300" s="41">
        <f t="shared" si="162"/>
        <v>0.61222467473367848</v>
      </c>
      <c r="R300" s="64">
        <f t="shared" si="163"/>
        <v>0</v>
      </c>
      <c r="S300" s="64">
        <f>APPLICANTS_PER_YEAR*($H300/Segments!$AH$2)*Q300</f>
        <v>2.2040088290412423</v>
      </c>
      <c r="T300" s="64">
        <f t="shared" si="164"/>
        <v>2.2040088290412423</v>
      </c>
      <c r="U300" s="40">
        <f t="shared" si="165"/>
        <v>1426.2297754450396</v>
      </c>
      <c r="V300" s="65">
        <f t="shared" si="166"/>
        <v>3143.4230173223759</v>
      </c>
      <c r="W300" s="65">
        <f t="shared" si="167"/>
        <v>9510.5821195929511</v>
      </c>
      <c r="X300" s="65">
        <f t="shared" si="168"/>
        <v>803.30715318706814</v>
      </c>
      <c r="Y300" s="40">
        <f t="shared" si="169"/>
        <v>6494.5577565626354</v>
      </c>
      <c r="Z300" s="40">
        <f t="shared" si="170"/>
        <v>3968.3774394674015</v>
      </c>
      <c r="AA300" s="40">
        <f t="shared" si="171"/>
        <v>6494.5577565626354</v>
      </c>
      <c r="AB300" s="40">
        <f t="shared" si="172"/>
        <v>3088.7883709117855</v>
      </c>
      <c r="AC300" s="40">
        <f t="shared" si="173"/>
        <v>1469.0166687083909</v>
      </c>
      <c r="AD300" s="41">
        <f t="shared" si="174"/>
        <v>0.95</v>
      </c>
      <c r="AE300" s="41">
        <f t="shared" si="175"/>
        <v>0.61220179366403971</v>
      </c>
      <c r="AF300" s="64">
        <f t="shared" si="176"/>
        <v>0</v>
      </c>
      <c r="AG300" s="64">
        <f>APPLICANTS_PER_YEAR*($H300/Segments!$AH$2)*AE300</f>
        <v>2.2039264571905428</v>
      </c>
      <c r="AH300" s="64">
        <f t="shared" si="177"/>
        <v>2.2039264571905428</v>
      </c>
      <c r="AI300" s="40">
        <f t="shared" si="178"/>
        <v>1469.0166687083911</v>
      </c>
      <c r="AJ300" s="65">
        <f t="shared" si="179"/>
        <v>3237.6047022203375</v>
      </c>
      <c r="AK300" s="65">
        <f t="shared" si="180"/>
        <v>9795.5334746755016</v>
      </c>
      <c r="AL300" s="65">
        <f t="shared" si="181"/>
        <v>824.40014387093004</v>
      </c>
      <c r="AM300" s="40">
        <f t="shared" si="182"/>
        <v>6688.1444892595136</v>
      </c>
      <c r="AN300" s="40">
        <f t="shared" si="183"/>
        <v>4087.4287626514233</v>
      </c>
      <c r="AO300" s="40">
        <f t="shared" si="184"/>
        <v>6688.1444892595136</v>
      </c>
      <c r="AP300" s="40">
        <f t="shared" si="185"/>
        <v>3181.1547603937734</v>
      </c>
      <c r="AQ300" s="40">
        <f t="shared" si="186"/>
        <v>1513.0871687696424</v>
      </c>
      <c r="AR300" s="41">
        <f t="shared" si="187"/>
        <v>0.95</v>
      </c>
      <c r="AS300" s="41">
        <f t="shared" si="188"/>
        <v>0.61217957271240275</v>
      </c>
      <c r="AT300" s="64">
        <f t="shared" si="189"/>
        <v>0</v>
      </c>
      <c r="AU300" s="64">
        <f>APPLICANTS_PER_YEAR*($H300/Segments!$AH$2)*AS300</f>
        <v>2.2038464617646496</v>
      </c>
      <c r="AV300" s="64">
        <f t="shared" si="190"/>
        <v>2.2038464617646496</v>
      </c>
      <c r="AW300" s="40">
        <f t="shared" si="191"/>
        <v>1513.0871687696424</v>
      </c>
      <c r="AX300" s="65">
        <f t="shared" si="192"/>
        <v>3334.6118032344675</v>
      </c>
      <c r="AY300" s="65">
        <f t="shared" si="193"/>
        <v>10089.033266238528</v>
      </c>
      <c r="AZ300" s="65">
        <f t="shared" si="194"/>
        <v>846.12613470393012</v>
      </c>
    </row>
    <row r="301" spans="1:52" ht="15" customHeight="1" x14ac:dyDescent="0.35">
      <c r="A301" s="61" t="str">
        <f>Segments!$A$281</f>
        <v>Greek</v>
      </c>
      <c r="B301" s="61" t="str">
        <f>Segments!$B$281</f>
        <v>Off 0-1mi</v>
      </c>
      <c r="C301" s="61" t="str">
        <f>Segments!$C$281</f>
        <v>No</v>
      </c>
      <c r="D301" s="61" t="str">
        <f>Segments!$D$281</f>
        <v>3.0+</v>
      </c>
      <c r="E301" s="61" t="str">
        <f>Segments!$E$281</f>
        <v>Sophomore</v>
      </c>
      <c r="F301" s="61">
        <f>Segments!$F$281</f>
        <v>1</v>
      </c>
      <c r="G301" s="61" t="str">
        <f>Segments!$G$281</f>
        <v>Sophomore</v>
      </c>
      <c r="H301" s="62">
        <f>Segments!$H$281</f>
        <v>2</v>
      </c>
      <c r="I301" s="63">
        <f>Segments!$Y$281</f>
        <v>3813.5962436886261</v>
      </c>
      <c r="J301" s="42">
        <v>1</v>
      </c>
      <c r="K301" s="40">
        <f t="shared" si="156"/>
        <v>1426.2297754450396</v>
      </c>
      <c r="L301" s="40">
        <f t="shared" si="157"/>
        <v>3813.5962436886261</v>
      </c>
      <c r="M301" s="40">
        <f t="shared" si="158"/>
        <v>6242.8714655382737</v>
      </c>
      <c r="N301" s="40">
        <f t="shared" si="159"/>
        <v>2983.9184252299688</v>
      </c>
      <c r="O301" s="40">
        <f t="shared" si="160"/>
        <v>1426.2297754450396</v>
      </c>
      <c r="P301" s="41">
        <f t="shared" si="161"/>
        <v>0.95</v>
      </c>
      <c r="Q301" s="41">
        <f t="shared" si="162"/>
        <v>0.61101394673094633</v>
      </c>
      <c r="R301" s="64">
        <f t="shared" si="163"/>
        <v>2.8499999999999996</v>
      </c>
      <c r="S301" s="64">
        <f>APPLICANTS_PER_YEAR*($H301/Segments!$AH$2)*Q301</f>
        <v>1.4664334721542711</v>
      </c>
      <c r="T301" s="64">
        <f t="shared" si="164"/>
        <v>4.3164334721542712</v>
      </c>
      <c r="U301" s="40">
        <f t="shared" si="165"/>
        <v>1426.2297754450394</v>
      </c>
      <c r="V301" s="65">
        <f t="shared" si="166"/>
        <v>6156.2259417140385</v>
      </c>
      <c r="W301" s="65">
        <f t="shared" si="167"/>
        <v>18436.470612604113</v>
      </c>
      <c r="X301" s="65">
        <f t="shared" si="168"/>
        <v>1359.717697090244</v>
      </c>
      <c r="Y301" s="40">
        <f t="shared" si="169"/>
        <v>1426.2297754450396</v>
      </c>
      <c r="Z301" s="40">
        <f t="shared" si="170"/>
        <v>3928.0041309992848</v>
      </c>
      <c r="AA301" s="40">
        <f t="shared" si="171"/>
        <v>6428.907609504422</v>
      </c>
      <c r="AB301" s="40">
        <f t="shared" si="172"/>
        <v>3073.1372309007306</v>
      </c>
      <c r="AC301" s="40">
        <f t="shared" si="173"/>
        <v>1469.0166687083909</v>
      </c>
      <c r="AD301" s="41">
        <f t="shared" si="174"/>
        <v>0.95</v>
      </c>
      <c r="AE301" s="41">
        <f t="shared" si="175"/>
        <v>0.61099071432000041</v>
      </c>
      <c r="AF301" s="64">
        <f t="shared" si="176"/>
        <v>2.09380838758918</v>
      </c>
      <c r="AG301" s="64">
        <f>APPLICANTS_PER_YEAR*($H301/Segments!$AH$2)*AE301</f>
        <v>1.466377714368001</v>
      </c>
      <c r="AH301" s="64">
        <f t="shared" si="177"/>
        <v>3.5601861019571812</v>
      </c>
      <c r="AI301" s="40">
        <f t="shared" si="178"/>
        <v>1469.0166687083906</v>
      </c>
      <c r="AJ301" s="65">
        <f t="shared" si="179"/>
        <v>5229.9727274790494</v>
      </c>
      <c r="AK301" s="65">
        <f t="shared" si="180"/>
        <v>15662.556801487735</v>
      </c>
      <c r="AL301" s="65">
        <f t="shared" si="181"/>
        <v>1171.7226760679027</v>
      </c>
      <c r="AM301" s="40">
        <f t="shared" si="182"/>
        <v>1469.0166687083911</v>
      </c>
      <c r="AN301" s="40">
        <f t="shared" si="183"/>
        <v>4045.8442549292631</v>
      </c>
      <c r="AO301" s="40">
        <f t="shared" si="184"/>
        <v>6620.5248377895541</v>
      </c>
      <c r="AP301" s="40">
        <f t="shared" si="185"/>
        <v>3165.0325721199292</v>
      </c>
      <c r="AQ301" s="40">
        <f t="shared" si="186"/>
        <v>1513.0871687696424</v>
      </c>
      <c r="AR301" s="41">
        <f t="shared" si="187"/>
        <v>0.95</v>
      </c>
      <c r="AS301" s="41">
        <f t="shared" si="188"/>
        <v>0.61096815209769206</v>
      </c>
      <c r="AT301" s="64">
        <f t="shared" si="189"/>
        <v>2.0937301343310155</v>
      </c>
      <c r="AU301" s="64">
        <f>APPLICANTS_PER_YEAR*($H301/Segments!$AH$2)*AS301</f>
        <v>1.4663235650344608</v>
      </c>
      <c r="AV301" s="64">
        <f t="shared" si="190"/>
        <v>3.5600536993654766</v>
      </c>
      <c r="AW301" s="40">
        <f t="shared" si="191"/>
        <v>1513.0871687696422</v>
      </c>
      <c r="AX301" s="65">
        <f t="shared" si="192"/>
        <v>5386.6715726408002</v>
      </c>
      <c r="AY301" s="65">
        <f t="shared" si="193"/>
        <v>16131.833543635583</v>
      </c>
      <c r="AZ301" s="65">
        <f t="shared" si="194"/>
        <v>1203.5937283454193</v>
      </c>
    </row>
    <row r="302" spans="1:52" ht="15" customHeight="1" x14ac:dyDescent="0.35">
      <c r="A302" s="61" t="str">
        <f>Segments!$A$282</f>
        <v>Greek</v>
      </c>
      <c r="B302" s="61" t="str">
        <f>Segments!$B$282</f>
        <v>Off 0-1mi</v>
      </c>
      <c r="C302" s="61" t="str">
        <f>Segments!$C$282</f>
        <v>No</v>
      </c>
      <c r="D302" s="61" t="str">
        <f>Segments!$D$282</f>
        <v>3.0+</v>
      </c>
      <c r="E302" s="61" t="str">
        <f>Segments!$E$282</f>
        <v>Junior</v>
      </c>
      <c r="F302" s="61">
        <f>Segments!$F$282</f>
        <v>2</v>
      </c>
      <c r="G302" s="61" t="str">
        <f>Segments!$G$282</f>
        <v>Base</v>
      </c>
      <c r="H302" s="62">
        <f>Segments!$H$282</f>
        <v>1</v>
      </c>
      <c r="I302" s="63">
        <f>Segments!$Y$282</f>
        <v>4558.8706688942948</v>
      </c>
      <c r="J302" s="42">
        <v>2</v>
      </c>
      <c r="K302" s="40">
        <f t="shared" si="156"/>
        <v>1426.2297754450396</v>
      </c>
      <c r="L302" s="40">
        <f t="shared" si="157"/>
        <v>4558.8706688942948</v>
      </c>
      <c r="M302" s="40">
        <f t="shared" si="158"/>
        <v>7454.7457822571087</v>
      </c>
      <c r="N302" s="40">
        <f t="shared" si="159"/>
        <v>3260.7024401236636</v>
      </c>
      <c r="O302" s="40">
        <f t="shared" si="160"/>
        <v>1426.2297754450396</v>
      </c>
      <c r="P302" s="41">
        <f t="shared" si="161"/>
        <v>0.95</v>
      </c>
      <c r="Q302" s="41">
        <f t="shared" si="162"/>
        <v>0.63130022569754185</v>
      </c>
      <c r="R302" s="64">
        <f t="shared" si="163"/>
        <v>1.9</v>
      </c>
      <c r="S302" s="64">
        <f>APPLICANTS_PER_YEAR*($H302/Segments!$AH$2)*Q302</f>
        <v>0.75756027083705024</v>
      </c>
      <c r="T302" s="64">
        <f t="shared" si="164"/>
        <v>2.6575602708370503</v>
      </c>
      <c r="U302" s="40">
        <f t="shared" si="165"/>
        <v>1426.2297754450396</v>
      </c>
      <c r="V302" s="65">
        <f t="shared" si="166"/>
        <v>3790.2915883075848</v>
      </c>
      <c r="W302" s="65">
        <f t="shared" si="167"/>
        <v>13569.330397882344</v>
      </c>
      <c r="X302" s="65">
        <f t="shared" si="168"/>
        <v>826.27124790147127</v>
      </c>
      <c r="Y302" s="40">
        <f t="shared" si="169"/>
        <v>1426.2297754450394</v>
      </c>
      <c r="Z302" s="40">
        <f t="shared" si="170"/>
        <v>4695.6367889611238</v>
      </c>
      <c r="AA302" s="40">
        <f t="shared" si="171"/>
        <v>7677.1381557248224</v>
      </c>
      <c r="AB302" s="40">
        <f t="shared" si="172"/>
        <v>3358.2501274826086</v>
      </c>
      <c r="AC302" s="40">
        <f t="shared" si="173"/>
        <v>1469.0166687083909</v>
      </c>
      <c r="AD302" s="41">
        <f t="shared" si="174"/>
        <v>0.95</v>
      </c>
      <c r="AE302" s="41">
        <f t="shared" si="175"/>
        <v>0.63128242195443818</v>
      </c>
      <c r="AF302" s="64">
        <f t="shared" si="176"/>
        <v>4.1006117985465576</v>
      </c>
      <c r="AG302" s="64">
        <f>APPLICANTS_PER_YEAR*($H302/Segments!$AH$2)*AE302</f>
        <v>0.75753890634532584</v>
      </c>
      <c r="AH302" s="64">
        <f t="shared" si="177"/>
        <v>4.8581507048918837</v>
      </c>
      <c r="AI302" s="40">
        <f t="shared" si="178"/>
        <v>1469.0166687083906</v>
      </c>
      <c r="AJ302" s="65">
        <f t="shared" si="179"/>
        <v>7136.7043645835947</v>
      </c>
      <c r="AK302" s="65">
        <f t="shared" si="180"/>
        <v>25549.564517352675</v>
      </c>
      <c r="AL302" s="65">
        <f t="shared" si="181"/>
        <v>1503.8879164843445</v>
      </c>
      <c r="AM302" s="40">
        <f t="shared" si="182"/>
        <v>1469.0166687083906</v>
      </c>
      <c r="AN302" s="40">
        <f t="shared" si="183"/>
        <v>4836.5058926299571</v>
      </c>
      <c r="AO302" s="40">
        <f t="shared" si="184"/>
        <v>7906.202300396566</v>
      </c>
      <c r="AP302" s="40">
        <f t="shared" si="185"/>
        <v>3458.7242235291146</v>
      </c>
      <c r="AQ302" s="40">
        <f t="shared" si="186"/>
        <v>1513.0871687696424</v>
      </c>
      <c r="AR302" s="41">
        <f t="shared" si="187"/>
        <v>0.95</v>
      </c>
      <c r="AS302" s="41">
        <f t="shared" si="188"/>
        <v>0.63126513260635719</v>
      </c>
      <c r="AT302" s="64">
        <f t="shared" si="189"/>
        <v>3.3821767968593219</v>
      </c>
      <c r="AU302" s="64">
        <f>APPLICANTS_PER_YEAR*($H302/Segments!$AH$2)*AS302</f>
        <v>0.75751815912762865</v>
      </c>
      <c r="AV302" s="64">
        <f t="shared" si="190"/>
        <v>4.1396949559869505</v>
      </c>
      <c r="AW302" s="40">
        <f t="shared" si="191"/>
        <v>1513.0871687696422</v>
      </c>
      <c r="AX302" s="65">
        <f t="shared" si="192"/>
        <v>6263.7193205242638</v>
      </c>
      <c r="AY302" s="65">
        <f t="shared" si="193"/>
        <v>22424.258134119969</v>
      </c>
      <c r="AZ302" s="65">
        <f t="shared" si="194"/>
        <v>1325.6914899110263</v>
      </c>
    </row>
    <row r="303" spans="1:52" ht="15" customHeight="1" x14ac:dyDescent="0.35">
      <c r="A303" s="61" t="str">
        <f>Segments!$A$283</f>
        <v>Greek</v>
      </c>
      <c r="B303" s="61" t="str">
        <f>Segments!$B$283</f>
        <v>Off 0-1mi</v>
      </c>
      <c r="C303" s="61" t="str">
        <f>Segments!$C$283</f>
        <v>No</v>
      </c>
      <c r="D303" s="61" t="str">
        <f>Segments!$D$283</f>
        <v>3.0+</v>
      </c>
      <c r="E303" s="61" t="str">
        <f>Segments!$E$283</f>
        <v>Senior</v>
      </c>
      <c r="F303" s="61">
        <f>Segments!$F$283</f>
        <v>3</v>
      </c>
      <c r="G303" s="61" t="str">
        <f>Segments!$G$283</f>
        <v>Base</v>
      </c>
      <c r="H303" s="62">
        <f>Segments!$H$283</f>
        <v>0</v>
      </c>
      <c r="I303" s="63">
        <f>Segments!$Y$283</f>
        <v>4261.1192297949792</v>
      </c>
      <c r="J303" s="42">
        <v>3</v>
      </c>
      <c r="K303" s="40">
        <f t="shared" si="156"/>
        <v>1426.2297754450396</v>
      </c>
      <c r="L303" s="40">
        <f t="shared" si="157"/>
        <v>4261.1192297949792</v>
      </c>
      <c r="M303" s="40">
        <f t="shared" si="158"/>
        <v>6970.5787296832132</v>
      </c>
      <c r="N303" s="40">
        <f t="shared" si="159"/>
        <v>3153.0377315151268</v>
      </c>
      <c r="O303" s="40">
        <f t="shared" si="160"/>
        <v>1426.2297754450396</v>
      </c>
      <c r="P303" s="41">
        <f t="shared" si="161"/>
        <v>0.95</v>
      </c>
      <c r="Q303" s="41">
        <f t="shared" si="162"/>
        <v>0.62383242813911799</v>
      </c>
      <c r="R303" s="64">
        <f t="shared" si="163"/>
        <v>0.95</v>
      </c>
      <c r="S303" s="64">
        <f>APPLICANTS_PER_YEAR*($H303/Segments!$AH$2)*Q303</f>
        <v>0</v>
      </c>
      <c r="T303" s="64">
        <f t="shared" si="164"/>
        <v>0.95</v>
      </c>
      <c r="U303" s="40">
        <f t="shared" si="165"/>
        <v>1426.2297754450396</v>
      </c>
      <c r="V303" s="65">
        <f t="shared" si="166"/>
        <v>1354.9182866727876</v>
      </c>
      <c r="W303" s="65">
        <f t="shared" si="167"/>
        <v>4533.8308605018583</v>
      </c>
      <c r="X303" s="65">
        <f t="shared" si="168"/>
        <v>275.07955618115687</v>
      </c>
      <c r="Y303" s="40">
        <f t="shared" si="169"/>
        <v>1426.2297754450396</v>
      </c>
      <c r="Z303" s="40">
        <f t="shared" si="170"/>
        <v>4388.9528066888288</v>
      </c>
      <c r="AA303" s="40">
        <f t="shared" si="171"/>
        <v>7178.44609157371</v>
      </c>
      <c r="AB303" s="40">
        <f t="shared" si="172"/>
        <v>3247.3461416896071</v>
      </c>
      <c r="AC303" s="40">
        <f t="shared" si="173"/>
        <v>1469.0166687083909</v>
      </c>
      <c r="AD303" s="41">
        <f t="shared" si="174"/>
        <v>0.95</v>
      </c>
      <c r="AE303" s="41">
        <f t="shared" si="175"/>
        <v>0.62381273744596011</v>
      </c>
      <c r="AF303" s="64">
        <f t="shared" si="176"/>
        <v>2.5246822572951975</v>
      </c>
      <c r="AG303" s="64">
        <f>APPLICANTS_PER_YEAR*($H303/Segments!$AH$2)*AE303</f>
        <v>0</v>
      </c>
      <c r="AH303" s="64">
        <f t="shared" si="177"/>
        <v>2.5246822572951975</v>
      </c>
      <c r="AI303" s="40">
        <f t="shared" si="178"/>
        <v>1469.0166687083909</v>
      </c>
      <c r="AJ303" s="65">
        <f t="shared" si="179"/>
        <v>3708.8003191589714</v>
      </c>
      <c r="AK303" s="65">
        <f t="shared" si="180"/>
        <v>12410.396632651637</v>
      </c>
      <c r="AL303" s="65">
        <f t="shared" si="181"/>
        <v>751.45690546694959</v>
      </c>
      <c r="AM303" s="40">
        <f t="shared" si="182"/>
        <v>1469.0166687083906</v>
      </c>
      <c r="AN303" s="40">
        <f t="shared" si="183"/>
        <v>4520.6213908894933</v>
      </c>
      <c r="AO303" s="40">
        <f t="shared" si="184"/>
        <v>7392.5494743209201</v>
      </c>
      <c r="AP303" s="40">
        <f t="shared" si="185"/>
        <v>3344.4837799112961</v>
      </c>
      <c r="AQ303" s="40">
        <f t="shared" si="186"/>
        <v>1513.0871687696424</v>
      </c>
      <c r="AR303" s="41">
        <f t="shared" si="187"/>
        <v>0.95</v>
      </c>
      <c r="AS303" s="41">
        <f t="shared" si="188"/>
        <v>0.62379361534685429</v>
      </c>
      <c r="AT303" s="64">
        <f t="shared" si="189"/>
        <v>4.6152431696472895</v>
      </c>
      <c r="AU303" s="64">
        <f>APPLICANTS_PER_YEAR*($H303/Segments!$AH$2)*AS303</f>
        <v>0</v>
      </c>
      <c r="AV303" s="64">
        <f t="shared" si="190"/>
        <v>4.6152431696472895</v>
      </c>
      <c r="AW303" s="40">
        <f t="shared" si="191"/>
        <v>1513.0871687696424</v>
      </c>
      <c r="AX303" s="65">
        <f t="shared" si="192"/>
        <v>6983.2652207450474</v>
      </c>
      <c r="AY303" s="65">
        <f t="shared" si="193"/>
        <v>23367.419036487867</v>
      </c>
      <c r="AZ303" s="65">
        <f t="shared" si="194"/>
        <v>1412.1419901137599</v>
      </c>
    </row>
    <row r="304" spans="1:52" ht="15" customHeight="1" x14ac:dyDescent="0.35">
      <c r="A304" s="61" t="str">
        <f>Segments!$A$284</f>
        <v>Greek</v>
      </c>
      <c r="B304" s="61" t="str">
        <f>Segments!$B$284</f>
        <v>Off 0-1mi</v>
      </c>
      <c r="C304" s="61" t="str">
        <f>Segments!$C$284</f>
        <v>No</v>
      </c>
      <c r="D304" s="61" t="str">
        <f>Segments!$D$284</f>
        <v>3.0+</v>
      </c>
      <c r="E304" s="61" t="str">
        <f>Segments!$E$284</f>
        <v>Grad student</v>
      </c>
      <c r="F304" s="61">
        <f>Segments!$F$284</f>
        <v>3</v>
      </c>
      <c r="G304" s="61" t="str">
        <f>Segments!$G$284</f>
        <v>Grad</v>
      </c>
      <c r="H304" s="62">
        <f>Segments!$H$284</f>
        <v>1</v>
      </c>
      <c r="I304" s="63">
        <f>Segments!$Y$284</f>
        <v>5073.6312639288662</v>
      </c>
      <c r="J304" s="42">
        <v>4</v>
      </c>
      <c r="K304" s="40">
        <f t="shared" si="156"/>
        <v>1426.2297754450396</v>
      </c>
      <c r="L304" s="40">
        <f t="shared" si="157"/>
        <v>5073.6312639288662</v>
      </c>
      <c r="M304" s="40">
        <f t="shared" si="158"/>
        <v>8291.7866403398857</v>
      </c>
      <c r="N304" s="40">
        <f t="shared" si="159"/>
        <v>3438.8941533711291</v>
      </c>
      <c r="O304" s="40">
        <f t="shared" si="160"/>
        <v>1426.2297754450396</v>
      </c>
      <c r="P304" s="41">
        <f t="shared" si="161"/>
        <v>0.95</v>
      </c>
      <c r="Q304" s="41">
        <f t="shared" si="162"/>
        <v>0.64263249872827366</v>
      </c>
      <c r="R304" s="64">
        <f t="shared" si="163"/>
        <v>0.47499999999999998</v>
      </c>
      <c r="S304" s="64">
        <f>APPLICANTS_PER_YEAR*($H304/Segments!$AH$2)*Q304</f>
        <v>0.77115899847392833</v>
      </c>
      <c r="T304" s="64">
        <f t="shared" si="164"/>
        <v>1.2461589984739283</v>
      </c>
      <c r="U304" s="40">
        <f t="shared" si="165"/>
        <v>1426.2297754450399</v>
      </c>
      <c r="V304" s="65">
        <f t="shared" si="166"/>
        <v>1777.3090685622865</v>
      </c>
      <c r="W304" s="65">
        <f t="shared" si="167"/>
        <v>7081.2574050216408</v>
      </c>
      <c r="X304" s="65">
        <f t="shared" si="168"/>
        <v>418.60831627250519</v>
      </c>
      <c r="Y304" s="40">
        <f t="shared" si="169"/>
        <v>1426.2297754450399</v>
      </c>
      <c r="Z304" s="40">
        <f t="shared" si="170"/>
        <v>5225.8402018467323</v>
      </c>
      <c r="AA304" s="40">
        <f t="shared" si="171"/>
        <v>8539.2902395500823</v>
      </c>
      <c r="AB304" s="40">
        <f t="shared" si="172"/>
        <v>3541.8017591104581</v>
      </c>
      <c r="AC304" s="40">
        <f t="shared" si="173"/>
        <v>1469.0166687083909</v>
      </c>
      <c r="AD304" s="41">
        <f t="shared" si="174"/>
        <v>0.95</v>
      </c>
      <c r="AE304" s="41">
        <f t="shared" si="175"/>
        <v>0.64261732182925135</v>
      </c>
      <c r="AF304" s="64">
        <f t="shared" si="176"/>
        <v>0.59192552427511591</v>
      </c>
      <c r="AG304" s="64">
        <f>APPLICANTS_PER_YEAR*($H304/Segments!$AH$2)*AE304</f>
        <v>0.77114078619510162</v>
      </c>
      <c r="AH304" s="64">
        <f t="shared" si="177"/>
        <v>1.3630663104702174</v>
      </c>
      <c r="AI304" s="40">
        <f t="shared" si="178"/>
        <v>1469.0166687083909</v>
      </c>
      <c r="AJ304" s="65">
        <f t="shared" si="179"/>
        <v>2002.3671306355961</v>
      </c>
      <c r="AK304" s="65">
        <f t="shared" si="180"/>
        <v>7977.9467298027421</v>
      </c>
      <c r="AL304" s="65">
        <f t="shared" si="181"/>
        <v>464.63588696386194</v>
      </c>
      <c r="AM304" s="40">
        <f t="shared" si="182"/>
        <v>1469.0166687083909</v>
      </c>
      <c r="AN304" s="40">
        <f t="shared" si="183"/>
        <v>5382.6154079021344</v>
      </c>
      <c r="AO304" s="40">
        <f t="shared" si="184"/>
        <v>8794.2189467365861</v>
      </c>
      <c r="AP304" s="40">
        <f t="shared" si="185"/>
        <v>3647.7965743251102</v>
      </c>
      <c r="AQ304" s="40">
        <f t="shared" si="186"/>
        <v>1513.0871687696424</v>
      </c>
      <c r="AR304" s="41">
        <f t="shared" si="187"/>
        <v>0.95</v>
      </c>
      <c r="AS304" s="41">
        <f t="shared" si="188"/>
        <v>0.64260258378723001</v>
      </c>
      <c r="AT304" s="64">
        <f t="shared" si="189"/>
        <v>0.64745649747335321</v>
      </c>
      <c r="AU304" s="64">
        <f>APPLICANTS_PER_YEAR*($H304/Segments!$AH$2)*AS304</f>
        <v>0.77112310054467603</v>
      </c>
      <c r="AV304" s="64">
        <f t="shared" si="190"/>
        <v>1.4185795980180291</v>
      </c>
      <c r="AW304" s="40">
        <f t="shared" si="191"/>
        <v>1513.0871687696426</v>
      </c>
      <c r="AX304" s="65">
        <f t="shared" si="192"/>
        <v>2146.4345876394773</v>
      </c>
      <c r="AY304" s="65">
        <f t="shared" si="193"/>
        <v>8551.9486098227553</v>
      </c>
      <c r="AZ304" s="65">
        <f t="shared" si="194"/>
        <v>494.1629829519992</v>
      </c>
    </row>
    <row r="305" spans="1:52" ht="15" customHeight="1" x14ac:dyDescent="0.35">
      <c r="A305" s="59" t="str">
        <f>Segments!$A$285</f>
        <v>Greek</v>
      </c>
      <c r="B305" s="59" t="str">
        <f>Segments!$B$285</f>
        <v>Off 1-3mi</v>
      </c>
      <c r="C305" s="59" t="str">
        <f>Segments!$C$285</f>
        <v>Yes</v>
      </c>
      <c r="D305" s="59" t="str">
        <f>Segments!$D$285</f>
        <v>&lt;1.0</v>
      </c>
      <c r="E305" s="59" t="str">
        <f>Segments!$E$285</f>
        <v>Freshman</v>
      </c>
      <c r="F305" s="59">
        <f>Segments!$F$285</f>
        <v>1</v>
      </c>
      <c r="G305" s="59" t="str">
        <f>Segments!$G$285</f>
        <v>Base</v>
      </c>
      <c r="H305" s="60">
        <f>Segments!$H$285</f>
        <v>3</v>
      </c>
      <c r="I305" s="26">
        <f>Segments!$Y$285</f>
        <v>2753.0103553153635</v>
      </c>
      <c r="J305" s="29">
        <v>0</v>
      </c>
      <c r="K305" s="14">
        <f t="shared" si="156"/>
        <v>4518.2761281371659</v>
      </c>
      <c r="L305" s="14">
        <f t="shared" si="157"/>
        <v>2753.0103553153635</v>
      </c>
      <c r="M305" s="14">
        <f t="shared" si="158"/>
        <v>4518.2761281371659</v>
      </c>
      <c r="N305" s="14">
        <f t="shared" si="159"/>
        <v>2538.5231824097559</v>
      </c>
      <c r="O305" s="14">
        <f t="shared" si="160"/>
        <v>1426.2297754450396</v>
      </c>
      <c r="P305" s="33">
        <f t="shared" si="161"/>
        <v>0.95</v>
      </c>
      <c r="Q305" s="33">
        <f t="shared" si="162"/>
        <v>0.56908277510959038</v>
      </c>
      <c r="R305" s="51">
        <f t="shared" si="163"/>
        <v>0</v>
      </c>
      <c r="S305" s="51">
        <f>APPLICANTS_PER_YEAR*($H305/Segments!$AH$2)*Q305</f>
        <v>2.0486979903945253</v>
      </c>
      <c r="T305" s="51">
        <f t="shared" si="164"/>
        <v>2.0486979903945253</v>
      </c>
      <c r="U305" s="14">
        <f t="shared" si="165"/>
        <v>1426.2297754450396</v>
      </c>
      <c r="V305" s="44">
        <f t="shared" si="166"/>
        <v>2921.9140747950878</v>
      </c>
      <c r="W305" s="44">
        <f t="shared" si="167"/>
        <v>6316.8971963662925</v>
      </c>
      <c r="X305" s="44">
        <f t="shared" si="168"/>
        <v>746.70016232185333</v>
      </c>
      <c r="Y305" s="14">
        <f t="shared" si="169"/>
        <v>4652.5744119812816</v>
      </c>
      <c r="Z305" s="14">
        <f t="shared" si="170"/>
        <v>2835.6006659748246</v>
      </c>
      <c r="AA305" s="14">
        <f t="shared" si="171"/>
        <v>4652.5744119812816</v>
      </c>
      <c r="AB305" s="14">
        <f t="shared" si="172"/>
        <v>2614.3277077686034</v>
      </c>
      <c r="AC305" s="14">
        <f t="shared" si="173"/>
        <v>1469.0166687083909</v>
      </c>
      <c r="AD305" s="33">
        <f t="shared" si="174"/>
        <v>0.95</v>
      </c>
      <c r="AE305" s="33">
        <f t="shared" si="175"/>
        <v>0.56904504084489194</v>
      </c>
      <c r="AF305" s="51">
        <f t="shared" si="176"/>
        <v>0</v>
      </c>
      <c r="AG305" s="51">
        <f>APPLICANTS_PER_YEAR*($H305/Segments!$AH$2)*AE305</f>
        <v>2.0485621470416109</v>
      </c>
      <c r="AH305" s="51">
        <f t="shared" si="177"/>
        <v>2.0485621470416109</v>
      </c>
      <c r="AI305" s="14">
        <f t="shared" si="178"/>
        <v>1469.0166687083909</v>
      </c>
      <c r="AJ305" s="44">
        <f t="shared" si="179"/>
        <v>3009.3719408891761</v>
      </c>
      <c r="AK305" s="44">
        <f t="shared" si="180"/>
        <v>6505.9726910550498</v>
      </c>
      <c r="AL305" s="44">
        <f t="shared" si="181"/>
        <v>766.28461137604802</v>
      </c>
      <c r="AM305" s="14">
        <f t="shared" si="182"/>
        <v>4790.901644340719</v>
      </c>
      <c r="AN305" s="14">
        <f t="shared" si="183"/>
        <v>2920.6686859540691</v>
      </c>
      <c r="AO305" s="14">
        <f t="shared" si="184"/>
        <v>4790.901644340719</v>
      </c>
      <c r="AP305" s="14">
        <f t="shared" si="185"/>
        <v>2692.406322398112</v>
      </c>
      <c r="AQ305" s="14">
        <f t="shared" si="186"/>
        <v>1513.0871687696424</v>
      </c>
      <c r="AR305" s="33">
        <f t="shared" si="187"/>
        <v>0.95</v>
      </c>
      <c r="AS305" s="33">
        <f t="shared" si="188"/>
        <v>0.56900839108453294</v>
      </c>
      <c r="AT305" s="51">
        <f t="shared" si="189"/>
        <v>0</v>
      </c>
      <c r="AU305" s="51">
        <f>APPLICANTS_PER_YEAR*($H305/Segments!$AH$2)*AS305</f>
        <v>2.0484302079043184</v>
      </c>
      <c r="AV305" s="51">
        <f t="shared" si="190"/>
        <v>2.0484302079043184</v>
      </c>
      <c r="AW305" s="14">
        <f t="shared" si="191"/>
        <v>1513.0871687696424</v>
      </c>
      <c r="AX305" s="44">
        <f t="shared" si="192"/>
        <v>3099.4534637001552</v>
      </c>
      <c r="AY305" s="44">
        <f t="shared" si="193"/>
        <v>6700.7202792191501</v>
      </c>
      <c r="AZ305" s="44">
        <f t="shared" si="194"/>
        <v>786.45693522452905</v>
      </c>
    </row>
    <row r="306" spans="1:52" ht="15" customHeight="1" x14ac:dyDescent="0.35">
      <c r="A306" s="59" t="str">
        <f>Segments!$A$286</f>
        <v>Greek</v>
      </c>
      <c r="B306" s="59" t="str">
        <f>Segments!$B$286</f>
        <v>Off 1-3mi</v>
      </c>
      <c r="C306" s="59" t="str">
        <f>Segments!$C$286</f>
        <v>Yes</v>
      </c>
      <c r="D306" s="59" t="str">
        <f>Segments!$D$286</f>
        <v>&lt;1.0</v>
      </c>
      <c r="E306" s="59" t="str">
        <f>Segments!$E$286</f>
        <v>Sophomore</v>
      </c>
      <c r="F306" s="59">
        <f>Segments!$F$286</f>
        <v>1</v>
      </c>
      <c r="G306" s="59" t="str">
        <f>Segments!$G$286</f>
        <v>Sophomore</v>
      </c>
      <c r="H306" s="60">
        <f>Segments!$H$286</f>
        <v>6</v>
      </c>
      <c r="I306" s="26">
        <f>Segments!$Y$286</f>
        <v>2725.0018964460928</v>
      </c>
      <c r="J306" s="29">
        <v>1</v>
      </c>
      <c r="K306" s="14">
        <f t="shared" si="156"/>
        <v>1426.2297754450396</v>
      </c>
      <c r="L306" s="14">
        <f t="shared" si="157"/>
        <v>2725.0018964460928</v>
      </c>
      <c r="M306" s="14">
        <f t="shared" si="158"/>
        <v>4472.732190486041</v>
      </c>
      <c r="N306" s="14">
        <f t="shared" si="159"/>
        <v>2525.6967014395664</v>
      </c>
      <c r="O306" s="14">
        <f t="shared" si="160"/>
        <v>1426.2297754450396</v>
      </c>
      <c r="P306" s="33">
        <f t="shared" si="161"/>
        <v>0.95</v>
      </c>
      <c r="Q306" s="33">
        <f t="shared" si="162"/>
        <v>0.56765616698312704</v>
      </c>
      <c r="R306" s="51">
        <f t="shared" si="163"/>
        <v>2.8499999999999996</v>
      </c>
      <c r="S306" s="51">
        <f>APPLICANTS_PER_YEAR*($H306/Segments!$AH$2)*Q306</f>
        <v>4.0871244022785147</v>
      </c>
      <c r="T306" s="51">
        <f t="shared" si="164"/>
        <v>6.9371244022785143</v>
      </c>
      <c r="U306" s="14">
        <f t="shared" si="165"/>
        <v>1426.2297754450396</v>
      </c>
      <c r="V306" s="44">
        <f t="shared" si="166"/>
        <v>9893.9333784959908</v>
      </c>
      <c r="W306" s="44">
        <f t="shared" si="167"/>
        <v>21172.118410342391</v>
      </c>
      <c r="X306" s="44">
        <f t="shared" si="168"/>
        <v>2314.8952547849922</v>
      </c>
      <c r="Y306" s="14">
        <f t="shared" si="169"/>
        <v>1426.2297754450396</v>
      </c>
      <c r="Z306" s="14">
        <f t="shared" si="170"/>
        <v>2806.7519533394757</v>
      </c>
      <c r="AA306" s="14">
        <f t="shared" si="171"/>
        <v>4605.6641562006225</v>
      </c>
      <c r="AB306" s="14">
        <f t="shared" si="172"/>
        <v>2601.1146487480091</v>
      </c>
      <c r="AC306" s="14">
        <f t="shared" si="173"/>
        <v>1469.0166687083909</v>
      </c>
      <c r="AD306" s="33">
        <f t="shared" si="174"/>
        <v>0.95</v>
      </c>
      <c r="AE306" s="33">
        <f t="shared" si="175"/>
        <v>0.56761785482706983</v>
      </c>
      <c r="AF306" s="51">
        <f t="shared" si="176"/>
        <v>1.9462630908747989</v>
      </c>
      <c r="AG306" s="51">
        <f>APPLICANTS_PER_YEAR*($H306/Segments!$AH$2)*AE306</f>
        <v>4.0868485547549023</v>
      </c>
      <c r="AH306" s="51">
        <f t="shared" si="177"/>
        <v>6.0331116456297007</v>
      </c>
      <c r="AI306" s="14">
        <f t="shared" si="178"/>
        <v>1469.0166687083911</v>
      </c>
      <c r="AJ306" s="44">
        <f t="shared" si="179"/>
        <v>8862.7415716087417</v>
      </c>
      <c r="AK306" s="44">
        <f t="shared" si="180"/>
        <v>18965.461643616658</v>
      </c>
      <c r="AL306" s="44">
        <f t="shared" si="181"/>
        <v>2108.01930654528</v>
      </c>
      <c r="AM306" s="14">
        <f t="shared" si="182"/>
        <v>1469.0166687083909</v>
      </c>
      <c r="AN306" s="14">
        <f t="shared" si="183"/>
        <v>2890.9545119396598</v>
      </c>
      <c r="AO306" s="14">
        <f t="shared" si="184"/>
        <v>4742.5840808866405</v>
      </c>
      <c r="AP306" s="14">
        <f t="shared" si="185"/>
        <v>2678.7950872735196</v>
      </c>
      <c r="AQ306" s="14">
        <f t="shared" si="186"/>
        <v>1513.0871687696424</v>
      </c>
      <c r="AR306" s="33">
        <f t="shared" si="187"/>
        <v>0.95</v>
      </c>
      <c r="AS306" s="33">
        <f t="shared" si="188"/>
        <v>0.56758064363376448</v>
      </c>
      <c r="AT306" s="51">
        <f t="shared" si="189"/>
        <v>1.9461340396895301</v>
      </c>
      <c r="AU306" s="51">
        <f>APPLICANTS_PER_YEAR*($H306/Segments!$AH$2)*AS306</f>
        <v>4.0865806341631039</v>
      </c>
      <c r="AV306" s="51">
        <f t="shared" si="190"/>
        <v>6.0327146738526345</v>
      </c>
      <c r="AW306" s="14">
        <f t="shared" si="191"/>
        <v>1513.0871687696424</v>
      </c>
      <c r="AX306" s="44">
        <f t="shared" si="192"/>
        <v>9128.02316585476</v>
      </c>
      <c r="AY306" s="44">
        <f t="shared" si="193"/>
        <v>19533.140150293133</v>
      </c>
      <c r="AZ306" s="44">
        <f t="shared" si="194"/>
        <v>2164.4325329369944</v>
      </c>
    </row>
    <row r="307" spans="1:52" ht="15" customHeight="1" x14ac:dyDescent="0.35">
      <c r="A307" s="59" t="str">
        <f>Segments!$A$287</f>
        <v>Greek</v>
      </c>
      <c r="B307" s="59" t="str">
        <f>Segments!$B$287</f>
        <v>Off 1-3mi</v>
      </c>
      <c r="C307" s="59" t="str">
        <f>Segments!$C$287</f>
        <v>Yes</v>
      </c>
      <c r="D307" s="59" t="str">
        <f>Segments!$D$287</f>
        <v>&lt;1.0</v>
      </c>
      <c r="E307" s="59" t="str">
        <f>Segments!$E$287</f>
        <v>Junior</v>
      </c>
      <c r="F307" s="59">
        <f>Segments!$F$287</f>
        <v>2</v>
      </c>
      <c r="G307" s="59" t="str">
        <f>Segments!$G$287</f>
        <v>Base</v>
      </c>
      <c r="H307" s="60">
        <f>Segments!$H$287</f>
        <v>3</v>
      </c>
      <c r="I307" s="26">
        <f>Segments!$Y$287</f>
        <v>3257.5370921735494</v>
      </c>
      <c r="J307" s="29">
        <v>2</v>
      </c>
      <c r="K307" s="14">
        <f t="shared" si="156"/>
        <v>1426.2297754450396</v>
      </c>
      <c r="L307" s="14">
        <f t="shared" si="157"/>
        <v>3257.5370921735494</v>
      </c>
      <c r="M307" s="14">
        <f t="shared" si="158"/>
        <v>5338.6759349971253</v>
      </c>
      <c r="N307" s="14">
        <f t="shared" si="159"/>
        <v>2759.3801079127875</v>
      </c>
      <c r="O307" s="14">
        <f t="shared" si="160"/>
        <v>1426.2297754450396</v>
      </c>
      <c r="P307" s="33">
        <f t="shared" si="161"/>
        <v>0.95</v>
      </c>
      <c r="Q307" s="33">
        <f t="shared" si="162"/>
        <v>0.59156699699414572</v>
      </c>
      <c r="R307" s="51">
        <f t="shared" si="163"/>
        <v>5.6999999999999993</v>
      </c>
      <c r="S307" s="51">
        <f>APPLICANTS_PER_YEAR*($H307/Segments!$AH$2)*Q307</f>
        <v>2.1296411891789244</v>
      </c>
      <c r="T307" s="51">
        <f t="shared" si="164"/>
        <v>7.8296411891789237</v>
      </c>
      <c r="U307" s="14">
        <f t="shared" si="165"/>
        <v>1426.2297754450399</v>
      </c>
      <c r="V307" s="44">
        <f t="shared" si="166"/>
        <v>11166.86739505789</v>
      </c>
      <c r="W307" s="44">
        <f t="shared" si="167"/>
        <v>28565.988183219386</v>
      </c>
      <c r="X307" s="44">
        <f t="shared" si="168"/>
        <v>2426.6793098047337</v>
      </c>
      <c r="Y307" s="14">
        <f t="shared" si="169"/>
        <v>1426.2297754450396</v>
      </c>
      <c r="Z307" s="14">
        <f t="shared" si="170"/>
        <v>3355.2632049387557</v>
      </c>
      <c r="AA307" s="14">
        <f t="shared" si="171"/>
        <v>5497.5862130470387</v>
      </c>
      <c r="AB307" s="14">
        <f t="shared" si="172"/>
        <v>2841.8384515358252</v>
      </c>
      <c r="AC307" s="14">
        <f t="shared" si="173"/>
        <v>1469.0166687083909</v>
      </c>
      <c r="AD307" s="33">
        <f t="shared" si="174"/>
        <v>0.95</v>
      </c>
      <c r="AE307" s="33">
        <f t="shared" si="175"/>
        <v>0.59153761838318353</v>
      </c>
      <c r="AF307" s="51">
        <f t="shared" si="176"/>
        <v>6.5902681821645883</v>
      </c>
      <c r="AG307" s="51">
        <f>APPLICANTS_PER_YEAR*($H307/Segments!$AH$2)*AE307</f>
        <v>2.1295354261794603</v>
      </c>
      <c r="AH307" s="51">
        <f t="shared" si="177"/>
        <v>8.7198036083440478</v>
      </c>
      <c r="AI307" s="14">
        <f t="shared" si="178"/>
        <v>1469.0166687083909</v>
      </c>
      <c r="AJ307" s="44">
        <f t="shared" si="179"/>
        <v>12809.53684852098</v>
      </c>
      <c r="AK307" s="44">
        <f t="shared" si="180"/>
        <v>32768.104545533257</v>
      </c>
      <c r="AL307" s="44">
        <f t="shared" si="181"/>
        <v>2758.128228510026</v>
      </c>
      <c r="AM307" s="14">
        <f t="shared" si="182"/>
        <v>1469.0166687083911</v>
      </c>
      <c r="AN307" s="14">
        <f t="shared" si="183"/>
        <v>3455.9211010869185</v>
      </c>
      <c r="AO307" s="14">
        <f t="shared" si="184"/>
        <v>5661.2637994384504</v>
      </c>
      <c r="AP307" s="14">
        <f t="shared" si="185"/>
        <v>2926.7705092730439</v>
      </c>
      <c r="AQ307" s="14">
        <f t="shared" si="186"/>
        <v>1513.0871687696424</v>
      </c>
      <c r="AR307" s="33">
        <f t="shared" si="187"/>
        <v>0.95</v>
      </c>
      <c r="AS307" s="33">
        <f t="shared" si="188"/>
        <v>0.59150908587201367</v>
      </c>
      <c r="AT307" s="51">
        <f t="shared" si="189"/>
        <v>5.7314560633482152</v>
      </c>
      <c r="AU307" s="51">
        <f>APPLICANTS_PER_YEAR*($H307/Segments!$AH$2)*AS307</f>
        <v>2.1294327091392491</v>
      </c>
      <c r="AV307" s="51">
        <f t="shared" si="190"/>
        <v>7.8608887724874643</v>
      </c>
      <c r="AW307" s="14">
        <f t="shared" si="191"/>
        <v>1513.0871687696424</v>
      </c>
      <c r="AX307" s="44">
        <f t="shared" si="192"/>
        <v>11894.209936776128</v>
      </c>
      <c r="AY307" s="44">
        <f t="shared" si="193"/>
        <v>30426.604747993078</v>
      </c>
      <c r="AZ307" s="44">
        <f t="shared" si="194"/>
        <v>2571.2298770424127</v>
      </c>
    </row>
    <row r="308" spans="1:52" ht="15" customHeight="1" x14ac:dyDescent="0.35">
      <c r="A308" s="59" t="str">
        <f>Segments!$A$288</f>
        <v>Greek</v>
      </c>
      <c r="B308" s="59" t="str">
        <f>Segments!$B$288</f>
        <v>Off 1-3mi</v>
      </c>
      <c r="C308" s="59" t="str">
        <f>Segments!$C$288</f>
        <v>Yes</v>
      </c>
      <c r="D308" s="59" t="str">
        <f>Segments!$D$288</f>
        <v>&lt;1.0</v>
      </c>
      <c r="E308" s="59" t="str">
        <f>Segments!$E$288</f>
        <v>Senior</v>
      </c>
      <c r="F308" s="59">
        <f>Segments!$F$288</f>
        <v>3</v>
      </c>
      <c r="G308" s="59" t="str">
        <f>Segments!$G$288</f>
        <v>Base</v>
      </c>
      <c r="H308" s="60">
        <f>Segments!$H$288</f>
        <v>1</v>
      </c>
      <c r="I308" s="26">
        <f>Segments!$Y$288</f>
        <v>3044.7790589764113</v>
      </c>
      <c r="J308" s="29">
        <v>3</v>
      </c>
      <c r="K308" s="14">
        <f t="shared" si="156"/>
        <v>1426.2297754450396</v>
      </c>
      <c r="L308" s="14">
        <f t="shared" si="157"/>
        <v>3044.7790589764113</v>
      </c>
      <c r="M308" s="14">
        <f t="shared" si="158"/>
        <v>4992.7147864764693</v>
      </c>
      <c r="N308" s="14">
        <f t="shared" si="159"/>
        <v>2668.4749368838866</v>
      </c>
      <c r="O308" s="14">
        <f t="shared" si="160"/>
        <v>1426.2297754450396</v>
      </c>
      <c r="P308" s="33">
        <f t="shared" si="161"/>
        <v>0.95</v>
      </c>
      <c r="Q308" s="33">
        <f t="shared" si="162"/>
        <v>0.58276313078088704</v>
      </c>
      <c r="R308" s="51">
        <f t="shared" si="163"/>
        <v>2.8499999999999996</v>
      </c>
      <c r="S308" s="51">
        <f>APPLICANTS_PER_YEAR*($H308/Segments!$AH$2)*Q308</f>
        <v>0.69931575693706438</v>
      </c>
      <c r="T308" s="51">
        <f t="shared" si="164"/>
        <v>3.5493157569370641</v>
      </c>
      <c r="U308" s="14">
        <f t="shared" si="165"/>
        <v>1426.2297754450394</v>
      </c>
      <c r="V308" s="44">
        <f t="shared" si="166"/>
        <v>5062.1398149998895</v>
      </c>
      <c r="W308" s="44">
        <f t="shared" si="167"/>
        <v>12103.708165267022</v>
      </c>
      <c r="X308" s="44">
        <f t="shared" si="168"/>
        <v>1080.1221075215005</v>
      </c>
      <c r="Y308" s="14">
        <f t="shared" si="169"/>
        <v>1426.2297754450399</v>
      </c>
      <c r="Z308" s="14">
        <f t="shared" si="170"/>
        <v>3136.1224307457037</v>
      </c>
      <c r="AA308" s="14">
        <f t="shared" si="171"/>
        <v>5141.246230070763</v>
      </c>
      <c r="AB308" s="14">
        <f t="shared" si="172"/>
        <v>2748.1951186020478</v>
      </c>
      <c r="AC308" s="14">
        <f t="shared" si="173"/>
        <v>1469.0166687083909</v>
      </c>
      <c r="AD308" s="33">
        <f t="shared" si="174"/>
        <v>0.95</v>
      </c>
      <c r="AE308" s="33">
        <f t="shared" si="175"/>
        <v>0.58273064587647427</v>
      </c>
      <c r="AF308" s="51">
        <f t="shared" si="176"/>
        <v>7.4381591297199776</v>
      </c>
      <c r="AG308" s="51">
        <f>APPLICANTS_PER_YEAR*($H308/Segments!$AH$2)*AE308</f>
        <v>0.69927677505176911</v>
      </c>
      <c r="AH308" s="51">
        <f t="shared" si="177"/>
        <v>8.1374359047717473</v>
      </c>
      <c r="AI308" s="14">
        <f t="shared" si="178"/>
        <v>1469.0166687083906</v>
      </c>
      <c r="AJ308" s="44">
        <f t="shared" si="179"/>
        <v>11954.028984655841</v>
      </c>
      <c r="AK308" s="44">
        <f t="shared" si="180"/>
        <v>28582.394702075355</v>
      </c>
      <c r="AL308" s="44">
        <f t="shared" si="181"/>
        <v>2475.4958389223925</v>
      </c>
      <c r="AM308" s="14">
        <f t="shared" si="182"/>
        <v>1469.0166687083909</v>
      </c>
      <c r="AN308" s="14">
        <f t="shared" si="183"/>
        <v>3230.2061036680748</v>
      </c>
      <c r="AO308" s="14">
        <f t="shared" si="184"/>
        <v>5294.233616972886</v>
      </c>
      <c r="AP308" s="14">
        <f t="shared" si="185"/>
        <v>2830.3068657498197</v>
      </c>
      <c r="AQ308" s="14">
        <f t="shared" si="186"/>
        <v>1513.0871687696424</v>
      </c>
      <c r="AR308" s="33">
        <f t="shared" si="187"/>
        <v>0.95</v>
      </c>
      <c r="AS308" s="33">
        <f t="shared" si="188"/>
        <v>0.58269909579772938</v>
      </c>
      <c r="AT308" s="51">
        <f t="shared" si="189"/>
        <v>8.2838134279268445</v>
      </c>
      <c r="AU308" s="51">
        <f>APPLICANTS_PER_YEAR*($H308/Segments!$AH$2)*AS308</f>
        <v>0.69923891495727519</v>
      </c>
      <c r="AV308" s="51">
        <f t="shared" si="190"/>
        <v>8.98305234288412</v>
      </c>
      <c r="AW308" s="14">
        <f t="shared" si="191"/>
        <v>1513.0871687696424</v>
      </c>
      <c r="AX308" s="44">
        <f t="shared" si="192"/>
        <v>13592.141236404035</v>
      </c>
      <c r="AY308" s="44">
        <f t="shared" si="193"/>
        <v>32499.163768460578</v>
      </c>
      <c r="AZ308" s="44">
        <f t="shared" si="194"/>
        <v>2803.0870434663962</v>
      </c>
    </row>
    <row r="309" spans="1:52" ht="15" customHeight="1" x14ac:dyDescent="0.35">
      <c r="A309" s="59" t="str">
        <f>Segments!$A$289</f>
        <v>Greek</v>
      </c>
      <c r="B309" s="59" t="str">
        <f>Segments!$B$289</f>
        <v>Off 1-3mi</v>
      </c>
      <c r="C309" s="59" t="str">
        <f>Segments!$C$289</f>
        <v>Yes</v>
      </c>
      <c r="D309" s="59" t="str">
        <f>Segments!$D$289</f>
        <v>&lt;1.0</v>
      </c>
      <c r="E309" s="59" t="str">
        <f>Segments!$E$289</f>
        <v>Grad student</v>
      </c>
      <c r="F309" s="59">
        <f>Segments!$F$289</f>
        <v>3</v>
      </c>
      <c r="G309" s="59" t="str">
        <f>Segments!$G$289</f>
        <v>Grad</v>
      </c>
      <c r="H309" s="60">
        <f>Segments!$H$289</f>
        <v>0</v>
      </c>
      <c r="I309" s="26">
        <f>Segments!$Y$289</f>
        <v>3625.3588299902863</v>
      </c>
      <c r="J309" s="29">
        <v>4</v>
      </c>
      <c r="K309" s="14">
        <f t="shared" si="156"/>
        <v>1426.2297754450396</v>
      </c>
      <c r="L309" s="14">
        <f t="shared" si="157"/>
        <v>3625.3588299902863</v>
      </c>
      <c r="M309" s="14">
        <f t="shared" si="158"/>
        <v>5936.7827559416128</v>
      </c>
      <c r="N309" s="14">
        <f t="shared" si="159"/>
        <v>2909.8481638863204</v>
      </c>
      <c r="O309" s="14">
        <f t="shared" si="160"/>
        <v>1426.2297754450396</v>
      </c>
      <c r="P309" s="33">
        <f t="shared" si="161"/>
        <v>0.95</v>
      </c>
      <c r="Q309" s="33">
        <f t="shared" si="162"/>
        <v>0.60493055047583599</v>
      </c>
      <c r="R309" s="51">
        <f t="shared" si="163"/>
        <v>0</v>
      </c>
      <c r="S309" s="51">
        <f>APPLICANTS_PER_YEAR*($H309/Segments!$AH$2)*Q309</f>
        <v>0</v>
      </c>
      <c r="T309" s="51">
        <f t="shared" si="164"/>
        <v>0</v>
      </c>
      <c r="U309" s="14">
        <f t="shared" si="165"/>
        <v>5936.7827559416128</v>
      </c>
      <c r="V309" s="44">
        <f t="shared" si="166"/>
        <v>0</v>
      </c>
      <c r="W309" s="44">
        <f t="shared" si="167"/>
        <v>0</v>
      </c>
      <c r="X309" s="44">
        <f t="shared" si="168"/>
        <v>0</v>
      </c>
      <c r="Y309" s="14">
        <f t="shared" si="169"/>
        <v>5936.7827559416128</v>
      </c>
      <c r="Z309" s="14">
        <f t="shared" si="170"/>
        <v>3734.1195948899949</v>
      </c>
      <c r="AA309" s="14">
        <f t="shared" si="171"/>
        <v>6113.6362386198607</v>
      </c>
      <c r="AB309" s="14">
        <f t="shared" si="172"/>
        <v>2996.837256334125</v>
      </c>
      <c r="AC309" s="14">
        <f t="shared" si="173"/>
        <v>1469.0166687083909</v>
      </c>
      <c r="AD309" s="33">
        <f t="shared" si="174"/>
        <v>0.95</v>
      </c>
      <c r="AE309" s="33">
        <f t="shared" si="175"/>
        <v>0.60490549818755213</v>
      </c>
      <c r="AF309" s="51">
        <f t="shared" si="176"/>
        <v>0</v>
      </c>
      <c r="AG309" s="51">
        <f>APPLICANTS_PER_YEAR*($H309/Segments!$AH$2)*AE309</f>
        <v>0</v>
      </c>
      <c r="AH309" s="51">
        <f t="shared" si="177"/>
        <v>0</v>
      </c>
      <c r="AI309" s="14">
        <f t="shared" si="178"/>
        <v>6113.6362386198607</v>
      </c>
      <c r="AJ309" s="44">
        <f t="shared" si="179"/>
        <v>0</v>
      </c>
      <c r="AK309" s="44">
        <f t="shared" si="180"/>
        <v>0</v>
      </c>
      <c r="AL309" s="44">
        <f t="shared" si="181"/>
        <v>0</v>
      </c>
      <c r="AM309" s="14">
        <f t="shared" si="182"/>
        <v>6113.6362386198607</v>
      </c>
      <c r="AN309" s="14">
        <f t="shared" si="183"/>
        <v>3846.1431827366946</v>
      </c>
      <c r="AO309" s="14">
        <f t="shared" si="184"/>
        <v>6295.7953257784566</v>
      </c>
      <c r="AP309" s="14">
        <f t="shared" si="185"/>
        <v>3086.4359906914115</v>
      </c>
      <c r="AQ309" s="14">
        <f t="shared" si="186"/>
        <v>1513.0871687696424</v>
      </c>
      <c r="AR309" s="33">
        <f t="shared" si="187"/>
        <v>0.95</v>
      </c>
      <c r="AS309" s="33">
        <f t="shared" si="188"/>
        <v>0.60488116822557425</v>
      </c>
      <c r="AT309" s="51">
        <f t="shared" si="189"/>
        <v>0</v>
      </c>
      <c r="AU309" s="51">
        <f>APPLICANTS_PER_YEAR*($H309/Segments!$AH$2)*AS309</f>
        <v>0</v>
      </c>
      <c r="AV309" s="51">
        <f t="shared" si="190"/>
        <v>0</v>
      </c>
      <c r="AW309" s="14">
        <f t="shared" si="191"/>
        <v>6295.7953257784566</v>
      </c>
      <c r="AX309" s="44">
        <f t="shared" si="192"/>
        <v>0</v>
      </c>
      <c r="AY309" s="44">
        <f t="shared" si="193"/>
        <v>0</v>
      </c>
      <c r="AZ309" s="44">
        <f t="shared" si="194"/>
        <v>0</v>
      </c>
    </row>
    <row r="310" spans="1:52" ht="15" customHeight="1" x14ac:dyDescent="0.35">
      <c r="A310" s="61" t="str">
        <f>Segments!$A$290</f>
        <v>Greek</v>
      </c>
      <c r="B310" s="61" t="str">
        <f>Segments!$B$290</f>
        <v>Off 1-3mi</v>
      </c>
      <c r="C310" s="61" t="str">
        <f>Segments!$C$290</f>
        <v>Yes</v>
      </c>
      <c r="D310" s="61" t="str">
        <f>Segments!$D$290</f>
        <v>1.0-2.0</v>
      </c>
      <c r="E310" s="61" t="str">
        <f>Segments!$E$290</f>
        <v>Freshman</v>
      </c>
      <c r="F310" s="61">
        <f>Segments!$F$290</f>
        <v>1</v>
      </c>
      <c r="G310" s="61" t="str">
        <f>Segments!$G$290</f>
        <v>Base</v>
      </c>
      <c r="H310" s="62">
        <f>Segments!$H$290</f>
        <v>7</v>
      </c>
      <c r="I310" s="63">
        <f>Segments!$Y$290</f>
        <v>2498.139637132188</v>
      </c>
      <c r="J310" s="42">
        <v>0</v>
      </c>
      <c r="K310" s="40">
        <f t="shared" si="156"/>
        <v>4103.8364707389701</v>
      </c>
      <c r="L310" s="40">
        <f t="shared" si="157"/>
        <v>2498.139637132188</v>
      </c>
      <c r="M310" s="40">
        <f t="shared" si="158"/>
        <v>4103.8364707389701</v>
      </c>
      <c r="N310" s="40">
        <f t="shared" si="159"/>
        <v>2419.3002641518488</v>
      </c>
      <c r="O310" s="40">
        <f t="shared" si="160"/>
        <v>1426.2297754450396</v>
      </c>
      <c r="P310" s="41">
        <f t="shared" si="161"/>
        <v>0.95</v>
      </c>
      <c r="Q310" s="41">
        <f t="shared" si="162"/>
        <v>0.55523919734596416</v>
      </c>
      <c r="R310" s="64">
        <f t="shared" si="163"/>
        <v>0</v>
      </c>
      <c r="S310" s="64">
        <f>APPLICANTS_PER_YEAR*($H310/Segments!$AH$2)*Q310</f>
        <v>4.6640092577060992</v>
      </c>
      <c r="T310" s="64">
        <f t="shared" si="164"/>
        <v>4.6640092577060992</v>
      </c>
      <c r="U310" s="40">
        <f t="shared" si="165"/>
        <v>1426.2297754450396</v>
      </c>
      <c r="V310" s="65">
        <f t="shared" si="166"/>
        <v>6651.9488762917563</v>
      </c>
      <c r="W310" s="65">
        <f t="shared" si="167"/>
        <v>13049.507961982332</v>
      </c>
      <c r="X310" s="65">
        <f t="shared" si="168"/>
        <v>1699.916964886128</v>
      </c>
      <c r="Y310" s="40">
        <f t="shared" si="169"/>
        <v>4225.7015648611396</v>
      </c>
      <c r="Z310" s="40">
        <f t="shared" si="170"/>
        <v>2573.0838262461539</v>
      </c>
      <c r="AA310" s="40">
        <f t="shared" si="171"/>
        <v>4225.7015648611396</v>
      </c>
      <c r="AB310" s="40">
        <f t="shared" si="172"/>
        <v>2491.5107938293472</v>
      </c>
      <c r="AC310" s="40">
        <f t="shared" si="173"/>
        <v>1469.0166687083909</v>
      </c>
      <c r="AD310" s="41">
        <f t="shared" si="174"/>
        <v>0.95</v>
      </c>
      <c r="AE310" s="41">
        <f t="shared" si="175"/>
        <v>0.55519560413973279</v>
      </c>
      <c r="AF310" s="64">
        <f t="shared" si="176"/>
        <v>0</v>
      </c>
      <c r="AG310" s="64">
        <f>APPLICANTS_PER_YEAR*($H310/Segments!$AH$2)*AE310</f>
        <v>4.6636430747737556</v>
      </c>
      <c r="AH310" s="64">
        <f t="shared" si="177"/>
        <v>4.6636430747737556</v>
      </c>
      <c r="AI310" s="40">
        <f t="shared" si="178"/>
        <v>1469.0166687083909</v>
      </c>
      <c r="AJ310" s="65">
        <f t="shared" si="179"/>
        <v>6850.9694137490997</v>
      </c>
      <c r="AK310" s="65">
        <f t="shared" si="180"/>
        <v>13439.937915135462</v>
      </c>
      <c r="AL310" s="65">
        <f t="shared" si="181"/>
        <v>1744.4810870446174</v>
      </c>
      <c r="AM310" s="40">
        <f t="shared" si="182"/>
        <v>4351.2226118069739</v>
      </c>
      <c r="AN310" s="40">
        <f t="shared" si="183"/>
        <v>2650.2763410335383</v>
      </c>
      <c r="AO310" s="40">
        <f t="shared" si="184"/>
        <v>4351.2226118069739</v>
      </c>
      <c r="AP310" s="40">
        <f t="shared" si="185"/>
        <v>2565.8875856875461</v>
      </c>
      <c r="AQ310" s="40">
        <f t="shared" si="186"/>
        <v>1513.0871687696424</v>
      </c>
      <c r="AR310" s="41">
        <f t="shared" si="187"/>
        <v>0.95</v>
      </c>
      <c r="AS310" s="41">
        <f t="shared" si="188"/>
        <v>0.55515326212855087</v>
      </c>
      <c r="AT310" s="64">
        <f t="shared" si="189"/>
        <v>0</v>
      </c>
      <c r="AU310" s="64">
        <f>APPLICANTS_PER_YEAR*($H310/Segments!$AH$2)*AS310</f>
        <v>4.6632874018798276</v>
      </c>
      <c r="AV310" s="64">
        <f t="shared" si="190"/>
        <v>4.6632874018798276</v>
      </c>
      <c r="AW310" s="40">
        <f t="shared" si="191"/>
        <v>1513.0871687696426</v>
      </c>
      <c r="AX310" s="65">
        <f t="shared" si="192"/>
        <v>7055.9603320694905</v>
      </c>
      <c r="AY310" s="65">
        <f t="shared" si="193"/>
        <v>13842.08030535889</v>
      </c>
      <c r="AZ310" s="65">
        <f t="shared" si="194"/>
        <v>1790.3830474681581</v>
      </c>
    </row>
    <row r="311" spans="1:52" ht="15" customHeight="1" x14ac:dyDescent="0.35">
      <c r="A311" s="61" t="str">
        <f>Segments!$A$291</f>
        <v>Greek</v>
      </c>
      <c r="B311" s="61" t="str">
        <f>Segments!$B$291</f>
        <v>Off 1-3mi</v>
      </c>
      <c r="C311" s="61" t="str">
        <f>Segments!$C$291</f>
        <v>Yes</v>
      </c>
      <c r="D311" s="61" t="str">
        <f>Segments!$D$291</f>
        <v>1.0-2.0</v>
      </c>
      <c r="E311" s="61" t="str">
        <f>Segments!$E$291</f>
        <v>Sophomore</v>
      </c>
      <c r="F311" s="61">
        <f>Segments!$F$291</f>
        <v>1</v>
      </c>
      <c r="G311" s="61" t="str">
        <f>Segments!$G$291</f>
        <v>Sophomore</v>
      </c>
      <c r="H311" s="62">
        <f>Segments!$H$291</f>
        <v>10</v>
      </c>
      <c r="I311" s="63">
        <f>Segments!$Y$291</f>
        <v>2472.7241710620297</v>
      </c>
      <c r="J311" s="42">
        <v>1</v>
      </c>
      <c r="K311" s="40">
        <f t="shared" si="156"/>
        <v>1426.2297754450396</v>
      </c>
      <c r="L311" s="40">
        <f t="shared" si="157"/>
        <v>2472.7241710620297</v>
      </c>
      <c r="M311" s="40">
        <f t="shared" si="158"/>
        <v>4062.5089415280163</v>
      </c>
      <c r="N311" s="40">
        <f t="shared" si="159"/>
        <v>2407.0877041393751</v>
      </c>
      <c r="O311" s="40">
        <f t="shared" si="160"/>
        <v>1426.2297754450396</v>
      </c>
      <c r="P311" s="41">
        <f t="shared" si="161"/>
        <v>0.95</v>
      </c>
      <c r="Q311" s="41">
        <f t="shared" si="162"/>
        <v>0.55374370385582383</v>
      </c>
      <c r="R311" s="64">
        <f t="shared" si="163"/>
        <v>6.6499999999999995</v>
      </c>
      <c r="S311" s="64">
        <f>APPLICANTS_PER_YEAR*($H311/Segments!$AH$2)*Q311</f>
        <v>6.6449244462698864</v>
      </c>
      <c r="T311" s="64">
        <f t="shared" si="164"/>
        <v>13.294924446269885</v>
      </c>
      <c r="U311" s="40">
        <f t="shared" si="165"/>
        <v>1426.2297754450399</v>
      </c>
      <c r="V311" s="65">
        <f t="shared" si="166"/>
        <v>18961.61710756227</v>
      </c>
      <c r="W311" s="65">
        <f t="shared" si="167"/>
        <v>36819.642754423221</v>
      </c>
      <c r="X311" s="65">
        <f t="shared" si="168"/>
        <v>4347.4688519412593</v>
      </c>
      <c r="Y311" s="40">
        <f t="shared" si="169"/>
        <v>1426.2297754450396</v>
      </c>
      <c r="Z311" s="40">
        <f t="shared" si="170"/>
        <v>2546.9058961938904</v>
      </c>
      <c r="AA311" s="40">
        <f t="shared" si="171"/>
        <v>4183.134209773857</v>
      </c>
      <c r="AB311" s="40">
        <f t="shared" si="172"/>
        <v>2478.9299872328174</v>
      </c>
      <c r="AC311" s="40">
        <f t="shared" si="173"/>
        <v>1469.0166687083909</v>
      </c>
      <c r="AD311" s="41">
        <f t="shared" si="174"/>
        <v>0.95</v>
      </c>
      <c r="AE311" s="41">
        <f t="shared" si="175"/>
        <v>0.55369944365628765</v>
      </c>
      <c r="AF311" s="64">
        <f t="shared" si="176"/>
        <v>4.4308087948207939</v>
      </c>
      <c r="AG311" s="64">
        <f>APPLICANTS_PER_YEAR*($H311/Segments!$AH$2)*AE311</f>
        <v>6.6443933238754518</v>
      </c>
      <c r="AH311" s="64">
        <f t="shared" si="177"/>
        <v>11.075202118696247</v>
      </c>
      <c r="AI311" s="40">
        <f t="shared" si="178"/>
        <v>1469.0166687083909</v>
      </c>
      <c r="AJ311" s="65">
        <f t="shared" si="179"/>
        <v>16269.656521679273</v>
      </c>
      <c r="AK311" s="65">
        <f t="shared" si="180"/>
        <v>31592.397286964122</v>
      </c>
      <c r="AL311" s="65">
        <f t="shared" si="181"/>
        <v>3804.2043171861665</v>
      </c>
      <c r="AM311" s="40">
        <f t="shared" si="182"/>
        <v>1469.0166687083909</v>
      </c>
      <c r="AN311" s="40">
        <f t="shared" si="183"/>
        <v>2623.313073079707</v>
      </c>
      <c r="AO311" s="40">
        <f t="shared" si="184"/>
        <v>4307.3782360670721</v>
      </c>
      <c r="AP311" s="40">
        <f t="shared" si="185"/>
        <v>2552.9274842875393</v>
      </c>
      <c r="AQ311" s="40">
        <f t="shared" si="186"/>
        <v>1513.0871687696424</v>
      </c>
      <c r="AR311" s="41">
        <f t="shared" si="187"/>
        <v>0.95</v>
      </c>
      <c r="AS311" s="41">
        <f t="shared" si="188"/>
        <v>0.55365645360430027</v>
      </c>
      <c r="AT311" s="64">
        <f t="shared" si="189"/>
        <v>4.4304609210350678</v>
      </c>
      <c r="AU311" s="64">
        <f>APPLICANTS_PER_YEAR*($H311/Segments!$AH$2)*AS311</f>
        <v>6.6438774432516032</v>
      </c>
      <c r="AV311" s="64">
        <f t="shared" si="190"/>
        <v>11.074338364286671</v>
      </c>
      <c r="AW311" s="40">
        <f t="shared" si="191"/>
        <v>1513.0871687696424</v>
      </c>
      <c r="AX311" s="65">
        <f t="shared" si="192"/>
        <v>16756.439281615552</v>
      </c>
      <c r="AY311" s="65">
        <f t="shared" si="193"/>
        <v>32537.63139955033</v>
      </c>
      <c r="AZ311" s="65">
        <f t="shared" si="194"/>
        <v>3906.3975274515351</v>
      </c>
    </row>
    <row r="312" spans="1:52" ht="15" customHeight="1" x14ac:dyDescent="0.35">
      <c r="A312" s="61" t="str">
        <f>Segments!$A$292</f>
        <v>Greek</v>
      </c>
      <c r="B312" s="61" t="str">
        <f>Segments!$B$292</f>
        <v>Off 1-3mi</v>
      </c>
      <c r="C312" s="61" t="str">
        <f>Segments!$C$292</f>
        <v>Yes</v>
      </c>
      <c r="D312" s="61" t="str">
        <f>Segments!$D$292</f>
        <v>1.0-2.0</v>
      </c>
      <c r="E312" s="61" t="str">
        <f>Segments!$E$292</f>
        <v>Junior</v>
      </c>
      <c r="F312" s="61">
        <f>Segments!$F$292</f>
        <v>2</v>
      </c>
      <c r="G312" s="61" t="str">
        <f>Segments!$G$292</f>
        <v>Base</v>
      </c>
      <c r="H312" s="62">
        <f>Segments!$H$292</f>
        <v>10</v>
      </c>
      <c r="I312" s="63">
        <f>Segments!$Y$292</f>
        <v>2955.9578349115482</v>
      </c>
      <c r="J312" s="42">
        <v>2</v>
      </c>
      <c r="K312" s="40">
        <f t="shared" si="156"/>
        <v>1426.2297754450396</v>
      </c>
      <c r="L312" s="40">
        <f t="shared" si="157"/>
        <v>2955.9578349115482</v>
      </c>
      <c r="M312" s="40">
        <f t="shared" si="158"/>
        <v>4848.2845516753332</v>
      </c>
      <c r="N312" s="40">
        <f t="shared" si="159"/>
        <v>2629.5946051491596</v>
      </c>
      <c r="O312" s="40">
        <f t="shared" si="160"/>
        <v>1426.2297754450396</v>
      </c>
      <c r="P312" s="41">
        <f t="shared" si="161"/>
        <v>0.95</v>
      </c>
      <c r="Q312" s="41">
        <f t="shared" si="162"/>
        <v>0.57881185323162399</v>
      </c>
      <c r="R312" s="64">
        <f t="shared" si="163"/>
        <v>9.5</v>
      </c>
      <c r="S312" s="64">
        <f>APPLICANTS_PER_YEAR*($H312/Segments!$AH$2)*Q312</f>
        <v>6.9457422387794878</v>
      </c>
      <c r="T312" s="64">
        <f t="shared" si="164"/>
        <v>16.445742238779488</v>
      </c>
      <c r="U312" s="40">
        <f t="shared" si="165"/>
        <v>1426.2297754450399</v>
      </c>
      <c r="V312" s="65">
        <f t="shared" si="166"/>
        <v>23455.407260241474</v>
      </c>
      <c r="W312" s="65">
        <f t="shared" si="167"/>
        <v>54446.47109625474</v>
      </c>
      <c r="X312" s="65">
        <f t="shared" si="168"/>
        <v>5282.3482267036916</v>
      </c>
      <c r="Y312" s="40">
        <f t="shared" si="169"/>
        <v>1426.2297754450399</v>
      </c>
      <c r="Z312" s="40">
        <f t="shared" si="170"/>
        <v>3044.6365699588946</v>
      </c>
      <c r="AA312" s="40">
        <f t="shared" si="171"/>
        <v>4992.4830882255928</v>
      </c>
      <c r="AB312" s="40">
        <f t="shared" si="172"/>
        <v>2708.1434369043559</v>
      </c>
      <c r="AC312" s="40">
        <f t="shared" si="173"/>
        <v>1469.0166687083909</v>
      </c>
      <c r="AD312" s="41">
        <f t="shared" si="174"/>
        <v>0.95</v>
      </c>
      <c r="AE312" s="41">
        <f t="shared" si="175"/>
        <v>0.57877790579888833</v>
      </c>
      <c r="AF312" s="64">
        <f t="shared" si="176"/>
        <v>12.63017822395639</v>
      </c>
      <c r="AG312" s="64">
        <f>APPLICANTS_PER_YEAR*($H312/Segments!$AH$2)*AE312</f>
        <v>6.9453348695866595</v>
      </c>
      <c r="AH312" s="64">
        <f t="shared" si="177"/>
        <v>19.575513093543051</v>
      </c>
      <c r="AI312" s="40">
        <f t="shared" si="178"/>
        <v>1469.0166687083906</v>
      </c>
      <c r="AJ312" s="65">
        <f t="shared" si="179"/>
        <v>28756.755032934096</v>
      </c>
      <c r="AK312" s="65">
        <f t="shared" si="180"/>
        <v>66752.361805147593</v>
      </c>
      <c r="AL312" s="65">
        <f t="shared" si="181"/>
        <v>6357.2687790965265</v>
      </c>
      <c r="AM312" s="40">
        <f t="shared" si="182"/>
        <v>1469.0166687083909</v>
      </c>
      <c r="AN312" s="40">
        <f t="shared" si="183"/>
        <v>3135.9756670576612</v>
      </c>
      <c r="AO312" s="40">
        <f t="shared" si="184"/>
        <v>5141.0075808723604</v>
      </c>
      <c r="AP312" s="40">
        <f t="shared" si="185"/>
        <v>2789.0486917881926</v>
      </c>
      <c r="AQ312" s="40">
        <f t="shared" si="186"/>
        <v>1513.0871687696424</v>
      </c>
      <c r="AR312" s="41">
        <f t="shared" si="187"/>
        <v>0.95</v>
      </c>
      <c r="AS312" s="41">
        <f t="shared" si="188"/>
        <v>0.57874493492626522</v>
      </c>
      <c r="AT312" s="64">
        <f t="shared" si="189"/>
        <v>10.521442012761433</v>
      </c>
      <c r="AU312" s="64">
        <f>APPLICANTS_PER_YEAR*($H312/Segments!$AH$2)*AS312</f>
        <v>6.9449392191151826</v>
      </c>
      <c r="AV312" s="64">
        <f t="shared" si="190"/>
        <v>17.466381231876618</v>
      </c>
      <c r="AW312" s="40">
        <f t="shared" si="191"/>
        <v>1513.0871687696422</v>
      </c>
      <c r="AX312" s="65">
        <f t="shared" si="192"/>
        <v>26428.157326791406</v>
      </c>
      <c r="AY312" s="65">
        <f t="shared" si="193"/>
        <v>61347.044118883823</v>
      </c>
      <c r="AZ312" s="65">
        <f t="shared" si="194"/>
        <v>5885.6632845904769</v>
      </c>
    </row>
    <row r="313" spans="1:52" ht="15" customHeight="1" x14ac:dyDescent="0.35">
      <c r="A313" s="61" t="str">
        <f>Segments!$A$293</f>
        <v>Greek</v>
      </c>
      <c r="B313" s="61" t="str">
        <f>Segments!$B$293</f>
        <v>Off 1-3mi</v>
      </c>
      <c r="C313" s="61" t="str">
        <f>Segments!$C$293</f>
        <v>Yes</v>
      </c>
      <c r="D313" s="61" t="str">
        <f>Segments!$D$293</f>
        <v>1.0-2.0</v>
      </c>
      <c r="E313" s="61" t="str">
        <f>Segments!$E$293</f>
        <v>Senior</v>
      </c>
      <c r="F313" s="61">
        <f>Segments!$F$293</f>
        <v>3</v>
      </c>
      <c r="G313" s="61" t="str">
        <f>Segments!$G$293</f>
        <v>Base</v>
      </c>
      <c r="H313" s="62">
        <f>Segments!$H$293</f>
        <v>12</v>
      </c>
      <c r="I313" s="63">
        <f>Segments!$Y$293</f>
        <v>2762.8967100880004</v>
      </c>
      <c r="J313" s="42">
        <v>3</v>
      </c>
      <c r="K313" s="40">
        <f t="shared" si="156"/>
        <v>1426.2297754450396</v>
      </c>
      <c r="L313" s="40">
        <f t="shared" si="157"/>
        <v>2762.8967100880004</v>
      </c>
      <c r="M313" s="40">
        <f t="shared" si="158"/>
        <v>4534.3521117342461</v>
      </c>
      <c r="N313" s="40">
        <f t="shared" si="159"/>
        <v>2543.0351932498838</v>
      </c>
      <c r="O313" s="40">
        <f t="shared" si="160"/>
        <v>1426.2297754450396</v>
      </c>
      <c r="P313" s="41">
        <f t="shared" si="161"/>
        <v>0.95</v>
      </c>
      <c r="Q313" s="41">
        <f t="shared" si="162"/>
        <v>0.56958119588144929</v>
      </c>
      <c r="R313" s="64">
        <f t="shared" si="163"/>
        <v>9.5</v>
      </c>
      <c r="S313" s="64">
        <f>APPLICANTS_PER_YEAR*($H313/Segments!$AH$2)*Q313</f>
        <v>8.2019692206928685</v>
      </c>
      <c r="T313" s="64">
        <f t="shared" si="164"/>
        <v>17.701969220692867</v>
      </c>
      <c r="U313" s="40">
        <f t="shared" si="165"/>
        <v>1426.2297754450396</v>
      </c>
      <c r="V313" s="65">
        <f t="shared" si="166"/>
        <v>25247.075586563791</v>
      </c>
      <c r="W313" s="65">
        <f t="shared" si="167"/>
        <v>54777.75802456314</v>
      </c>
      <c r="X313" s="65">
        <f t="shared" si="168"/>
        <v>5740.2121459859936</v>
      </c>
      <c r="Y313" s="40">
        <f t="shared" si="169"/>
        <v>1426.2297754450399</v>
      </c>
      <c r="Z313" s="40">
        <f t="shared" si="170"/>
        <v>2845.7836113906405</v>
      </c>
      <c r="AA313" s="40">
        <f t="shared" si="171"/>
        <v>4669.1326750862736</v>
      </c>
      <c r="AB313" s="40">
        <f t="shared" si="172"/>
        <v>2618.9757020852126</v>
      </c>
      <c r="AC313" s="40">
        <f t="shared" si="173"/>
        <v>1469.0166687083909</v>
      </c>
      <c r="AD313" s="41">
        <f t="shared" si="174"/>
        <v>0.95</v>
      </c>
      <c r="AE313" s="41">
        <f t="shared" si="175"/>
        <v>0.56954366213883367</v>
      </c>
      <c r="AF313" s="64">
        <f t="shared" si="176"/>
        <v>15.623455126840513</v>
      </c>
      <c r="AG313" s="64">
        <f>APPLICANTS_PER_YEAR*($H313/Segments!$AH$2)*AE313</f>
        <v>8.2014287347992045</v>
      </c>
      <c r="AH313" s="64">
        <f t="shared" si="177"/>
        <v>23.824883861639719</v>
      </c>
      <c r="AI313" s="40">
        <f t="shared" si="178"/>
        <v>1469.0166687083906</v>
      </c>
      <c r="AJ313" s="65">
        <f t="shared" si="179"/>
        <v>34999.151522790278</v>
      </c>
      <c r="AK313" s="65">
        <f t="shared" si="180"/>
        <v>75936.519721148434</v>
      </c>
      <c r="AL313" s="65">
        <f t="shared" si="181"/>
        <v>7718.0542765626778</v>
      </c>
      <c r="AM313" s="40">
        <f t="shared" si="182"/>
        <v>1469.0166687083906</v>
      </c>
      <c r="AN313" s="40">
        <f t="shared" si="183"/>
        <v>2931.1571197323597</v>
      </c>
      <c r="AO313" s="40">
        <f t="shared" si="184"/>
        <v>4807.9566553388613</v>
      </c>
      <c r="AP313" s="40">
        <f t="shared" si="185"/>
        <v>2697.1943799425799</v>
      </c>
      <c r="AQ313" s="40">
        <f t="shared" si="186"/>
        <v>1513.0871687696424</v>
      </c>
      <c r="AR313" s="41">
        <f t="shared" si="187"/>
        <v>0.95</v>
      </c>
      <c r="AS313" s="41">
        <f t="shared" si="188"/>
        <v>0.5695072071887799</v>
      </c>
      <c r="AT313" s="64">
        <f t="shared" si="189"/>
        <v>18.596737438865897</v>
      </c>
      <c r="AU313" s="64">
        <f>APPLICANTS_PER_YEAR*($H313/Segments!$AH$2)*AS313</f>
        <v>8.2009037835184291</v>
      </c>
      <c r="AV313" s="64">
        <f t="shared" si="190"/>
        <v>26.797641222384328</v>
      </c>
      <c r="AW313" s="40">
        <f t="shared" si="191"/>
        <v>1513.0871687696424</v>
      </c>
      <c r="AX313" s="65">
        <f t="shared" si="192"/>
        <v>40547.16708688216</v>
      </c>
      <c r="AY313" s="65">
        <f t="shared" si="193"/>
        <v>87973.868484348233</v>
      </c>
      <c r="AZ313" s="65">
        <f t="shared" si="194"/>
        <v>8838.6938785068414</v>
      </c>
    </row>
    <row r="314" spans="1:52" ht="15" customHeight="1" x14ac:dyDescent="0.35">
      <c r="A314" s="61" t="str">
        <f>Segments!$A$294</f>
        <v>Greek</v>
      </c>
      <c r="B314" s="61" t="str">
        <f>Segments!$B$294</f>
        <v>Off 1-3mi</v>
      </c>
      <c r="C314" s="61" t="str">
        <f>Segments!$C$294</f>
        <v>Yes</v>
      </c>
      <c r="D314" s="61" t="str">
        <f>Segments!$D$294</f>
        <v>1.0-2.0</v>
      </c>
      <c r="E314" s="61" t="str">
        <f>Segments!$E$294</f>
        <v>Grad student</v>
      </c>
      <c r="F314" s="61">
        <f>Segments!$F$294</f>
        <v>3</v>
      </c>
      <c r="G314" s="61" t="str">
        <f>Segments!$G$294</f>
        <v>Grad</v>
      </c>
      <c r="H314" s="62">
        <f>Segments!$H$294</f>
        <v>4</v>
      </c>
      <c r="I314" s="63">
        <f>Segments!$Y$294</f>
        <v>3289.7270344587741</v>
      </c>
      <c r="J314" s="42">
        <v>4</v>
      </c>
      <c r="K314" s="40">
        <f t="shared" si="156"/>
        <v>1426.2297754450396</v>
      </c>
      <c r="L314" s="40">
        <f t="shared" si="157"/>
        <v>3289.7270344587741</v>
      </c>
      <c r="M314" s="40">
        <f t="shared" si="158"/>
        <v>5391.0192906695811</v>
      </c>
      <c r="N314" s="40">
        <f t="shared" si="159"/>
        <v>2772.8743628862007</v>
      </c>
      <c r="O314" s="40">
        <f t="shared" si="160"/>
        <v>1426.2297754450396</v>
      </c>
      <c r="P314" s="41">
        <f t="shared" si="161"/>
        <v>0.95</v>
      </c>
      <c r="Q314" s="41">
        <f t="shared" si="162"/>
        <v>0.59282466697111358</v>
      </c>
      <c r="R314" s="64">
        <f t="shared" si="163"/>
        <v>1.9</v>
      </c>
      <c r="S314" s="64">
        <f>APPLICANTS_PER_YEAR*($H314/Segments!$AH$2)*Q314</f>
        <v>2.8455584014613451</v>
      </c>
      <c r="T314" s="64">
        <f t="shared" si="164"/>
        <v>4.745558401461345</v>
      </c>
      <c r="U314" s="40">
        <f t="shared" si="165"/>
        <v>1426.2297754450396</v>
      </c>
      <c r="V314" s="65">
        <f t="shared" si="166"/>
        <v>6768.2566932775353</v>
      </c>
      <c r="W314" s="65">
        <f t="shared" si="167"/>
        <v>17484.982778917194</v>
      </c>
      <c r="X314" s="65">
        <f t="shared" si="168"/>
        <v>1587.2953472928334</v>
      </c>
      <c r="Y314" s="40">
        <f t="shared" si="169"/>
        <v>1426.2297754450396</v>
      </c>
      <c r="Z314" s="40">
        <f t="shared" si="170"/>
        <v>3388.4188454925375</v>
      </c>
      <c r="AA314" s="40">
        <f t="shared" si="171"/>
        <v>5551.4998693896687</v>
      </c>
      <c r="AB314" s="40">
        <f t="shared" si="172"/>
        <v>2855.7391065126862</v>
      </c>
      <c r="AC314" s="40">
        <f t="shared" si="173"/>
        <v>1469.0166687083909</v>
      </c>
      <c r="AD314" s="41">
        <f t="shared" si="174"/>
        <v>0.95</v>
      </c>
      <c r="AE314" s="41">
        <f t="shared" si="175"/>
        <v>0.59279571523914609</v>
      </c>
      <c r="AF314" s="64">
        <f t="shared" si="176"/>
        <v>2.2541402406941389</v>
      </c>
      <c r="AG314" s="64">
        <f>APPLICANTS_PER_YEAR*($H314/Segments!$AH$2)*AE314</f>
        <v>2.8454194331479012</v>
      </c>
      <c r="AH314" s="64">
        <f t="shared" si="177"/>
        <v>5.0995596738420401</v>
      </c>
      <c r="AI314" s="40">
        <f t="shared" si="178"/>
        <v>1469.0166687083911</v>
      </c>
      <c r="AJ314" s="65">
        <f t="shared" si="179"/>
        <v>7491.3381639470826</v>
      </c>
      <c r="AK314" s="65">
        <f t="shared" si="180"/>
        <v>19352.977394867368</v>
      </c>
      <c r="AL314" s="65">
        <f t="shared" si="181"/>
        <v>1735.2884924781738</v>
      </c>
      <c r="AM314" s="40">
        <f t="shared" si="182"/>
        <v>1469.0166687083911</v>
      </c>
      <c r="AN314" s="40">
        <f t="shared" si="183"/>
        <v>3490.0714108573134</v>
      </c>
      <c r="AO314" s="40">
        <f t="shared" si="184"/>
        <v>5716.7948654713582</v>
      </c>
      <c r="AP314" s="40">
        <f t="shared" si="185"/>
        <v>2941.0897567794304</v>
      </c>
      <c r="AQ314" s="40">
        <f t="shared" si="186"/>
        <v>1513.0871687696424</v>
      </c>
      <c r="AR314" s="41">
        <f t="shared" si="187"/>
        <v>0.95</v>
      </c>
      <c r="AS314" s="41">
        <f t="shared" si="188"/>
        <v>0.59276759740469265</v>
      </c>
      <c r="AT314" s="64">
        <f t="shared" si="189"/>
        <v>2.4222908450749689</v>
      </c>
      <c r="AU314" s="64">
        <f>APPLICANTS_PER_YEAR*($H314/Segments!$AH$2)*AS314</f>
        <v>2.8452844675425246</v>
      </c>
      <c r="AV314" s="64">
        <f t="shared" si="190"/>
        <v>5.2675753126174936</v>
      </c>
      <c r="AW314" s="40">
        <f t="shared" si="191"/>
        <v>1513.0871687696424</v>
      </c>
      <c r="AX314" s="65">
        <f t="shared" si="192"/>
        <v>7970.3006160492678</v>
      </c>
      <c r="AY314" s="65">
        <f t="shared" si="193"/>
        <v>20590.319683476584</v>
      </c>
      <c r="AZ314" s="65">
        <f t="shared" si="194"/>
        <v>1833.5511540510604</v>
      </c>
    </row>
    <row r="315" spans="1:52" ht="15" customHeight="1" x14ac:dyDescent="0.35">
      <c r="A315" s="59" t="str">
        <f>Segments!$A$295</f>
        <v>Greek</v>
      </c>
      <c r="B315" s="59" t="str">
        <f>Segments!$B$295</f>
        <v>Off 1-3mi</v>
      </c>
      <c r="C315" s="59" t="str">
        <f>Segments!$C$295</f>
        <v>Yes</v>
      </c>
      <c r="D315" s="59" t="str">
        <f>Segments!$D$295</f>
        <v>2.0-3.0</v>
      </c>
      <c r="E315" s="59" t="str">
        <f>Segments!$E$295</f>
        <v>Freshman</v>
      </c>
      <c r="F315" s="59">
        <f>Segments!$F$295</f>
        <v>1</v>
      </c>
      <c r="G315" s="59" t="str">
        <f>Segments!$G$295</f>
        <v>Base</v>
      </c>
      <c r="H315" s="60">
        <f>Segments!$H$295</f>
        <v>17</v>
      </c>
      <c r="I315" s="26">
        <f>Segments!$Y$295</f>
        <v>2454.8711579691571</v>
      </c>
      <c r="J315" s="29">
        <v>0</v>
      </c>
      <c r="K315" s="14">
        <f t="shared" si="156"/>
        <v>4033.4785504243278</v>
      </c>
      <c r="L315" s="14">
        <f t="shared" si="157"/>
        <v>2454.8711579691571</v>
      </c>
      <c r="M315" s="14">
        <f t="shared" si="158"/>
        <v>4033.4785504243278</v>
      </c>
      <c r="N315" s="14">
        <f t="shared" si="159"/>
        <v>2398.471848330531</v>
      </c>
      <c r="O315" s="14">
        <f t="shared" si="160"/>
        <v>1426.2297754450396</v>
      </c>
      <c r="P315" s="33">
        <f t="shared" si="161"/>
        <v>0.95</v>
      </c>
      <c r="Q315" s="33">
        <f t="shared" si="162"/>
        <v>0.55267948393103417</v>
      </c>
      <c r="R315" s="51">
        <f t="shared" si="163"/>
        <v>0</v>
      </c>
      <c r="S315" s="51">
        <f>APPLICANTS_PER_YEAR*($H315/Segments!$AH$2)*Q315</f>
        <v>11.274661472193095</v>
      </c>
      <c r="T315" s="51">
        <f t="shared" si="164"/>
        <v>11.274661472193095</v>
      </c>
      <c r="U315" s="14">
        <f t="shared" si="165"/>
        <v>1426.2297754450396</v>
      </c>
      <c r="V315" s="44">
        <f t="shared" si="166"/>
        <v>16080.257899704799</v>
      </c>
      <c r="W315" s="44">
        <f t="shared" si="167"/>
        <v>30999.182215627257</v>
      </c>
      <c r="X315" s="44">
        <f t="shared" si="168"/>
        <v>4109.3375357825644</v>
      </c>
      <c r="Y315" s="14">
        <f t="shared" si="169"/>
        <v>4153.232906937058</v>
      </c>
      <c r="Z315" s="14">
        <f t="shared" si="170"/>
        <v>2528.5172927082317</v>
      </c>
      <c r="AA315" s="14">
        <f t="shared" si="171"/>
        <v>4153.232906937058</v>
      </c>
      <c r="AB315" s="14">
        <f t="shared" si="172"/>
        <v>2470.0543251756108</v>
      </c>
      <c r="AC315" s="14">
        <f t="shared" si="173"/>
        <v>1469.0166687083909</v>
      </c>
      <c r="AD315" s="33">
        <f t="shared" si="174"/>
        <v>0.95</v>
      </c>
      <c r="AE315" s="33">
        <f t="shared" si="175"/>
        <v>0.55263474496579135</v>
      </c>
      <c r="AF315" s="51">
        <f t="shared" si="176"/>
        <v>0</v>
      </c>
      <c r="AG315" s="51">
        <f>APPLICANTS_PER_YEAR*($H315/Segments!$AH$2)*AE315</f>
        <v>11.273748797302142</v>
      </c>
      <c r="AH315" s="51">
        <f t="shared" si="177"/>
        <v>11.273748797302142</v>
      </c>
      <c r="AI315" s="14">
        <f t="shared" si="178"/>
        <v>1469.0166687083909</v>
      </c>
      <c r="AJ315" s="44">
        <f t="shared" si="179"/>
        <v>16561.32490206802</v>
      </c>
      <c r="AK315" s="44">
        <f t="shared" si="180"/>
        <v>31926.57304214235</v>
      </c>
      <c r="AL315" s="44">
        <f t="shared" si="181"/>
        <v>4217.055473941833</v>
      </c>
      <c r="AM315" s="14">
        <f t="shared" si="182"/>
        <v>4276.5798941451694</v>
      </c>
      <c r="AN315" s="14">
        <f t="shared" si="183"/>
        <v>2604.3728114894789</v>
      </c>
      <c r="AO315" s="14">
        <f t="shared" si="184"/>
        <v>4276.5798941451694</v>
      </c>
      <c r="AP315" s="14">
        <f t="shared" si="185"/>
        <v>2543.7842212045607</v>
      </c>
      <c r="AQ315" s="14">
        <f t="shared" si="186"/>
        <v>1513.0871687696424</v>
      </c>
      <c r="AR315" s="33">
        <f t="shared" si="187"/>
        <v>0.95</v>
      </c>
      <c r="AS315" s="33">
        <f t="shared" si="188"/>
        <v>0.55259128974918537</v>
      </c>
      <c r="AT315" s="51">
        <f t="shared" si="189"/>
        <v>0</v>
      </c>
      <c r="AU315" s="51">
        <f>APPLICANTS_PER_YEAR*($H315/Segments!$AH$2)*AS315</f>
        <v>11.272862310883381</v>
      </c>
      <c r="AV315" s="51">
        <f t="shared" si="190"/>
        <v>11.272862310883381</v>
      </c>
      <c r="AW315" s="14">
        <f t="shared" si="191"/>
        <v>1513.0871687696426</v>
      </c>
      <c r="AX315" s="44">
        <f t="shared" si="192"/>
        <v>17056.823317904546</v>
      </c>
      <c r="AY315" s="44">
        <f t="shared" si="193"/>
        <v>32881.784443344637</v>
      </c>
      <c r="AZ315" s="44">
        <f t="shared" si="194"/>
        <v>4328.0072272003699</v>
      </c>
    </row>
    <row r="316" spans="1:52" ht="15" customHeight="1" x14ac:dyDescent="0.35">
      <c r="A316" s="59" t="str">
        <f>Segments!$A$296</f>
        <v>Greek</v>
      </c>
      <c r="B316" s="59" t="str">
        <f>Segments!$B$296</f>
        <v>Off 1-3mi</v>
      </c>
      <c r="C316" s="59" t="str">
        <f>Segments!$C$296</f>
        <v>Yes</v>
      </c>
      <c r="D316" s="59" t="str">
        <f>Segments!$D$296</f>
        <v>2.0-3.0</v>
      </c>
      <c r="E316" s="59" t="str">
        <f>Segments!$E$296</f>
        <v>Sophomore</v>
      </c>
      <c r="F316" s="59">
        <f>Segments!$F$296</f>
        <v>1</v>
      </c>
      <c r="G316" s="59" t="str">
        <f>Segments!$G$296</f>
        <v>Sophomore</v>
      </c>
      <c r="H316" s="60">
        <f>Segments!$H$296</f>
        <v>15</v>
      </c>
      <c r="I316" s="26">
        <f>Segments!$Y$296</f>
        <v>2429.8958948995551</v>
      </c>
      <c r="J316" s="29">
        <v>1</v>
      </c>
      <c r="K316" s="14">
        <f t="shared" si="156"/>
        <v>1426.2297754450396</v>
      </c>
      <c r="L316" s="14">
        <f t="shared" si="157"/>
        <v>2429.8958948995551</v>
      </c>
      <c r="M316" s="14">
        <f t="shared" si="158"/>
        <v>3992.866825610351</v>
      </c>
      <c r="N316" s="14">
        <f t="shared" si="159"/>
        <v>2386.3666013570087</v>
      </c>
      <c r="O316" s="14">
        <f t="shared" si="160"/>
        <v>1426.2297754450396</v>
      </c>
      <c r="P316" s="33">
        <f t="shared" si="161"/>
        <v>0.95</v>
      </c>
      <c r="Q316" s="33">
        <f t="shared" si="162"/>
        <v>0.55117127547921319</v>
      </c>
      <c r="R316" s="51">
        <f t="shared" si="163"/>
        <v>16.149999999999999</v>
      </c>
      <c r="S316" s="51">
        <f>APPLICANTS_PER_YEAR*($H316/Segments!$AH$2)*Q316</f>
        <v>9.9210829586258367</v>
      </c>
      <c r="T316" s="51">
        <f t="shared" si="164"/>
        <v>26.071082958625837</v>
      </c>
      <c r="U316" s="14">
        <f t="shared" si="165"/>
        <v>1426.2297754450396</v>
      </c>
      <c r="V316" s="44">
        <f t="shared" si="166"/>
        <v>37183.354793689927</v>
      </c>
      <c r="W316" s="44">
        <f t="shared" si="167"/>
        <v>70952.019551560763</v>
      </c>
      <c r="X316" s="44">
        <f t="shared" si="168"/>
        <v>8292.3438263543976</v>
      </c>
      <c r="Y316" s="14">
        <f t="shared" si="169"/>
        <v>1426.2297754450396</v>
      </c>
      <c r="Z316" s="14">
        <f t="shared" si="170"/>
        <v>2502.7927717465418</v>
      </c>
      <c r="AA316" s="14">
        <f t="shared" si="171"/>
        <v>4111.4028303786617</v>
      </c>
      <c r="AB316" s="14">
        <f t="shared" si="172"/>
        <v>2457.5840351046209</v>
      </c>
      <c r="AC316" s="14">
        <f t="shared" si="173"/>
        <v>1469.0166687083909</v>
      </c>
      <c r="AD316" s="33">
        <f t="shared" si="174"/>
        <v>0.95</v>
      </c>
      <c r="AE316" s="33">
        <f t="shared" si="175"/>
        <v>0.5511258521123461</v>
      </c>
      <c r="AF316" s="51">
        <f t="shared" si="176"/>
        <v>10.710928398583441</v>
      </c>
      <c r="AG316" s="51">
        <f>APPLICANTS_PER_YEAR*($H316/Segments!$AH$2)*AE316</f>
        <v>9.9202653380222294</v>
      </c>
      <c r="AH316" s="51">
        <f t="shared" si="177"/>
        <v>20.63119373660567</v>
      </c>
      <c r="AI316" s="14">
        <f t="shared" si="178"/>
        <v>1469.0166687083909</v>
      </c>
      <c r="AJ316" s="44">
        <f t="shared" si="179"/>
        <v>30307.567494425879</v>
      </c>
      <c r="AK316" s="44">
        <f t="shared" si="180"/>
        <v>57831.874863256708</v>
      </c>
      <c r="AL316" s="44">
        <f t="shared" si="181"/>
        <v>6898.8169945139252</v>
      </c>
      <c r="AM316" s="14">
        <f t="shared" si="182"/>
        <v>1469.0166687083909</v>
      </c>
      <c r="AN316" s="14">
        <f t="shared" si="183"/>
        <v>2577.8765548989377</v>
      </c>
      <c r="AO316" s="14">
        <f t="shared" si="184"/>
        <v>4233.4949152900217</v>
      </c>
      <c r="AP316" s="14">
        <f t="shared" si="185"/>
        <v>2530.9379358998231</v>
      </c>
      <c r="AQ316" s="14">
        <f t="shared" si="186"/>
        <v>1513.0871687696424</v>
      </c>
      <c r="AR316" s="33">
        <f t="shared" si="187"/>
        <v>0.95</v>
      </c>
      <c r="AS316" s="33">
        <f t="shared" si="188"/>
        <v>0.55108173193277143</v>
      </c>
      <c r="AT316" s="51">
        <f t="shared" si="189"/>
        <v>10.710061357437034</v>
      </c>
      <c r="AU316" s="51">
        <f>APPLICANTS_PER_YEAR*($H316/Segments!$AH$2)*AS316</f>
        <v>9.9194711747898854</v>
      </c>
      <c r="AV316" s="51">
        <f t="shared" si="190"/>
        <v>20.629532532226918</v>
      </c>
      <c r="AW316" s="14">
        <f t="shared" si="191"/>
        <v>1513.0871687696426</v>
      </c>
      <c r="AX316" s="44">
        <f t="shared" si="192"/>
        <v>31214.280972228462</v>
      </c>
      <c r="AY316" s="44">
        <f t="shared" si="193"/>
        <v>59562.034843755013</v>
      </c>
      <c r="AZ316" s="44">
        <f t="shared" si="194"/>
        <v>7085.3923932098851</v>
      </c>
    </row>
    <row r="317" spans="1:52" ht="15" customHeight="1" x14ac:dyDescent="0.35">
      <c r="A317" s="59" t="str">
        <f>Segments!$A$297</f>
        <v>Greek</v>
      </c>
      <c r="B317" s="59" t="str">
        <f>Segments!$B$297</f>
        <v>Off 1-3mi</v>
      </c>
      <c r="C317" s="59" t="str">
        <f>Segments!$C$297</f>
        <v>Yes</v>
      </c>
      <c r="D317" s="59" t="str">
        <f>Segments!$D$297</f>
        <v>2.0-3.0</v>
      </c>
      <c r="E317" s="59" t="str">
        <f>Segments!$E$297</f>
        <v>Junior</v>
      </c>
      <c r="F317" s="59">
        <f>Segments!$F$297</f>
        <v>2</v>
      </c>
      <c r="G317" s="59" t="str">
        <f>Segments!$G$297</f>
        <v>Base</v>
      </c>
      <c r="H317" s="60">
        <f>Segments!$H$297</f>
        <v>11</v>
      </c>
      <c r="I317" s="26">
        <f>Segments!$Y$297</f>
        <v>2904.7598161596834</v>
      </c>
      <c r="J317" s="29">
        <v>2</v>
      </c>
      <c r="K317" s="14">
        <f t="shared" si="156"/>
        <v>1426.2297754450396</v>
      </c>
      <c r="L317" s="14">
        <f t="shared" si="157"/>
        <v>2904.7598161596834</v>
      </c>
      <c r="M317" s="14">
        <f t="shared" si="158"/>
        <v>4765.0325818051042</v>
      </c>
      <c r="N317" s="14">
        <f t="shared" si="159"/>
        <v>2606.9198969542949</v>
      </c>
      <c r="O317" s="14">
        <f t="shared" si="160"/>
        <v>1426.2297754450396</v>
      </c>
      <c r="P317" s="33">
        <f t="shared" si="161"/>
        <v>0.95</v>
      </c>
      <c r="Q317" s="33">
        <f t="shared" si="162"/>
        <v>0.57645308796957551</v>
      </c>
      <c r="R317" s="51">
        <f t="shared" si="163"/>
        <v>14.25</v>
      </c>
      <c r="S317" s="51">
        <f>APPLICANTS_PER_YEAR*($H317/Segments!$AH$2)*Q317</f>
        <v>7.609180761198397</v>
      </c>
      <c r="T317" s="51">
        <f t="shared" si="164"/>
        <v>21.859180761198395</v>
      </c>
      <c r="U317" s="14">
        <f t="shared" si="165"/>
        <v>1426.2297754450399</v>
      </c>
      <c r="V317" s="44">
        <f t="shared" si="166"/>
        <v>31176.214468456521</v>
      </c>
      <c r="W317" s="44">
        <f t="shared" si="167"/>
        <v>71115.150276015935</v>
      </c>
      <c r="X317" s="44">
        <f t="shared" si="168"/>
        <v>6899.5530746849754</v>
      </c>
      <c r="Y317" s="14">
        <f t="shared" si="169"/>
        <v>1426.2297754450396</v>
      </c>
      <c r="Z317" s="14">
        <f t="shared" si="170"/>
        <v>2991.902610644474</v>
      </c>
      <c r="AA317" s="14">
        <f t="shared" si="171"/>
        <v>4906.7335592592572</v>
      </c>
      <c r="AB317" s="14">
        <f t="shared" si="172"/>
        <v>2684.7855384485924</v>
      </c>
      <c r="AC317" s="14">
        <f t="shared" si="173"/>
        <v>1469.0166687083909</v>
      </c>
      <c r="AD317" s="33">
        <f t="shared" si="174"/>
        <v>0.95</v>
      </c>
      <c r="AE317" s="33">
        <f t="shared" si="175"/>
        <v>0.57641824688215793</v>
      </c>
      <c r="AF317" s="51">
        <f t="shared" si="176"/>
        <v>24.767528810694543</v>
      </c>
      <c r="AG317" s="51">
        <f>APPLICANTS_PER_YEAR*($H317/Segments!$AH$2)*AE317</f>
        <v>7.6087208588444852</v>
      </c>
      <c r="AH317" s="51">
        <f t="shared" si="177"/>
        <v>32.376249669539028</v>
      </c>
      <c r="AI317" s="14">
        <f t="shared" si="178"/>
        <v>1469.0166687083909</v>
      </c>
      <c r="AJ317" s="44">
        <f t="shared" si="179"/>
        <v>47561.250434817361</v>
      </c>
      <c r="AK317" s="44">
        <f t="shared" si="180"/>
        <v>108490.57621827164</v>
      </c>
      <c r="AL317" s="44">
        <f t="shared" si="181"/>
        <v>10218.026168964085</v>
      </c>
      <c r="AM317" s="14">
        <f t="shared" si="182"/>
        <v>1469.0166687083909</v>
      </c>
      <c r="AN317" s="14">
        <f t="shared" si="183"/>
        <v>3081.6596889638081</v>
      </c>
      <c r="AO317" s="14">
        <f t="shared" si="184"/>
        <v>5052.6855660370347</v>
      </c>
      <c r="AP317" s="14">
        <f t="shared" si="185"/>
        <v>2764.9871062625621</v>
      </c>
      <c r="AQ317" s="14">
        <f t="shared" si="186"/>
        <v>1513.0871687696424</v>
      </c>
      <c r="AR317" s="33">
        <f t="shared" si="187"/>
        <v>0.95</v>
      </c>
      <c r="AS317" s="33">
        <f t="shared" si="188"/>
        <v>0.57638440784360745</v>
      </c>
      <c r="AT317" s="51">
        <f t="shared" si="189"/>
        <v>19.599634049775386</v>
      </c>
      <c r="AU317" s="51">
        <f>APPLICANTS_PER_YEAR*($H317/Segments!$AH$2)*AS317</f>
        <v>7.6082741835356194</v>
      </c>
      <c r="AV317" s="51">
        <f t="shared" si="190"/>
        <v>27.207908233311006</v>
      </c>
      <c r="AW317" s="14">
        <f t="shared" si="191"/>
        <v>1513.0871687696424</v>
      </c>
      <c r="AX317" s="44">
        <f t="shared" si="192"/>
        <v>41167.936836884794</v>
      </c>
      <c r="AY317" s="44">
        <f t="shared" si="193"/>
        <v>93906.97570645556</v>
      </c>
      <c r="AZ317" s="44">
        <f t="shared" si="194"/>
        <v>8918.024452951453</v>
      </c>
    </row>
    <row r="318" spans="1:52" ht="15" customHeight="1" x14ac:dyDescent="0.35">
      <c r="A318" s="59" t="str">
        <f>Segments!$A$298</f>
        <v>Greek</v>
      </c>
      <c r="B318" s="59" t="str">
        <f>Segments!$B$298</f>
        <v>Off 1-3mi</v>
      </c>
      <c r="C318" s="59" t="str">
        <f>Segments!$C$298</f>
        <v>Yes</v>
      </c>
      <c r="D318" s="59" t="str">
        <f>Segments!$D$298</f>
        <v>2.0-3.0</v>
      </c>
      <c r="E318" s="59" t="str">
        <f>Segments!$E$298</f>
        <v>Senior</v>
      </c>
      <c r="F318" s="59">
        <f>Segments!$F$298</f>
        <v>3</v>
      </c>
      <c r="G318" s="59" t="str">
        <f>Segments!$G$298</f>
        <v>Base</v>
      </c>
      <c r="H318" s="60">
        <f>Segments!$H$298</f>
        <v>10</v>
      </c>
      <c r="I318" s="26">
        <f>Segments!$Y$298</f>
        <v>2715.042564165522</v>
      </c>
      <c r="J318" s="29">
        <v>3</v>
      </c>
      <c r="K318" s="14">
        <f t="shared" si="156"/>
        <v>1426.2297754450396</v>
      </c>
      <c r="L318" s="14">
        <f t="shared" si="157"/>
        <v>2715.042564165522</v>
      </c>
      <c r="M318" s="14">
        <f t="shared" si="158"/>
        <v>4456.5375397717598</v>
      </c>
      <c r="N318" s="14">
        <f t="shared" si="159"/>
        <v>2521.1200952376439</v>
      </c>
      <c r="O318" s="14">
        <f t="shared" si="160"/>
        <v>1426.2297754450396</v>
      </c>
      <c r="P318" s="33">
        <f t="shared" si="161"/>
        <v>0.95</v>
      </c>
      <c r="Q318" s="33">
        <f t="shared" si="162"/>
        <v>0.5671436263311761</v>
      </c>
      <c r="R318" s="51">
        <f t="shared" si="163"/>
        <v>10.45</v>
      </c>
      <c r="S318" s="51">
        <f>APPLICANTS_PER_YEAR*($H318/Segments!$AH$2)*Q318</f>
        <v>6.8057235159741136</v>
      </c>
      <c r="T318" s="51">
        <f t="shared" si="164"/>
        <v>17.255723515974111</v>
      </c>
      <c r="U318" s="14">
        <f t="shared" si="165"/>
        <v>1426.2297754450396</v>
      </c>
      <c r="V318" s="44">
        <f t="shared" si="166"/>
        <v>24610.626675329448</v>
      </c>
      <c r="W318" s="44">
        <f t="shared" si="167"/>
        <v>52472.02667990265</v>
      </c>
      <c r="X318" s="44">
        <f t="shared" si="168"/>
        <v>5506.3943931236081</v>
      </c>
      <c r="Y318" s="14">
        <f t="shared" si="169"/>
        <v>1426.2297754450399</v>
      </c>
      <c r="Z318" s="14">
        <f t="shared" si="170"/>
        <v>2796.4938410904879</v>
      </c>
      <c r="AA318" s="14">
        <f t="shared" si="171"/>
        <v>4588.9836659649127</v>
      </c>
      <c r="AB318" s="14">
        <f t="shared" si="172"/>
        <v>2596.4001035535712</v>
      </c>
      <c r="AC318" s="14">
        <f t="shared" si="173"/>
        <v>1469.0166687083909</v>
      </c>
      <c r="AD318" s="33">
        <f t="shared" si="174"/>
        <v>0.95</v>
      </c>
      <c r="AE318" s="33">
        <f t="shared" si="175"/>
        <v>0.56710510512270118</v>
      </c>
      <c r="AF318" s="51">
        <f t="shared" si="176"/>
        <v>20.766221723138475</v>
      </c>
      <c r="AG318" s="51">
        <f>APPLICANTS_PER_YEAR*($H318/Segments!$AH$2)*AE318</f>
        <v>6.8052612614724142</v>
      </c>
      <c r="AH318" s="51">
        <f t="shared" si="177"/>
        <v>27.571482984610888</v>
      </c>
      <c r="AI318" s="14">
        <f t="shared" si="178"/>
        <v>1469.0166687083911</v>
      </c>
      <c r="AJ318" s="44">
        <f t="shared" si="179"/>
        <v>40502.968085403176</v>
      </c>
      <c r="AK318" s="44">
        <f t="shared" si="180"/>
        <v>86355.900238938993</v>
      </c>
      <c r="AL318" s="44">
        <f t="shared" si="181"/>
        <v>8726.518637350875</v>
      </c>
      <c r="AM318" s="14">
        <f t="shared" si="182"/>
        <v>1469.0166687083909</v>
      </c>
      <c r="AN318" s="14">
        <f t="shared" si="183"/>
        <v>2880.3886563232022</v>
      </c>
      <c r="AO318" s="14">
        <f t="shared" si="184"/>
        <v>4725.4031759438594</v>
      </c>
      <c r="AP318" s="14">
        <f t="shared" si="185"/>
        <v>2673.9384646591948</v>
      </c>
      <c r="AQ318" s="14">
        <f t="shared" si="186"/>
        <v>1513.0871687696424</v>
      </c>
      <c r="AR318" s="33">
        <f t="shared" si="187"/>
        <v>0.95</v>
      </c>
      <c r="AS318" s="33">
        <f t="shared" si="188"/>
        <v>0.56706769082988373</v>
      </c>
      <c r="AT318" s="51">
        <f t="shared" si="189"/>
        <v>30.757437186062074</v>
      </c>
      <c r="AU318" s="51">
        <f>APPLICANTS_PER_YEAR*($H318/Segments!$AH$2)*AS318</f>
        <v>6.8048122899586048</v>
      </c>
      <c r="AV318" s="51">
        <f t="shared" si="190"/>
        <v>37.562249476020682</v>
      </c>
      <c r="AW318" s="14">
        <f t="shared" si="191"/>
        <v>1513.0871687696424</v>
      </c>
      <c r="AX318" s="44">
        <f t="shared" si="192"/>
        <v>56834.957712291114</v>
      </c>
      <c r="AY318" s="44">
        <f t="shared" si="193"/>
        <v>121177.14257231758</v>
      </c>
      <c r="AZ318" s="44">
        <f t="shared" si="194"/>
        <v>12023.54190005618</v>
      </c>
    </row>
    <row r="319" spans="1:52" ht="15" customHeight="1" x14ac:dyDescent="0.35">
      <c r="A319" s="59" t="str">
        <f>Segments!$A$299</f>
        <v>Greek</v>
      </c>
      <c r="B319" s="59" t="str">
        <f>Segments!$B$299</f>
        <v>Off 1-3mi</v>
      </c>
      <c r="C319" s="59" t="str">
        <f>Segments!$C$299</f>
        <v>Yes</v>
      </c>
      <c r="D319" s="59" t="str">
        <f>Segments!$D$299</f>
        <v>2.0-3.0</v>
      </c>
      <c r="E319" s="59" t="str">
        <f>Segments!$E$299</f>
        <v>Grad student</v>
      </c>
      <c r="F319" s="59">
        <f>Segments!$F$299</f>
        <v>3</v>
      </c>
      <c r="G319" s="59" t="str">
        <f>Segments!$G$299</f>
        <v>Grad</v>
      </c>
      <c r="H319" s="60">
        <f>Segments!$H$299</f>
        <v>10</v>
      </c>
      <c r="I319" s="26">
        <f>Segments!$Y$299</f>
        <v>3232.7480395592152</v>
      </c>
      <c r="J319" s="29">
        <v>4</v>
      </c>
      <c r="K319" s="14">
        <f t="shared" si="156"/>
        <v>1426.2297754450396</v>
      </c>
      <c r="L319" s="14">
        <f t="shared" si="157"/>
        <v>3232.7480395592152</v>
      </c>
      <c r="M319" s="14">
        <f t="shared" si="158"/>
        <v>5298.367002900316</v>
      </c>
      <c r="N319" s="14">
        <f t="shared" si="159"/>
        <v>2748.9432116309581</v>
      </c>
      <c r="O319" s="14">
        <f t="shared" si="160"/>
        <v>1426.2297754450396</v>
      </c>
      <c r="P319" s="33">
        <f t="shared" si="161"/>
        <v>0.95</v>
      </c>
      <c r="Q319" s="33">
        <f t="shared" si="162"/>
        <v>0.59058580595434484</v>
      </c>
      <c r="R319" s="51">
        <f t="shared" si="163"/>
        <v>4.75</v>
      </c>
      <c r="S319" s="51">
        <f>APPLICANTS_PER_YEAR*($H319/Segments!$AH$2)*Q319</f>
        <v>7.0870296714521377</v>
      </c>
      <c r="T319" s="51">
        <f t="shared" si="164"/>
        <v>11.837029671452138</v>
      </c>
      <c r="U319" s="14">
        <f t="shared" si="165"/>
        <v>1426.2297754450396</v>
      </c>
      <c r="V319" s="44">
        <f t="shared" si="166"/>
        <v>16882.324170251453</v>
      </c>
      <c r="W319" s="44">
        <f t="shared" si="167"/>
        <v>42858.0706003421</v>
      </c>
      <c r="X319" s="44">
        <f t="shared" si="168"/>
        <v>3958.446249183934</v>
      </c>
      <c r="Y319" s="14">
        <f t="shared" si="169"/>
        <v>1426.2297754450396</v>
      </c>
      <c r="Z319" s="14">
        <f t="shared" si="170"/>
        <v>3329.7304807459918</v>
      </c>
      <c r="AA319" s="14">
        <f t="shared" si="171"/>
        <v>5456.0680129873263</v>
      </c>
      <c r="AB319" s="14">
        <f t="shared" si="172"/>
        <v>2831.0872216668017</v>
      </c>
      <c r="AC319" s="14">
        <f t="shared" si="173"/>
        <v>1469.0166687083909</v>
      </c>
      <c r="AD319" s="33">
        <f t="shared" si="174"/>
        <v>0.95</v>
      </c>
      <c r="AE319" s="33">
        <f t="shared" si="175"/>
        <v>0.59055609140796661</v>
      </c>
      <c r="AF319" s="51">
        <f t="shared" si="176"/>
        <v>5.6225890939397649</v>
      </c>
      <c r="AG319" s="51">
        <f>APPLICANTS_PER_YEAR*($H319/Segments!$AH$2)*AE319</f>
        <v>7.0866730968955993</v>
      </c>
      <c r="AH319" s="51">
        <f t="shared" si="177"/>
        <v>12.709262190835364</v>
      </c>
      <c r="AI319" s="14">
        <f t="shared" si="178"/>
        <v>1469.0166687083911</v>
      </c>
      <c r="AJ319" s="44">
        <f t="shared" si="179"/>
        <v>18670.118005322474</v>
      </c>
      <c r="AK319" s="44">
        <f t="shared" si="180"/>
        <v>47396.62782917115</v>
      </c>
      <c r="AL319" s="44">
        <f t="shared" si="181"/>
        <v>4324.3698059209883</v>
      </c>
      <c r="AM319" s="14">
        <f t="shared" si="182"/>
        <v>1469.0166687083911</v>
      </c>
      <c r="AN319" s="14">
        <f t="shared" si="183"/>
        <v>3429.6223951683714</v>
      </c>
      <c r="AO319" s="14">
        <f t="shared" si="184"/>
        <v>5618.5000533769462</v>
      </c>
      <c r="AP319" s="14">
        <f t="shared" si="185"/>
        <v>2915.6955153952908</v>
      </c>
      <c r="AQ319" s="14">
        <f t="shared" si="186"/>
        <v>1513.0871687696424</v>
      </c>
      <c r="AR319" s="33">
        <f t="shared" si="187"/>
        <v>0.95</v>
      </c>
      <c r="AS319" s="33">
        <f t="shared" si="188"/>
        <v>0.59052723256246664</v>
      </c>
      <c r="AT319" s="51">
        <f t="shared" si="189"/>
        <v>6.0368995406467976</v>
      </c>
      <c r="AU319" s="51">
        <f>APPLICANTS_PER_YEAR*($H319/Segments!$AH$2)*AS319</f>
        <v>7.0863267907495997</v>
      </c>
      <c r="AV319" s="51">
        <f t="shared" si="190"/>
        <v>13.123226331396397</v>
      </c>
      <c r="AW319" s="14">
        <f t="shared" si="191"/>
        <v>1513.0871687696424</v>
      </c>
      <c r="AX319" s="44">
        <f t="shared" si="192"/>
        <v>19856.585374895796</v>
      </c>
      <c r="AY319" s="44">
        <f t="shared" si="193"/>
        <v>50408.636233782796</v>
      </c>
      <c r="AZ319" s="44">
        <f t="shared" si="194"/>
        <v>4567.7953871796853</v>
      </c>
    </row>
    <row r="320" spans="1:52" ht="15" customHeight="1" x14ac:dyDescent="0.35">
      <c r="A320" s="61" t="str">
        <f>Segments!$A$300</f>
        <v>Greek</v>
      </c>
      <c r="B320" s="61" t="str">
        <f>Segments!$B$300</f>
        <v>Off 1-3mi</v>
      </c>
      <c r="C320" s="61" t="str">
        <f>Segments!$C$300</f>
        <v>Yes</v>
      </c>
      <c r="D320" s="61" t="str">
        <f>Segments!$D$300</f>
        <v>3.0+</v>
      </c>
      <c r="E320" s="61" t="str">
        <f>Segments!$E$300</f>
        <v>Freshman</v>
      </c>
      <c r="F320" s="61">
        <f>Segments!$F$300</f>
        <v>1</v>
      </c>
      <c r="G320" s="61" t="str">
        <f>Segments!$G$300</f>
        <v>Base</v>
      </c>
      <c r="H320" s="62">
        <f>Segments!$H$300</f>
        <v>6</v>
      </c>
      <c r="I320" s="63">
        <f>Segments!$Y$300</f>
        <v>2151.811465185292</v>
      </c>
      <c r="J320" s="42">
        <v>0</v>
      </c>
      <c r="K320" s="40">
        <f t="shared" si="156"/>
        <v>3540.6798635297473</v>
      </c>
      <c r="L320" s="40">
        <f t="shared" si="157"/>
        <v>2151.811465185292</v>
      </c>
      <c r="M320" s="40">
        <f t="shared" si="158"/>
        <v>3540.6798635297473</v>
      </c>
      <c r="N320" s="40">
        <f t="shared" si="159"/>
        <v>2247.1811334836375</v>
      </c>
      <c r="O320" s="40">
        <f t="shared" si="160"/>
        <v>1426.2297754450396</v>
      </c>
      <c r="P320" s="41">
        <f t="shared" si="161"/>
        <v>0.95</v>
      </c>
      <c r="Q320" s="41">
        <f t="shared" si="162"/>
        <v>0.53266248007474548</v>
      </c>
      <c r="R320" s="64">
        <f t="shared" si="163"/>
        <v>0</v>
      </c>
      <c r="S320" s="64">
        <f>APPLICANTS_PER_YEAR*($H320/Segments!$AH$2)*Q320</f>
        <v>3.8351698565381671</v>
      </c>
      <c r="T320" s="64">
        <f t="shared" si="164"/>
        <v>3.8351698565381671</v>
      </c>
      <c r="U320" s="40">
        <f t="shared" si="165"/>
        <v>1426.2297754450396</v>
      </c>
      <c r="V320" s="65">
        <f t="shared" si="166"/>
        <v>5469.8334432840147</v>
      </c>
      <c r="W320" s="65">
        <f t="shared" si="167"/>
        <v>9242.869964419684</v>
      </c>
      <c r="X320" s="65">
        <f t="shared" si="168"/>
        <v>1397.8253348398368</v>
      </c>
      <c r="Y320" s="40">
        <f t="shared" si="169"/>
        <v>3645.6502594356402</v>
      </c>
      <c r="Z320" s="40">
        <f t="shared" si="170"/>
        <v>2216.3658091408511</v>
      </c>
      <c r="AA320" s="40">
        <f t="shared" si="171"/>
        <v>3645.6502594356402</v>
      </c>
      <c r="AB320" s="40">
        <f t="shared" si="172"/>
        <v>2314.1998615919119</v>
      </c>
      <c r="AC320" s="40">
        <f t="shared" si="173"/>
        <v>1469.0166687083909</v>
      </c>
      <c r="AD320" s="41">
        <f t="shared" si="174"/>
        <v>0.95</v>
      </c>
      <c r="AE320" s="41">
        <f t="shared" si="175"/>
        <v>0.53260808128778669</v>
      </c>
      <c r="AF320" s="64">
        <f t="shared" si="176"/>
        <v>0</v>
      </c>
      <c r="AG320" s="64">
        <f>APPLICANTS_PER_YEAR*($H320/Segments!$AH$2)*AE320</f>
        <v>3.8347781852720639</v>
      </c>
      <c r="AH320" s="64">
        <f t="shared" si="177"/>
        <v>3.8347781852720639</v>
      </c>
      <c r="AI320" s="40">
        <f t="shared" si="178"/>
        <v>1469.0166687083909</v>
      </c>
      <c r="AJ320" s="65">
        <f t="shared" si="179"/>
        <v>5633.3530749639758</v>
      </c>
      <c r="AK320" s="65">
        <f t="shared" si="180"/>
        <v>9519.1838061333474</v>
      </c>
      <c r="AL320" s="65">
        <f t="shared" si="181"/>
        <v>1434.4361071291735</v>
      </c>
      <c r="AM320" s="40">
        <f t="shared" si="182"/>
        <v>3753.7697672187087</v>
      </c>
      <c r="AN320" s="40">
        <f t="shared" si="183"/>
        <v>2282.8567834150763</v>
      </c>
      <c r="AO320" s="40">
        <f t="shared" si="184"/>
        <v>3753.7697672187087</v>
      </c>
      <c r="AP320" s="40">
        <f t="shared" si="185"/>
        <v>2383.2290845183215</v>
      </c>
      <c r="AQ320" s="40">
        <f t="shared" si="186"/>
        <v>1513.0871687696424</v>
      </c>
      <c r="AR320" s="41">
        <f t="shared" si="187"/>
        <v>0.95</v>
      </c>
      <c r="AS320" s="41">
        <f t="shared" si="188"/>
        <v>0.53255524015739863</v>
      </c>
      <c r="AT320" s="64">
        <f t="shared" si="189"/>
        <v>0</v>
      </c>
      <c r="AU320" s="64">
        <f>APPLICANTS_PER_YEAR*($H320/Segments!$AH$2)*AS320</f>
        <v>3.8343977291332698</v>
      </c>
      <c r="AV320" s="64">
        <f t="shared" si="190"/>
        <v>3.8343977291332698</v>
      </c>
      <c r="AW320" s="40">
        <f t="shared" si="191"/>
        <v>1513.0871687696424</v>
      </c>
      <c r="AX320" s="65">
        <f t="shared" si="192"/>
        <v>5801.7780039110057</v>
      </c>
      <c r="AY320" s="65">
        <f t="shared" si="193"/>
        <v>9803.7865702148392</v>
      </c>
      <c r="AZ320" s="65">
        <f t="shared" si="194"/>
        <v>1472.1461706870625</v>
      </c>
    </row>
    <row r="321" spans="1:52" ht="15" customHeight="1" x14ac:dyDescent="0.35">
      <c r="A321" s="61" t="str">
        <f>Segments!$A$301</f>
        <v>Greek</v>
      </c>
      <c r="B321" s="61" t="str">
        <f>Segments!$B$301</f>
        <v>Off 1-3mi</v>
      </c>
      <c r="C321" s="61" t="str">
        <f>Segments!$C$301</f>
        <v>Yes</v>
      </c>
      <c r="D321" s="61" t="str">
        <f>Segments!$D$301</f>
        <v>3.0+</v>
      </c>
      <c r="E321" s="61" t="str">
        <f>Segments!$E$301</f>
        <v>Sophomore</v>
      </c>
      <c r="F321" s="61">
        <f>Segments!$F$301</f>
        <v>1</v>
      </c>
      <c r="G321" s="61" t="str">
        <f>Segments!$G$301</f>
        <v>Sophomore</v>
      </c>
      <c r="H321" s="62">
        <f>Segments!$H$301</f>
        <v>4</v>
      </c>
      <c r="I321" s="63">
        <f>Segments!$Y$301</f>
        <v>2129.919457841148</v>
      </c>
      <c r="J321" s="42">
        <v>1</v>
      </c>
      <c r="K321" s="40">
        <f t="shared" si="156"/>
        <v>1426.2297754450396</v>
      </c>
      <c r="L321" s="40">
        <f t="shared" si="157"/>
        <v>2129.919457841148</v>
      </c>
      <c r="M321" s="40">
        <f t="shared" si="158"/>
        <v>3505.0817528949069</v>
      </c>
      <c r="N321" s="40">
        <f t="shared" si="159"/>
        <v>2235.8559795630417</v>
      </c>
      <c r="O321" s="40">
        <f t="shared" si="160"/>
        <v>1426.2297754450396</v>
      </c>
      <c r="P321" s="41">
        <f t="shared" si="161"/>
        <v>0.95</v>
      </c>
      <c r="Q321" s="41">
        <f t="shared" si="162"/>
        <v>0.53105508841321458</v>
      </c>
      <c r="R321" s="64">
        <f t="shared" si="163"/>
        <v>5.6999999999999993</v>
      </c>
      <c r="S321" s="64">
        <f>APPLICANTS_PER_YEAR*($H321/Segments!$AH$2)*Q321</f>
        <v>2.5490644243834297</v>
      </c>
      <c r="T321" s="64">
        <f t="shared" si="164"/>
        <v>8.2490644243834286</v>
      </c>
      <c r="U321" s="40">
        <f t="shared" si="165"/>
        <v>1426.2297754450399</v>
      </c>
      <c r="V321" s="65">
        <f t="shared" si="166"/>
        <v>11765.061301620044</v>
      </c>
      <c r="W321" s="65">
        <f t="shared" si="167"/>
        <v>19678.223965656991</v>
      </c>
      <c r="X321" s="65">
        <f t="shared" si="168"/>
        <v>2579.548790458859</v>
      </c>
      <c r="Y321" s="40">
        <f t="shared" si="169"/>
        <v>1426.2297754450396</v>
      </c>
      <c r="Z321" s="40">
        <f t="shared" si="170"/>
        <v>2193.8170415763825</v>
      </c>
      <c r="AA321" s="40">
        <f t="shared" si="171"/>
        <v>3608.9842054817545</v>
      </c>
      <c r="AB321" s="40">
        <f t="shared" si="172"/>
        <v>2302.5329432948415</v>
      </c>
      <c r="AC321" s="40">
        <f t="shared" si="173"/>
        <v>1469.0166687083909</v>
      </c>
      <c r="AD321" s="41">
        <f t="shared" si="174"/>
        <v>0.95</v>
      </c>
      <c r="AE321" s="41">
        <f t="shared" si="175"/>
        <v>0.53099985865863852</v>
      </c>
      <c r="AF321" s="64">
        <f t="shared" si="176"/>
        <v>3.6434113637112584</v>
      </c>
      <c r="AG321" s="64">
        <f>APPLICANTS_PER_YEAR*($H321/Segments!$AH$2)*AE321</f>
        <v>2.5487993215614648</v>
      </c>
      <c r="AH321" s="64">
        <f t="shared" si="177"/>
        <v>6.1922106852727232</v>
      </c>
      <c r="AI321" s="40">
        <f t="shared" si="178"/>
        <v>1469.0166687083906</v>
      </c>
      <c r="AJ321" s="65">
        <f t="shared" si="179"/>
        <v>9096.4607128198368</v>
      </c>
      <c r="AK321" s="65">
        <f t="shared" si="180"/>
        <v>15214.726605548592</v>
      </c>
      <c r="AL321" s="65">
        <f t="shared" si="181"/>
        <v>2037.8432755672654</v>
      </c>
      <c r="AM321" s="40">
        <f t="shared" si="182"/>
        <v>1469.0166687083909</v>
      </c>
      <c r="AN321" s="40">
        <f t="shared" si="183"/>
        <v>2259.6315528236737</v>
      </c>
      <c r="AO321" s="40">
        <f t="shared" si="184"/>
        <v>3716.0037316462067</v>
      </c>
      <c r="AP321" s="40">
        <f t="shared" si="185"/>
        <v>2371.2101478894665</v>
      </c>
      <c r="AQ321" s="40">
        <f t="shared" si="186"/>
        <v>1513.0871687696424</v>
      </c>
      <c r="AR321" s="41">
        <f t="shared" si="187"/>
        <v>0.95</v>
      </c>
      <c r="AS321" s="41">
        <f t="shared" si="188"/>
        <v>0.53094621007834553</v>
      </c>
      <c r="AT321" s="64">
        <f t="shared" si="189"/>
        <v>3.6430392760084604</v>
      </c>
      <c r="AU321" s="64">
        <f>APPLICANTS_PER_YEAR*($H321/Segments!$AH$2)*AS321</f>
        <v>2.5485418083760583</v>
      </c>
      <c r="AV321" s="64">
        <f t="shared" si="190"/>
        <v>6.1915810843845183</v>
      </c>
      <c r="AW321" s="40">
        <f t="shared" si="191"/>
        <v>1513.0871687696424</v>
      </c>
      <c r="AX321" s="65">
        <f t="shared" si="192"/>
        <v>9368.4018931790433</v>
      </c>
      <c r="AY321" s="65">
        <f t="shared" si="193"/>
        <v>15669.575017758454</v>
      </c>
      <c r="AZ321" s="65">
        <f t="shared" si="194"/>
        <v>2093.138931534369</v>
      </c>
    </row>
    <row r="322" spans="1:52" ht="15" customHeight="1" x14ac:dyDescent="0.35">
      <c r="A322" s="61" t="str">
        <f>Segments!$A$302</f>
        <v>Greek</v>
      </c>
      <c r="B322" s="61" t="str">
        <f>Segments!$B$302</f>
        <v>Off 1-3mi</v>
      </c>
      <c r="C322" s="61" t="str">
        <f>Segments!$C$302</f>
        <v>Yes</v>
      </c>
      <c r="D322" s="61" t="str">
        <f>Segments!$D$302</f>
        <v>3.0+</v>
      </c>
      <c r="E322" s="61" t="str">
        <f>Segments!$E$302</f>
        <v>Junior</v>
      </c>
      <c r="F322" s="61">
        <f>Segments!$F$302</f>
        <v>2</v>
      </c>
      <c r="G322" s="61" t="str">
        <f>Segments!$G$302</f>
        <v>Base</v>
      </c>
      <c r="H322" s="62">
        <f>Segments!$H$302</f>
        <v>6</v>
      </c>
      <c r="I322" s="63">
        <f>Segments!$Y$302</f>
        <v>2546.160296735402</v>
      </c>
      <c r="J322" s="42">
        <v>2</v>
      </c>
      <c r="K322" s="40">
        <f t="shared" si="156"/>
        <v>1426.2297754450396</v>
      </c>
      <c r="L322" s="40">
        <f t="shared" si="157"/>
        <v>2546.160296735402</v>
      </c>
      <c r="M322" s="40">
        <f t="shared" si="158"/>
        <v>4181.9218069276812</v>
      </c>
      <c r="N322" s="40">
        <f t="shared" si="159"/>
        <v>2442.2083038969422</v>
      </c>
      <c r="O322" s="40">
        <f t="shared" si="160"/>
        <v>1426.2297754450396</v>
      </c>
      <c r="P322" s="41">
        <f t="shared" si="161"/>
        <v>0.95</v>
      </c>
      <c r="Q322" s="41">
        <f t="shared" si="162"/>
        <v>0.55800406886479403</v>
      </c>
      <c r="R322" s="64">
        <f t="shared" si="163"/>
        <v>3.8</v>
      </c>
      <c r="S322" s="64">
        <f>APPLICANTS_PER_YEAR*($H322/Segments!$AH$2)*Q322</f>
        <v>4.0176292958265165</v>
      </c>
      <c r="T322" s="64">
        <f t="shared" si="164"/>
        <v>7.8176292958265163</v>
      </c>
      <c r="U322" s="40">
        <f t="shared" si="165"/>
        <v>1426.2297754450394</v>
      </c>
      <c r="V322" s="65">
        <f t="shared" si="166"/>
        <v>11149.735675099215</v>
      </c>
      <c r="W322" s="65">
        <f t="shared" si="167"/>
        <v>22293.529806944498</v>
      </c>
      <c r="X322" s="65">
        <f t="shared" si="168"/>
        <v>2564.6455494002275</v>
      </c>
      <c r="Y322" s="40">
        <f t="shared" si="169"/>
        <v>1426.2297754450399</v>
      </c>
      <c r="Z322" s="40">
        <f t="shared" si="170"/>
        <v>2622.5451056374641</v>
      </c>
      <c r="AA322" s="40">
        <f t="shared" si="171"/>
        <v>4306.1294611355115</v>
      </c>
      <c r="AB322" s="40">
        <f t="shared" si="172"/>
        <v>2515.1095316157398</v>
      </c>
      <c r="AC322" s="40">
        <f t="shared" si="173"/>
        <v>1469.0166687083909</v>
      </c>
      <c r="AD322" s="41">
        <f t="shared" si="174"/>
        <v>0.95</v>
      </c>
      <c r="AE322" s="41">
        <f t="shared" si="175"/>
        <v>0.55796169108295746</v>
      </c>
      <c r="AF322" s="64">
        <f t="shared" si="176"/>
        <v>7.8366112031642565</v>
      </c>
      <c r="AG322" s="64">
        <f>APPLICANTS_PER_YEAR*($H322/Segments!$AH$2)*AE322</f>
        <v>4.0173241757972935</v>
      </c>
      <c r="AH322" s="64">
        <f t="shared" si="177"/>
        <v>11.85393537896155</v>
      </c>
      <c r="AI322" s="40">
        <f t="shared" si="178"/>
        <v>1469.0166687083909</v>
      </c>
      <c r="AJ322" s="65">
        <f t="shared" si="179"/>
        <v>17413.628661486633</v>
      </c>
      <c r="AK322" s="65">
        <f t="shared" si="180"/>
        <v>34817.977835915</v>
      </c>
      <c r="AL322" s="65">
        <f t="shared" si="181"/>
        <v>3835.2406952199367</v>
      </c>
      <c r="AM322" s="40">
        <f t="shared" si="182"/>
        <v>1469.0166687083906</v>
      </c>
      <c r="AN322" s="40">
        <f t="shared" si="183"/>
        <v>2701.2214588065876</v>
      </c>
      <c r="AO322" s="40">
        <f t="shared" si="184"/>
        <v>4434.0633449695761</v>
      </c>
      <c r="AP322" s="40">
        <f t="shared" si="185"/>
        <v>2590.1977439541693</v>
      </c>
      <c r="AQ322" s="40">
        <f t="shared" si="186"/>
        <v>1513.0871687696424</v>
      </c>
      <c r="AR322" s="41">
        <f t="shared" si="187"/>
        <v>0.95</v>
      </c>
      <c r="AS322" s="41">
        <f t="shared" si="188"/>
        <v>0.55792052994769059</v>
      </c>
      <c r="AT322" s="64">
        <f t="shared" si="189"/>
        <v>5.8826001510090871</v>
      </c>
      <c r="AU322" s="64">
        <f>APPLICANTS_PER_YEAR*($H322/Segments!$AH$2)*AS322</f>
        <v>4.0170278156233721</v>
      </c>
      <c r="AV322" s="64">
        <f t="shared" si="190"/>
        <v>9.8996279666324583</v>
      </c>
      <c r="AW322" s="40">
        <f t="shared" si="191"/>
        <v>1513.0871687696426</v>
      </c>
      <c r="AX322" s="65">
        <f t="shared" si="192"/>
        <v>14979.000051904681</v>
      </c>
      <c r="AY322" s="65">
        <f t="shared" si="193"/>
        <v>29950.017997389754</v>
      </c>
      <c r="AZ322" s="65">
        <f t="shared" si="194"/>
        <v>3342.1832280875847</v>
      </c>
    </row>
    <row r="323" spans="1:52" ht="15" customHeight="1" x14ac:dyDescent="0.35">
      <c r="A323" s="61" t="str">
        <f>Segments!$A$303</f>
        <v>Greek</v>
      </c>
      <c r="B323" s="61" t="str">
        <f>Segments!$B$303</f>
        <v>Off 1-3mi</v>
      </c>
      <c r="C323" s="61" t="str">
        <f>Segments!$C$303</f>
        <v>Yes</v>
      </c>
      <c r="D323" s="61" t="str">
        <f>Segments!$D$303</f>
        <v>3.0+</v>
      </c>
      <c r="E323" s="61" t="str">
        <f>Segments!$E$303</f>
        <v>Senior</v>
      </c>
      <c r="F323" s="61">
        <f>Segments!$F$303</f>
        <v>3</v>
      </c>
      <c r="G323" s="61" t="str">
        <f>Segments!$G$303</f>
        <v>Base</v>
      </c>
      <c r="H323" s="62">
        <f>Segments!$H$303</f>
        <v>5</v>
      </c>
      <c r="I323" s="63">
        <f>Segments!$Y$303</f>
        <v>2379.8640914705175</v>
      </c>
      <c r="J323" s="42">
        <v>3</v>
      </c>
      <c r="K323" s="40">
        <f t="shared" si="156"/>
        <v>1426.2297754450396</v>
      </c>
      <c r="L323" s="40">
        <f t="shared" si="157"/>
        <v>2379.8640914705175</v>
      </c>
      <c r="M323" s="40">
        <f t="shared" si="158"/>
        <v>3911.5112127727793</v>
      </c>
      <c r="N323" s="40">
        <f t="shared" si="159"/>
        <v>2361.930091819755</v>
      </c>
      <c r="O323" s="40">
        <f t="shared" si="160"/>
        <v>1426.2297754450396</v>
      </c>
      <c r="P323" s="41">
        <f t="shared" si="161"/>
        <v>0.95</v>
      </c>
      <c r="Q323" s="41">
        <f t="shared" si="162"/>
        <v>0.54807959592356159</v>
      </c>
      <c r="R323" s="64">
        <f t="shared" si="163"/>
        <v>5.6999999999999993</v>
      </c>
      <c r="S323" s="64">
        <f>APPLICANTS_PER_YEAR*($H323/Segments!$AH$2)*Q323</f>
        <v>3.2884775755413695</v>
      </c>
      <c r="T323" s="64">
        <f t="shared" si="164"/>
        <v>8.9884775755413688</v>
      </c>
      <c r="U323" s="40">
        <f t="shared" si="165"/>
        <v>1426.2297754450396</v>
      </c>
      <c r="V323" s="65">
        <f t="shared" si="166"/>
        <v>12819.63435415714</v>
      </c>
      <c r="W323" s="65">
        <f t="shared" si="167"/>
        <v>23958.317621301147</v>
      </c>
      <c r="X323" s="65">
        <f t="shared" si="168"/>
        <v>2849.0467460292762</v>
      </c>
      <c r="Y323" s="40">
        <f t="shared" si="169"/>
        <v>1426.2297754450394</v>
      </c>
      <c r="Z323" s="40">
        <f t="shared" si="170"/>
        <v>2451.260014214633</v>
      </c>
      <c r="AA323" s="40">
        <f t="shared" si="171"/>
        <v>4027.606549155963</v>
      </c>
      <c r="AB323" s="40">
        <f t="shared" si="172"/>
        <v>2432.4105647914766</v>
      </c>
      <c r="AC323" s="40">
        <f t="shared" si="173"/>
        <v>1469.0166687083909</v>
      </c>
      <c r="AD323" s="41">
        <f t="shared" si="174"/>
        <v>0.95</v>
      </c>
      <c r="AE323" s="41">
        <f t="shared" si="175"/>
        <v>0.54803274784856781</v>
      </c>
      <c r="AF323" s="64">
        <f t="shared" si="176"/>
        <v>7.4267478310351898</v>
      </c>
      <c r="AG323" s="64">
        <f>APPLICANTS_PER_YEAR*($H323/Segments!$AH$2)*AE323</f>
        <v>3.2881964870914069</v>
      </c>
      <c r="AH323" s="64">
        <f t="shared" si="177"/>
        <v>10.714944318126596</v>
      </c>
      <c r="AI323" s="40">
        <f t="shared" si="178"/>
        <v>1469.0166687083911</v>
      </c>
      <c r="AJ323" s="65">
        <f t="shared" si="179"/>
        <v>15740.431807610235</v>
      </c>
      <c r="AK323" s="65">
        <f t="shared" si="180"/>
        <v>29416.928308947201</v>
      </c>
      <c r="AL323" s="65">
        <f t="shared" si="181"/>
        <v>3440.5099509115494</v>
      </c>
      <c r="AM323" s="40">
        <f t="shared" si="182"/>
        <v>1469.0166687083909</v>
      </c>
      <c r="AN323" s="40">
        <f t="shared" si="183"/>
        <v>2524.7978146410719</v>
      </c>
      <c r="AO323" s="40">
        <f t="shared" si="184"/>
        <v>4147.1847456306423</v>
      </c>
      <c r="AP323" s="40">
        <f t="shared" si="185"/>
        <v>2505.0053942319005</v>
      </c>
      <c r="AQ323" s="40">
        <f t="shared" si="186"/>
        <v>1513.0871687696424</v>
      </c>
      <c r="AR323" s="41">
        <f t="shared" si="187"/>
        <v>0.95</v>
      </c>
      <c r="AS323" s="41">
        <f t="shared" si="188"/>
        <v>0.54798724340998994</v>
      </c>
      <c r="AT323" s="64">
        <f t="shared" si="189"/>
        <v>11.261238610013471</v>
      </c>
      <c r="AU323" s="64">
        <f>APPLICANTS_PER_YEAR*($H323/Segments!$AH$2)*AS323</f>
        <v>3.2879234604599397</v>
      </c>
      <c r="AV323" s="64">
        <f t="shared" si="190"/>
        <v>14.549162070473411</v>
      </c>
      <c r="AW323" s="40">
        <f t="shared" si="191"/>
        <v>1513.0871687696424</v>
      </c>
      <c r="AX323" s="65">
        <f t="shared" si="192"/>
        <v>22014.150445183281</v>
      </c>
      <c r="AY323" s="65">
        <f t="shared" si="193"/>
        <v>41141.73571243685</v>
      </c>
      <c r="AZ323" s="65">
        <f t="shared" si="194"/>
        <v>4707.9777800577585</v>
      </c>
    </row>
    <row r="324" spans="1:52" ht="15" customHeight="1" x14ac:dyDescent="0.35">
      <c r="A324" s="61" t="str">
        <f>Segments!$A$304</f>
        <v>Greek</v>
      </c>
      <c r="B324" s="61" t="str">
        <f>Segments!$B$304</f>
        <v>Off 1-3mi</v>
      </c>
      <c r="C324" s="61" t="str">
        <f>Segments!$C$304</f>
        <v>Yes</v>
      </c>
      <c r="D324" s="61" t="str">
        <f>Segments!$D$304</f>
        <v>3.0+</v>
      </c>
      <c r="E324" s="61" t="str">
        <f>Segments!$E$304</f>
        <v>Grad student</v>
      </c>
      <c r="F324" s="61">
        <f>Segments!$F$304</f>
        <v>3</v>
      </c>
      <c r="G324" s="61" t="str">
        <f>Segments!$G$304</f>
        <v>Grad</v>
      </c>
      <c r="H324" s="62">
        <f>Segments!$H$304</f>
        <v>4</v>
      </c>
      <c r="I324" s="63">
        <f>Segments!$Y$304</f>
        <v>2833.6575925774896</v>
      </c>
      <c r="J324" s="42">
        <v>4</v>
      </c>
      <c r="K324" s="40">
        <f t="shared" si="156"/>
        <v>1426.2297754450396</v>
      </c>
      <c r="L324" s="40">
        <f t="shared" si="157"/>
        <v>2833.6575925774896</v>
      </c>
      <c r="M324" s="40">
        <f t="shared" si="158"/>
        <v>4649.4148231558902</v>
      </c>
      <c r="N324" s="40">
        <f t="shared" si="159"/>
        <v>2575.0988057122127</v>
      </c>
      <c r="O324" s="40">
        <f t="shared" si="160"/>
        <v>1426.2297754450396</v>
      </c>
      <c r="P324" s="41">
        <f t="shared" si="161"/>
        <v>0.95</v>
      </c>
      <c r="Q324" s="41">
        <f t="shared" si="162"/>
        <v>0.57307280554025619</v>
      </c>
      <c r="R324" s="64">
        <f t="shared" si="163"/>
        <v>1.9</v>
      </c>
      <c r="S324" s="64">
        <f>APPLICANTS_PER_YEAR*($H324/Segments!$AH$2)*Q324</f>
        <v>2.7507494665932297</v>
      </c>
      <c r="T324" s="64">
        <f t="shared" si="164"/>
        <v>4.6507494665932292</v>
      </c>
      <c r="U324" s="40">
        <f t="shared" si="165"/>
        <v>1426.2297754450396</v>
      </c>
      <c r="V324" s="65">
        <f t="shared" si="166"/>
        <v>6633.0373673903996</v>
      </c>
      <c r="W324" s="65">
        <f t="shared" si="167"/>
        <v>14760.067321650129</v>
      </c>
      <c r="X324" s="65">
        <f t="shared" si="168"/>
        <v>1552.7398162250499</v>
      </c>
      <c r="Y324" s="40">
        <f t="shared" si="169"/>
        <v>1426.2297754450396</v>
      </c>
      <c r="Z324" s="40">
        <f t="shared" si="170"/>
        <v>2918.6673203548144</v>
      </c>
      <c r="AA324" s="40">
        <f t="shared" si="171"/>
        <v>4787.647267850567</v>
      </c>
      <c r="AB324" s="40">
        <f t="shared" si="172"/>
        <v>2652.0055882989136</v>
      </c>
      <c r="AC324" s="40">
        <f t="shared" si="173"/>
        <v>1469.0166687083909</v>
      </c>
      <c r="AD324" s="41">
        <f t="shared" si="174"/>
        <v>0.95</v>
      </c>
      <c r="AE324" s="41">
        <f t="shared" si="175"/>
        <v>0.57303665663640846</v>
      </c>
      <c r="AF324" s="64">
        <f t="shared" si="176"/>
        <v>2.2091059966317839</v>
      </c>
      <c r="AG324" s="64">
        <f>APPLICANTS_PER_YEAR*($H324/Segments!$AH$2)*AE324</f>
        <v>2.7505759518547603</v>
      </c>
      <c r="AH324" s="64">
        <f t="shared" si="177"/>
        <v>4.9596819484865442</v>
      </c>
      <c r="AI324" s="40">
        <f t="shared" si="178"/>
        <v>1469.0166687083909</v>
      </c>
      <c r="AJ324" s="65">
        <f t="shared" si="179"/>
        <v>7285.8554538188437</v>
      </c>
      <c r="AK324" s="65">
        <f t="shared" si="180"/>
        <v>16212.741017089533</v>
      </c>
      <c r="AL324" s="65">
        <f t="shared" si="181"/>
        <v>1686.4071858016698</v>
      </c>
      <c r="AM324" s="40">
        <f t="shared" si="182"/>
        <v>1469.0166687083909</v>
      </c>
      <c r="AN324" s="40">
        <f t="shared" si="183"/>
        <v>3006.2273399654587</v>
      </c>
      <c r="AO324" s="40">
        <f t="shared" si="184"/>
        <v>4930.0266858860832</v>
      </c>
      <c r="AP324" s="40">
        <f t="shared" si="185"/>
        <v>2731.219529826586</v>
      </c>
      <c r="AQ324" s="40">
        <f t="shared" si="186"/>
        <v>1513.0871687696424</v>
      </c>
      <c r="AR324" s="41">
        <f t="shared" si="187"/>
        <v>0.95</v>
      </c>
      <c r="AS324" s="41">
        <f t="shared" si="188"/>
        <v>0.57300154706609885</v>
      </c>
      <c r="AT324" s="64">
        <f t="shared" si="189"/>
        <v>2.3558489255311086</v>
      </c>
      <c r="AU324" s="64">
        <f>APPLICANTS_PER_YEAR*($H324/Segments!$AH$2)*AS324</f>
        <v>2.7504074259172744</v>
      </c>
      <c r="AV324" s="64">
        <f t="shared" si="190"/>
        <v>5.1062563514483834</v>
      </c>
      <c r="AW324" s="40">
        <f t="shared" si="191"/>
        <v>1513.0871687696424</v>
      </c>
      <c r="AX324" s="65">
        <f t="shared" si="192"/>
        <v>7726.2109658250383</v>
      </c>
      <c r="AY324" s="65">
        <f t="shared" si="193"/>
        <v>17192.635542427972</v>
      </c>
      <c r="AZ324" s="65">
        <f t="shared" si="194"/>
        <v>1776.7954016943777</v>
      </c>
    </row>
    <row r="325" spans="1:52" ht="15" customHeight="1" x14ac:dyDescent="0.35">
      <c r="A325" s="59" t="str">
        <f>Segments!$A$305</f>
        <v>Greek</v>
      </c>
      <c r="B325" s="59" t="str">
        <f>Segments!$B$305</f>
        <v>Off 1-3mi</v>
      </c>
      <c r="C325" s="59" t="str">
        <f>Segments!$C$305</f>
        <v>No</v>
      </c>
      <c r="D325" s="59" t="str">
        <f>Segments!$D$305</f>
        <v>&lt;1.0</v>
      </c>
      <c r="E325" s="59" t="str">
        <f>Segments!$E$305</f>
        <v>Freshman</v>
      </c>
      <c r="F325" s="59">
        <f>Segments!$F$305</f>
        <v>1</v>
      </c>
      <c r="G325" s="59" t="str">
        <f>Segments!$G$305</f>
        <v>Base</v>
      </c>
      <c r="H325" s="60">
        <f>Segments!$H$305</f>
        <v>2</v>
      </c>
      <c r="I325" s="26">
        <f>Segments!$Y$305</f>
        <v>4239.8417490287602</v>
      </c>
      <c r="J325" s="29">
        <v>0</v>
      </c>
      <c r="K325" s="14">
        <f t="shared" si="156"/>
        <v>6935.9798871723569</v>
      </c>
      <c r="L325" s="14">
        <f t="shared" si="157"/>
        <v>4239.8417490287602</v>
      </c>
      <c r="M325" s="14">
        <f t="shared" si="158"/>
        <v>6935.9798871723569</v>
      </c>
      <c r="N325" s="14">
        <f t="shared" si="159"/>
        <v>3145.2028610207549</v>
      </c>
      <c r="O325" s="14">
        <f t="shared" si="160"/>
        <v>1426.2297754450396</v>
      </c>
      <c r="P325" s="33">
        <f t="shared" si="161"/>
        <v>0.95</v>
      </c>
      <c r="Q325" s="33">
        <f t="shared" si="162"/>
        <v>0.62326903248107723</v>
      </c>
      <c r="R325" s="51">
        <f t="shared" si="163"/>
        <v>0</v>
      </c>
      <c r="S325" s="51">
        <f>APPLICANTS_PER_YEAR*($H325/Segments!$AH$2)*Q325</f>
        <v>1.4958456779545852</v>
      </c>
      <c r="T325" s="51">
        <f t="shared" si="164"/>
        <v>1.4958456779545852</v>
      </c>
      <c r="U325" s="14">
        <f t="shared" si="165"/>
        <v>1426.2297754450396</v>
      </c>
      <c r="V325" s="44">
        <f t="shared" si="166"/>
        <v>2133.4196453696013</v>
      </c>
      <c r="W325" s="44">
        <f t="shared" si="167"/>
        <v>7103.2068301556101</v>
      </c>
      <c r="X325" s="44">
        <f t="shared" si="168"/>
        <v>545.19905607074702</v>
      </c>
      <c r="Y325" s="14">
        <f t="shared" si="169"/>
        <v>7142.8092837875283</v>
      </c>
      <c r="Z325" s="14">
        <f t="shared" si="170"/>
        <v>4367.0370014996233</v>
      </c>
      <c r="AA325" s="14">
        <f t="shared" si="171"/>
        <v>7142.8092837875283</v>
      </c>
      <c r="AB325" s="14">
        <f t="shared" si="172"/>
        <v>3239.2755207436308</v>
      </c>
      <c r="AC325" s="14">
        <f t="shared" si="173"/>
        <v>1469.0166687083909</v>
      </c>
      <c r="AD325" s="33">
        <f t="shared" si="174"/>
        <v>0.95</v>
      </c>
      <c r="AE325" s="33">
        <f t="shared" si="175"/>
        <v>0.62324919425638214</v>
      </c>
      <c r="AF325" s="51">
        <f t="shared" si="176"/>
        <v>0</v>
      </c>
      <c r="AG325" s="51">
        <f>APPLICANTS_PER_YEAR*($H325/Segments!$AH$2)*AE325</f>
        <v>1.4957980662153172</v>
      </c>
      <c r="AH325" s="51">
        <f t="shared" si="177"/>
        <v>1.4957980662153172</v>
      </c>
      <c r="AI325" s="14">
        <f t="shared" si="178"/>
        <v>1469.0166687083909</v>
      </c>
      <c r="AJ325" s="44">
        <f t="shared" si="179"/>
        <v>2197.3522922920783</v>
      </c>
      <c r="AK325" s="44">
        <f t="shared" si="180"/>
        <v>7316.07016216594</v>
      </c>
      <c r="AL325" s="44">
        <f t="shared" si="181"/>
        <v>559.51782645311482</v>
      </c>
      <c r="AM325" s="14">
        <f t="shared" si="182"/>
        <v>7355.8435623011537</v>
      </c>
      <c r="AN325" s="14">
        <f t="shared" si="183"/>
        <v>4498.0481115446119</v>
      </c>
      <c r="AO325" s="14">
        <f t="shared" si="184"/>
        <v>7355.8435623011537</v>
      </c>
      <c r="AP325" s="14">
        <f t="shared" si="185"/>
        <v>3336.1703358183995</v>
      </c>
      <c r="AQ325" s="14">
        <f t="shared" si="186"/>
        <v>1513.0871687696424</v>
      </c>
      <c r="AR325" s="33">
        <f t="shared" si="187"/>
        <v>0.95</v>
      </c>
      <c r="AS325" s="33">
        <f t="shared" si="188"/>
        <v>0.62322992886116146</v>
      </c>
      <c r="AT325" s="51">
        <f t="shared" si="189"/>
        <v>0</v>
      </c>
      <c r="AU325" s="51">
        <f>APPLICANTS_PER_YEAR*($H325/Segments!$AH$2)*AS325</f>
        <v>1.4957518292667875</v>
      </c>
      <c r="AV325" s="51">
        <f t="shared" si="190"/>
        <v>1.4957518292667875</v>
      </c>
      <c r="AW325" s="14">
        <f t="shared" si="191"/>
        <v>1513.0871687696424</v>
      </c>
      <c r="AX325" s="44">
        <f t="shared" si="192"/>
        <v>2263.2029005272971</v>
      </c>
      <c r="AY325" s="44">
        <f t="shared" si="193"/>
        <v>7535.3193338896181</v>
      </c>
      <c r="AZ325" s="44">
        <f t="shared" si="194"/>
        <v>574.26628203511996</v>
      </c>
    </row>
    <row r="326" spans="1:52" ht="15" customHeight="1" x14ac:dyDescent="0.35">
      <c r="A326" s="59" t="str">
        <f>Segments!$A$306</f>
        <v>Greek</v>
      </c>
      <c r="B326" s="59" t="str">
        <f>Segments!$B$306</f>
        <v>Off 1-3mi</v>
      </c>
      <c r="C326" s="59" t="str">
        <f>Segments!$C$306</f>
        <v>No</v>
      </c>
      <c r="D326" s="59" t="str">
        <f>Segments!$D$306</f>
        <v>&lt;1.0</v>
      </c>
      <c r="E326" s="59" t="str">
        <f>Segments!$E$306</f>
        <v>Sophomore</v>
      </c>
      <c r="F326" s="59">
        <f>Segments!$F$306</f>
        <v>1</v>
      </c>
      <c r="G326" s="59" t="str">
        <f>Segments!$G$306</f>
        <v>Sophomore</v>
      </c>
      <c r="H326" s="60">
        <f>Segments!$H$306</f>
        <v>2</v>
      </c>
      <c r="I326" s="26">
        <f>Segments!$Y$306</f>
        <v>4196.7066285921037</v>
      </c>
      <c r="J326" s="29">
        <v>1</v>
      </c>
      <c r="K326" s="14">
        <f t="shared" si="156"/>
        <v>1426.2297754450396</v>
      </c>
      <c r="L326" s="14">
        <f t="shared" si="157"/>
        <v>4196.7066285921037</v>
      </c>
      <c r="M326" s="14">
        <f t="shared" si="158"/>
        <v>6865.8388185433996</v>
      </c>
      <c r="N326" s="14">
        <f t="shared" si="159"/>
        <v>3129.2592983664667</v>
      </c>
      <c r="O326" s="14">
        <f t="shared" si="160"/>
        <v>1426.2297754450396</v>
      </c>
      <c r="P326" s="33">
        <f t="shared" si="161"/>
        <v>0.95</v>
      </c>
      <c r="Q326" s="33">
        <f t="shared" si="162"/>
        <v>0.62211383917760366</v>
      </c>
      <c r="R326" s="51">
        <f t="shared" si="163"/>
        <v>1.9</v>
      </c>
      <c r="S326" s="51">
        <f>APPLICANTS_PER_YEAR*($H326/Segments!$AH$2)*Q326</f>
        <v>1.4930732140262488</v>
      </c>
      <c r="T326" s="51">
        <f t="shared" si="164"/>
        <v>3.3930732140262485</v>
      </c>
      <c r="U326" s="14">
        <f t="shared" si="165"/>
        <v>1426.2297754450396</v>
      </c>
      <c r="V326" s="44">
        <f t="shared" si="166"/>
        <v>4839.3020481092353</v>
      </c>
      <c r="W326" s="44">
        <f t="shared" si="167"/>
        <v>15948.500790434544</v>
      </c>
      <c r="X326" s="44">
        <f t="shared" si="168"/>
        <v>1094.347673340555</v>
      </c>
      <c r="Y326" s="14">
        <f t="shared" si="169"/>
        <v>1426.2297754450396</v>
      </c>
      <c r="Z326" s="14">
        <f t="shared" si="170"/>
        <v>4322.6078274498668</v>
      </c>
      <c r="AA326" s="14">
        <f t="shared" si="171"/>
        <v>7070.5639830997015</v>
      </c>
      <c r="AB326" s="14">
        <f t="shared" si="172"/>
        <v>3222.8522070275967</v>
      </c>
      <c r="AC326" s="14">
        <f t="shared" si="173"/>
        <v>1469.0166687083909</v>
      </c>
      <c r="AD326" s="33">
        <f t="shared" si="174"/>
        <v>0.95</v>
      </c>
      <c r="AE326" s="33">
        <f t="shared" si="175"/>
        <v>0.6220936961513277</v>
      </c>
      <c r="AF326" s="51">
        <f t="shared" si="176"/>
        <v>1.4210533940568559</v>
      </c>
      <c r="AG326" s="51">
        <f>APPLICANTS_PER_YEAR*($H326/Segments!$AH$2)*AE326</f>
        <v>1.4930248707631864</v>
      </c>
      <c r="AH326" s="51">
        <f t="shared" si="177"/>
        <v>2.9140782648200423</v>
      </c>
      <c r="AI326" s="14">
        <f t="shared" si="178"/>
        <v>1469.0166687083909</v>
      </c>
      <c r="AJ326" s="44">
        <f t="shared" si="179"/>
        <v>4280.8295449414663</v>
      </c>
      <c r="AK326" s="44">
        <f t="shared" si="180"/>
        <v>14107.987619390158</v>
      </c>
      <c r="AL326" s="44">
        <f t="shared" si="181"/>
        <v>981.44871582757355</v>
      </c>
      <c r="AM326" s="14">
        <f t="shared" si="182"/>
        <v>1469.0166687083909</v>
      </c>
      <c r="AN326" s="14">
        <f t="shared" si="183"/>
        <v>4452.2860622733624</v>
      </c>
      <c r="AO326" s="14">
        <f t="shared" si="184"/>
        <v>7281.4309025926914</v>
      </c>
      <c r="AP326" s="14">
        <f t="shared" si="185"/>
        <v>3319.2528781332344</v>
      </c>
      <c r="AQ326" s="14">
        <f t="shared" si="186"/>
        <v>1513.0871687696424</v>
      </c>
      <c r="AR326" s="33">
        <f t="shared" si="187"/>
        <v>0.95</v>
      </c>
      <c r="AS326" s="33">
        <f t="shared" si="188"/>
        <v>0.62207413470398032</v>
      </c>
      <c r="AT326" s="51">
        <f t="shared" si="189"/>
        <v>1.4210081629045512</v>
      </c>
      <c r="AU326" s="51">
        <f>APPLICANTS_PER_YEAR*($H326/Segments!$AH$2)*AS326</f>
        <v>1.4929779232895528</v>
      </c>
      <c r="AV326" s="51">
        <f t="shared" si="190"/>
        <v>2.9139860861941038</v>
      </c>
      <c r="AW326" s="14">
        <f t="shared" si="191"/>
        <v>1513.0871687696424</v>
      </c>
      <c r="AX326" s="44">
        <f t="shared" si="192"/>
        <v>4409.1149569935678</v>
      </c>
      <c r="AY326" s="44">
        <f t="shared" si="193"/>
        <v>14530.767593686976</v>
      </c>
      <c r="AZ326" s="44">
        <f t="shared" si="194"/>
        <v>1007.9920975424074</v>
      </c>
    </row>
    <row r="327" spans="1:52" ht="15" customHeight="1" x14ac:dyDescent="0.35">
      <c r="A327" s="59" t="str">
        <f>Segments!$A$307</f>
        <v>Greek</v>
      </c>
      <c r="B327" s="59" t="str">
        <f>Segments!$B$307</f>
        <v>Off 1-3mi</v>
      </c>
      <c r="C327" s="59" t="str">
        <f>Segments!$C$307</f>
        <v>No</v>
      </c>
      <c r="D327" s="59" t="str">
        <f>Segments!$D$307</f>
        <v>&lt;1.0</v>
      </c>
      <c r="E327" s="59" t="str">
        <f>Segments!$E$307</f>
        <v>Junior</v>
      </c>
      <c r="F327" s="59">
        <f>Segments!$F$307</f>
        <v>2</v>
      </c>
      <c r="G327" s="59" t="str">
        <f>Segments!$G$307</f>
        <v>Base</v>
      </c>
      <c r="H327" s="60">
        <f>Segments!$H$307</f>
        <v>0</v>
      </c>
      <c r="I327" s="26">
        <f>Segments!$Y$307</f>
        <v>5016.8506397881056</v>
      </c>
      <c r="J327" s="29">
        <v>2</v>
      </c>
      <c r="K327" s="14">
        <f t="shared" si="156"/>
        <v>1426.2297754450396</v>
      </c>
      <c r="L327" s="14">
        <f t="shared" si="157"/>
        <v>5016.8506397881056</v>
      </c>
      <c r="M327" s="14">
        <f t="shared" si="158"/>
        <v>8199.4569188893438</v>
      </c>
      <c r="N327" s="14">
        <f t="shared" si="159"/>
        <v>3419.6943723378008</v>
      </c>
      <c r="O327" s="14">
        <f t="shared" si="160"/>
        <v>1426.2297754450396</v>
      </c>
      <c r="P327" s="33">
        <f t="shared" si="161"/>
        <v>0.95</v>
      </c>
      <c r="Q327" s="33">
        <f t="shared" si="162"/>
        <v>0.64146823953305099</v>
      </c>
      <c r="R327" s="51">
        <f t="shared" si="163"/>
        <v>1.9</v>
      </c>
      <c r="S327" s="51">
        <f>APPLICANTS_PER_YEAR*($H327/Segments!$AH$2)*Q327</f>
        <v>0</v>
      </c>
      <c r="T327" s="51">
        <f t="shared" si="164"/>
        <v>1.9</v>
      </c>
      <c r="U327" s="14">
        <f t="shared" si="165"/>
        <v>1426.2297754450396</v>
      </c>
      <c r="V327" s="44">
        <f t="shared" si="166"/>
        <v>2709.8365733455753</v>
      </c>
      <c r="W327" s="44">
        <f t="shared" si="167"/>
        <v>10675.858161469088</v>
      </c>
      <c r="X327" s="44">
        <f t="shared" si="168"/>
        <v>550.15911236231375</v>
      </c>
      <c r="Y327" s="14">
        <f t="shared" si="169"/>
        <v>1426.2297754450396</v>
      </c>
      <c r="Z327" s="14">
        <f t="shared" si="170"/>
        <v>5167.3561589817491</v>
      </c>
      <c r="AA327" s="14">
        <f t="shared" si="171"/>
        <v>8444.1906264560239</v>
      </c>
      <c r="AB327" s="14">
        <f t="shared" si="172"/>
        <v>3522.024529161466</v>
      </c>
      <c r="AC327" s="14">
        <f t="shared" si="173"/>
        <v>1469.0166687083909</v>
      </c>
      <c r="AD327" s="33">
        <f t="shared" si="174"/>
        <v>0.95</v>
      </c>
      <c r="AE327" s="33">
        <f t="shared" si="175"/>
        <v>0.6414528055461699</v>
      </c>
      <c r="AF327" s="51">
        <f t="shared" si="176"/>
        <v>3.2234195533249359</v>
      </c>
      <c r="AG327" s="51">
        <f>APPLICANTS_PER_YEAR*($H327/Segments!$AH$2)*AE327</f>
        <v>0</v>
      </c>
      <c r="AH327" s="51">
        <f t="shared" si="177"/>
        <v>3.2234195533249359</v>
      </c>
      <c r="AI327" s="14">
        <f t="shared" si="178"/>
        <v>1469.0166687083909</v>
      </c>
      <c r="AJ327" s="44">
        <f t="shared" si="179"/>
        <v>4735.2570540748866</v>
      </c>
      <c r="AK327" s="44">
        <f t="shared" si="180"/>
        <v>18655.343707678505</v>
      </c>
      <c r="AL327" s="44">
        <f t="shared" si="181"/>
        <v>959.43197428665235</v>
      </c>
      <c r="AM327" s="14">
        <f t="shared" si="182"/>
        <v>1469.0166687083909</v>
      </c>
      <c r="AN327" s="14">
        <f t="shared" si="183"/>
        <v>5322.3768437512008</v>
      </c>
      <c r="AO327" s="14">
        <f t="shared" si="184"/>
        <v>8696.2663452497036</v>
      </c>
      <c r="AP327" s="14">
        <f t="shared" si="185"/>
        <v>3627.4245716762466</v>
      </c>
      <c r="AQ327" s="14">
        <f t="shared" si="186"/>
        <v>1513.0871687696424</v>
      </c>
      <c r="AR327" s="33">
        <f t="shared" si="187"/>
        <v>0.95</v>
      </c>
      <c r="AS327" s="33">
        <f t="shared" si="188"/>
        <v>0.64143781781374998</v>
      </c>
      <c r="AT327" s="51">
        <f t="shared" si="189"/>
        <v>2.7683743515790402</v>
      </c>
      <c r="AU327" s="51">
        <f>APPLICANTS_PER_YEAR*($H327/Segments!$AH$2)*AS327</f>
        <v>0</v>
      </c>
      <c r="AV327" s="51">
        <f t="shared" si="190"/>
        <v>2.7683743515790402</v>
      </c>
      <c r="AW327" s="14">
        <f t="shared" si="191"/>
        <v>1513.0871687696424</v>
      </c>
      <c r="AX327" s="44">
        <f t="shared" si="192"/>
        <v>4188.7917097252248</v>
      </c>
      <c r="AY327" s="44">
        <f t="shared" si="193"/>
        <v>16502.451328920513</v>
      </c>
      <c r="AZ327" s="44">
        <f t="shared" si="194"/>
        <v>847.04912016964829</v>
      </c>
    </row>
    <row r="328" spans="1:52" ht="15" customHeight="1" x14ac:dyDescent="0.35">
      <c r="A328" s="59" t="str">
        <f>Segments!$A$308</f>
        <v>Greek</v>
      </c>
      <c r="B328" s="59" t="str">
        <f>Segments!$B$308</f>
        <v>Off 1-3mi</v>
      </c>
      <c r="C328" s="59" t="str">
        <f>Segments!$C$308</f>
        <v>No</v>
      </c>
      <c r="D328" s="59" t="str">
        <f>Segments!$D$308</f>
        <v>&lt;1.0</v>
      </c>
      <c r="E328" s="59" t="str">
        <f>Segments!$E$308</f>
        <v>Senior</v>
      </c>
      <c r="F328" s="59">
        <f>Segments!$F$308</f>
        <v>3</v>
      </c>
      <c r="G328" s="59" t="str">
        <f>Segments!$G$308</f>
        <v>Base</v>
      </c>
      <c r="H328" s="60">
        <f>Segments!$H$308</f>
        <v>3</v>
      </c>
      <c r="I328" s="26">
        <f>Segments!$Y$308</f>
        <v>4689.1873638949273</v>
      </c>
      <c r="J328" s="29">
        <v>3</v>
      </c>
      <c r="K328" s="14">
        <f t="shared" si="156"/>
        <v>1426.2297754450396</v>
      </c>
      <c r="L328" s="14">
        <f t="shared" si="157"/>
        <v>4689.1873638949273</v>
      </c>
      <c r="M328" s="14">
        <f t="shared" si="158"/>
        <v>7666.6508877722572</v>
      </c>
      <c r="N328" s="14">
        <f t="shared" si="159"/>
        <v>3306.7213027533694</v>
      </c>
      <c r="O328" s="14">
        <f t="shared" si="160"/>
        <v>1426.2297754450396</v>
      </c>
      <c r="P328" s="33">
        <f t="shared" si="161"/>
        <v>0.95</v>
      </c>
      <c r="Q328" s="33">
        <f t="shared" si="162"/>
        <v>0.63434381901833126</v>
      </c>
      <c r="R328" s="51">
        <f t="shared" si="163"/>
        <v>0</v>
      </c>
      <c r="S328" s="51">
        <f>APPLICANTS_PER_YEAR*($H328/Segments!$AH$2)*Q328</f>
        <v>2.2836377484659924</v>
      </c>
      <c r="T328" s="51">
        <f t="shared" si="164"/>
        <v>2.2836377484659924</v>
      </c>
      <c r="U328" s="14">
        <f t="shared" si="165"/>
        <v>1426.2297754450396</v>
      </c>
      <c r="V328" s="44">
        <f t="shared" si="166"/>
        <v>3256.9921531924683</v>
      </c>
      <c r="W328" s="44">
        <f t="shared" si="167"/>
        <v>11993.413906678617</v>
      </c>
      <c r="X328" s="44">
        <f t="shared" si="168"/>
        <v>832.32994099608266</v>
      </c>
      <c r="Y328" s="14">
        <f t="shared" si="169"/>
        <v>1426.2297754450396</v>
      </c>
      <c r="Z328" s="14">
        <f t="shared" si="170"/>
        <v>4829.8629848117753</v>
      </c>
      <c r="AA328" s="14">
        <f t="shared" si="171"/>
        <v>7895.4004144054243</v>
      </c>
      <c r="AB328" s="14">
        <f t="shared" si="172"/>
        <v>3405.6533609409967</v>
      </c>
      <c r="AC328" s="14">
        <f t="shared" si="173"/>
        <v>1469.0166687083909</v>
      </c>
      <c r="AD328" s="33">
        <f t="shared" si="174"/>
        <v>0.95</v>
      </c>
      <c r="AE328" s="33">
        <f t="shared" si="175"/>
        <v>0.63432674834785663</v>
      </c>
      <c r="AF328" s="51">
        <f t="shared" si="176"/>
        <v>1.8049999999999999</v>
      </c>
      <c r="AG328" s="51">
        <f>APPLICANTS_PER_YEAR*($H328/Segments!$AH$2)*AE328</f>
        <v>2.2835762940522835</v>
      </c>
      <c r="AH328" s="51">
        <f t="shared" si="177"/>
        <v>4.0885762940522836</v>
      </c>
      <c r="AI328" s="14">
        <f t="shared" si="178"/>
        <v>1469.0166687083906</v>
      </c>
      <c r="AJ328" s="44">
        <f t="shared" si="179"/>
        <v>6006.1867272487834</v>
      </c>
      <c r="AK328" s="44">
        <f t="shared" si="180"/>
        <v>22116.934899608674</v>
      </c>
      <c r="AL328" s="44">
        <f t="shared" si="181"/>
        <v>1391.4416320904274</v>
      </c>
      <c r="AM328" s="14">
        <f t="shared" si="182"/>
        <v>1469.0166687083909</v>
      </c>
      <c r="AN328" s="14">
        <f t="shared" si="183"/>
        <v>4974.7588743561282</v>
      </c>
      <c r="AO328" s="14">
        <f t="shared" si="184"/>
        <v>8131.0124268375866</v>
      </c>
      <c r="AP328" s="14">
        <f t="shared" si="185"/>
        <v>3507.553359844218</v>
      </c>
      <c r="AQ328" s="14">
        <f t="shared" si="186"/>
        <v>1513.0871687696424</v>
      </c>
      <c r="AR328" s="33">
        <f t="shared" si="187"/>
        <v>0.95</v>
      </c>
      <c r="AS328" s="33">
        <f t="shared" si="188"/>
        <v>0.63431017100238163</v>
      </c>
      <c r="AT328" s="51">
        <f t="shared" si="189"/>
        <v>3.062248575658689</v>
      </c>
      <c r="AU328" s="51">
        <f>APPLICANTS_PER_YEAR*($H328/Segments!$AH$2)*AS328</f>
        <v>2.2835166156085736</v>
      </c>
      <c r="AV328" s="51">
        <f t="shared" si="190"/>
        <v>5.3457651912672626</v>
      </c>
      <c r="AW328" s="14">
        <f t="shared" si="191"/>
        <v>1513.0871687696424</v>
      </c>
      <c r="AX328" s="44">
        <f t="shared" si="192"/>
        <v>8088.6087181618877</v>
      </c>
      <c r="AY328" s="44">
        <f t="shared" si="193"/>
        <v>29785.159964538612</v>
      </c>
      <c r="AZ328" s="44">
        <f t="shared" si="194"/>
        <v>1813.6808561243931</v>
      </c>
    </row>
    <row r="329" spans="1:52" ht="15" customHeight="1" x14ac:dyDescent="0.35">
      <c r="A329" s="59" t="str">
        <f>Segments!$A$309</f>
        <v>Greek</v>
      </c>
      <c r="B329" s="59" t="str">
        <f>Segments!$B$309</f>
        <v>Off 1-3mi</v>
      </c>
      <c r="C329" s="59" t="str">
        <f>Segments!$C$309</f>
        <v>No</v>
      </c>
      <c r="D329" s="59" t="str">
        <f>Segments!$D$309</f>
        <v>&lt;1.0</v>
      </c>
      <c r="E329" s="59" t="str">
        <f>Segments!$E$309</f>
        <v>Grad student</v>
      </c>
      <c r="F329" s="59">
        <f>Segments!$F$309</f>
        <v>3</v>
      </c>
      <c r="G329" s="59" t="str">
        <f>Segments!$G$309</f>
        <v>Grad</v>
      </c>
      <c r="H329" s="60">
        <f>Segments!$H$309</f>
        <v>0</v>
      </c>
      <c r="I329" s="26">
        <f>Segments!$Y$309</f>
        <v>5583.3236126139072</v>
      </c>
      <c r="J329" s="29">
        <v>4</v>
      </c>
      <c r="K329" s="14">
        <f t="shared" si="156"/>
        <v>1426.2297754450396</v>
      </c>
      <c r="L329" s="14">
        <f t="shared" si="157"/>
        <v>5583.3236126139072</v>
      </c>
      <c r="M329" s="14">
        <f t="shared" si="158"/>
        <v>9120.5861347396094</v>
      </c>
      <c r="N329" s="14">
        <f t="shared" si="159"/>
        <v>3606.6676468558644</v>
      </c>
      <c r="O329" s="14">
        <f t="shared" si="160"/>
        <v>1426.2297754450396</v>
      </c>
      <c r="P329" s="33">
        <f t="shared" si="161"/>
        <v>0.95</v>
      </c>
      <c r="Q329" s="33">
        <f t="shared" si="162"/>
        <v>0.65227873551249382</v>
      </c>
      <c r="R329" s="51">
        <f t="shared" si="163"/>
        <v>0</v>
      </c>
      <c r="S329" s="51">
        <f>APPLICANTS_PER_YEAR*($H329/Segments!$AH$2)*Q329</f>
        <v>0</v>
      </c>
      <c r="T329" s="51">
        <f t="shared" si="164"/>
        <v>0</v>
      </c>
      <c r="U329" s="14">
        <f t="shared" si="165"/>
        <v>9120.5861347396094</v>
      </c>
      <c r="V329" s="44">
        <f t="shared" si="166"/>
        <v>0</v>
      </c>
      <c r="W329" s="44">
        <f t="shared" si="167"/>
        <v>0</v>
      </c>
      <c r="X329" s="44">
        <f t="shared" si="168"/>
        <v>0</v>
      </c>
      <c r="Y329" s="14">
        <f t="shared" si="169"/>
        <v>9120.5861347396094</v>
      </c>
      <c r="Z329" s="14">
        <f t="shared" si="170"/>
        <v>5750.8233209923246</v>
      </c>
      <c r="AA329" s="14">
        <f t="shared" si="171"/>
        <v>9392.9537187817987</v>
      </c>
      <c r="AB329" s="14">
        <f t="shared" si="172"/>
        <v>3714.6205164588387</v>
      </c>
      <c r="AC329" s="14">
        <f t="shared" si="173"/>
        <v>1469.0166687083909</v>
      </c>
      <c r="AD329" s="33">
        <f t="shared" si="174"/>
        <v>0.95</v>
      </c>
      <c r="AE329" s="33">
        <f t="shared" si="175"/>
        <v>0.65226557972753429</v>
      </c>
      <c r="AF329" s="51">
        <f t="shared" si="176"/>
        <v>0</v>
      </c>
      <c r="AG329" s="51">
        <f>APPLICANTS_PER_YEAR*($H329/Segments!$AH$2)*AE329</f>
        <v>0</v>
      </c>
      <c r="AH329" s="51">
        <f t="shared" si="177"/>
        <v>0</v>
      </c>
      <c r="AI329" s="14">
        <f t="shared" si="178"/>
        <v>9392.9537187817987</v>
      </c>
      <c r="AJ329" s="44">
        <f t="shared" si="179"/>
        <v>0</v>
      </c>
      <c r="AK329" s="44">
        <f t="shared" si="180"/>
        <v>0</v>
      </c>
      <c r="AL329" s="44">
        <f t="shared" si="181"/>
        <v>0</v>
      </c>
      <c r="AM329" s="14">
        <f t="shared" si="182"/>
        <v>9392.9537187817987</v>
      </c>
      <c r="AN329" s="14">
        <f t="shared" si="183"/>
        <v>5923.3480206220938</v>
      </c>
      <c r="AO329" s="14">
        <f t="shared" si="184"/>
        <v>9673.4923303452506</v>
      </c>
      <c r="AP329" s="14">
        <f t="shared" si="185"/>
        <v>3825.8119559430711</v>
      </c>
      <c r="AQ329" s="14">
        <f t="shared" si="186"/>
        <v>1513.0871687696424</v>
      </c>
      <c r="AR329" s="33">
        <f t="shared" si="187"/>
        <v>0.95</v>
      </c>
      <c r="AS329" s="33">
        <f t="shared" si="188"/>
        <v>0.65225280460802693</v>
      </c>
      <c r="AT329" s="51">
        <f t="shared" si="189"/>
        <v>0</v>
      </c>
      <c r="AU329" s="51">
        <f>APPLICANTS_PER_YEAR*($H329/Segments!$AH$2)*AS329</f>
        <v>0</v>
      </c>
      <c r="AV329" s="51">
        <f t="shared" si="190"/>
        <v>0</v>
      </c>
      <c r="AW329" s="14">
        <f t="shared" si="191"/>
        <v>9673.4923303452506</v>
      </c>
      <c r="AX329" s="44">
        <f t="shared" si="192"/>
        <v>0</v>
      </c>
      <c r="AY329" s="44">
        <f t="shared" si="193"/>
        <v>0</v>
      </c>
      <c r="AZ329" s="44">
        <f t="shared" si="194"/>
        <v>0</v>
      </c>
    </row>
    <row r="330" spans="1:52" ht="15" customHeight="1" x14ac:dyDescent="0.35">
      <c r="A330" s="61" t="str">
        <f>Segments!$A$310</f>
        <v>Greek</v>
      </c>
      <c r="B330" s="61" t="str">
        <f>Segments!$B$310</f>
        <v>Off 1-3mi</v>
      </c>
      <c r="C330" s="61" t="str">
        <f>Segments!$C$310</f>
        <v>No</v>
      </c>
      <c r="D330" s="61" t="str">
        <f>Segments!$D$310</f>
        <v>1.0-2.0</v>
      </c>
      <c r="E330" s="61" t="str">
        <f>Segments!$E$310</f>
        <v>Freshman</v>
      </c>
      <c r="F330" s="61">
        <f>Segments!$F$310</f>
        <v>1</v>
      </c>
      <c r="G330" s="61" t="str">
        <f>Segments!$G$310</f>
        <v>Base</v>
      </c>
      <c r="H330" s="62">
        <f>Segments!$H$310</f>
        <v>3</v>
      </c>
      <c r="I330" s="63">
        <f>Segments!$Y$310</f>
        <v>3847.3217901148437</v>
      </c>
      <c r="J330" s="42">
        <v>0</v>
      </c>
      <c r="K330" s="40">
        <f t="shared" si="156"/>
        <v>6297.7118332591472</v>
      </c>
      <c r="L330" s="40">
        <f t="shared" si="157"/>
        <v>3847.3217901148437</v>
      </c>
      <c r="M330" s="40">
        <f t="shared" si="158"/>
        <v>6297.7118332591472</v>
      </c>
      <c r="N330" s="40">
        <f t="shared" si="159"/>
        <v>2996.9958514764016</v>
      </c>
      <c r="O330" s="40">
        <f t="shared" si="160"/>
        <v>1426.2297754450396</v>
      </c>
      <c r="P330" s="41">
        <f t="shared" si="161"/>
        <v>0.95</v>
      </c>
      <c r="Q330" s="41">
        <f t="shared" si="162"/>
        <v>0.61205676515327168</v>
      </c>
      <c r="R330" s="64">
        <f t="shared" si="163"/>
        <v>0</v>
      </c>
      <c r="S330" s="64">
        <f>APPLICANTS_PER_YEAR*($H330/Segments!$AH$2)*Q330</f>
        <v>2.2034043545517776</v>
      </c>
      <c r="T330" s="64">
        <f t="shared" si="164"/>
        <v>2.2034043545517776</v>
      </c>
      <c r="U330" s="40">
        <f t="shared" si="165"/>
        <v>1426.2297754450396</v>
      </c>
      <c r="V330" s="65">
        <f t="shared" si="166"/>
        <v>3142.5608978070045</v>
      </c>
      <c r="W330" s="65">
        <f t="shared" si="167"/>
        <v>9494.4702559851066</v>
      </c>
      <c r="X330" s="65">
        <f t="shared" si="168"/>
        <v>803.08683706359898</v>
      </c>
      <c r="Y330" s="40">
        <f t="shared" si="169"/>
        <v>6485.3931882569223</v>
      </c>
      <c r="Z330" s="40">
        <f t="shared" si="170"/>
        <v>3962.7414438182891</v>
      </c>
      <c r="AA330" s="40">
        <f t="shared" si="171"/>
        <v>6485.3931882569223</v>
      </c>
      <c r="AB330" s="40">
        <f t="shared" si="172"/>
        <v>3086.6082836468368</v>
      </c>
      <c r="AC330" s="40">
        <f t="shared" si="173"/>
        <v>1469.0166687083909</v>
      </c>
      <c r="AD330" s="41">
        <f t="shared" si="174"/>
        <v>0.95</v>
      </c>
      <c r="AE330" s="41">
        <f t="shared" si="175"/>
        <v>0.61203383557100688</v>
      </c>
      <c r="AF330" s="64">
        <f t="shared" si="176"/>
        <v>0</v>
      </c>
      <c r="AG330" s="64">
        <f>APPLICANTS_PER_YEAR*($H330/Segments!$AH$2)*AE330</f>
        <v>2.2033218080556245</v>
      </c>
      <c r="AH330" s="64">
        <f t="shared" si="177"/>
        <v>2.2033218080556245</v>
      </c>
      <c r="AI330" s="40">
        <f t="shared" si="178"/>
        <v>1469.0166687083909</v>
      </c>
      <c r="AJ330" s="65">
        <f t="shared" si="179"/>
        <v>3236.7164625624223</v>
      </c>
      <c r="AK330" s="65">
        <f t="shared" si="180"/>
        <v>9778.9379999927496</v>
      </c>
      <c r="AL330" s="65">
        <f t="shared" si="181"/>
        <v>824.17396897648575</v>
      </c>
      <c r="AM330" s="40">
        <f t="shared" si="182"/>
        <v>6678.7049839046294</v>
      </c>
      <c r="AN330" s="40">
        <f t="shared" si="183"/>
        <v>4081.6236871328374</v>
      </c>
      <c r="AO330" s="40">
        <f t="shared" si="184"/>
        <v>6678.7049839046294</v>
      </c>
      <c r="AP330" s="40">
        <f t="shared" si="185"/>
        <v>3178.909060533811</v>
      </c>
      <c r="AQ330" s="40">
        <f t="shared" si="186"/>
        <v>1513.0871687696424</v>
      </c>
      <c r="AR330" s="41">
        <f t="shared" si="187"/>
        <v>0.95</v>
      </c>
      <c r="AS330" s="41">
        <f t="shared" si="188"/>
        <v>0.61201156749737895</v>
      </c>
      <c r="AT330" s="64">
        <f t="shared" si="189"/>
        <v>0</v>
      </c>
      <c r="AU330" s="64">
        <f>APPLICANTS_PER_YEAR*($H330/Segments!$AH$2)*AS330</f>
        <v>2.2032416429905641</v>
      </c>
      <c r="AV330" s="64">
        <f t="shared" si="190"/>
        <v>2.2032416429905641</v>
      </c>
      <c r="AW330" s="40">
        <f t="shared" si="191"/>
        <v>1513.0871687696424</v>
      </c>
      <c r="AX330" s="65">
        <f t="shared" si="192"/>
        <v>3333.6966597079681</v>
      </c>
      <c r="AY330" s="65">
        <f t="shared" si="193"/>
        <v>10071.939671928689</v>
      </c>
      <c r="AZ330" s="65">
        <f t="shared" si="194"/>
        <v>845.89392570916027</v>
      </c>
    </row>
    <row r="331" spans="1:52" ht="15" customHeight="1" x14ac:dyDescent="0.35">
      <c r="A331" s="61" t="str">
        <f>Segments!$A$311</f>
        <v>Greek</v>
      </c>
      <c r="B331" s="61" t="str">
        <f>Segments!$B$311</f>
        <v>Off 1-3mi</v>
      </c>
      <c r="C331" s="61" t="str">
        <f>Segments!$C$311</f>
        <v>No</v>
      </c>
      <c r="D331" s="61" t="str">
        <f>Segments!$D$311</f>
        <v>1.0-2.0</v>
      </c>
      <c r="E331" s="61" t="str">
        <f>Segments!$E$311</f>
        <v>Sophomore</v>
      </c>
      <c r="F331" s="61">
        <f>Segments!$F$311</f>
        <v>1</v>
      </c>
      <c r="G331" s="61" t="str">
        <f>Segments!$G$311</f>
        <v>Sophomore</v>
      </c>
      <c r="H331" s="62">
        <f>Segments!$H$311</f>
        <v>6</v>
      </c>
      <c r="I331" s="63">
        <f>Segments!$Y$311</f>
        <v>3808.1800724285195</v>
      </c>
      <c r="J331" s="42">
        <v>1</v>
      </c>
      <c r="K331" s="40">
        <f t="shared" si="156"/>
        <v>1426.2297754450396</v>
      </c>
      <c r="L331" s="40">
        <f t="shared" si="157"/>
        <v>3808.1800724285195</v>
      </c>
      <c r="M331" s="40">
        <f t="shared" si="158"/>
        <v>6234.0643488265168</v>
      </c>
      <c r="N331" s="40">
        <f t="shared" si="159"/>
        <v>2981.81290431455</v>
      </c>
      <c r="O331" s="40">
        <f t="shared" si="160"/>
        <v>1426.2297754450396</v>
      </c>
      <c r="P331" s="41">
        <f t="shared" si="161"/>
        <v>0.95</v>
      </c>
      <c r="Q331" s="41">
        <f t="shared" si="162"/>
        <v>0.61084519364354661</v>
      </c>
      <c r="R331" s="64">
        <f t="shared" si="163"/>
        <v>2.8499999999999996</v>
      </c>
      <c r="S331" s="64">
        <f>APPLICANTS_PER_YEAR*($H331/Segments!$AH$2)*Q331</f>
        <v>4.3980853942335356</v>
      </c>
      <c r="T331" s="64">
        <f t="shared" si="164"/>
        <v>7.2480853942335353</v>
      </c>
      <c r="U331" s="40">
        <f t="shared" si="165"/>
        <v>1426.2297754450396</v>
      </c>
      <c r="V331" s="65">
        <f t="shared" si="166"/>
        <v>10337.435204224166</v>
      </c>
      <c r="W331" s="65">
        <f t="shared" si="167"/>
        <v>30914.256084970002</v>
      </c>
      <c r="X331" s="65">
        <f t="shared" si="168"/>
        <v>2428.23290838608</v>
      </c>
      <c r="Y331" s="40">
        <f t="shared" si="169"/>
        <v>1426.2297754450396</v>
      </c>
      <c r="Z331" s="40">
        <f t="shared" si="170"/>
        <v>3922.4254746013753</v>
      </c>
      <c r="AA331" s="40">
        <f t="shared" si="171"/>
        <v>6419.8362792913122</v>
      </c>
      <c r="AB331" s="40">
        <f t="shared" si="172"/>
        <v>3070.9683333857079</v>
      </c>
      <c r="AC331" s="40">
        <f t="shared" si="173"/>
        <v>1469.0166687083909</v>
      </c>
      <c r="AD331" s="41">
        <f t="shared" si="174"/>
        <v>0.95</v>
      </c>
      <c r="AE331" s="41">
        <f t="shared" si="175"/>
        <v>0.61082191197836011</v>
      </c>
      <c r="AF331" s="64">
        <f t="shared" si="176"/>
        <v>2.0932341368241887</v>
      </c>
      <c r="AG331" s="64">
        <f>APPLICANTS_PER_YEAR*($H331/Segments!$AH$2)*AE331</f>
        <v>4.3979177662441922</v>
      </c>
      <c r="AH331" s="64">
        <f t="shared" si="177"/>
        <v>6.4911519030683813</v>
      </c>
      <c r="AI331" s="40">
        <f t="shared" si="178"/>
        <v>1469.0166687083904</v>
      </c>
      <c r="AJ331" s="65">
        <f t="shared" si="179"/>
        <v>9535.6103447256428</v>
      </c>
      <c r="AK331" s="65">
        <f t="shared" si="180"/>
        <v>28516.386734194934</v>
      </c>
      <c r="AL331" s="65">
        <f t="shared" si="181"/>
        <v>2268.1228450883714</v>
      </c>
      <c r="AM331" s="40">
        <f t="shared" si="182"/>
        <v>1469.0166687083909</v>
      </c>
      <c r="AN331" s="40">
        <f t="shared" si="183"/>
        <v>4040.0982388394159</v>
      </c>
      <c r="AO331" s="40">
        <f t="shared" si="184"/>
        <v>6611.1813676700503</v>
      </c>
      <c r="AP331" s="40">
        <f t="shared" si="185"/>
        <v>3162.7983966466295</v>
      </c>
      <c r="AQ331" s="40">
        <f t="shared" si="186"/>
        <v>1513.0871687696424</v>
      </c>
      <c r="AR331" s="41">
        <f t="shared" si="187"/>
        <v>0.95</v>
      </c>
      <c r="AS331" s="41">
        <f t="shared" si="188"/>
        <v>0.6107993019134732</v>
      </c>
      <c r="AT331" s="64">
        <f t="shared" si="189"/>
        <v>2.0931557176528433</v>
      </c>
      <c r="AU331" s="64">
        <f>APPLICANTS_PER_YEAR*($H331/Segments!$AH$2)*AS331</f>
        <v>4.3977549737770065</v>
      </c>
      <c r="AV331" s="64">
        <f t="shared" si="190"/>
        <v>6.4909106914298498</v>
      </c>
      <c r="AW331" s="40">
        <f t="shared" si="191"/>
        <v>1513.0871687696426</v>
      </c>
      <c r="AX331" s="65">
        <f t="shared" si="192"/>
        <v>9821.3136808321942</v>
      </c>
      <c r="AY331" s="65">
        <f t="shared" si="193"/>
        <v>29370.786875258837</v>
      </c>
      <c r="AZ331" s="65">
        <f t="shared" si="194"/>
        <v>2328.8869056278268</v>
      </c>
    </row>
    <row r="332" spans="1:52" ht="15" customHeight="1" x14ac:dyDescent="0.35">
      <c r="A332" s="61" t="str">
        <f>Segments!$A$312</f>
        <v>Greek</v>
      </c>
      <c r="B332" s="61" t="str">
        <f>Segments!$B$312</f>
        <v>Off 1-3mi</v>
      </c>
      <c r="C332" s="61" t="str">
        <f>Segments!$C$312</f>
        <v>No</v>
      </c>
      <c r="D332" s="61" t="str">
        <f>Segments!$D$312</f>
        <v>1.0-2.0</v>
      </c>
      <c r="E332" s="61" t="str">
        <f>Segments!$E$312</f>
        <v>Junior</v>
      </c>
      <c r="F332" s="61">
        <f>Segments!$F$312</f>
        <v>2</v>
      </c>
      <c r="G332" s="61" t="str">
        <f>Segments!$G$312</f>
        <v>Base</v>
      </c>
      <c r="H332" s="62">
        <f>Segments!$H$312</f>
        <v>3</v>
      </c>
      <c r="I332" s="63">
        <f>Segments!$Y$312</f>
        <v>4552.3960389865606</v>
      </c>
      <c r="J332" s="42">
        <v>2</v>
      </c>
      <c r="K332" s="40">
        <f t="shared" si="156"/>
        <v>1426.2297754450396</v>
      </c>
      <c r="L332" s="40">
        <f t="shared" si="157"/>
        <v>4552.3960389865606</v>
      </c>
      <c r="M332" s="40">
        <f t="shared" si="158"/>
        <v>7444.2175292672418</v>
      </c>
      <c r="N332" s="40">
        <f t="shared" si="159"/>
        <v>3258.399100038368</v>
      </c>
      <c r="O332" s="40">
        <f t="shared" si="160"/>
        <v>1426.2297754450396</v>
      </c>
      <c r="P332" s="41">
        <f t="shared" si="161"/>
        <v>0.95</v>
      </c>
      <c r="Q332" s="41">
        <f t="shared" si="162"/>
        <v>0.63114562831970988</v>
      </c>
      <c r="R332" s="64">
        <f t="shared" si="163"/>
        <v>5.6999999999999993</v>
      </c>
      <c r="S332" s="64">
        <f>APPLICANTS_PER_YEAR*($H332/Segments!$AH$2)*Q332</f>
        <v>2.2721242619509554</v>
      </c>
      <c r="T332" s="64">
        <f t="shared" si="164"/>
        <v>7.9721242619509542</v>
      </c>
      <c r="U332" s="40">
        <f t="shared" si="165"/>
        <v>1426.2297754450396</v>
      </c>
      <c r="V332" s="65">
        <f t="shared" si="166"/>
        <v>11370.080995942262</v>
      </c>
      <c r="W332" s="65">
        <f t="shared" si="167"/>
        <v>40647.338941903887</v>
      </c>
      <c r="X332" s="65">
        <f t="shared" si="168"/>
        <v>2478.6108946775744</v>
      </c>
      <c r="Y332" s="40">
        <f t="shared" si="169"/>
        <v>1426.2297754450396</v>
      </c>
      <c r="Z332" s="40">
        <f t="shared" si="170"/>
        <v>4688.9679201561576</v>
      </c>
      <c r="AA332" s="40">
        <f t="shared" si="171"/>
        <v>7666.2940551452593</v>
      </c>
      <c r="AB332" s="40">
        <f t="shared" si="172"/>
        <v>3355.8774939244172</v>
      </c>
      <c r="AC332" s="40">
        <f t="shared" si="173"/>
        <v>1469.0166687083909</v>
      </c>
      <c r="AD332" s="41">
        <f t="shared" si="174"/>
        <v>0.95</v>
      </c>
      <c r="AE332" s="41">
        <f t="shared" si="175"/>
        <v>0.63112778679079562</v>
      </c>
      <c r="AF332" s="64">
        <f t="shared" si="176"/>
        <v>6.8856811245218585</v>
      </c>
      <c r="AG332" s="64">
        <f>APPLICANTS_PER_YEAR*($H332/Segments!$AH$2)*AE332</f>
        <v>2.2720600324468641</v>
      </c>
      <c r="AH332" s="64">
        <f t="shared" si="177"/>
        <v>9.1577411569687222</v>
      </c>
      <c r="AI332" s="40">
        <f t="shared" si="178"/>
        <v>1469.0166687083909</v>
      </c>
      <c r="AJ332" s="65">
        <f t="shared" si="179"/>
        <v>13452.874407303918</v>
      </c>
      <c r="AK332" s="65">
        <f t="shared" si="180"/>
        <v>48093.197046854482</v>
      </c>
      <c r="AL332" s="65">
        <f t="shared" si="181"/>
        <v>2899.3688790299566</v>
      </c>
      <c r="AM332" s="40">
        <f t="shared" si="182"/>
        <v>1469.0166687083904</v>
      </c>
      <c r="AN332" s="40">
        <f t="shared" si="183"/>
        <v>4829.6369577608421</v>
      </c>
      <c r="AO332" s="40">
        <f t="shared" si="184"/>
        <v>7895.032876799617</v>
      </c>
      <c r="AP332" s="40">
        <f t="shared" si="185"/>
        <v>3456.2802176472874</v>
      </c>
      <c r="AQ332" s="40">
        <f t="shared" si="186"/>
        <v>1513.0871687696424</v>
      </c>
      <c r="AR332" s="41">
        <f t="shared" si="187"/>
        <v>0.95</v>
      </c>
      <c r="AS332" s="41">
        <f t="shared" si="188"/>
        <v>0.63111046074273303</v>
      </c>
      <c r="AT332" s="64">
        <f t="shared" si="189"/>
        <v>6.1665943079149619</v>
      </c>
      <c r="AU332" s="64">
        <f>APPLICANTS_PER_YEAR*($H332/Segments!$AH$2)*AS332</f>
        <v>2.2719976586738388</v>
      </c>
      <c r="AV332" s="64">
        <f t="shared" si="190"/>
        <v>8.4385919665888007</v>
      </c>
      <c r="AW332" s="40">
        <f t="shared" si="191"/>
        <v>1513.0871687696424</v>
      </c>
      <c r="AX332" s="65">
        <f t="shared" si="192"/>
        <v>12768.325227128098</v>
      </c>
      <c r="AY332" s="65">
        <f t="shared" si="193"/>
        <v>45645.975909297144</v>
      </c>
      <c r="AZ332" s="65">
        <f t="shared" si="194"/>
        <v>2759.1058163943244</v>
      </c>
    </row>
    <row r="333" spans="1:52" ht="15" customHeight="1" x14ac:dyDescent="0.35">
      <c r="A333" s="61" t="str">
        <f>Segments!$A$313</f>
        <v>Greek</v>
      </c>
      <c r="B333" s="61" t="str">
        <f>Segments!$B$313</f>
        <v>Off 1-3mi</v>
      </c>
      <c r="C333" s="61" t="str">
        <f>Segments!$C$313</f>
        <v>No</v>
      </c>
      <c r="D333" s="61" t="str">
        <f>Segments!$D$313</f>
        <v>1.0-2.0</v>
      </c>
      <c r="E333" s="61" t="str">
        <f>Segments!$E$313</f>
        <v>Senior</v>
      </c>
      <c r="F333" s="61">
        <f>Segments!$F$313</f>
        <v>3</v>
      </c>
      <c r="G333" s="61" t="str">
        <f>Segments!$G$313</f>
        <v>Base</v>
      </c>
      <c r="H333" s="62">
        <f>Segments!$H$313</f>
        <v>5</v>
      </c>
      <c r="I333" s="63">
        <f>Segments!$Y$313</f>
        <v>4255.0674744350608</v>
      </c>
      <c r="J333" s="42">
        <v>3</v>
      </c>
      <c r="K333" s="40">
        <f t="shared" si="156"/>
        <v>1426.2297754450396</v>
      </c>
      <c r="L333" s="40">
        <f t="shared" si="157"/>
        <v>4255.0674744350608</v>
      </c>
      <c r="M333" s="40">
        <f t="shared" si="158"/>
        <v>6960.7381036752477</v>
      </c>
      <c r="N333" s="40">
        <f t="shared" si="159"/>
        <v>3150.8113149689684</v>
      </c>
      <c r="O333" s="40">
        <f t="shared" si="160"/>
        <v>1426.2297754450396</v>
      </c>
      <c r="P333" s="41">
        <f t="shared" si="161"/>
        <v>0.95</v>
      </c>
      <c r="Q333" s="41">
        <f t="shared" si="162"/>
        <v>0.62367261430900911</v>
      </c>
      <c r="R333" s="64">
        <f t="shared" si="163"/>
        <v>2.8499999999999996</v>
      </c>
      <c r="S333" s="64">
        <f>APPLICANTS_PER_YEAR*($H333/Segments!$AH$2)*Q333</f>
        <v>3.7420356858540549</v>
      </c>
      <c r="T333" s="64">
        <f t="shared" si="164"/>
        <v>6.5920356858540545</v>
      </c>
      <c r="U333" s="40">
        <f t="shared" si="165"/>
        <v>1426.2297754450399</v>
      </c>
      <c r="V333" s="65">
        <f t="shared" si="166"/>
        <v>9401.7575759613173</v>
      </c>
      <c r="W333" s="65">
        <f t="shared" si="167"/>
        <v>31415.503433655947</v>
      </c>
      <c r="X333" s="65">
        <f t="shared" si="168"/>
        <v>2189.1188827781248</v>
      </c>
      <c r="Y333" s="40">
        <f t="shared" si="169"/>
        <v>1426.2297754450396</v>
      </c>
      <c r="Z333" s="40">
        <f t="shared" si="170"/>
        <v>4382.7194986681125</v>
      </c>
      <c r="AA333" s="40">
        <f t="shared" si="171"/>
        <v>7168.3102467855042</v>
      </c>
      <c r="AB333" s="40">
        <f t="shared" si="172"/>
        <v>3245.0527328536687</v>
      </c>
      <c r="AC333" s="40">
        <f t="shared" si="173"/>
        <v>1469.0166687083909</v>
      </c>
      <c r="AD333" s="41">
        <f t="shared" si="174"/>
        <v>0.95</v>
      </c>
      <c r="AE333" s="41">
        <f t="shared" si="175"/>
        <v>0.62365288184137591</v>
      </c>
      <c r="AF333" s="64">
        <f t="shared" si="176"/>
        <v>7.5735180488534066</v>
      </c>
      <c r="AG333" s="64">
        <f>APPLICANTS_PER_YEAR*($H333/Segments!$AH$2)*AE333</f>
        <v>3.7419172910482557</v>
      </c>
      <c r="AH333" s="64">
        <f t="shared" si="177"/>
        <v>11.315435339901661</v>
      </c>
      <c r="AI333" s="40">
        <f t="shared" si="178"/>
        <v>1469.0166687083909</v>
      </c>
      <c r="AJ333" s="65">
        <f t="shared" si="179"/>
        <v>16622.563128007536</v>
      </c>
      <c r="AK333" s="65">
        <f t="shared" si="180"/>
        <v>55543.464592117889</v>
      </c>
      <c r="AL333" s="65">
        <f t="shared" si="181"/>
        <v>3653.9139308393956</v>
      </c>
      <c r="AM333" s="40">
        <f t="shared" si="182"/>
        <v>1469.0166687083909</v>
      </c>
      <c r="AN333" s="40">
        <f t="shared" si="183"/>
        <v>4514.2010836281561</v>
      </c>
      <c r="AO333" s="40">
        <f t="shared" si="184"/>
        <v>7382.10955418907</v>
      </c>
      <c r="AP333" s="40">
        <f t="shared" si="185"/>
        <v>3342.1213689654164</v>
      </c>
      <c r="AQ333" s="40">
        <f t="shared" si="186"/>
        <v>1513.0871687696424</v>
      </c>
      <c r="AR333" s="41">
        <f t="shared" si="187"/>
        <v>0.95</v>
      </c>
      <c r="AS333" s="41">
        <f t="shared" si="188"/>
        <v>0.62363371916711208</v>
      </c>
      <c r="AT333" s="64">
        <f t="shared" si="189"/>
        <v>8.6998540991202855</v>
      </c>
      <c r="AU333" s="64">
        <f>APPLICANTS_PER_YEAR*($H333/Segments!$AH$2)*AS333</f>
        <v>3.7418023150026727</v>
      </c>
      <c r="AV333" s="64">
        <f t="shared" si="190"/>
        <v>12.441656414122958</v>
      </c>
      <c r="AW333" s="40">
        <f t="shared" si="191"/>
        <v>1513.0871687696424</v>
      </c>
      <c r="AX333" s="65">
        <f t="shared" si="192"/>
        <v>18825.310678449969</v>
      </c>
      <c r="AY333" s="65">
        <f t="shared" si="193"/>
        <v>62903.835530774631</v>
      </c>
      <c r="AZ333" s="65">
        <f t="shared" si="194"/>
        <v>4098.5204618661783</v>
      </c>
    </row>
    <row r="334" spans="1:52" ht="15" customHeight="1" x14ac:dyDescent="0.35">
      <c r="A334" s="61" t="str">
        <f>Segments!$A$314</f>
        <v>Greek</v>
      </c>
      <c r="B334" s="61" t="str">
        <f>Segments!$B$314</f>
        <v>Off 1-3mi</v>
      </c>
      <c r="C334" s="61" t="str">
        <f>Segments!$C$314</f>
        <v>No</v>
      </c>
      <c r="D334" s="61" t="str">
        <f>Segments!$D$314</f>
        <v>1.0-2.0</v>
      </c>
      <c r="E334" s="61" t="str">
        <f>Segments!$E$314</f>
        <v>Grad student</v>
      </c>
      <c r="F334" s="61">
        <f>Segments!$F$314</f>
        <v>3</v>
      </c>
      <c r="G334" s="61" t="str">
        <f>Segments!$G$314</f>
        <v>Grad</v>
      </c>
      <c r="H334" s="62">
        <f>Segments!$H$314</f>
        <v>0</v>
      </c>
      <c r="I334" s="63">
        <f>Segments!$Y$314</f>
        <v>5066.4255572729644</v>
      </c>
      <c r="J334" s="42">
        <v>4</v>
      </c>
      <c r="K334" s="40">
        <f t="shared" si="156"/>
        <v>1426.2297754450396</v>
      </c>
      <c r="L334" s="40">
        <f t="shared" si="157"/>
        <v>5066.4255572729644</v>
      </c>
      <c r="M334" s="40">
        <f t="shared" si="158"/>
        <v>8280.0695995630103</v>
      </c>
      <c r="N334" s="40">
        <f t="shared" si="159"/>
        <v>3436.4635609379088</v>
      </c>
      <c r="O334" s="40">
        <f t="shared" si="160"/>
        <v>1426.2297754450396</v>
      </c>
      <c r="P334" s="41">
        <f t="shared" si="161"/>
        <v>0.95</v>
      </c>
      <c r="Q334" s="41">
        <f t="shared" si="162"/>
        <v>0.64248582879549276</v>
      </c>
      <c r="R334" s="64">
        <f t="shared" si="163"/>
        <v>0</v>
      </c>
      <c r="S334" s="64">
        <f>APPLICANTS_PER_YEAR*($H334/Segments!$AH$2)*Q334</f>
        <v>0</v>
      </c>
      <c r="T334" s="64">
        <f t="shared" si="164"/>
        <v>0</v>
      </c>
      <c r="U334" s="40">
        <f t="shared" si="165"/>
        <v>8280.0695995630103</v>
      </c>
      <c r="V334" s="65">
        <f t="shared" si="166"/>
        <v>0</v>
      </c>
      <c r="W334" s="65">
        <f t="shared" si="167"/>
        <v>0</v>
      </c>
      <c r="X334" s="65">
        <f t="shared" si="168"/>
        <v>0</v>
      </c>
      <c r="Y334" s="40">
        <f t="shared" si="169"/>
        <v>8280.0695995630103</v>
      </c>
      <c r="Z334" s="40">
        <f t="shared" si="170"/>
        <v>5218.4183239911536</v>
      </c>
      <c r="AA334" s="40">
        <f t="shared" si="171"/>
        <v>8527.2216875499016</v>
      </c>
      <c r="AB334" s="40">
        <f t="shared" si="172"/>
        <v>3539.298065546684</v>
      </c>
      <c r="AC334" s="40">
        <f t="shared" si="173"/>
        <v>1469.0166687083909</v>
      </c>
      <c r="AD334" s="41">
        <f t="shared" si="174"/>
        <v>0.95</v>
      </c>
      <c r="AE334" s="41">
        <f t="shared" si="175"/>
        <v>0.64247061966770447</v>
      </c>
      <c r="AF334" s="64">
        <f t="shared" si="176"/>
        <v>0</v>
      </c>
      <c r="AG334" s="64">
        <f>APPLICANTS_PER_YEAR*($H334/Segments!$AH$2)*AE334</f>
        <v>0</v>
      </c>
      <c r="AH334" s="64">
        <f t="shared" si="177"/>
        <v>0</v>
      </c>
      <c r="AI334" s="40">
        <f t="shared" si="178"/>
        <v>8527.2216875499016</v>
      </c>
      <c r="AJ334" s="65">
        <f t="shared" si="179"/>
        <v>0</v>
      </c>
      <c r="AK334" s="65">
        <f t="shared" si="180"/>
        <v>0</v>
      </c>
      <c r="AL334" s="65">
        <f t="shared" si="181"/>
        <v>0</v>
      </c>
      <c r="AM334" s="40">
        <f t="shared" si="182"/>
        <v>8527.2216875499016</v>
      </c>
      <c r="AN334" s="40">
        <f t="shared" si="183"/>
        <v>5374.9708737108876</v>
      </c>
      <c r="AO334" s="40">
        <f t="shared" si="184"/>
        <v>8781.7883381763968</v>
      </c>
      <c r="AP334" s="40">
        <f t="shared" si="185"/>
        <v>3645.2175865571576</v>
      </c>
      <c r="AQ334" s="40">
        <f t="shared" si="186"/>
        <v>1513.0871687696424</v>
      </c>
      <c r="AR334" s="41">
        <f t="shared" si="187"/>
        <v>0.95</v>
      </c>
      <c r="AS334" s="41">
        <f t="shared" si="188"/>
        <v>0.64245585032432506</v>
      </c>
      <c r="AT334" s="64">
        <f t="shared" si="189"/>
        <v>0</v>
      </c>
      <c r="AU334" s="64">
        <f>APPLICANTS_PER_YEAR*($H334/Segments!$AH$2)*AS334</f>
        <v>0</v>
      </c>
      <c r="AV334" s="64">
        <f t="shared" si="190"/>
        <v>0</v>
      </c>
      <c r="AW334" s="40">
        <f t="shared" si="191"/>
        <v>8781.7883381763968</v>
      </c>
      <c r="AX334" s="65">
        <f t="shared" si="192"/>
        <v>0</v>
      </c>
      <c r="AY334" s="65">
        <f t="shared" si="193"/>
        <v>0</v>
      </c>
      <c r="AZ334" s="65">
        <f t="shared" si="194"/>
        <v>0</v>
      </c>
    </row>
    <row r="335" spans="1:52" ht="15" customHeight="1" x14ac:dyDescent="0.35">
      <c r="A335" s="59" t="str">
        <f>Segments!$A$315</f>
        <v>Greek</v>
      </c>
      <c r="B335" s="59" t="str">
        <f>Segments!$B$315</f>
        <v>Off 1-3mi</v>
      </c>
      <c r="C335" s="59" t="str">
        <f>Segments!$C$315</f>
        <v>No</v>
      </c>
      <c r="D335" s="59" t="str">
        <f>Segments!$D$315</f>
        <v>2.0-3.0</v>
      </c>
      <c r="E335" s="59" t="str">
        <f>Segments!$E$315</f>
        <v>Freshman</v>
      </c>
      <c r="F335" s="59">
        <f>Segments!$F$315</f>
        <v>1</v>
      </c>
      <c r="G335" s="59" t="str">
        <f>Segments!$G$315</f>
        <v>Base</v>
      </c>
      <c r="H335" s="60">
        <f>Segments!$H$315</f>
        <v>8</v>
      </c>
      <c r="I335" s="26">
        <f>Segments!$Y$315</f>
        <v>3780.6850976599094</v>
      </c>
      <c r="J335" s="29">
        <v>0</v>
      </c>
      <c r="K335" s="14">
        <f t="shared" si="156"/>
        <v>6189.3553763541067</v>
      </c>
      <c r="L335" s="14">
        <f t="shared" si="157"/>
        <v>3780.6850976599094</v>
      </c>
      <c r="M335" s="14">
        <f t="shared" si="158"/>
        <v>6189.3553763541067</v>
      </c>
      <c r="N335" s="14">
        <f t="shared" si="159"/>
        <v>2971.1012989406922</v>
      </c>
      <c r="O335" s="14">
        <f t="shared" si="160"/>
        <v>1426.2297754450396</v>
      </c>
      <c r="P335" s="33">
        <f t="shared" si="161"/>
        <v>0.95</v>
      </c>
      <c r="Q335" s="33">
        <f t="shared" si="162"/>
        <v>0.60998297736372309</v>
      </c>
      <c r="R335" s="51">
        <f t="shared" si="163"/>
        <v>0</v>
      </c>
      <c r="S335" s="51">
        <f>APPLICANTS_PER_YEAR*($H335/Segments!$AH$2)*Q335</f>
        <v>5.8558365826917411</v>
      </c>
      <c r="T335" s="51">
        <f t="shared" si="164"/>
        <v>5.8558365826917411</v>
      </c>
      <c r="U335" s="14">
        <f t="shared" si="165"/>
        <v>1426.2297754450396</v>
      </c>
      <c r="V335" s="44">
        <f t="shared" si="166"/>
        <v>8351.7684943752902</v>
      </c>
      <c r="W335" s="44">
        <f t="shared" si="167"/>
        <v>24795.762994816123</v>
      </c>
      <c r="X335" s="44">
        <f t="shared" si="168"/>
        <v>2134.3087889611934</v>
      </c>
      <c r="Y335" s="14">
        <f t="shared" si="169"/>
        <v>6373.7860376447306</v>
      </c>
      <c r="Z335" s="14">
        <f t="shared" si="170"/>
        <v>3894.1056505897068</v>
      </c>
      <c r="AA335" s="14">
        <f t="shared" si="171"/>
        <v>6373.7860376447306</v>
      </c>
      <c r="AB335" s="14">
        <f t="shared" si="172"/>
        <v>3059.9343019223329</v>
      </c>
      <c r="AC335" s="14">
        <f t="shared" si="173"/>
        <v>1469.0166687083909</v>
      </c>
      <c r="AD335" s="33">
        <f t="shared" si="174"/>
        <v>0.95</v>
      </c>
      <c r="AE335" s="33">
        <f t="shared" si="175"/>
        <v>0.60995944295511262</v>
      </c>
      <c r="AF335" s="51">
        <f t="shared" si="176"/>
        <v>0</v>
      </c>
      <c r="AG335" s="51">
        <f>APPLICANTS_PER_YEAR*($H335/Segments!$AH$2)*AE335</f>
        <v>5.855610652369081</v>
      </c>
      <c r="AH335" s="51">
        <f t="shared" si="177"/>
        <v>5.855610652369081</v>
      </c>
      <c r="AI335" s="14">
        <f t="shared" si="178"/>
        <v>1469.0166687083909</v>
      </c>
      <c r="AJ335" s="44">
        <f t="shared" si="179"/>
        <v>8601.9896537965942</v>
      </c>
      <c r="AK335" s="44">
        <f t="shared" si="180"/>
        <v>25538.650512528966</v>
      </c>
      <c r="AL335" s="44">
        <f t="shared" si="181"/>
        <v>2190.3481618070459</v>
      </c>
      <c r="AM335" s="14">
        <f t="shared" si="182"/>
        <v>6563.7496187740717</v>
      </c>
      <c r="AN335" s="14">
        <f t="shared" si="183"/>
        <v>4010.9288201073978</v>
      </c>
      <c r="AO335" s="14">
        <f t="shared" si="184"/>
        <v>6563.7496187740717</v>
      </c>
      <c r="AP335" s="14">
        <f t="shared" si="185"/>
        <v>3151.4322659996487</v>
      </c>
      <c r="AQ335" s="14">
        <f t="shared" si="186"/>
        <v>1513.0871687696424</v>
      </c>
      <c r="AR335" s="33">
        <f t="shared" si="187"/>
        <v>0.95</v>
      </c>
      <c r="AS335" s="33">
        <f t="shared" si="188"/>
        <v>0.60993658739010148</v>
      </c>
      <c r="AT335" s="51">
        <f t="shared" si="189"/>
        <v>0</v>
      </c>
      <c r="AU335" s="51">
        <f>APPLICANTS_PER_YEAR*($H335/Segments!$AH$2)*AS335</f>
        <v>5.855391238944974</v>
      </c>
      <c r="AV335" s="51">
        <f t="shared" si="190"/>
        <v>5.855391238944974</v>
      </c>
      <c r="AW335" s="14">
        <f t="shared" si="191"/>
        <v>1513.0871687696424</v>
      </c>
      <c r="AX335" s="44">
        <f t="shared" si="192"/>
        <v>8859.7173517738192</v>
      </c>
      <c r="AY335" s="44">
        <f t="shared" si="193"/>
        <v>26303.82437008341</v>
      </c>
      <c r="AZ335" s="44">
        <f t="shared" si="194"/>
        <v>2248.0692925498593</v>
      </c>
    </row>
    <row r="336" spans="1:52" ht="15" customHeight="1" x14ac:dyDescent="0.35">
      <c r="A336" s="59" t="str">
        <f>Segments!$A$316</f>
        <v>Greek</v>
      </c>
      <c r="B336" s="59" t="str">
        <f>Segments!$B$316</f>
        <v>Off 1-3mi</v>
      </c>
      <c r="C336" s="59" t="str">
        <f>Segments!$C$316</f>
        <v>No</v>
      </c>
      <c r="D336" s="59" t="str">
        <f>Segments!$D$316</f>
        <v>2.0-3.0</v>
      </c>
      <c r="E336" s="59" t="str">
        <f>Segments!$E$316</f>
        <v>Sophomore</v>
      </c>
      <c r="F336" s="59">
        <f>Segments!$F$316</f>
        <v>1</v>
      </c>
      <c r="G336" s="59" t="str">
        <f>Segments!$G$316</f>
        <v>Sophomore</v>
      </c>
      <c r="H336" s="60">
        <f>Segments!$H$316</f>
        <v>5</v>
      </c>
      <c r="I336" s="26">
        <f>Segments!$Y$316</f>
        <v>3742.2213255019055</v>
      </c>
      <c r="J336" s="29">
        <v>1</v>
      </c>
      <c r="K336" s="14">
        <f t="shared" si="156"/>
        <v>1426.2297754450396</v>
      </c>
      <c r="L336" s="14">
        <f t="shared" si="157"/>
        <v>3742.2213255019055</v>
      </c>
      <c r="M336" s="14">
        <f t="shared" si="158"/>
        <v>6126.810284202922</v>
      </c>
      <c r="N336" s="14">
        <f t="shared" si="159"/>
        <v>2956.0512945199539</v>
      </c>
      <c r="O336" s="14">
        <f t="shared" si="160"/>
        <v>1426.2297754450396</v>
      </c>
      <c r="P336" s="33">
        <f t="shared" si="161"/>
        <v>0.95</v>
      </c>
      <c r="Q336" s="33">
        <f t="shared" si="162"/>
        <v>0.60876099002594408</v>
      </c>
      <c r="R336" s="51">
        <f t="shared" si="163"/>
        <v>7.6</v>
      </c>
      <c r="S336" s="51">
        <f>APPLICANTS_PER_YEAR*($H336/Segments!$AH$2)*Q336</f>
        <v>3.6525659401556645</v>
      </c>
      <c r="T336" s="51">
        <f t="shared" si="164"/>
        <v>11.252565940155664</v>
      </c>
      <c r="U336" s="14">
        <f t="shared" si="165"/>
        <v>1426.2297754450396</v>
      </c>
      <c r="V336" s="44">
        <f t="shared" si="166"/>
        <v>16048.744594008715</v>
      </c>
      <c r="W336" s="44">
        <f t="shared" si="167"/>
        <v>47162.743295210959</v>
      </c>
      <c r="X336" s="44">
        <f t="shared" si="168"/>
        <v>3531.9071360965763</v>
      </c>
      <c r="Y336" s="14">
        <f t="shared" si="169"/>
        <v>1426.2297754450396</v>
      </c>
      <c r="Z336" s="14">
        <f t="shared" si="170"/>
        <v>3854.4879652669629</v>
      </c>
      <c r="AA336" s="14">
        <f t="shared" si="171"/>
        <v>6309.3645927290099</v>
      </c>
      <c r="AB336" s="14">
        <f t="shared" si="172"/>
        <v>3044.4312696589886</v>
      </c>
      <c r="AC336" s="14">
        <f t="shared" si="173"/>
        <v>1469.0166687083909</v>
      </c>
      <c r="AD336" s="33">
        <f t="shared" si="174"/>
        <v>0.95</v>
      </c>
      <c r="AE336" s="33">
        <f t="shared" si="175"/>
        <v>0.60873709428938139</v>
      </c>
      <c r="AF336" s="51">
        <f t="shared" si="176"/>
        <v>5.5630447535571541</v>
      </c>
      <c r="AG336" s="51">
        <f>APPLICANTS_PER_YEAR*($H336/Segments!$AH$2)*AE336</f>
        <v>3.6524225657362885</v>
      </c>
      <c r="AH336" s="51">
        <f t="shared" si="177"/>
        <v>9.2154673192934418</v>
      </c>
      <c r="AI336" s="14">
        <f t="shared" si="178"/>
        <v>1469.0166687083909</v>
      </c>
      <c r="AJ336" s="44">
        <f t="shared" si="179"/>
        <v>13537.675101979497</v>
      </c>
      <c r="AK336" s="44">
        <f t="shared" si="180"/>
        <v>39783.416821710882</v>
      </c>
      <c r="AL336" s="44">
        <f t="shared" si="181"/>
        <v>3022.0319418615659</v>
      </c>
      <c r="AM336" s="14">
        <f t="shared" si="182"/>
        <v>1469.0166687083909</v>
      </c>
      <c r="AN336" s="14">
        <f t="shared" si="183"/>
        <v>3970.1226042249714</v>
      </c>
      <c r="AO336" s="14">
        <f t="shared" si="184"/>
        <v>6497.3955305108802</v>
      </c>
      <c r="AP336" s="14">
        <f t="shared" si="185"/>
        <v>3135.4626146132309</v>
      </c>
      <c r="AQ336" s="14">
        <f t="shared" si="186"/>
        <v>1513.0871687696424</v>
      </c>
      <c r="AR336" s="33">
        <f t="shared" si="187"/>
        <v>0.95</v>
      </c>
      <c r="AS336" s="33">
        <f t="shared" si="188"/>
        <v>0.60871388775013568</v>
      </c>
      <c r="AT336" s="51">
        <f t="shared" si="189"/>
        <v>5.5628301197506262</v>
      </c>
      <c r="AU336" s="51">
        <f>APPLICANTS_PER_YEAR*($H336/Segments!$AH$2)*AS336</f>
        <v>3.6522833265008141</v>
      </c>
      <c r="AV336" s="51">
        <f t="shared" si="190"/>
        <v>9.2151134462514399</v>
      </c>
      <c r="AW336" s="14">
        <f t="shared" si="191"/>
        <v>1513.0871687696424</v>
      </c>
      <c r="AX336" s="44">
        <f t="shared" si="192"/>
        <v>13943.269914279654</v>
      </c>
      <c r="AY336" s="44">
        <f t="shared" si="193"/>
        <v>40975.345816675559</v>
      </c>
      <c r="AZ336" s="44">
        <f t="shared" si="194"/>
        <v>3104.3051722177929</v>
      </c>
    </row>
    <row r="337" spans="1:52" ht="15" customHeight="1" x14ac:dyDescent="0.35">
      <c r="A337" s="59" t="str">
        <f>Segments!$A$317</f>
        <v>Greek</v>
      </c>
      <c r="B337" s="59" t="str">
        <f>Segments!$B$317</f>
        <v>Off 1-3mi</v>
      </c>
      <c r="C337" s="59" t="str">
        <f>Segments!$C$317</f>
        <v>No</v>
      </c>
      <c r="D337" s="59" t="str">
        <f>Segments!$D$317</f>
        <v>2.0-3.0</v>
      </c>
      <c r="E337" s="59" t="str">
        <f>Segments!$E$317</f>
        <v>Junior</v>
      </c>
      <c r="F337" s="59">
        <f>Segments!$F$317</f>
        <v>2</v>
      </c>
      <c r="G337" s="59" t="str">
        <f>Segments!$G$317</f>
        <v>Base</v>
      </c>
      <c r="H337" s="60">
        <f>Segments!$H$317</f>
        <v>1</v>
      </c>
      <c r="I337" s="26">
        <f>Segments!$Y$317</f>
        <v>4473.5472627904937</v>
      </c>
      <c r="J337" s="29">
        <v>2</v>
      </c>
      <c r="K337" s="14">
        <f t="shared" si="156"/>
        <v>1426.2297754450396</v>
      </c>
      <c r="L337" s="14">
        <f t="shared" si="157"/>
        <v>4473.5472627904937</v>
      </c>
      <c r="M337" s="14">
        <f t="shared" si="158"/>
        <v>7316.003272149329</v>
      </c>
      <c r="N337" s="14">
        <f t="shared" si="159"/>
        <v>3230.2169747545927</v>
      </c>
      <c r="O337" s="14">
        <f t="shared" si="160"/>
        <v>1426.2297754450396</v>
      </c>
      <c r="P337" s="33">
        <f t="shared" si="161"/>
        <v>0.95</v>
      </c>
      <c r="Q337" s="33">
        <f t="shared" si="162"/>
        <v>0.6292362267625391</v>
      </c>
      <c r="R337" s="51">
        <f t="shared" si="163"/>
        <v>4.75</v>
      </c>
      <c r="S337" s="51">
        <f>APPLICANTS_PER_YEAR*($H337/Segments!$AH$2)*Q337</f>
        <v>0.75508347211504689</v>
      </c>
      <c r="T337" s="51">
        <f t="shared" si="164"/>
        <v>5.5050834721150466</v>
      </c>
      <c r="U337" s="14">
        <f t="shared" si="165"/>
        <v>1426.2297754450399</v>
      </c>
      <c r="V337" s="44">
        <f t="shared" si="166"/>
        <v>7851.5139642408431</v>
      </c>
      <c r="W337" s="44">
        <f t="shared" si="167"/>
        <v>27582.521229887072</v>
      </c>
      <c r="X337" s="44">
        <f t="shared" si="168"/>
        <v>1650.6071840673883</v>
      </c>
      <c r="Y337" s="14">
        <f t="shared" si="169"/>
        <v>1426.2297754450396</v>
      </c>
      <c r="Z337" s="14">
        <f t="shared" si="170"/>
        <v>4607.7536806742082</v>
      </c>
      <c r="AA337" s="14">
        <f t="shared" si="171"/>
        <v>7534.2333703138083</v>
      </c>
      <c r="AB337" s="14">
        <f t="shared" si="172"/>
        <v>3326.8475178357635</v>
      </c>
      <c r="AC337" s="14">
        <f t="shared" si="173"/>
        <v>1469.0166687083909</v>
      </c>
      <c r="AD337" s="33">
        <f t="shared" si="174"/>
        <v>0.95</v>
      </c>
      <c r="AE337" s="33">
        <f t="shared" si="175"/>
        <v>0.62921791413150785</v>
      </c>
      <c r="AF337" s="51">
        <f t="shared" si="176"/>
        <v>10.68993764314788</v>
      </c>
      <c r="AG337" s="51">
        <f>APPLICANTS_PER_YEAR*($H337/Segments!$AH$2)*AE337</f>
        <v>0.75506149695780944</v>
      </c>
      <c r="AH337" s="51">
        <f t="shared" si="177"/>
        <v>11.44499914010569</v>
      </c>
      <c r="AI337" s="14">
        <f t="shared" si="178"/>
        <v>1469.0166687083909</v>
      </c>
      <c r="AJ337" s="44">
        <f t="shared" si="179"/>
        <v>16812.894510168459</v>
      </c>
      <c r="AK337" s="44">
        <f t="shared" si="180"/>
        <v>59064.025342711357</v>
      </c>
      <c r="AL337" s="44">
        <f t="shared" si="181"/>
        <v>3464.2355100204804</v>
      </c>
      <c r="AM337" s="14">
        <f t="shared" si="182"/>
        <v>1469.0166687083909</v>
      </c>
      <c r="AN337" s="14">
        <f t="shared" si="183"/>
        <v>4745.9862910944348</v>
      </c>
      <c r="AO337" s="14">
        <f t="shared" si="184"/>
        <v>7759.0103714232228</v>
      </c>
      <c r="AP337" s="14">
        <f t="shared" si="185"/>
        <v>3426.3769546491903</v>
      </c>
      <c r="AQ337" s="14">
        <f t="shared" si="186"/>
        <v>1513.0871687696424</v>
      </c>
      <c r="AR337" s="33">
        <f t="shared" si="187"/>
        <v>0.95</v>
      </c>
      <c r="AS337" s="33">
        <f t="shared" si="188"/>
        <v>0.62920013051737333</v>
      </c>
      <c r="AT337" s="51">
        <f t="shared" si="189"/>
        <v>8.7546939533287684</v>
      </c>
      <c r="AU337" s="51">
        <f>APPLICANTS_PER_YEAR*($H337/Segments!$AH$2)*AS337</f>
        <v>0.755040156620848</v>
      </c>
      <c r="AV337" s="51">
        <f t="shared" si="190"/>
        <v>9.5097341099496155</v>
      </c>
      <c r="AW337" s="14">
        <f t="shared" si="191"/>
        <v>1513.0871687696426</v>
      </c>
      <c r="AX337" s="44">
        <f t="shared" si="192"/>
        <v>14389.056660175762</v>
      </c>
      <c r="AY337" s="44">
        <f t="shared" si="193"/>
        <v>50549.035843906902</v>
      </c>
      <c r="AZ337" s="44">
        <f t="shared" si="194"/>
        <v>2968.5878499388414</v>
      </c>
    </row>
    <row r="338" spans="1:52" ht="15" customHeight="1" x14ac:dyDescent="0.35">
      <c r="A338" s="59" t="str">
        <f>Segments!$A$318</f>
        <v>Greek</v>
      </c>
      <c r="B338" s="59" t="str">
        <f>Segments!$B$318</f>
        <v>Off 1-3mi</v>
      </c>
      <c r="C338" s="59" t="str">
        <f>Segments!$C$318</f>
        <v>No</v>
      </c>
      <c r="D338" s="59" t="str">
        <f>Segments!$D$318</f>
        <v>2.0-3.0</v>
      </c>
      <c r="E338" s="59" t="str">
        <f>Segments!$E$318</f>
        <v>Senior</v>
      </c>
      <c r="F338" s="59">
        <f>Segments!$F$318</f>
        <v>3</v>
      </c>
      <c r="G338" s="59" t="str">
        <f>Segments!$G$318</f>
        <v>Base</v>
      </c>
      <c r="H338" s="60">
        <f>Segments!$H$318</f>
        <v>9</v>
      </c>
      <c r="I338" s="26">
        <f>Segments!$Y$318</f>
        <v>4181.3685123681362</v>
      </c>
      <c r="J338" s="29">
        <v>3</v>
      </c>
      <c r="K338" s="14">
        <f t="shared" si="156"/>
        <v>1426.2297754450396</v>
      </c>
      <c r="L338" s="14">
        <f t="shared" si="157"/>
        <v>4181.3685123681362</v>
      </c>
      <c r="M338" s="14">
        <f t="shared" si="158"/>
        <v>6840.8978458090332</v>
      </c>
      <c r="N338" s="14">
        <f t="shared" si="159"/>
        <v>3123.5704247656518</v>
      </c>
      <c r="O338" s="14">
        <f t="shared" si="160"/>
        <v>1426.2297754450396</v>
      </c>
      <c r="P338" s="33">
        <f t="shared" si="161"/>
        <v>0.95</v>
      </c>
      <c r="Q338" s="33">
        <f t="shared" si="162"/>
        <v>0.62169879632983727</v>
      </c>
      <c r="R338" s="51">
        <f t="shared" si="163"/>
        <v>0.95</v>
      </c>
      <c r="S338" s="51">
        <f>APPLICANTS_PER_YEAR*($H338/Segments!$AH$2)*Q338</f>
        <v>6.7143470003622419</v>
      </c>
      <c r="T338" s="51">
        <f t="shared" si="164"/>
        <v>7.664347000362242</v>
      </c>
      <c r="U338" s="14">
        <f t="shared" si="165"/>
        <v>1426.2297754450396</v>
      </c>
      <c r="V338" s="44">
        <f t="shared" si="166"/>
        <v>10931.119901259504</v>
      </c>
      <c r="W338" s="44">
        <f t="shared" si="167"/>
        <v>35893.154320999201</v>
      </c>
      <c r="X338" s="44">
        <f t="shared" si="168"/>
        <v>2722.2943328648826</v>
      </c>
      <c r="Y338" s="14">
        <f t="shared" si="169"/>
        <v>1426.2297754450399</v>
      </c>
      <c r="Z338" s="14">
        <f t="shared" si="170"/>
        <v>4306.8095677391802</v>
      </c>
      <c r="AA338" s="14">
        <f t="shared" si="171"/>
        <v>7044.8747811833045</v>
      </c>
      <c r="AB338" s="14">
        <f t="shared" si="172"/>
        <v>3216.9921483462854</v>
      </c>
      <c r="AC338" s="14">
        <f t="shared" si="173"/>
        <v>1469.0166687083909</v>
      </c>
      <c r="AD338" s="33">
        <f t="shared" si="174"/>
        <v>0.95</v>
      </c>
      <c r="AE338" s="33">
        <f t="shared" si="175"/>
        <v>0.62167854303537107</v>
      </c>
      <c r="AF338" s="51">
        <f t="shared" si="176"/>
        <v>5.2298292985092942</v>
      </c>
      <c r="AG338" s="51">
        <f>APPLICANTS_PER_YEAR*($H338/Segments!$AH$2)*AE338</f>
        <v>6.7141282647820066</v>
      </c>
      <c r="AH338" s="51">
        <f t="shared" si="177"/>
        <v>11.943957563291301</v>
      </c>
      <c r="AI338" s="14">
        <f t="shared" si="178"/>
        <v>1469.0166687083906</v>
      </c>
      <c r="AJ338" s="44">
        <f t="shared" si="179"/>
        <v>17545.872750820574</v>
      </c>
      <c r="AK338" s="44">
        <f t="shared" si="180"/>
        <v>57613.192795484174</v>
      </c>
      <c r="AL338" s="44">
        <f t="shared" si="181"/>
        <v>4068.1131295788468</v>
      </c>
      <c r="AM338" s="14">
        <f t="shared" si="182"/>
        <v>1469.0166687083909</v>
      </c>
      <c r="AN338" s="14">
        <f t="shared" si="183"/>
        <v>4436.0138547713559</v>
      </c>
      <c r="AO338" s="14">
        <f t="shared" si="184"/>
        <v>7254.9710246188042</v>
      </c>
      <c r="AP338" s="14">
        <f t="shared" si="185"/>
        <v>3313.2164986831544</v>
      </c>
      <c r="AQ338" s="14">
        <f t="shared" si="186"/>
        <v>1513.0871687696424</v>
      </c>
      <c r="AR338" s="33">
        <f t="shared" si="187"/>
        <v>0.95</v>
      </c>
      <c r="AS338" s="33">
        <f t="shared" si="188"/>
        <v>0.62165887448480617</v>
      </c>
      <c r="AT338" s="51">
        <f t="shared" si="189"/>
        <v>10.872749183100405</v>
      </c>
      <c r="AU338" s="51">
        <f>APPLICANTS_PER_YEAR*($H338/Segments!$AH$2)*AS338</f>
        <v>6.7139158444359062</v>
      </c>
      <c r="AV338" s="51">
        <f t="shared" si="190"/>
        <v>17.586665027536313</v>
      </c>
      <c r="AW338" s="14">
        <f t="shared" si="191"/>
        <v>1513.0871687696426</v>
      </c>
      <c r="AX338" s="44">
        <f t="shared" si="192"/>
        <v>26610.157194615007</v>
      </c>
      <c r="AY338" s="44">
        <f t="shared" si="193"/>
        <v>87376.452487938834</v>
      </c>
      <c r="AZ338" s="44">
        <f t="shared" si="194"/>
        <v>5904.4568035183911</v>
      </c>
    </row>
    <row r="339" spans="1:52" ht="15" customHeight="1" x14ac:dyDescent="0.35">
      <c r="A339" s="59" t="str">
        <f>Segments!$A$319</f>
        <v>Greek</v>
      </c>
      <c r="B339" s="59" t="str">
        <f>Segments!$B$319</f>
        <v>Off 1-3mi</v>
      </c>
      <c r="C339" s="59" t="str">
        <f>Segments!$C$319</f>
        <v>No</v>
      </c>
      <c r="D339" s="59" t="str">
        <f>Segments!$D$319</f>
        <v>2.0-3.0</v>
      </c>
      <c r="E339" s="59" t="str">
        <f>Segments!$E$319</f>
        <v>Grad student</v>
      </c>
      <c r="F339" s="59">
        <f>Segments!$F$319</f>
        <v>3</v>
      </c>
      <c r="G339" s="59" t="str">
        <f>Segments!$G$319</f>
        <v>Grad</v>
      </c>
      <c r="H339" s="60">
        <f>Segments!$H$319</f>
        <v>2</v>
      </c>
      <c r="I339" s="26">
        <f>Segments!$Y$319</f>
        <v>4978.6736456514136</v>
      </c>
      <c r="J339" s="29">
        <v>4</v>
      </c>
      <c r="K339" s="14">
        <f t="shared" si="156"/>
        <v>1426.2297754450396</v>
      </c>
      <c r="L339" s="14">
        <f t="shared" si="157"/>
        <v>4978.6736456514136</v>
      </c>
      <c r="M339" s="14">
        <f t="shared" si="158"/>
        <v>8137.3781501579269</v>
      </c>
      <c r="N339" s="14">
        <f t="shared" si="159"/>
        <v>3406.7243815446996</v>
      </c>
      <c r="O339" s="14">
        <f t="shared" si="160"/>
        <v>1426.2297754450396</v>
      </c>
      <c r="P339" s="33">
        <f t="shared" si="161"/>
        <v>0.95</v>
      </c>
      <c r="Q339" s="33">
        <f t="shared" si="162"/>
        <v>0.64067432294033289</v>
      </c>
      <c r="R339" s="51">
        <f t="shared" si="163"/>
        <v>0.95</v>
      </c>
      <c r="S339" s="51">
        <f>APPLICANTS_PER_YEAR*($H339/Segments!$AH$2)*Q339</f>
        <v>1.5376183750567989</v>
      </c>
      <c r="T339" s="51">
        <f t="shared" si="164"/>
        <v>2.4876183750567988</v>
      </c>
      <c r="U339" s="14">
        <f t="shared" si="165"/>
        <v>1426.2297754450399</v>
      </c>
      <c r="V339" s="44">
        <f t="shared" si="166"/>
        <v>3547.9153964502129</v>
      </c>
      <c r="W339" s="44">
        <f t="shared" si="167"/>
        <v>13871.244849653496</v>
      </c>
      <c r="X339" s="44">
        <f t="shared" si="168"/>
        <v>835.50373564885604</v>
      </c>
      <c r="Y339" s="14">
        <f t="shared" si="169"/>
        <v>1426.2297754450399</v>
      </c>
      <c r="Z339" s="14">
        <f t="shared" si="170"/>
        <v>5128.0338550209563</v>
      </c>
      <c r="AA339" s="14">
        <f t="shared" si="171"/>
        <v>8380.249494662663</v>
      </c>
      <c r="AB339" s="14">
        <f t="shared" si="172"/>
        <v>3508.6644461382339</v>
      </c>
      <c r="AC339" s="14">
        <f t="shared" si="173"/>
        <v>1469.0166687083909</v>
      </c>
      <c r="AD339" s="33">
        <f t="shared" si="174"/>
        <v>0.95</v>
      </c>
      <c r="AE339" s="33">
        <f t="shared" si="175"/>
        <v>0.64065871198865354</v>
      </c>
      <c r="AF339" s="51">
        <f t="shared" si="176"/>
        <v>1.1816187281519794</v>
      </c>
      <c r="AG339" s="51">
        <f>APPLICANTS_PER_YEAR*($H339/Segments!$AH$2)*AE339</f>
        <v>1.5375809087727685</v>
      </c>
      <c r="AH339" s="51">
        <f t="shared" si="177"/>
        <v>2.7191996369247482</v>
      </c>
      <c r="AI339" s="14">
        <f t="shared" si="178"/>
        <v>1469.0166687083909</v>
      </c>
      <c r="AJ339" s="44">
        <f t="shared" si="179"/>
        <v>3994.5495921882593</v>
      </c>
      <c r="AK339" s="44">
        <f t="shared" si="180"/>
        <v>15617.445532316098</v>
      </c>
      <c r="AL339" s="44">
        <f t="shared" si="181"/>
        <v>926.84900783802004</v>
      </c>
      <c r="AM339" s="14">
        <f t="shared" si="182"/>
        <v>1469.0166687083909</v>
      </c>
      <c r="AN339" s="14">
        <f t="shared" si="183"/>
        <v>5281.8748706715842</v>
      </c>
      <c r="AO339" s="14">
        <f t="shared" si="184"/>
        <v>8630.4069795025425</v>
      </c>
      <c r="AP339" s="14">
        <f t="shared" si="185"/>
        <v>3613.662693437956</v>
      </c>
      <c r="AQ339" s="14">
        <f t="shared" si="186"/>
        <v>1513.0871687696424</v>
      </c>
      <c r="AR339" s="33">
        <f t="shared" si="187"/>
        <v>0.95</v>
      </c>
      <c r="AS339" s="33">
        <f t="shared" si="188"/>
        <v>0.6406435523828421</v>
      </c>
      <c r="AT339" s="51">
        <f t="shared" si="189"/>
        <v>1.2916198275392554</v>
      </c>
      <c r="AU339" s="51">
        <f>APPLICANTS_PER_YEAR*($H339/Segments!$AH$2)*AS339</f>
        <v>1.5375445257188209</v>
      </c>
      <c r="AV339" s="51">
        <f t="shared" si="190"/>
        <v>2.8291643532580766</v>
      </c>
      <c r="AW339" s="14">
        <f t="shared" si="191"/>
        <v>1513.0871687696424</v>
      </c>
      <c r="AX339" s="44">
        <f t="shared" si="192"/>
        <v>4280.7722812552593</v>
      </c>
      <c r="AY339" s="44">
        <f t="shared" si="193"/>
        <v>16736.487154770501</v>
      </c>
      <c r="AZ339" s="44">
        <f t="shared" si="194"/>
        <v>985.5132226300766</v>
      </c>
    </row>
    <row r="340" spans="1:52" ht="15" customHeight="1" x14ac:dyDescent="0.35">
      <c r="A340" s="61" t="str">
        <f>Segments!$A$320</f>
        <v>Greek</v>
      </c>
      <c r="B340" s="61" t="str">
        <f>Segments!$B$320</f>
        <v>Off 1-3mi</v>
      </c>
      <c r="C340" s="61" t="str">
        <f>Segments!$C$320</f>
        <v>No</v>
      </c>
      <c r="D340" s="61" t="str">
        <f>Segments!$D$320</f>
        <v>3.0+</v>
      </c>
      <c r="E340" s="61" t="str">
        <f>Segments!$E$320</f>
        <v>Freshman</v>
      </c>
      <c r="F340" s="61">
        <f>Segments!$F$320</f>
        <v>1</v>
      </c>
      <c r="G340" s="61" t="str">
        <f>Segments!$G$320</f>
        <v>Base</v>
      </c>
      <c r="H340" s="62">
        <f>Segments!$H$320</f>
        <v>5</v>
      </c>
      <c r="I340" s="63">
        <f>Segments!$Y$320</f>
        <v>3313.9505154844383</v>
      </c>
      <c r="J340" s="42">
        <v>0</v>
      </c>
      <c r="K340" s="40">
        <f t="shared" si="156"/>
        <v>5430.4085592714482</v>
      </c>
      <c r="L340" s="40">
        <f t="shared" si="157"/>
        <v>3313.9505154844383</v>
      </c>
      <c r="M340" s="40">
        <f t="shared" si="158"/>
        <v>5430.4085592714482</v>
      </c>
      <c r="N340" s="40">
        <f t="shared" si="159"/>
        <v>2782.9858749308337</v>
      </c>
      <c r="O340" s="40">
        <f t="shared" si="160"/>
        <v>1426.2297754450396</v>
      </c>
      <c r="P340" s="41">
        <f t="shared" si="161"/>
        <v>0.95</v>
      </c>
      <c r="Q340" s="41">
        <f t="shared" si="162"/>
        <v>0.59375907037607834</v>
      </c>
      <c r="R340" s="64">
        <f t="shared" si="163"/>
        <v>0</v>
      </c>
      <c r="S340" s="64">
        <f>APPLICANTS_PER_YEAR*($H340/Segments!$AH$2)*Q340</f>
        <v>3.5625544222564702</v>
      </c>
      <c r="T340" s="64">
        <f t="shared" si="164"/>
        <v>3.5625544222564702</v>
      </c>
      <c r="U340" s="40">
        <f t="shared" si="165"/>
        <v>1426.2297754450396</v>
      </c>
      <c r="V340" s="65">
        <f t="shared" si="166"/>
        <v>5081.0211936655787</v>
      </c>
      <c r="W340" s="65">
        <f t="shared" si="167"/>
        <v>13222.86455176758</v>
      </c>
      <c r="X340" s="65">
        <f t="shared" si="168"/>
        <v>1298.4636963826308</v>
      </c>
      <c r="Y340" s="40">
        <f t="shared" si="169"/>
        <v>5592.0708160495924</v>
      </c>
      <c r="Z340" s="40">
        <f t="shared" si="170"/>
        <v>3413.3690309489716</v>
      </c>
      <c r="AA340" s="40">
        <f t="shared" si="171"/>
        <v>5592.0708160495924</v>
      </c>
      <c r="AB340" s="40">
        <f t="shared" si="172"/>
        <v>2866.1551321194365</v>
      </c>
      <c r="AC340" s="40">
        <f t="shared" si="173"/>
        <v>1469.0166687083909</v>
      </c>
      <c r="AD340" s="41">
        <f t="shared" si="174"/>
        <v>0.95</v>
      </c>
      <c r="AE340" s="41">
        <f t="shared" si="175"/>
        <v>0.59373043310776819</v>
      </c>
      <c r="AF340" s="64">
        <f t="shared" si="176"/>
        <v>0</v>
      </c>
      <c r="AG340" s="64">
        <f>APPLICANTS_PER_YEAR*($H340/Segments!$AH$2)*AE340</f>
        <v>3.5623825986466091</v>
      </c>
      <c r="AH340" s="64">
        <f t="shared" si="177"/>
        <v>3.5623825986466091</v>
      </c>
      <c r="AI340" s="40">
        <f t="shared" si="178"/>
        <v>1469.0166687083909</v>
      </c>
      <c r="AJ340" s="65">
        <f t="shared" si="179"/>
        <v>5233.1994177285824</v>
      </c>
      <c r="AK340" s="65">
        <f t="shared" si="180"/>
        <v>13618.893611245279</v>
      </c>
      <c r="AL340" s="65">
        <f t="shared" si="181"/>
        <v>1332.5438865102999</v>
      </c>
      <c r="AM340" s="40">
        <f t="shared" si="182"/>
        <v>5758.5829405310797</v>
      </c>
      <c r="AN340" s="40">
        <f t="shared" si="183"/>
        <v>3515.7701018774405</v>
      </c>
      <c r="AO340" s="40">
        <f t="shared" si="184"/>
        <v>5758.5829405310797</v>
      </c>
      <c r="AP340" s="40">
        <f t="shared" si="185"/>
        <v>2951.8194317426219</v>
      </c>
      <c r="AQ340" s="40">
        <f t="shared" si="186"/>
        <v>1513.0871687696424</v>
      </c>
      <c r="AR340" s="41">
        <f t="shared" si="187"/>
        <v>0.95</v>
      </c>
      <c r="AS340" s="41">
        <f t="shared" si="188"/>
        <v>0.59370262074662472</v>
      </c>
      <c r="AT340" s="64">
        <f t="shared" si="189"/>
        <v>0</v>
      </c>
      <c r="AU340" s="64">
        <f>APPLICANTS_PER_YEAR*($H340/Segments!$AH$2)*AS340</f>
        <v>3.5622157244797483</v>
      </c>
      <c r="AV340" s="64">
        <f t="shared" si="190"/>
        <v>3.5622157244797483</v>
      </c>
      <c r="AW340" s="40">
        <f t="shared" si="191"/>
        <v>1513.0871687696424</v>
      </c>
      <c r="AX340" s="65">
        <f t="shared" si="192"/>
        <v>5389.9429050997633</v>
      </c>
      <c r="AY340" s="65">
        <f t="shared" si="193"/>
        <v>14026.803325431218</v>
      </c>
      <c r="AZ340" s="65">
        <f t="shared" si="194"/>
        <v>1367.6469183439356</v>
      </c>
    </row>
    <row r="341" spans="1:52" ht="15" customHeight="1" x14ac:dyDescent="0.35">
      <c r="A341" s="61" t="str">
        <f>Segments!$A$321</f>
        <v>Greek</v>
      </c>
      <c r="B341" s="61" t="str">
        <f>Segments!$B$321</f>
        <v>Off 1-3mi</v>
      </c>
      <c r="C341" s="61" t="str">
        <f>Segments!$C$321</f>
        <v>No</v>
      </c>
      <c r="D341" s="61" t="str">
        <f>Segments!$D$321</f>
        <v>3.0+</v>
      </c>
      <c r="E341" s="61" t="str">
        <f>Segments!$E$321</f>
        <v>Sophomore</v>
      </c>
      <c r="F341" s="61">
        <f>Segments!$F$321</f>
        <v>1</v>
      </c>
      <c r="G341" s="61" t="str">
        <f>Segments!$G$321</f>
        <v>Sophomore</v>
      </c>
      <c r="H341" s="62">
        <f>Segments!$H$321</f>
        <v>3</v>
      </c>
      <c r="I341" s="63">
        <f>Segments!$Y$321</f>
        <v>3280.2351876330426</v>
      </c>
      <c r="J341" s="42">
        <v>1</v>
      </c>
      <c r="K341" s="40">
        <f t="shared" si="156"/>
        <v>1426.2297754450396</v>
      </c>
      <c r="L341" s="40">
        <f t="shared" si="157"/>
        <v>3280.2351876330426</v>
      </c>
      <c r="M341" s="40">
        <f t="shared" si="158"/>
        <v>5375.5848077498713</v>
      </c>
      <c r="N341" s="40">
        <f t="shared" si="159"/>
        <v>2768.9021494525346</v>
      </c>
      <c r="O341" s="40">
        <f t="shared" si="160"/>
        <v>1426.2297754450396</v>
      </c>
      <c r="P341" s="41">
        <f t="shared" si="161"/>
        <v>0.95</v>
      </c>
      <c r="Q341" s="41">
        <f t="shared" si="162"/>
        <v>0.59245572821577808</v>
      </c>
      <c r="R341" s="64">
        <f t="shared" si="163"/>
        <v>4.75</v>
      </c>
      <c r="S341" s="64">
        <f>APPLICANTS_PER_YEAR*($H341/Segments!$AH$2)*Q341</f>
        <v>2.132840621576801</v>
      </c>
      <c r="T341" s="64">
        <f t="shared" si="164"/>
        <v>6.8828406215768005</v>
      </c>
      <c r="U341" s="40">
        <f t="shared" si="165"/>
        <v>1426.2297754450396</v>
      </c>
      <c r="V341" s="65">
        <f t="shared" si="166"/>
        <v>9816.5122341354781</v>
      </c>
      <c r="W341" s="65">
        <f t="shared" si="167"/>
        <v>25286.616317498265</v>
      </c>
      <c r="X341" s="65">
        <f t="shared" si="168"/>
        <v>2152.7658682495653</v>
      </c>
      <c r="Y341" s="40">
        <f t="shared" si="169"/>
        <v>1426.2297754450396</v>
      </c>
      <c r="Z341" s="40">
        <f t="shared" si="170"/>
        <v>3378.6422432620338</v>
      </c>
      <c r="AA341" s="40">
        <f t="shared" si="171"/>
        <v>5535.6023519823675</v>
      </c>
      <c r="AB341" s="40">
        <f t="shared" si="172"/>
        <v>2851.6472654245772</v>
      </c>
      <c r="AC341" s="40">
        <f t="shared" si="173"/>
        <v>1469.0166687083909</v>
      </c>
      <c r="AD341" s="41">
        <f t="shared" si="174"/>
        <v>0.95</v>
      </c>
      <c r="AE341" s="41">
        <f t="shared" si="175"/>
        <v>0.59242665169009401</v>
      </c>
      <c r="AF341" s="64">
        <f t="shared" si="176"/>
        <v>3.3844267011436466</v>
      </c>
      <c r="AG341" s="64">
        <f>APPLICANTS_PER_YEAR*($H341/Segments!$AH$2)*AE341</f>
        <v>2.1327359460843383</v>
      </c>
      <c r="AH341" s="64">
        <f t="shared" si="177"/>
        <v>5.5171626472279849</v>
      </c>
      <c r="AI341" s="40">
        <f t="shared" si="178"/>
        <v>1469.0166687083909</v>
      </c>
      <c r="AJ341" s="65">
        <f t="shared" si="179"/>
        <v>8104.8038927532216</v>
      </c>
      <c r="AK341" s="65">
        <f t="shared" si="180"/>
        <v>20877.381036816485</v>
      </c>
      <c r="AL341" s="65">
        <f t="shared" si="181"/>
        <v>1805.1254502433278</v>
      </c>
      <c r="AM341" s="40">
        <f t="shared" si="182"/>
        <v>1469.0166687083909</v>
      </c>
      <c r="AN341" s="40">
        <f t="shared" si="183"/>
        <v>3480.001510559895</v>
      </c>
      <c r="AO341" s="40">
        <f t="shared" si="184"/>
        <v>5700.4204225418389</v>
      </c>
      <c r="AP341" s="40">
        <f t="shared" si="185"/>
        <v>2936.8746990534823</v>
      </c>
      <c r="AQ341" s="40">
        <f t="shared" si="186"/>
        <v>1513.0871687696424</v>
      </c>
      <c r="AR341" s="41">
        <f t="shared" si="187"/>
        <v>0.95</v>
      </c>
      <c r="AS341" s="41">
        <f t="shared" si="188"/>
        <v>0.59239841262936899</v>
      </c>
      <c r="AT341" s="64">
        <f t="shared" si="189"/>
        <v>3.3842634687142783</v>
      </c>
      <c r="AU341" s="64">
        <f>APPLICANTS_PER_YEAR*($H341/Segments!$AH$2)*AS341</f>
        <v>2.1326342854657283</v>
      </c>
      <c r="AV341" s="64">
        <f t="shared" si="190"/>
        <v>5.5168977541800066</v>
      </c>
      <c r="AW341" s="40">
        <f t="shared" si="191"/>
        <v>1513.0871687696424</v>
      </c>
      <c r="AX341" s="65">
        <f t="shared" si="192"/>
        <v>8347.5472032638245</v>
      </c>
      <c r="AY341" s="65">
        <f t="shared" si="193"/>
        <v>21502.670020329027</v>
      </c>
      <c r="AZ341" s="65">
        <f t="shared" si="194"/>
        <v>1854.2803886926804</v>
      </c>
    </row>
    <row r="342" spans="1:52" ht="15" customHeight="1" x14ac:dyDescent="0.35">
      <c r="A342" s="61" t="str">
        <f>Segments!$A$322</f>
        <v>Greek</v>
      </c>
      <c r="B342" s="61" t="str">
        <f>Segments!$B$322</f>
        <v>Off 1-3mi</v>
      </c>
      <c r="C342" s="61" t="str">
        <f>Segments!$C$322</f>
        <v>No</v>
      </c>
      <c r="D342" s="61" t="str">
        <f>Segments!$D$322</f>
        <v>3.0+</v>
      </c>
      <c r="E342" s="61" t="str">
        <f>Segments!$E$322</f>
        <v>Junior</v>
      </c>
      <c r="F342" s="61">
        <f>Segments!$F$322</f>
        <v>2</v>
      </c>
      <c r="G342" s="61" t="str">
        <f>Segments!$G$322</f>
        <v>Base</v>
      </c>
      <c r="H342" s="62">
        <f>Segments!$H$322</f>
        <v>0</v>
      </c>
      <c r="I342" s="63">
        <f>Segments!$Y$322</f>
        <v>3921.277195697865</v>
      </c>
      <c r="J342" s="42">
        <v>2</v>
      </c>
      <c r="K342" s="40">
        <f t="shared" si="156"/>
        <v>1426.2297754450396</v>
      </c>
      <c r="L342" s="40">
        <f t="shared" si="157"/>
        <v>3921.277195697865</v>
      </c>
      <c r="M342" s="40">
        <f t="shared" si="158"/>
        <v>6417.9690882747818</v>
      </c>
      <c r="N342" s="40">
        <f t="shared" si="159"/>
        <v>3025.4749398372728</v>
      </c>
      <c r="O342" s="40">
        <f t="shared" si="160"/>
        <v>1426.2297754450396</v>
      </c>
      <c r="P342" s="41">
        <f t="shared" si="161"/>
        <v>0.95</v>
      </c>
      <c r="Q342" s="41">
        <f t="shared" si="162"/>
        <v>0.61429654784683985</v>
      </c>
      <c r="R342" s="64">
        <f t="shared" si="163"/>
        <v>2.8499999999999996</v>
      </c>
      <c r="S342" s="64">
        <f>APPLICANTS_PER_YEAR*($H342/Segments!$AH$2)*Q342</f>
        <v>0</v>
      </c>
      <c r="T342" s="64">
        <f t="shared" si="164"/>
        <v>2.8499999999999996</v>
      </c>
      <c r="U342" s="40">
        <f t="shared" si="165"/>
        <v>1426.2297754450396</v>
      </c>
      <c r="V342" s="65">
        <f t="shared" si="166"/>
        <v>4064.7548600183627</v>
      </c>
      <c r="W342" s="65">
        <f t="shared" si="167"/>
        <v>12516.716808667585</v>
      </c>
      <c r="X342" s="65">
        <f t="shared" si="168"/>
        <v>825.23866854347057</v>
      </c>
      <c r="Y342" s="40">
        <f t="shared" si="169"/>
        <v>1426.2297754450396</v>
      </c>
      <c r="Z342" s="40">
        <f t="shared" si="170"/>
        <v>4038.9155115688009</v>
      </c>
      <c r="AA342" s="40">
        <f t="shared" si="171"/>
        <v>6609.2581609230247</v>
      </c>
      <c r="AB342" s="40">
        <f t="shared" si="172"/>
        <v>3115.9445447878056</v>
      </c>
      <c r="AC342" s="40">
        <f t="shared" si="173"/>
        <v>1469.0166687083909</v>
      </c>
      <c r="AD342" s="41">
        <f t="shared" si="174"/>
        <v>0.95</v>
      </c>
      <c r="AE342" s="41">
        <f t="shared" si="175"/>
        <v>0.61427425976407579</v>
      </c>
      <c r="AF342" s="64">
        <f t="shared" si="176"/>
        <v>6.53869859049796</v>
      </c>
      <c r="AG342" s="64">
        <f>APPLICANTS_PER_YEAR*($H342/Segments!$AH$2)*AE342</f>
        <v>0</v>
      </c>
      <c r="AH342" s="64">
        <f t="shared" si="177"/>
        <v>6.53869859049796</v>
      </c>
      <c r="AI342" s="40">
        <f t="shared" si="178"/>
        <v>1469.0166687083909</v>
      </c>
      <c r="AJ342" s="65">
        <f t="shared" si="179"/>
        <v>9605.4572211015638</v>
      </c>
      <c r="AK342" s="65">
        <f t="shared" si="180"/>
        <v>29578.361302151498</v>
      </c>
      <c r="AL342" s="65">
        <f t="shared" si="181"/>
        <v>1946.2053865981547</v>
      </c>
      <c r="AM342" s="40">
        <f t="shared" si="182"/>
        <v>1469.0166687083909</v>
      </c>
      <c r="AN342" s="40">
        <f t="shared" si="183"/>
        <v>4160.0829769158645</v>
      </c>
      <c r="AO342" s="40">
        <f t="shared" si="184"/>
        <v>6806.2859057507148</v>
      </c>
      <c r="AP342" s="40">
        <f t="shared" si="185"/>
        <v>3209.1282104286629</v>
      </c>
      <c r="AQ342" s="40">
        <f t="shared" si="186"/>
        <v>1513.0871687696424</v>
      </c>
      <c r="AR342" s="41">
        <f t="shared" si="187"/>
        <v>0.95</v>
      </c>
      <c r="AS342" s="41">
        <f t="shared" si="188"/>
        <v>0.61425261479853277</v>
      </c>
      <c r="AT342" s="64">
        <f t="shared" si="189"/>
        <v>5.2413045148665853</v>
      </c>
      <c r="AU342" s="64">
        <f>APPLICANTS_PER_YEAR*($H342/Segments!$AH$2)*AS342</f>
        <v>0</v>
      </c>
      <c r="AV342" s="64">
        <f t="shared" si="190"/>
        <v>5.2413045148665853</v>
      </c>
      <c r="AW342" s="40">
        <f t="shared" si="191"/>
        <v>1513.0871687696424</v>
      </c>
      <c r="AX342" s="65">
        <f t="shared" si="192"/>
        <v>7930.5506090590261</v>
      </c>
      <c r="AY342" s="65">
        <f t="shared" si="193"/>
        <v>24420.773091824194</v>
      </c>
      <c r="AZ342" s="65">
        <f t="shared" si="194"/>
        <v>1603.7001554094877</v>
      </c>
    </row>
    <row r="343" spans="1:52" ht="15" customHeight="1" x14ac:dyDescent="0.35">
      <c r="A343" s="61" t="str">
        <f>Segments!$A$323</f>
        <v>Greek</v>
      </c>
      <c r="B343" s="61" t="str">
        <f>Segments!$B$323</f>
        <v>Off 1-3mi</v>
      </c>
      <c r="C343" s="61" t="str">
        <f>Segments!$C$323</f>
        <v>No</v>
      </c>
      <c r="D343" s="61" t="str">
        <f>Segments!$D$323</f>
        <v>3.0+</v>
      </c>
      <c r="E343" s="61" t="str">
        <f>Segments!$E$323</f>
        <v>Senior</v>
      </c>
      <c r="F343" s="61">
        <f>Segments!$F$323</f>
        <v>3</v>
      </c>
      <c r="G343" s="61" t="str">
        <f>Segments!$G$323</f>
        <v>Base</v>
      </c>
      <c r="H343" s="62">
        <f>Segments!$H$323</f>
        <v>2</v>
      </c>
      <c r="I343" s="63">
        <f>Segments!$Y$323</f>
        <v>3665.1686080836544</v>
      </c>
      <c r="J343" s="42">
        <v>3</v>
      </c>
      <c r="K343" s="40">
        <f t="shared" si="156"/>
        <v>1426.2297754450396</v>
      </c>
      <c r="L343" s="40">
        <f t="shared" si="157"/>
        <v>3665.1686080836544</v>
      </c>
      <c r="M343" s="40">
        <f t="shared" si="158"/>
        <v>6001.516558677853</v>
      </c>
      <c r="N343" s="40">
        <f t="shared" si="159"/>
        <v>2925.6694300301256</v>
      </c>
      <c r="O343" s="40">
        <f t="shared" si="160"/>
        <v>1426.2297754450396</v>
      </c>
      <c r="P343" s="41">
        <f t="shared" si="161"/>
        <v>0.95</v>
      </c>
      <c r="Q343" s="41">
        <f t="shared" si="162"/>
        <v>0.60625582288865187</v>
      </c>
      <c r="R343" s="64">
        <f t="shared" si="163"/>
        <v>0</v>
      </c>
      <c r="S343" s="64">
        <f>APPLICANTS_PER_YEAR*($H343/Segments!$AH$2)*Q343</f>
        <v>1.4550139749327644</v>
      </c>
      <c r="T343" s="64">
        <f t="shared" si="164"/>
        <v>1.4550139749327644</v>
      </c>
      <c r="U343" s="40">
        <f t="shared" si="165"/>
        <v>1426.2297754450394</v>
      </c>
      <c r="V343" s="65">
        <f t="shared" si="166"/>
        <v>2075.184254737751</v>
      </c>
      <c r="W343" s="65">
        <f t="shared" si="167"/>
        <v>5972.8161306761758</v>
      </c>
      <c r="X343" s="65">
        <f t="shared" si="168"/>
        <v>530.31690193323061</v>
      </c>
      <c r="Y343" s="40">
        <f t="shared" si="169"/>
        <v>1426.2297754450396</v>
      </c>
      <c r="Z343" s="40">
        <f t="shared" si="170"/>
        <v>3775.1236663261643</v>
      </c>
      <c r="AA343" s="40">
        <f t="shared" si="171"/>
        <v>6180.3120554381894</v>
      </c>
      <c r="AB343" s="40">
        <f t="shared" si="172"/>
        <v>3013.1348173054116</v>
      </c>
      <c r="AC343" s="40">
        <f t="shared" si="173"/>
        <v>1469.0166687083909</v>
      </c>
      <c r="AD343" s="41">
        <f t="shared" si="174"/>
        <v>0.95</v>
      </c>
      <c r="AE343" s="41">
        <f t="shared" si="175"/>
        <v>0.60623117487618683</v>
      </c>
      <c r="AF343" s="64">
        <f t="shared" si="176"/>
        <v>2.7074999999999996</v>
      </c>
      <c r="AG343" s="64">
        <f>APPLICANTS_PER_YEAR*($H343/Segments!$AH$2)*AE343</f>
        <v>1.4549548197028483</v>
      </c>
      <c r="AH343" s="64">
        <f t="shared" si="177"/>
        <v>4.1624548197028481</v>
      </c>
      <c r="AI343" s="40">
        <f t="shared" si="178"/>
        <v>1469.0166687083909</v>
      </c>
      <c r="AJ343" s="65">
        <f t="shared" si="179"/>
        <v>6114.7155128890636</v>
      </c>
      <c r="AK343" s="65">
        <f t="shared" si="180"/>
        <v>17599.435503858465</v>
      </c>
      <c r="AL343" s="65">
        <f t="shared" si="181"/>
        <v>1350.1115497052997</v>
      </c>
      <c r="AM343" s="40">
        <f t="shared" si="182"/>
        <v>1469.0166687083909</v>
      </c>
      <c r="AN343" s="40">
        <f t="shared" si="183"/>
        <v>3888.3773763159488</v>
      </c>
      <c r="AO343" s="40">
        <f t="shared" si="184"/>
        <v>6364.4714171013347</v>
      </c>
      <c r="AP343" s="40">
        <f t="shared" si="185"/>
        <v>3103.2241358331135</v>
      </c>
      <c r="AQ343" s="40">
        <f t="shared" si="186"/>
        <v>1513.0871687696424</v>
      </c>
      <c r="AR343" s="41">
        <f t="shared" si="187"/>
        <v>0.95</v>
      </c>
      <c r="AS343" s="41">
        <f t="shared" si="188"/>
        <v>0.60620723761169315</v>
      </c>
      <c r="AT343" s="64">
        <f t="shared" si="189"/>
        <v>6.2117636609730615</v>
      </c>
      <c r="AU343" s="64">
        <f>APPLICANTS_PER_YEAR*($H343/Segments!$AH$2)*AS343</f>
        <v>1.4548973702680634</v>
      </c>
      <c r="AV343" s="64">
        <f t="shared" si="190"/>
        <v>7.6666610312411247</v>
      </c>
      <c r="AW343" s="40">
        <f t="shared" si="191"/>
        <v>1513.0871687696422</v>
      </c>
      <c r="AX343" s="65">
        <f t="shared" si="192"/>
        <v>11600.326433677179</v>
      </c>
      <c r="AY343" s="65">
        <f t="shared" si="193"/>
        <v>33388.175862452423</v>
      </c>
      <c r="AZ343" s="65">
        <f t="shared" si="194"/>
        <v>2459.2158798455366</v>
      </c>
    </row>
    <row r="344" spans="1:52" ht="15" customHeight="1" x14ac:dyDescent="0.35">
      <c r="A344" s="61" t="str">
        <f>Segments!$A$324</f>
        <v>Greek</v>
      </c>
      <c r="B344" s="61" t="str">
        <f>Segments!$B$324</f>
        <v>Off 1-3mi</v>
      </c>
      <c r="C344" s="61" t="str">
        <f>Segments!$C$324</f>
        <v>No</v>
      </c>
      <c r="D344" s="61" t="str">
        <f>Segments!$D$324</f>
        <v>3.0+</v>
      </c>
      <c r="E344" s="61" t="str">
        <f>Segments!$E$324</f>
        <v>Grad student</v>
      </c>
      <c r="F344" s="61">
        <f>Segments!$F$324</f>
        <v>3</v>
      </c>
      <c r="G344" s="61" t="str">
        <f>Segments!$G$324</f>
        <v>Grad</v>
      </c>
      <c r="H344" s="62">
        <f>Segments!$H$324</f>
        <v>3</v>
      </c>
      <c r="I344" s="63">
        <f>Segments!$Y$324</f>
        <v>4364.0445232128832</v>
      </c>
      <c r="J344" s="42">
        <v>4</v>
      </c>
      <c r="K344" s="40">
        <f t="shared" si="156"/>
        <v>1426.2297754450396</v>
      </c>
      <c r="L344" s="40">
        <f t="shared" si="157"/>
        <v>4364.0445232128832</v>
      </c>
      <c r="M344" s="40">
        <f t="shared" si="158"/>
        <v>7137.9432808007241</v>
      </c>
      <c r="N344" s="40">
        <f t="shared" si="159"/>
        <v>3190.6656425448036</v>
      </c>
      <c r="O344" s="40">
        <f t="shared" si="160"/>
        <v>1426.2297754450396</v>
      </c>
      <c r="P344" s="41">
        <f t="shared" si="161"/>
        <v>0.95</v>
      </c>
      <c r="Q344" s="41">
        <f t="shared" si="162"/>
        <v>0.62649965003736474</v>
      </c>
      <c r="R344" s="64">
        <f t="shared" si="163"/>
        <v>1.4249999999999998</v>
      </c>
      <c r="S344" s="64">
        <f>APPLICANTS_PER_YEAR*($H344/Segments!$AH$2)*Q344</f>
        <v>2.2553987401345128</v>
      </c>
      <c r="T344" s="64">
        <f t="shared" si="164"/>
        <v>3.6803987401345126</v>
      </c>
      <c r="U344" s="40">
        <f t="shared" si="165"/>
        <v>1426.2297754450396</v>
      </c>
      <c r="V344" s="65">
        <f t="shared" si="166"/>
        <v>5249.0942686902526</v>
      </c>
      <c r="W344" s="65">
        <f t="shared" si="167"/>
        <v>17988.794840938452</v>
      </c>
      <c r="X344" s="65">
        <f t="shared" si="168"/>
        <v>1234.6568494423484</v>
      </c>
      <c r="Y344" s="40">
        <f t="shared" si="169"/>
        <v>1426.2297754450396</v>
      </c>
      <c r="Z344" s="40">
        <f t="shared" si="170"/>
        <v>4494.9658589092696</v>
      </c>
      <c r="AA344" s="40">
        <f t="shared" si="171"/>
        <v>7350.8315792247458</v>
      </c>
      <c r="AB344" s="40">
        <f t="shared" si="172"/>
        <v>3286.1062245078406</v>
      </c>
      <c r="AC344" s="40">
        <f t="shared" si="173"/>
        <v>1469.0166687083909</v>
      </c>
      <c r="AD344" s="41">
        <f t="shared" si="174"/>
        <v>0.95</v>
      </c>
      <c r="AE344" s="41">
        <f t="shared" si="175"/>
        <v>0.626480647863353</v>
      </c>
      <c r="AF344" s="64">
        <f t="shared" si="176"/>
        <v>1.7481894015638935</v>
      </c>
      <c r="AG344" s="64">
        <f>APPLICANTS_PER_YEAR*($H344/Segments!$AH$2)*AE344</f>
        <v>2.2553303323080707</v>
      </c>
      <c r="AH344" s="64">
        <f t="shared" si="177"/>
        <v>4.0035197338719639</v>
      </c>
      <c r="AI344" s="40">
        <f t="shared" si="178"/>
        <v>1469.0166687083909</v>
      </c>
      <c r="AJ344" s="65">
        <f t="shared" si="179"/>
        <v>5881.237222560896</v>
      </c>
      <c r="AK344" s="65">
        <f t="shared" si="180"/>
        <v>20155.166661530886</v>
      </c>
      <c r="AL344" s="65">
        <f t="shared" si="181"/>
        <v>1363.9666128552969</v>
      </c>
      <c r="AM344" s="40">
        <f t="shared" si="182"/>
        <v>1469.0166687083909</v>
      </c>
      <c r="AN344" s="40">
        <f t="shared" si="183"/>
        <v>4629.8148346765474</v>
      </c>
      <c r="AO344" s="40">
        <f t="shared" si="184"/>
        <v>7570.1065266014875</v>
      </c>
      <c r="AP344" s="40">
        <f t="shared" si="185"/>
        <v>3384.4100005200371</v>
      </c>
      <c r="AQ344" s="40">
        <f t="shared" si="186"/>
        <v>1513.0871687696424</v>
      </c>
      <c r="AR344" s="41">
        <f t="shared" si="187"/>
        <v>0.95</v>
      </c>
      <c r="AS344" s="41">
        <f t="shared" si="188"/>
        <v>0.62646219451290674</v>
      </c>
      <c r="AT344" s="64">
        <f t="shared" si="189"/>
        <v>1.9016718735891827</v>
      </c>
      <c r="AU344" s="64">
        <f>APPLICANTS_PER_YEAR*($H344/Segments!$AH$2)*AS344</f>
        <v>2.2552639002464638</v>
      </c>
      <c r="AV344" s="64">
        <f t="shared" si="190"/>
        <v>4.1569357738356469</v>
      </c>
      <c r="AW344" s="40">
        <f t="shared" si="191"/>
        <v>1513.0871687696424</v>
      </c>
      <c r="AX344" s="65">
        <f t="shared" si="192"/>
        <v>6289.8061807902213</v>
      </c>
      <c r="AY344" s="65">
        <f t="shared" si="193"/>
        <v>21555.344062002143</v>
      </c>
      <c r="AZ344" s="65">
        <f t="shared" si="194"/>
        <v>1447.7280615900572</v>
      </c>
    </row>
    <row r="345" spans="1:52" ht="15" customHeight="1" x14ac:dyDescent="0.35">
      <c r="A345" s="59" t="str">
        <f>Segments!$A$325</f>
        <v>Greek</v>
      </c>
      <c r="B345" s="59" t="str">
        <f>Segments!$B$325</f>
        <v>Off 3-6mi</v>
      </c>
      <c r="C345" s="59" t="str">
        <f>Segments!$C$325</f>
        <v>Yes</v>
      </c>
      <c r="D345" s="59" t="str">
        <f>Segments!$D$325</f>
        <v>&lt;1.0</v>
      </c>
      <c r="E345" s="59" t="str">
        <f>Segments!$E$325</f>
        <v>Freshman</v>
      </c>
      <c r="F345" s="59">
        <f>Segments!$F$325</f>
        <v>1</v>
      </c>
      <c r="G345" s="59" t="str">
        <f>Segments!$G$325</f>
        <v>Base</v>
      </c>
      <c r="H345" s="60">
        <f>Segments!$H$325</f>
        <v>3</v>
      </c>
      <c r="I345" s="26">
        <f>Segments!$Y$325</f>
        <v>3157.9631601041087</v>
      </c>
      <c r="J345" s="29">
        <v>0</v>
      </c>
      <c r="K345" s="14">
        <f t="shared" ref="K345:K408" si="195">IF($J345=0,M345,CURRENT_FLAT)</f>
        <v>5176.7609587031775</v>
      </c>
      <c r="L345" s="14">
        <f t="shared" ref="L345:L408" si="196">$I345*(1+LOSS_TREND)^0</f>
        <v>3157.9631601041087</v>
      </c>
      <c r="M345" s="14">
        <f t="shared" ref="M345:M408" si="197">L345*GROSS_MULT+POLICY_FEE</f>
        <v>5176.7609587031775</v>
      </c>
      <c r="N345" s="14">
        <f t="shared" ref="N345:N408" si="198">M345^MARKET_RISK_WEIGHT*(CURRENT_FLAT*(1+LOSS_TREND)^0)^(1-MARKET_RISK_WEIGHT)</f>
        <v>2717.213760392046</v>
      </c>
      <c r="O345" s="14">
        <f t="shared" ref="O345:O408" si="199">CURRENT_FLAT*(1+LOSS_TREND)^0</f>
        <v>1426.2297754450396</v>
      </c>
      <c r="P345" s="33">
        <f t="shared" ref="P345:P408" si="200">MEDIAN(RET_FLOOR,BASE_RETENTION-ELAST_MARKET*(O345/N345-1)-ELAST_INCREASE*MAX(O345/K345-1,0),RET_CEIL)</f>
        <v>0.95</v>
      </c>
      <c r="Q345" s="33">
        <f t="shared" ref="Q345:Q408" si="201">MEDIAN(CONV_FLOOR,BASE_CONVERSION-ELAST_MARKET*(CURRENT_FLAT*(1+LOSS_TREND)^0/N345-1),CONV_CEIL)</f>
        <v>0.58755657426833063</v>
      </c>
      <c r="R345" s="51">
        <f t="shared" ref="R345:R408" si="202">IF($J345=0,0,IF($J345=4,$H345*GRAD_CONTINUE,$H344)*P345)</f>
        <v>0</v>
      </c>
      <c r="S345" s="51">
        <f>APPLICANTS_PER_YEAR*($H345/Segments!$AH$2)*Q345</f>
        <v>2.1152036673659902</v>
      </c>
      <c r="T345" s="51">
        <f t="shared" ref="T345:T408" si="203">R345+S345</f>
        <v>2.1152036673659902</v>
      </c>
      <c r="U345" s="14">
        <f t="shared" ref="U345:U408" si="204">IFERROR((R345*O345+S345*CURRENT_FLAT*(1+LOSS_TREND)^0)/T345,M345)</f>
        <v>1426.2297754450396</v>
      </c>
      <c r="V345" s="44">
        <f t="shared" ref="V345:V408" si="205">R345*O345+S345*CURRENT_FLAT*(1+LOSS_TREND)^0</f>
        <v>3016.7664515279207</v>
      </c>
      <c r="W345" s="44">
        <f t="shared" ref="W345:W408" si="206">T345*L345*(1+LAE_RATIO)</f>
        <v>7481.3034885779716</v>
      </c>
      <c r="X345" s="44">
        <f t="shared" ref="X345:X408" si="207">R345*O345*(PREMIUM_TAX+OTHER_VARIABLE+COMMISSION_RN)+S345*CURRENT_FLAT*(1+LOSS_TREND)^0*(PREMIUM_TAX+OTHER_VARIABLE+COMMISSION_NB)+T345*FIXED_PER_POLICY+S345*NB_ACQUISITION</f>
        <v>770.93985017372381</v>
      </c>
      <c r="Y345" s="14">
        <f t="shared" ref="Y345:Y408" si="208">IF($J345=0,AA345,IF($J345=4,U345,U344))</f>
        <v>5330.8137874642734</v>
      </c>
      <c r="Z345" s="14">
        <f t="shared" ref="Z345:Z408" si="209">$I345*(1+LOSS_TREND)^1</f>
        <v>3252.7020549072322</v>
      </c>
      <c r="AA345" s="14">
        <f t="shared" ref="AA345:AA408" si="210">Z345*GROSS_MULT+POLICY_FEE</f>
        <v>5330.8137874642734</v>
      </c>
      <c r="AB345" s="14">
        <f t="shared" ref="AB345:AB408" si="211">AA345^MARKET_RISK_WEIGHT*(CURRENT_FLAT*(1+LOSS_TREND)^1)^(1-MARKET_RISK_WEIGHT)</f>
        <v>2798.4020996928807</v>
      </c>
      <c r="AC345" s="14">
        <f t="shared" ref="AC345:AC408" si="212">CURRENT_FLAT*(1+LOSS_TREND)^1</f>
        <v>1469.0166687083909</v>
      </c>
      <c r="AD345" s="33">
        <f t="shared" ref="AD345:AD408" si="213">MEDIAN(RET_FLOOR,BASE_RETENTION-ELAST_MARKET*(AC345/AB345-1)-ELAST_INCREASE*MAX(AC345/Y345-1,0),RET_CEIL)</f>
        <v>0.95</v>
      </c>
      <c r="AE345" s="33">
        <f t="shared" ref="AE345:AE408" si="214">MEDIAN(CONV_FLOOR,BASE_CONVERSION-ELAST_MARKET*(CURRENT_FLAT*(1+LOSS_TREND)^1/AB345-1),CONV_CEIL)</f>
        <v>0.58752580644689822</v>
      </c>
      <c r="AF345" s="51">
        <f t="shared" ref="AF345:AF408" si="215">IF($J345=0,0,IF($J345=4,T345*GRAD_CONTINUE,T344)*AD345)</f>
        <v>0</v>
      </c>
      <c r="AG345" s="51">
        <f>APPLICANTS_PER_YEAR*($H345/Segments!$AH$2)*AE345</f>
        <v>2.1150929032088333</v>
      </c>
      <c r="AH345" s="51">
        <f t="shared" ref="AH345:AH408" si="216">AF345+AG345</f>
        <v>2.1150929032088333</v>
      </c>
      <c r="AI345" s="14">
        <f t="shared" ref="AI345:AI408" si="217">IFERROR((AF345*AC345+AG345*CURRENT_FLAT*(1+LOSS_TREND)^1)/AH345,AA345)</f>
        <v>1469.0166687083909</v>
      </c>
      <c r="AJ345" s="44">
        <f t="shared" ref="AJ345:AJ408" si="218">AF345*AC345+AG345*CURRENT_FLAT*(1+LOSS_TREND)^1</f>
        <v>3107.1067306805994</v>
      </c>
      <c r="AK345" s="44">
        <f t="shared" ref="AK345:AK408" si="219">AH345*Z345*(1+LAE_RATIO)</f>
        <v>7705.3390764975256</v>
      </c>
      <c r="AL345" s="44">
        <f t="shared" ref="AL345:AL408" si="220">AF345*AC345*(PREMIUM_TAX+OTHER_VARIABLE+COMMISSION_RN)+AG345*CURRENT_FLAT*(1+LOSS_TREND)^1*(PREMIUM_TAX+OTHER_VARIABLE+COMMISSION_NB)+AH345*FIXED_PER_POLICY+AG345*NB_ACQUISITION</f>
        <v>791.17108831685186</v>
      </c>
      <c r="AM345" s="14">
        <f t="shared" ref="AM345:AM408" si="221">IF($J345=0,AO345,IF($J345=4,AI345,AI344))</f>
        <v>5489.4882010882011</v>
      </c>
      <c r="AN345" s="14">
        <f t="shared" ref="AN345:AN408" si="222">$I345*(1+LOSS_TREND)^2</f>
        <v>3350.283116554449</v>
      </c>
      <c r="AO345" s="14">
        <f t="shared" ref="AO345:AO408" si="223">AN345*GROSS_MULT+POLICY_FEE</f>
        <v>5489.4882010882011</v>
      </c>
      <c r="AP345" s="14">
        <f t="shared" ref="AP345:AP408" si="224">AO345^MARKET_RISK_WEIGHT*(CURRENT_FLAT*(1+LOSS_TREND)^2)^(1-MARKET_RISK_WEIGHT)</f>
        <v>2882.0260512665222</v>
      </c>
      <c r="AQ345" s="14">
        <f t="shared" ref="AQ345:AQ408" si="225">CURRENT_FLAT*(1+LOSS_TREND)^2</f>
        <v>1513.0871687696424</v>
      </c>
      <c r="AR345" s="33">
        <f t="shared" ref="AR345:AR408" si="226">MEDIAN(RET_FLOOR,BASE_RETENTION-ELAST_MARKET*(AQ345/AP345-1)-ELAST_INCREASE*MAX(AQ345/AM345-1,0),RET_CEIL)</f>
        <v>0.95</v>
      </c>
      <c r="AS345" s="33">
        <f t="shared" ref="AS345:AS408" si="227">MEDIAN(CONV_FLOOR,BASE_CONVERSION-ELAST_MARKET*(CURRENT_FLAT*(1+LOSS_TREND)^2/AP345-1),CONV_CEIL)</f>
        <v>0.5874959244201301</v>
      </c>
      <c r="AT345" s="51">
        <f t="shared" ref="AT345:AT408" si="228">IF($J345=0,0,IF($J345=4,AH345*GRAD_CONTINUE,AH344)*AR345)</f>
        <v>0</v>
      </c>
      <c r="AU345" s="51">
        <f>APPLICANTS_PER_YEAR*($H345/Segments!$AH$2)*AS345</f>
        <v>2.1149853279124682</v>
      </c>
      <c r="AV345" s="51">
        <f t="shared" ref="AV345:AV408" si="229">AT345+AU345</f>
        <v>2.1149853279124682</v>
      </c>
      <c r="AW345" s="14">
        <f t="shared" ref="AW345:AW408" si="230">IFERROR((AT345*AQ345+AU345*CURRENT_FLAT*(1+LOSS_TREND)^2)/AV345,AO345)</f>
        <v>1513.0871687696424</v>
      </c>
      <c r="AX345" s="44">
        <f t="shared" ref="AX345:AX408" si="231">AT345*AQ345+AU345*CURRENT_FLAT*(1+LOSS_TREND)^2</f>
        <v>3200.1571618004104</v>
      </c>
      <c r="AY345" s="44">
        <f t="shared" ref="AY345:AY408" si="232">AV345*AN345*(1+LAE_RATIO)</f>
        <v>7936.0955921693803</v>
      </c>
      <c r="AZ345" s="44">
        <f t="shared" ref="AZ345:AZ408" si="233">AT345*AQ345*(PREMIUM_TAX+OTHER_VARIABLE+COMMISSION_RN)+AU345*CURRENT_FLAT*(1+LOSS_TREND)^2*(PREMIUM_TAX+OTHER_VARIABLE+COMMISSION_NB)+AV345*FIXED_PER_POLICY+AU345*NB_ACQUISITION</f>
        <v>812.00954399935301</v>
      </c>
    </row>
    <row r="346" spans="1:52" ht="15" customHeight="1" x14ac:dyDescent="0.35">
      <c r="A346" s="59" t="str">
        <f>Segments!$A$326</f>
        <v>Greek</v>
      </c>
      <c r="B346" s="59" t="str">
        <f>Segments!$B$326</f>
        <v>Off 3-6mi</v>
      </c>
      <c r="C346" s="59" t="str">
        <f>Segments!$C$326</f>
        <v>Yes</v>
      </c>
      <c r="D346" s="59" t="str">
        <f>Segments!$D$326</f>
        <v>&lt;1.0</v>
      </c>
      <c r="E346" s="59" t="str">
        <f>Segments!$E$326</f>
        <v>Sophomore</v>
      </c>
      <c r="F346" s="59">
        <f>Segments!$F$326</f>
        <v>1</v>
      </c>
      <c r="G346" s="59" t="str">
        <f>Segments!$G$326</f>
        <v>Sophomore</v>
      </c>
      <c r="H346" s="60">
        <f>Segments!$H$326</f>
        <v>3</v>
      </c>
      <c r="I346" s="26">
        <f>Segments!$Y$326</f>
        <v>3125.8348097295175</v>
      </c>
      <c r="J346" s="29">
        <v>1</v>
      </c>
      <c r="K346" s="14">
        <f t="shared" si="195"/>
        <v>1426.2297754450396</v>
      </c>
      <c r="L346" s="14">
        <f t="shared" si="196"/>
        <v>3125.8348097295175</v>
      </c>
      <c r="M346" s="14">
        <f t="shared" si="197"/>
        <v>5124.5177562790959</v>
      </c>
      <c r="N346" s="14">
        <f t="shared" si="198"/>
        <v>2703.4681075984704</v>
      </c>
      <c r="O346" s="14">
        <f t="shared" si="199"/>
        <v>1426.2297754450396</v>
      </c>
      <c r="P346" s="33">
        <f t="shared" si="200"/>
        <v>0.95</v>
      </c>
      <c r="Q346" s="33">
        <f t="shared" si="201"/>
        <v>0.58622219336776638</v>
      </c>
      <c r="R346" s="51">
        <f t="shared" si="202"/>
        <v>2.8499999999999996</v>
      </c>
      <c r="S346" s="51">
        <f>APPLICANTS_PER_YEAR*($H346/Segments!$AH$2)*Q346</f>
        <v>2.1103998961239587</v>
      </c>
      <c r="T346" s="51">
        <f t="shared" si="203"/>
        <v>4.9603998961239579</v>
      </c>
      <c r="U346" s="14">
        <f t="shared" si="204"/>
        <v>1426.2297754450399</v>
      </c>
      <c r="V346" s="44">
        <f t="shared" si="205"/>
        <v>7074.6700299664717</v>
      </c>
      <c r="W346" s="44">
        <f t="shared" si="206"/>
        <v>17366.037545340907</v>
      </c>
      <c r="X346" s="44">
        <f t="shared" si="207"/>
        <v>1594.427661937425</v>
      </c>
      <c r="Y346" s="14">
        <f t="shared" si="208"/>
        <v>1426.2297754450396</v>
      </c>
      <c r="Z346" s="14">
        <f t="shared" si="209"/>
        <v>3219.609854021403</v>
      </c>
      <c r="AA346" s="14">
        <f t="shared" si="210"/>
        <v>5277.0032889674685</v>
      </c>
      <c r="AB346" s="14">
        <f t="shared" si="211"/>
        <v>2784.2424090445525</v>
      </c>
      <c r="AC346" s="14">
        <f t="shared" si="212"/>
        <v>1469.0166687083909</v>
      </c>
      <c r="AD346" s="33">
        <f t="shared" si="213"/>
        <v>0.95</v>
      </c>
      <c r="AE346" s="33">
        <f t="shared" si="214"/>
        <v>0.58619095378758668</v>
      </c>
      <c r="AF346" s="51">
        <f t="shared" si="215"/>
        <v>2.0094434839976905</v>
      </c>
      <c r="AG346" s="51">
        <f>APPLICANTS_PER_YEAR*($H346/Segments!$AH$2)*AE346</f>
        <v>2.1102874336353117</v>
      </c>
      <c r="AH346" s="51">
        <f t="shared" si="216"/>
        <v>4.1197309176330021</v>
      </c>
      <c r="AI346" s="14">
        <f t="shared" si="217"/>
        <v>1469.0166687083911</v>
      </c>
      <c r="AJ346" s="44">
        <f t="shared" si="218"/>
        <v>6051.9533885961955</v>
      </c>
      <c r="AK346" s="44">
        <f t="shared" si="219"/>
        <v>14855.597409327194</v>
      </c>
      <c r="AL346" s="44">
        <f t="shared" si="220"/>
        <v>1387.4726541903881</v>
      </c>
      <c r="AM346" s="14">
        <f t="shared" si="221"/>
        <v>1469.0166687083909</v>
      </c>
      <c r="AN346" s="14">
        <f t="shared" si="222"/>
        <v>3316.1981496420449</v>
      </c>
      <c r="AO346" s="14">
        <f t="shared" si="223"/>
        <v>5434.0633876364927</v>
      </c>
      <c r="AP346" s="14">
        <f t="shared" si="224"/>
        <v>2867.4399010465195</v>
      </c>
      <c r="AQ346" s="14">
        <f t="shared" si="225"/>
        <v>1513.0871687696424</v>
      </c>
      <c r="AR346" s="33">
        <f t="shared" si="226"/>
        <v>0.95</v>
      </c>
      <c r="AS346" s="33">
        <f t="shared" si="227"/>
        <v>0.58616061347660398</v>
      </c>
      <c r="AT346" s="51">
        <f t="shared" si="228"/>
        <v>2.0093382580483916</v>
      </c>
      <c r="AU346" s="51">
        <f>APPLICANTS_PER_YEAR*($H346/Segments!$AH$2)*AS346</f>
        <v>2.1101782085157743</v>
      </c>
      <c r="AV346" s="51">
        <f t="shared" si="229"/>
        <v>4.1195164665641659</v>
      </c>
      <c r="AW346" s="14">
        <f t="shared" si="230"/>
        <v>1513.0871687696424</v>
      </c>
      <c r="AX346" s="44">
        <f t="shared" si="231"/>
        <v>6233.1875070934948</v>
      </c>
      <c r="AY346" s="44">
        <f t="shared" si="232"/>
        <v>15300.468829900827</v>
      </c>
      <c r="AZ346" s="44">
        <f t="shared" si="233"/>
        <v>1424.9681483741367</v>
      </c>
    </row>
    <row r="347" spans="1:52" ht="15" customHeight="1" x14ac:dyDescent="0.35">
      <c r="A347" s="59" t="str">
        <f>Segments!$A$327</f>
        <v>Greek</v>
      </c>
      <c r="B347" s="59" t="str">
        <f>Segments!$B$327</f>
        <v>Off 3-6mi</v>
      </c>
      <c r="C347" s="59" t="str">
        <f>Segments!$C$327</f>
        <v>Yes</v>
      </c>
      <c r="D347" s="59" t="str">
        <f>Segments!$D$327</f>
        <v>&lt;1.0</v>
      </c>
      <c r="E347" s="59" t="str">
        <f>Segments!$E$327</f>
        <v>Junior</v>
      </c>
      <c r="F347" s="59">
        <f>Segments!$F$327</f>
        <v>2</v>
      </c>
      <c r="G347" s="59" t="str">
        <f>Segments!$G$327</f>
        <v>Base</v>
      </c>
      <c r="H347" s="60">
        <f>Segments!$H$327</f>
        <v>4</v>
      </c>
      <c r="I347" s="26">
        <f>Segments!$Y$327</f>
        <v>3736.7030276129531</v>
      </c>
      <c r="J347" s="29">
        <v>2</v>
      </c>
      <c r="K347" s="14">
        <f t="shared" si="195"/>
        <v>1426.2297754450396</v>
      </c>
      <c r="L347" s="14">
        <f t="shared" si="196"/>
        <v>3736.7030276129531</v>
      </c>
      <c r="M347" s="14">
        <f t="shared" si="197"/>
        <v>6117.8371016309056</v>
      </c>
      <c r="N347" s="14">
        <f t="shared" si="198"/>
        <v>2953.8858196735332</v>
      </c>
      <c r="O347" s="14">
        <f t="shared" si="199"/>
        <v>1426.2297754450396</v>
      </c>
      <c r="P347" s="33">
        <f t="shared" si="200"/>
        <v>0.95</v>
      </c>
      <c r="Q347" s="33">
        <f t="shared" si="201"/>
        <v>0.60858413924701593</v>
      </c>
      <c r="R347" s="51">
        <f t="shared" si="202"/>
        <v>2.8499999999999996</v>
      </c>
      <c r="S347" s="51">
        <f>APPLICANTS_PER_YEAR*($H347/Segments!$AH$2)*Q347</f>
        <v>2.9212038683856765</v>
      </c>
      <c r="T347" s="51">
        <f t="shared" si="203"/>
        <v>5.7712038683856761</v>
      </c>
      <c r="U347" s="14">
        <f t="shared" si="204"/>
        <v>1426.2297754450396</v>
      </c>
      <c r="V347" s="44">
        <f t="shared" si="205"/>
        <v>8231.0627972552466</v>
      </c>
      <c r="W347" s="44">
        <f t="shared" si="206"/>
        <v>24153.107964124549</v>
      </c>
      <c r="X347" s="44">
        <f t="shared" si="207"/>
        <v>1889.9458205618882</v>
      </c>
      <c r="Y347" s="14">
        <f t="shared" si="208"/>
        <v>1426.2297754450399</v>
      </c>
      <c r="Z347" s="14">
        <f t="shared" si="209"/>
        <v>3848.8041184413419</v>
      </c>
      <c r="AA347" s="14">
        <f t="shared" si="210"/>
        <v>6300.1222146798327</v>
      </c>
      <c r="AB347" s="14">
        <f t="shared" si="211"/>
        <v>3042.2006094708313</v>
      </c>
      <c r="AC347" s="14">
        <f t="shared" si="212"/>
        <v>1469.0166687083909</v>
      </c>
      <c r="AD347" s="33">
        <f t="shared" si="213"/>
        <v>0.95</v>
      </c>
      <c r="AE347" s="33">
        <f t="shared" si="214"/>
        <v>0.60856019091326197</v>
      </c>
      <c r="AF347" s="51">
        <f t="shared" si="215"/>
        <v>4.7123799013177594</v>
      </c>
      <c r="AG347" s="51">
        <f>APPLICANTS_PER_YEAR*($H347/Segments!$AH$2)*AE347</f>
        <v>2.9210889163836575</v>
      </c>
      <c r="AH347" s="51">
        <f t="shared" si="216"/>
        <v>7.6334688177014165</v>
      </c>
      <c r="AI347" s="14">
        <f t="shared" si="217"/>
        <v>1469.0166687083909</v>
      </c>
      <c r="AJ347" s="44">
        <f t="shared" si="218"/>
        <v>11213.692933269114</v>
      </c>
      <c r="AK347" s="44">
        <f t="shared" si="219"/>
        <v>32905.293370390304</v>
      </c>
      <c r="AL347" s="44">
        <f t="shared" si="220"/>
        <v>2495.2740544646249</v>
      </c>
      <c r="AM347" s="14">
        <f t="shared" si="221"/>
        <v>1469.0166687083911</v>
      </c>
      <c r="AN347" s="14">
        <f t="shared" si="222"/>
        <v>3964.2682419945818</v>
      </c>
      <c r="AO347" s="14">
        <f t="shared" si="223"/>
        <v>6487.8758811202279</v>
      </c>
      <c r="AP347" s="14">
        <f t="shared" si="224"/>
        <v>3133.1648134582797</v>
      </c>
      <c r="AQ347" s="14">
        <f t="shared" si="225"/>
        <v>1513.0871687696424</v>
      </c>
      <c r="AR347" s="33">
        <f t="shared" si="226"/>
        <v>0.95</v>
      </c>
      <c r="AS347" s="33">
        <f t="shared" si="227"/>
        <v>0.60853693328383374</v>
      </c>
      <c r="AT347" s="51">
        <f t="shared" si="228"/>
        <v>3.9137443717513518</v>
      </c>
      <c r="AU347" s="51">
        <f>APPLICANTS_PER_YEAR*($H347/Segments!$AH$2)*AS347</f>
        <v>2.9209772797624018</v>
      </c>
      <c r="AV347" s="51">
        <f t="shared" si="229"/>
        <v>6.8347216515137532</v>
      </c>
      <c r="AW347" s="14">
        <f t="shared" si="230"/>
        <v>1513.0871687696426</v>
      </c>
      <c r="AX347" s="44">
        <f t="shared" si="231"/>
        <v>10341.529633017521</v>
      </c>
      <c r="AY347" s="44">
        <f t="shared" si="232"/>
        <v>30346.030384284983</v>
      </c>
      <c r="AZ347" s="44">
        <f t="shared" si="233"/>
        <v>2318.9572291443119</v>
      </c>
    </row>
    <row r="348" spans="1:52" ht="15" customHeight="1" x14ac:dyDescent="0.35">
      <c r="A348" s="59" t="str">
        <f>Segments!$A$328</f>
        <v>Greek</v>
      </c>
      <c r="B348" s="59" t="str">
        <f>Segments!$B$328</f>
        <v>Off 3-6mi</v>
      </c>
      <c r="C348" s="59" t="str">
        <f>Segments!$C$328</f>
        <v>Yes</v>
      </c>
      <c r="D348" s="59" t="str">
        <f>Segments!$D$328</f>
        <v>&lt;1.0</v>
      </c>
      <c r="E348" s="59" t="str">
        <f>Segments!$E$328</f>
        <v>Senior</v>
      </c>
      <c r="F348" s="59">
        <f>Segments!$F$328</f>
        <v>3</v>
      </c>
      <c r="G348" s="59" t="str">
        <f>Segments!$G$328</f>
        <v>Base</v>
      </c>
      <c r="H348" s="60">
        <f>Segments!$H$328</f>
        <v>0</v>
      </c>
      <c r="I348" s="26">
        <f>Segments!$Y$328</f>
        <v>3492.649448389926</v>
      </c>
      <c r="J348" s="29">
        <v>3</v>
      </c>
      <c r="K348" s="14">
        <f t="shared" si="195"/>
        <v>1426.2297754450396</v>
      </c>
      <c r="L348" s="14">
        <f t="shared" si="196"/>
        <v>3492.649448389926</v>
      </c>
      <c r="M348" s="14">
        <f t="shared" si="197"/>
        <v>5720.9869554822944</v>
      </c>
      <c r="N348" s="14">
        <f t="shared" si="198"/>
        <v>2856.4736898563438</v>
      </c>
      <c r="O348" s="14">
        <f t="shared" si="199"/>
        <v>1426.2297754450396</v>
      </c>
      <c r="P348" s="33">
        <f t="shared" si="200"/>
        <v>0.95</v>
      </c>
      <c r="Q348" s="33">
        <f t="shared" si="201"/>
        <v>0.60035131944156528</v>
      </c>
      <c r="R348" s="51">
        <f t="shared" si="202"/>
        <v>3.8</v>
      </c>
      <c r="S348" s="51">
        <f>APPLICANTS_PER_YEAR*($H348/Segments!$AH$2)*Q348</f>
        <v>0</v>
      </c>
      <c r="T348" s="51">
        <f t="shared" si="203"/>
        <v>3.8</v>
      </c>
      <c r="U348" s="14">
        <f t="shared" si="204"/>
        <v>1426.2297754450396</v>
      </c>
      <c r="V348" s="44">
        <f t="shared" si="205"/>
        <v>5419.6731466911506</v>
      </c>
      <c r="W348" s="44">
        <f t="shared" si="206"/>
        <v>14864.716052347525</v>
      </c>
      <c r="X348" s="44">
        <f t="shared" si="207"/>
        <v>1100.3182247246275</v>
      </c>
      <c r="Y348" s="14">
        <f t="shared" si="208"/>
        <v>1426.2297754450396</v>
      </c>
      <c r="Z348" s="14">
        <f t="shared" si="209"/>
        <v>3597.428931841624</v>
      </c>
      <c r="AA348" s="14">
        <f t="shared" si="210"/>
        <v>5891.3665641467633</v>
      </c>
      <c r="AB348" s="14">
        <f t="shared" si="211"/>
        <v>2941.8558231502229</v>
      </c>
      <c r="AC348" s="14">
        <f t="shared" si="212"/>
        <v>1469.0166687083909</v>
      </c>
      <c r="AD348" s="33">
        <f t="shared" si="213"/>
        <v>0.95</v>
      </c>
      <c r="AE348" s="33">
        <f t="shared" si="214"/>
        <v>0.60032483625670574</v>
      </c>
      <c r="AF348" s="51">
        <f t="shared" si="215"/>
        <v>5.4826436749663925</v>
      </c>
      <c r="AG348" s="51">
        <f>APPLICANTS_PER_YEAR*($H348/Segments!$AH$2)*AE348</f>
        <v>0</v>
      </c>
      <c r="AH348" s="51">
        <f t="shared" si="216"/>
        <v>5.4826436749663925</v>
      </c>
      <c r="AI348" s="14">
        <f t="shared" si="217"/>
        <v>1469.0166687083909</v>
      </c>
      <c r="AJ348" s="44">
        <f t="shared" si="218"/>
        <v>8054.0949471142594</v>
      </c>
      <c r="AK348" s="44">
        <f t="shared" si="219"/>
        <v>22090.231496818895</v>
      </c>
      <c r="AL348" s="44">
        <f t="shared" si="220"/>
        <v>1631.8768185039228</v>
      </c>
      <c r="AM348" s="14">
        <f t="shared" si="221"/>
        <v>1469.0166687083909</v>
      </c>
      <c r="AN348" s="14">
        <f t="shared" si="222"/>
        <v>3705.3517997968725</v>
      </c>
      <c r="AO348" s="14">
        <f t="shared" si="223"/>
        <v>6066.8575610711659</v>
      </c>
      <c r="AP348" s="14">
        <f t="shared" si="224"/>
        <v>3029.7993878159441</v>
      </c>
      <c r="AQ348" s="14">
        <f t="shared" si="225"/>
        <v>1513.0871687696424</v>
      </c>
      <c r="AR348" s="33">
        <f t="shared" si="226"/>
        <v>0.95</v>
      </c>
      <c r="AS348" s="33">
        <f t="shared" si="227"/>
        <v>0.60029911636156807</v>
      </c>
      <c r="AT348" s="51">
        <f t="shared" si="228"/>
        <v>7.2517953768163457</v>
      </c>
      <c r="AU348" s="51">
        <f>APPLICANTS_PER_YEAR*($H348/Segments!$AH$2)*AS348</f>
        <v>0</v>
      </c>
      <c r="AV348" s="51">
        <f t="shared" si="229"/>
        <v>7.2517953768163457</v>
      </c>
      <c r="AW348" s="14">
        <f t="shared" si="230"/>
        <v>1513.0871687696424</v>
      </c>
      <c r="AX348" s="44">
        <f t="shared" si="231"/>
        <v>10972.598535203826</v>
      </c>
      <c r="AY348" s="44">
        <f t="shared" si="232"/>
        <v>30094.907417394497</v>
      </c>
      <c r="AZ348" s="44">
        <f t="shared" si="233"/>
        <v>2218.85703068985</v>
      </c>
    </row>
    <row r="349" spans="1:52" ht="15" customHeight="1" x14ac:dyDescent="0.35">
      <c r="A349" s="59" t="str">
        <f>Segments!$A$329</f>
        <v>Greek</v>
      </c>
      <c r="B349" s="59" t="str">
        <f>Segments!$B$329</f>
        <v>Off 3-6mi</v>
      </c>
      <c r="C349" s="59" t="str">
        <f>Segments!$C$329</f>
        <v>Yes</v>
      </c>
      <c r="D349" s="59" t="str">
        <f>Segments!$D$329</f>
        <v>&lt;1.0</v>
      </c>
      <c r="E349" s="59" t="str">
        <f>Segments!$E$329</f>
        <v>Grad student</v>
      </c>
      <c r="F349" s="59">
        <f>Segments!$F$329</f>
        <v>3</v>
      </c>
      <c r="G349" s="59" t="str">
        <f>Segments!$G$329</f>
        <v>Grad</v>
      </c>
      <c r="H349" s="60">
        <f>Segments!$H$329</f>
        <v>0</v>
      </c>
      <c r="I349" s="26">
        <f>Segments!$Y$329</f>
        <v>4158.6293364871772</v>
      </c>
      <c r="J349" s="29">
        <v>4</v>
      </c>
      <c r="K349" s="14">
        <f t="shared" si="195"/>
        <v>1426.2297754450396</v>
      </c>
      <c r="L349" s="14">
        <f t="shared" si="196"/>
        <v>4158.6293364871772</v>
      </c>
      <c r="M349" s="14">
        <f t="shared" si="197"/>
        <v>6803.9221730883683</v>
      </c>
      <c r="N349" s="14">
        <f t="shared" si="198"/>
        <v>3115.1173963543251</v>
      </c>
      <c r="O349" s="14">
        <f t="shared" si="199"/>
        <v>1426.2297754450396</v>
      </c>
      <c r="P349" s="33">
        <f t="shared" si="200"/>
        <v>0.95</v>
      </c>
      <c r="Q349" s="33">
        <f t="shared" si="201"/>
        <v>0.62107928948132407</v>
      </c>
      <c r="R349" s="51">
        <f t="shared" si="202"/>
        <v>0</v>
      </c>
      <c r="S349" s="51">
        <f>APPLICANTS_PER_YEAR*($H349/Segments!$AH$2)*Q349</f>
        <v>0</v>
      </c>
      <c r="T349" s="51">
        <f t="shared" si="203"/>
        <v>0</v>
      </c>
      <c r="U349" s="14">
        <f t="shared" si="204"/>
        <v>6803.9221730883683</v>
      </c>
      <c r="V349" s="44">
        <f t="shared" si="205"/>
        <v>0</v>
      </c>
      <c r="W349" s="44">
        <f t="shared" si="206"/>
        <v>0</v>
      </c>
      <c r="X349" s="44">
        <f t="shared" si="207"/>
        <v>0</v>
      </c>
      <c r="Y349" s="14">
        <f t="shared" si="208"/>
        <v>6803.9221730883683</v>
      </c>
      <c r="Z349" s="14">
        <f t="shared" si="209"/>
        <v>4283.3882165817922</v>
      </c>
      <c r="AA349" s="14">
        <f t="shared" si="210"/>
        <v>7006.789838281019</v>
      </c>
      <c r="AB349" s="14">
        <f t="shared" si="211"/>
        <v>3208.2847545957302</v>
      </c>
      <c r="AC349" s="14">
        <f t="shared" si="212"/>
        <v>1469.0166687083909</v>
      </c>
      <c r="AD349" s="33">
        <f t="shared" si="213"/>
        <v>0.95</v>
      </c>
      <c r="AE349" s="33">
        <f t="shared" si="214"/>
        <v>0.62105887084927736</v>
      </c>
      <c r="AF349" s="51">
        <f t="shared" si="215"/>
        <v>0</v>
      </c>
      <c r="AG349" s="51">
        <f>APPLICANTS_PER_YEAR*($H349/Segments!$AH$2)*AE349</f>
        <v>0</v>
      </c>
      <c r="AH349" s="51">
        <f t="shared" si="216"/>
        <v>0</v>
      </c>
      <c r="AI349" s="14">
        <f t="shared" si="217"/>
        <v>7006.789838281019</v>
      </c>
      <c r="AJ349" s="44">
        <f t="shared" si="218"/>
        <v>0</v>
      </c>
      <c r="AK349" s="44">
        <f t="shared" si="219"/>
        <v>0</v>
      </c>
      <c r="AL349" s="44">
        <f t="shared" si="220"/>
        <v>0</v>
      </c>
      <c r="AM349" s="14">
        <f t="shared" si="221"/>
        <v>7006.789838281019</v>
      </c>
      <c r="AN349" s="14">
        <f t="shared" si="222"/>
        <v>4411.8898630792464</v>
      </c>
      <c r="AO349" s="14">
        <f t="shared" si="223"/>
        <v>7215.7435334294505</v>
      </c>
      <c r="AP349" s="14">
        <f t="shared" si="224"/>
        <v>3304.2471084294866</v>
      </c>
      <c r="AQ349" s="14">
        <f t="shared" si="225"/>
        <v>1513.0871687696424</v>
      </c>
      <c r="AR349" s="33">
        <f t="shared" si="226"/>
        <v>0.95</v>
      </c>
      <c r="AS349" s="33">
        <f t="shared" si="227"/>
        <v>0.62103904170641533</v>
      </c>
      <c r="AT349" s="51">
        <f t="shared" si="228"/>
        <v>0</v>
      </c>
      <c r="AU349" s="51">
        <f>APPLICANTS_PER_YEAR*($H349/Segments!$AH$2)*AS349</f>
        <v>0</v>
      </c>
      <c r="AV349" s="51">
        <f t="shared" si="229"/>
        <v>0</v>
      </c>
      <c r="AW349" s="14">
        <f t="shared" si="230"/>
        <v>7215.7435334294505</v>
      </c>
      <c r="AX349" s="44">
        <f t="shared" si="231"/>
        <v>0</v>
      </c>
      <c r="AY349" s="44">
        <f t="shared" si="232"/>
        <v>0</v>
      </c>
      <c r="AZ349" s="44">
        <f t="shared" si="233"/>
        <v>0</v>
      </c>
    </row>
    <row r="350" spans="1:52" ht="15" customHeight="1" x14ac:dyDescent="0.35">
      <c r="A350" s="61" t="str">
        <f>Segments!$A$330</f>
        <v>Greek</v>
      </c>
      <c r="B350" s="61" t="str">
        <f>Segments!$B$330</f>
        <v>Off 3-6mi</v>
      </c>
      <c r="C350" s="61" t="str">
        <f>Segments!$C$330</f>
        <v>Yes</v>
      </c>
      <c r="D350" s="61" t="str">
        <f>Segments!$D$330</f>
        <v>1.0-2.0</v>
      </c>
      <c r="E350" s="61" t="str">
        <f>Segments!$E$330</f>
        <v>Freshman</v>
      </c>
      <c r="F350" s="61">
        <f>Segments!$F$330</f>
        <v>1</v>
      </c>
      <c r="G350" s="61" t="str">
        <f>Segments!$G$330</f>
        <v>Base</v>
      </c>
      <c r="H350" s="62">
        <f>Segments!$H$330</f>
        <v>8</v>
      </c>
      <c r="I350" s="63">
        <f>Segments!$Y$330</f>
        <v>2865.6023496706348</v>
      </c>
      <c r="J350" s="42">
        <v>0</v>
      </c>
      <c r="K350" s="40">
        <f t="shared" si="195"/>
        <v>4701.3594885914727</v>
      </c>
      <c r="L350" s="40">
        <f t="shared" si="196"/>
        <v>2865.6023496706348</v>
      </c>
      <c r="M350" s="40">
        <f t="shared" si="197"/>
        <v>4701.3594885914727</v>
      </c>
      <c r="N350" s="40">
        <f t="shared" si="198"/>
        <v>2589.4437409799471</v>
      </c>
      <c r="O350" s="40">
        <f t="shared" si="199"/>
        <v>1426.2297754450396</v>
      </c>
      <c r="P350" s="41">
        <f t="shared" si="200"/>
        <v>0.95</v>
      </c>
      <c r="Q350" s="41">
        <f t="shared" si="201"/>
        <v>0.57460691984269596</v>
      </c>
      <c r="R350" s="64">
        <f t="shared" si="202"/>
        <v>0</v>
      </c>
      <c r="S350" s="64">
        <f>APPLICANTS_PER_YEAR*($H350/Segments!$AH$2)*Q350</f>
        <v>5.5162264304898807</v>
      </c>
      <c r="T350" s="64">
        <f t="shared" si="203"/>
        <v>5.5162264304898807</v>
      </c>
      <c r="U350" s="40">
        <f t="shared" si="204"/>
        <v>1426.2297754450396</v>
      </c>
      <c r="V350" s="65">
        <f t="shared" si="205"/>
        <v>7867.4063832615748</v>
      </c>
      <c r="W350" s="65">
        <f t="shared" si="206"/>
        <v>17704.188790990309</v>
      </c>
      <c r="X350" s="65">
        <f t="shared" si="207"/>
        <v>2010.5292192226375</v>
      </c>
      <c r="Y350" s="40">
        <f t="shared" si="208"/>
        <v>4841.1502732492172</v>
      </c>
      <c r="Z350" s="40">
        <f t="shared" si="209"/>
        <v>2951.5704201607541</v>
      </c>
      <c r="AA350" s="40">
        <f t="shared" si="210"/>
        <v>4841.1502732492172</v>
      </c>
      <c r="AB350" s="40">
        <f t="shared" si="211"/>
        <v>2666.7827896409713</v>
      </c>
      <c r="AC350" s="40">
        <f t="shared" si="212"/>
        <v>1469.0166687083909</v>
      </c>
      <c r="AD350" s="41">
        <f t="shared" si="213"/>
        <v>0.95</v>
      </c>
      <c r="AE350" s="41">
        <f t="shared" si="214"/>
        <v>0.57457136846414014</v>
      </c>
      <c r="AF350" s="64">
        <f t="shared" si="215"/>
        <v>0</v>
      </c>
      <c r="AG350" s="64">
        <f>APPLICANTS_PER_YEAR*($H350/Segments!$AH$2)*AE350</f>
        <v>5.5158851372557454</v>
      </c>
      <c r="AH350" s="64">
        <f t="shared" si="216"/>
        <v>5.5158851372557454</v>
      </c>
      <c r="AI350" s="40">
        <f t="shared" si="217"/>
        <v>1469.0166687083909</v>
      </c>
      <c r="AJ350" s="65">
        <f t="shared" si="218"/>
        <v>8102.9272093095606</v>
      </c>
      <c r="AK350" s="65">
        <f t="shared" si="219"/>
        <v>18234.186221583808</v>
      </c>
      <c r="AL350" s="65">
        <f t="shared" si="220"/>
        <v>2063.2705260618504</v>
      </c>
      <c r="AM350" s="40">
        <f t="shared" si="221"/>
        <v>4985.1347814466926</v>
      </c>
      <c r="AN350" s="40">
        <f t="shared" si="222"/>
        <v>3040.1175327655765</v>
      </c>
      <c r="AO350" s="40">
        <f t="shared" si="223"/>
        <v>4985.1347814466926</v>
      </c>
      <c r="AP350" s="40">
        <f t="shared" si="224"/>
        <v>2746.4419659614596</v>
      </c>
      <c r="AQ350" s="40">
        <f t="shared" si="225"/>
        <v>1513.0871687696424</v>
      </c>
      <c r="AR350" s="41">
        <f t="shared" si="226"/>
        <v>0.95</v>
      </c>
      <c r="AS350" s="41">
        <f t="shared" si="227"/>
        <v>0.57453683938667366</v>
      </c>
      <c r="AT350" s="64">
        <f t="shared" si="228"/>
        <v>0</v>
      </c>
      <c r="AU350" s="64">
        <f>APPLICANTS_PER_YEAR*($H350/Segments!$AH$2)*AS350</f>
        <v>5.5155536581120668</v>
      </c>
      <c r="AV350" s="64">
        <f t="shared" si="229"/>
        <v>5.5155536581120668</v>
      </c>
      <c r="AW350" s="40">
        <f t="shared" si="230"/>
        <v>1513.0871687696426</v>
      </c>
      <c r="AX350" s="65">
        <f t="shared" si="231"/>
        <v>8345.5134687498321</v>
      </c>
      <c r="AY350" s="65">
        <f t="shared" si="232"/>
        <v>18780.083144408105</v>
      </c>
      <c r="AZ350" s="65">
        <f t="shared" si="233"/>
        <v>2117.5949316150054</v>
      </c>
    </row>
    <row r="351" spans="1:52" ht="15" customHeight="1" x14ac:dyDescent="0.35">
      <c r="A351" s="61" t="str">
        <f>Segments!$A$331</f>
        <v>Greek</v>
      </c>
      <c r="B351" s="61" t="str">
        <f>Segments!$B$331</f>
        <v>Off 3-6mi</v>
      </c>
      <c r="C351" s="61" t="str">
        <f>Segments!$C$331</f>
        <v>Yes</v>
      </c>
      <c r="D351" s="61" t="str">
        <f>Segments!$D$331</f>
        <v>1.0-2.0</v>
      </c>
      <c r="E351" s="61" t="str">
        <f>Segments!$E$331</f>
        <v>Sophomore</v>
      </c>
      <c r="F351" s="61">
        <f>Segments!$F$331</f>
        <v>1</v>
      </c>
      <c r="G351" s="61" t="str">
        <f>Segments!$G$331</f>
        <v>Sophomore</v>
      </c>
      <c r="H351" s="62">
        <f>Segments!$H$331</f>
        <v>8</v>
      </c>
      <c r="I351" s="63">
        <f>Segments!$Y$331</f>
        <v>2836.4484071903707</v>
      </c>
      <c r="J351" s="42">
        <v>1</v>
      </c>
      <c r="K351" s="40">
        <f t="shared" si="195"/>
        <v>1426.2297754450396</v>
      </c>
      <c r="L351" s="40">
        <f t="shared" si="196"/>
        <v>2836.4484071903707</v>
      </c>
      <c r="M351" s="40">
        <f t="shared" si="197"/>
        <v>4653.9529052873695</v>
      </c>
      <c r="N351" s="40">
        <f t="shared" si="198"/>
        <v>2576.3552175582845</v>
      </c>
      <c r="O351" s="40">
        <f t="shared" si="199"/>
        <v>1426.2297754450396</v>
      </c>
      <c r="P351" s="41">
        <f t="shared" si="200"/>
        <v>0.95</v>
      </c>
      <c r="Q351" s="41">
        <f t="shared" si="201"/>
        <v>0.57320785470011093</v>
      </c>
      <c r="R351" s="64">
        <f t="shared" si="202"/>
        <v>7.6</v>
      </c>
      <c r="S351" s="64">
        <f>APPLICANTS_PER_YEAR*($H351/Segments!$AH$2)*Q351</f>
        <v>5.5027954051210646</v>
      </c>
      <c r="T351" s="64">
        <f t="shared" si="203"/>
        <v>13.102795405121064</v>
      </c>
      <c r="U351" s="40">
        <f t="shared" si="204"/>
        <v>1426.2297754450396</v>
      </c>
      <c r="V351" s="65">
        <f t="shared" si="205"/>
        <v>18687.596948348113</v>
      </c>
      <c r="W351" s="65">
        <f t="shared" si="206"/>
        <v>41625.25153538859</v>
      </c>
      <c r="X351" s="65">
        <f t="shared" si="207"/>
        <v>4206.2703893920443</v>
      </c>
      <c r="Y351" s="40">
        <f t="shared" si="208"/>
        <v>1426.2297754450396</v>
      </c>
      <c r="Z351" s="40">
        <f t="shared" si="209"/>
        <v>2921.541859406082</v>
      </c>
      <c r="AA351" s="40">
        <f t="shared" si="210"/>
        <v>4792.3214924459908</v>
      </c>
      <c r="AB351" s="40">
        <f t="shared" si="211"/>
        <v>2653.2998613448558</v>
      </c>
      <c r="AC351" s="40">
        <f t="shared" si="212"/>
        <v>1469.0166687083909</v>
      </c>
      <c r="AD351" s="41">
        <f t="shared" si="213"/>
        <v>0.95</v>
      </c>
      <c r="AE351" s="41">
        <f t="shared" si="214"/>
        <v>0.57317175866360559</v>
      </c>
      <c r="AF351" s="64">
        <f t="shared" si="215"/>
        <v>5.2404151089653865</v>
      </c>
      <c r="AG351" s="64">
        <f>APPLICANTS_PER_YEAR*($H351/Segments!$AH$2)*AE351</f>
        <v>5.5024488831706133</v>
      </c>
      <c r="AH351" s="64">
        <f t="shared" si="216"/>
        <v>10.742863992136</v>
      </c>
      <c r="AI351" s="40">
        <f t="shared" si="217"/>
        <v>1469.0166687083909</v>
      </c>
      <c r="AJ351" s="65">
        <f t="shared" si="218"/>
        <v>15781.446274114951</v>
      </c>
      <c r="AK351" s="65">
        <f t="shared" si="219"/>
        <v>35152.014064083458</v>
      </c>
      <c r="AL351" s="65">
        <f t="shared" si="220"/>
        <v>3618.0234672129836</v>
      </c>
      <c r="AM351" s="40">
        <f t="shared" si="221"/>
        <v>1469.0166687083909</v>
      </c>
      <c r="AN351" s="40">
        <f t="shared" si="222"/>
        <v>3009.1881151882644</v>
      </c>
      <c r="AO351" s="40">
        <f t="shared" si="223"/>
        <v>4934.8411372193696</v>
      </c>
      <c r="AP351" s="40">
        <f t="shared" si="224"/>
        <v>2732.5527999735377</v>
      </c>
      <c r="AQ351" s="40">
        <f t="shared" si="225"/>
        <v>1513.0871687696424</v>
      </c>
      <c r="AR351" s="41">
        <f t="shared" si="226"/>
        <v>0.95</v>
      </c>
      <c r="AS351" s="41">
        <f t="shared" si="227"/>
        <v>0.57313670045382192</v>
      </c>
      <c r="AT351" s="64">
        <f t="shared" si="228"/>
        <v>5.240090880392958</v>
      </c>
      <c r="AU351" s="64">
        <f>APPLICANTS_PER_YEAR*($H351/Segments!$AH$2)*AS351</f>
        <v>5.5021123243566903</v>
      </c>
      <c r="AV351" s="64">
        <f t="shared" si="229"/>
        <v>10.742203204749648</v>
      </c>
      <c r="AW351" s="40">
        <f t="shared" si="230"/>
        <v>1513.0871687696424</v>
      </c>
      <c r="AX351" s="65">
        <f t="shared" si="231"/>
        <v>16253.889833422825</v>
      </c>
      <c r="AY351" s="65">
        <f t="shared" si="232"/>
        <v>36204.34744043032</v>
      </c>
      <c r="AZ351" s="65">
        <f t="shared" si="233"/>
        <v>3715.7631952897941</v>
      </c>
    </row>
    <row r="352" spans="1:52" ht="15" customHeight="1" x14ac:dyDescent="0.35">
      <c r="A352" s="61" t="str">
        <f>Segments!$A$332</f>
        <v>Greek</v>
      </c>
      <c r="B352" s="61" t="str">
        <f>Segments!$B$332</f>
        <v>Off 3-6mi</v>
      </c>
      <c r="C352" s="61" t="str">
        <f>Segments!$C$332</f>
        <v>Yes</v>
      </c>
      <c r="D352" s="61" t="str">
        <f>Segments!$D$332</f>
        <v>1.0-2.0</v>
      </c>
      <c r="E352" s="61" t="str">
        <f>Segments!$E$332</f>
        <v>Junior</v>
      </c>
      <c r="F352" s="61">
        <f>Segments!$F$332</f>
        <v>2</v>
      </c>
      <c r="G352" s="61" t="str">
        <f>Segments!$G$332</f>
        <v>Base</v>
      </c>
      <c r="H352" s="62">
        <f>Segments!$H$332</f>
        <v>6</v>
      </c>
      <c r="I352" s="63">
        <f>Segments!$Y$332</f>
        <v>3390.7631068109254</v>
      </c>
      <c r="J352" s="42">
        <v>2</v>
      </c>
      <c r="K352" s="40">
        <f t="shared" si="195"/>
        <v>1426.2297754450396</v>
      </c>
      <c r="L352" s="40">
        <f t="shared" si="196"/>
        <v>3390.7631068109254</v>
      </c>
      <c r="M352" s="40">
        <f t="shared" si="197"/>
        <v>5555.311821051163</v>
      </c>
      <c r="N352" s="40">
        <f t="shared" si="198"/>
        <v>2814.8092530516124</v>
      </c>
      <c r="O352" s="40">
        <f t="shared" si="199"/>
        <v>1426.2297754450396</v>
      </c>
      <c r="P352" s="41">
        <f t="shared" si="200"/>
        <v>0.95</v>
      </c>
      <c r="Q352" s="41">
        <f t="shared" si="201"/>
        <v>0.59665605246628617</v>
      </c>
      <c r="R352" s="64">
        <f t="shared" si="202"/>
        <v>7.6</v>
      </c>
      <c r="S352" s="64">
        <f>APPLICANTS_PER_YEAR*($H352/Segments!$AH$2)*Q352</f>
        <v>4.29592357775726</v>
      </c>
      <c r="T352" s="64">
        <f t="shared" si="203"/>
        <v>11.895923577757259</v>
      </c>
      <c r="U352" s="40">
        <f t="shared" si="204"/>
        <v>1426.2297754450396</v>
      </c>
      <c r="V352" s="65">
        <f t="shared" si="205"/>
        <v>16966.320413016088</v>
      </c>
      <c r="W352" s="65">
        <f t="shared" si="206"/>
        <v>45176.609843569728</v>
      </c>
      <c r="X352" s="65">
        <f t="shared" si="207"/>
        <v>3766.3952132463</v>
      </c>
      <c r="Y352" s="40">
        <f t="shared" si="208"/>
        <v>1426.2297754450396</v>
      </c>
      <c r="Z352" s="40">
        <f t="shared" si="209"/>
        <v>3492.486000015253</v>
      </c>
      <c r="AA352" s="40">
        <f t="shared" si="210"/>
        <v>5720.7211756826973</v>
      </c>
      <c r="AB352" s="40">
        <f t="shared" si="211"/>
        <v>2898.9368334116812</v>
      </c>
      <c r="AC352" s="40">
        <f t="shared" si="212"/>
        <v>1469.0166687083909</v>
      </c>
      <c r="AD352" s="41">
        <f t="shared" si="213"/>
        <v>0.95</v>
      </c>
      <c r="AE352" s="41">
        <f t="shared" si="214"/>
        <v>0.59662837565530102</v>
      </c>
      <c r="AF352" s="64">
        <f t="shared" si="215"/>
        <v>12.44765563486501</v>
      </c>
      <c r="AG352" s="64">
        <f>APPLICANTS_PER_YEAR*($H352/Segments!$AH$2)*AE352</f>
        <v>4.295724304718167</v>
      </c>
      <c r="AH352" s="64">
        <f t="shared" si="216"/>
        <v>16.743379939583178</v>
      </c>
      <c r="AI352" s="40">
        <f t="shared" si="217"/>
        <v>1469.0166687083909</v>
      </c>
      <c r="AJ352" s="65">
        <f t="shared" si="218"/>
        <v>24596.304221765378</v>
      </c>
      <c r="AK352" s="65">
        <f t="shared" si="219"/>
        <v>65493.142435762151</v>
      </c>
      <c r="AL352" s="65">
        <f t="shared" si="220"/>
        <v>5311.8293755965096</v>
      </c>
      <c r="AM352" s="40">
        <f t="shared" si="221"/>
        <v>1469.0166687083909</v>
      </c>
      <c r="AN352" s="40">
        <f t="shared" si="222"/>
        <v>3597.2605800157107</v>
      </c>
      <c r="AO352" s="40">
        <f t="shared" si="223"/>
        <v>5891.0928109531787</v>
      </c>
      <c r="AP352" s="40">
        <f t="shared" si="224"/>
        <v>2985.5882070848852</v>
      </c>
      <c r="AQ352" s="40">
        <f t="shared" si="225"/>
        <v>1513.0871687696424</v>
      </c>
      <c r="AR352" s="41">
        <f t="shared" si="226"/>
        <v>0.95</v>
      </c>
      <c r="AS352" s="41">
        <f t="shared" si="227"/>
        <v>0.5966014962848788</v>
      </c>
      <c r="AT352" s="64">
        <f t="shared" si="228"/>
        <v>10.205720792529199</v>
      </c>
      <c r="AU352" s="64">
        <f>APPLICANTS_PER_YEAR*($H352/Segments!$AH$2)*AS352</f>
        <v>4.2955307732511265</v>
      </c>
      <c r="AV352" s="64">
        <f t="shared" si="229"/>
        <v>14.501251565780326</v>
      </c>
      <c r="AW352" s="40">
        <f t="shared" si="230"/>
        <v>1513.0871687696426</v>
      </c>
      <c r="AX352" s="65">
        <f t="shared" si="231"/>
        <v>21941.657675282899</v>
      </c>
      <c r="AY352" s="65">
        <f t="shared" si="232"/>
        <v>58424.55429268939</v>
      </c>
      <c r="AZ352" s="65">
        <f t="shared" si="233"/>
        <v>4771.869538637502</v>
      </c>
    </row>
    <row r="353" spans="1:52" ht="15" customHeight="1" x14ac:dyDescent="0.35">
      <c r="A353" s="61" t="str">
        <f>Segments!$A$333</f>
        <v>Greek</v>
      </c>
      <c r="B353" s="61" t="str">
        <f>Segments!$B$333</f>
        <v>Off 3-6mi</v>
      </c>
      <c r="C353" s="61" t="str">
        <f>Segments!$C$333</f>
        <v>Yes</v>
      </c>
      <c r="D353" s="61" t="str">
        <f>Segments!$D$333</f>
        <v>1.0-2.0</v>
      </c>
      <c r="E353" s="61" t="str">
        <f>Segments!$E$333</f>
        <v>Senior</v>
      </c>
      <c r="F353" s="61">
        <f>Segments!$F$333</f>
        <v>3</v>
      </c>
      <c r="G353" s="61" t="str">
        <f>Segments!$G$333</f>
        <v>Base</v>
      </c>
      <c r="H353" s="62">
        <f>Segments!$H$333</f>
        <v>5</v>
      </c>
      <c r="I353" s="63">
        <f>Segments!$Y$333</f>
        <v>3169.3037437308376</v>
      </c>
      <c r="J353" s="42">
        <v>3</v>
      </c>
      <c r="K353" s="40">
        <f t="shared" si="195"/>
        <v>1426.2297754450396</v>
      </c>
      <c r="L353" s="40">
        <f t="shared" si="196"/>
        <v>3169.3037437308376</v>
      </c>
      <c r="M353" s="40">
        <f t="shared" si="197"/>
        <v>5195.2016317881853</v>
      </c>
      <c r="N353" s="40">
        <f t="shared" si="198"/>
        <v>2722.0490915295713</v>
      </c>
      <c r="O353" s="40">
        <f t="shared" si="199"/>
        <v>1426.2297754450396</v>
      </c>
      <c r="P353" s="41">
        <f t="shared" si="200"/>
        <v>0.95</v>
      </c>
      <c r="Q353" s="41">
        <f t="shared" si="201"/>
        <v>0.58802276750203397</v>
      </c>
      <c r="R353" s="64">
        <f t="shared" si="202"/>
        <v>5.6999999999999993</v>
      </c>
      <c r="S353" s="64">
        <f>APPLICANTS_PER_YEAR*($H353/Segments!$AH$2)*Q353</f>
        <v>3.5281366050122038</v>
      </c>
      <c r="T353" s="64">
        <f t="shared" si="203"/>
        <v>9.2281366050122031</v>
      </c>
      <c r="U353" s="40">
        <f t="shared" si="204"/>
        <v>1426.2297754450399</v>
      </c>
      <c r="V353" s="65">
        <f t="shared" si="205"/>
        <v>13161.443197942706</v>
      </c>
      <c r="W353" s="65">
        <f t="shared" si="206"/>
        <v>32756.380036715731</v>
      </c>
      <c r="X353" s="65">
        <f t="shared" si="207"/>
        <v>2936.3965833634297</v>
      </c>
      <c r="Y353" s="40">
        <f t="shared" si="208"/>
        <v>1426.2297754450396</v>
      </c>
      <c r="Z353" s="40">
        <f t="shared" si="209"/>
        <v>3264.3828560427628</v>
      </c>
      <c r="AA353" s="40">
        <f t="shared" si="210"/>
        <v>5349.8076807418311</v>
      </c>
      <c r="AB353" s="40">
        <f t="shared" si="211"/>
        <v>2803.3830736083728</v>
      </c>
      <c r="AC353" s="40">
        <f t="shared" si="212"/>
        <v>1469.0166687083909</v>
      </c>
      <c r="AD353" s="41">
        <f t="shared" si="213"/>
        <v>0.95</v>
      </c>
      <c r="AE353" s="41">
        <f t="shared" si="214"/>
        <v>0.58799216337253069</v>
      </c>
      <c r="AF353" s="64">
        <f t="shared" si="215"/>
        <v>11.301127398869395</v>
      </c>
      <c r="AG353" s="64">
        <f>APPLICANTS_PER_YEAR*($H353/Segments!$AH$2)*AE353</f>
        <v>3.5279529802351841</v>
      </c>
      <c r="AH353" s="64">
        <f t="shared" si="216"/>
        <v>14.82908037910458</v>
      </c>
      <c r="AI353" s="40">
        <f t="shared" si="217"/>
        <v>1469.0166687083911</v>
      </c>
      <c r="AJ353" s="65">
        <f t="shared" si="218"/>
        <v>21784.166258521174</v>
      </c>
      <c r="AK353" s="65">
        <f t="shared" si="219"/>
        <v>54216.731251680605</v>
      </c>
      <c r="AL353" s="65">
        <f t="shared" si="220"/>
        <v>4683.3796156519447</v>
      </c>
      <c r="AM353" s="40">
        <f t="shared" si="221"/>
        <v>1469.0166687083909</v>
      </c>
      <c r="AN353" s="40">
        <f t="shared" si="222"/>
        <v>3362.3143417240453</v>
      </c>
      <c r="AO353" s="40">
        <f t="shared" si="223"/>
        <v>5509.0519111640861</v>
      </c>
      <c r="AP353" s="40">
        <f t="shared" si="224"/>
        <v>2887.1570374450116</v>
      </c>
      <c r="AQ353" s="40">
        <f t="shared" si="225"/>
        <v>1513.0871687696424</v>
      </c>
      <c r="AR353" s="41">
        <f t="shared" si="226"/>
        <v>0.95</v>
      </c>
      <c r="AS353" s="41">
        <f t="shared" si="227"/>
        <v>0.58796244036163547</v>
      </c>
      <c r="AT353" s="64">
        <f t="shared" si="228"/>
        <v>15.906210942604019</v>
      </c>
      <c r="AU353" s="64">
        <f>APPLICANTS_PER_YEAR*($H353/Segments!$AH$2)*AS353</f>
        <v>3.5277746421698128</v>
      </c>
      <c r="AV353" s="64">
        <f t="shared" si="229"/>
        <v>19.433985584773833</v>
      </c>
      <c r="AW353" s="40">
        <f t="shared" si="230"/>
        <v>1513.0871687696424</v>
      </c>
      <c r="AX353" s="65">
        <f t="shared" si="231"/>
        <v>29405.314226375482</v>
      </c>
      <c r="AY353" s="65">
        <f t="shared" si="232"/>
        <v>73184.348662368633</v>
      </c>
      <c r="AZ353" s="65">
        <f t="shared" si="233"/>
        <v>6221.3025356229209</v>
      </c>
    </row>
    <row r="354" spans="1:52" ht="15" customHeight="1" x14ac:dyDescent="0.35">
      <c r="A354" s="61" t="str">
        <f>Segments!$A$334</f>
        <v>Greek</v>
      </c>
      <c r="B354" s="61" t="str">
        <f>Segments!$B$334</f>
        <v>Off 3-6mi</v>
      </c>
      <c r="C354" s="61" t="str">
        <f>Segments!$C$334</f>
        <v>Yes</v>
      </c>
      <c r="D354" s="61" t="str">
        <f>Segments!$D$334</f>
        <v>1.0-2.0</v>
      </c>
      <c r="E354" s="61" t="str">
        <f>Segments!$E$334</f>
        <v>Grad student</v>
      </c>
      <c r="F354" s="61">
        <f>Segments!$F$334</f>
        <v>3</v>
      </c>
      <c r="G354" s="61" t="str">
        <f>Segments!$G$334</f>
        <v>Grad</v>
      </c>
      <c r="H354" s="62">
        <f>Segments!$H$334</f>
        <v>3</v>
      </c>
      <c r="I354" s="63">
        <f>Segments!$Y$334</f>
        <v>3773.627934802767</v>
      </c>
      <c r="J354" s="42">
        <v>4</v>
      </c>
      <c r="K354" s="40">
        <f t="shared" si="195"/>
        <v>1426.2297754450396</v>
      </c>
      <c r="L354" s="40">
        <f t="shared" si="196"/>
        <v>3773.627934802767</v>
      </c>
      <c r="M354" s="40">
        <f t="shared" si="197"/>
        <v>6177.8798793744372</v>
      </c>
      <c r="N354" s="40">
        <f t="shared" si="198"/>
        <v>2968.3457064645672</v>
      </c>
      <c r="O354" s="40">
        <f t="shared" si="199"/>
        <v>1426.2297754450396</v>
      </c>
      <c r="P354" s="41">
        <f t="shared" si="200"/>
        <v>0.95</v>
      </c>
      <c r="Q354" s="41">
        <f t="shared" si="201"/>
        <v>0.60976016332279848</v>
      </c>
      <c r="R354" s="64">
        <f t="shared" si="202"/>
        <v>1.4249999999999998</v>
      </c>
      <c r="S354" s="64">
        <f>APPLICANTS_PER_YEAR*($H354/Segments!$AH$2)*Q354</f>
        <v>2.1951365879620743</v>
      </c>
      <c r="T354" s="64">
        <f t="shared" si="203"/>
        <v>3.6201365879620742</v>
      </c>
      <c r="U354" s="40">
        <f t="shared" si="204"/>
        <v>1426.2297754450396</v>
      </c>
      <c r="V354" s="65">
        <f t="shared" si="205"/>
        <v>5163.1465929295209</v>
      </c>
      <c r="W354" s="65">
        <f t="shared" si="206"/>
        <v>15300.374382871491</v>
      </c>
      <c r="X354" s="65">
        <f t="shared" si="207"/>
        <v>1212.6927732241847</v>
      </c>
      <c r="Y354" s="40">
        <f t="shared" si="208"/>
        <v>1426.2297754450396</v>
      </c>
      <c r="Z354" s="40">
        <f t="shared" si="209"/>
        <v>3886.8367728468502</v>
      </c>
      <c r="AA354" s="40">
        <f t="shared" si="210"/>
        <v>6361.9662757556707</v>
      </c>
      <c r="AB354" s="40">
        <f t="shared" si="211"/>
        <v>3057.0957631133706</v>
      </c>
      <c r="AC354" s="40">
        <f t="shared" si="212"/>
        <v>1469.0166687083909</v>
      </c>
      <c r="AD354" s="41">
        <f t="shared" si="213"/>
        <v>0.95</v>
      </c>
      <c r="AE354" s="41">
        <f t="shared" si="214"/>
        <v>0.60973656330406656</v>
      </c>
      <c r="AF354" s="64">
        <f t="shared" si="215"/>
        <v>1.7195648792819851</v>
      </c>
      <c r="AG354" s="64">
        <f>APPLICANTS_PER_YEAR*($H354/Segments!$AH$2)*AE354</f>
        <v>2.1950516278946393</v>
      </c>
      <c r="AH354" s="64">
        <f t="shared" si="216"/>
        <v>3.9146165071766243</v>
      </c>
      <c r="AI354" s="40">
        <f t="shared" si="217"/>
        <v>1469.0166687083909</v>
      </c>
      <c r="AJ354" s="65">
        <f t="shared" si="218"/>
        <v>5750.6369006434816</v>
      </c>
      <c r="AK354" s="65">
        <f t="shared" si="219"/>
        <v>17041.332438689889</v>
      </c>
      <c r="AL354" s="65">
        <f t="shared" si="220"/>
        <v>1332.8988551143614</v>
      </c>
      <c r="AM354" s="40">
        <f t="shared" si="221"/>
        <v>1469.0166687083909</v>
      </c>
      <c r="AN354" s="40">
        <f t="shared" si="222"/>
        <v>4003.4418760322551</v>
      </c>
      <c r="AO354" s="40">
        <f t="shared" si="223"/>
        <v>6551.5752640283399</v>
      </c>
      <c r="AP354" s="40">
        <f t="shared" si="224"/>
        <v>3148.5082923870254</v>
      </c>
      <c r="AQ354" s="40">
        <f t="shared" si="225"/>
        <v>1513.0871687696424</v>
      </c>
      <c r="AR354" s="41">
        <f t="shared" si="226"/>
        <v>0.95</v>
      </c>
      <c r="AS354" s="41">
        <f t="shared" si="227"/>
        <v>0.60971364400909622</v>
      </c>
      <c r="AT354" s="64">
        <f t="shared" si="228"/>
        <v>1.8594428409088966</v>
      </c>
      <c r="AU354" s="64">
        <f>APPLICANTS_PER_YEAR*($H354/Segments!$AH$2)*AS354</f>
        <v>2.1949691184327462</v>
      </c>
      <c r="AV354" s="64">
        <f t="shared" si="229"/>
        <v>4.0544119593416426</v>
      </c>
      <c r="AW354" s="40">
        <f t="shared" si="230"/>
        <v>1513.0871687696424</v>
      </c>
      <c r="AX354" s="65">
        <f t="shared" si="231"/>
        <v>6134.6787125860246</v>
      </c>
      <c r="AY354" s="65">
        <f t="shared" si="232"/>
        <v>18179.394935200038</v>
      </c>
      <c r="AZ354" s="65">
        <f t="shared" si="233"/>
        <v>1411.6580301395272</v>
      </c>
    </row>
    <row r="355" spans="1:52" ht="15" customHeight="1" x14ac:dyDescent="0.35">
      <c r="A355" s="59" t="str">
        <f>Segments!$A$335</f>
        <v>Greek</v>
      </c>
      <c r="B355" s="59" t="str">
        <f>Segments!$B$335</f>
        <v>Off 3-6mi</v>
      </c>
      <c r="C355" s="59" t="str">
        <f>Segments!$C$335</f>
        <v>Yes</v>
      </c>
      <c r="D355" s="59" t="str">
        <f>Segments!$D$335</f>
        <v>2.0-3.0</v>
      </c>
      <c r="E355" s="59" t="str">
        <f>Segments!$E$335</f>
        <v>Freshman</v>
      </c>
      <c r="F355" s="59">
        <f>Segments!$F$335</f>
        <v>1</v>
      </c>
      <c r="G355" s="59" t="str">
        <f>Segments!$G$335</f>
        <v>Base</v>
      </c>
      <c r="H355" s="60">
        <f>Segments!$H$335</f>
        <v>12</v>
      </c>
      <c r="I355" s="26">
        <f>Segments!$Y$335</f>
        <v>2815.9693132649536</v>
      </c>
      <c r="J355" s="29">
        <v>0</v>
      </c>
      <c r="K355" s="14">
        <f t="shared" si="195"/>
        <v>4620.6523020216164</v>
      </c>
      <c r="L355" s="14">
        <f t="shared" si="196"/>
        <v>2815.9693132649536</v>
      </c>
      <c r="M355" s="14">
        <f t="shared" si="197"/>
        <v>4620.6523020216164</v>
      </c>
      <c r="N355" s="14">
        <f t="shared" si="198"/>
        <v>2567.1213245816598</v>
      </c>
      <c r="O355" s="14">
        <f t="shared" si="199"/>
        <v>1426.2297754450396</v>
      </c>
      <c r="P355" s="33">
        <f t="shared" si="200"/>
        <v>0.95</v>
      </c>
      <c r="Q355" s="33">
        <f t="shared" si="201"/>
        <v>0.57221223792812759</v>
      </c>
      <c r="R355" s="51">
        <f t="shared" si="202"/>
        <v>0</v>
      </c>
      <c r="S355" s="51">
        <f>APPLICANTS_PER_YEAR*($H355/Segments!$AH$2)*Q355</f>
        <v>8.2398562261650365</v>
      </c>
      <c r="T355" s="51">
        <f t="shared" si="203"/>
        <v>8.2398562261650365</v>
      </c>
      <c r="U355" s="14">
        <f t="shared" si="204"/>
        <v>1426.2297754450396</v>
      </c>
      <c r="V355" s="44">
        <f t="shared" si="205"/>
        <v>11751.928295142772</v>
      </c>
      <c r="W355" s="44">
        <f t="shared" si="206"/>
        <v>25987.564152027418</v>
      </c>
      <c r="X355" s="44">
        <f t="shared" si="207"/>
        <v>3003.2254682894072</v>
      </c>
      <c r="Y355" s="14">
        <f t="shared" si="208"/>
        <v>4758.0218710822655</v>
      </c>
      <c r="Z355" s="14">
        <f t="shared" si="209"/>
        <v>2900.4483926629023</v>
      </c>
      <c r="AA355" s="14">
        <f t="shared" si="210"/>
        <v>4758.0218710822655</v>
      </c>
      <c r="AB355" s="14">
        <f t="shared" si="211"/>
        <v>2643.7877068136418</v>
      </c>
      <c r="AC355" s="14">
        <f t="shared" si="212"/>
        <v>1469.0166687083909</v>
      </c>
      <c r="AD355" s="33">
        <f t="shared" si="213"/>
        <v>0.95</v>
      </c>
      <c r="AE355" s="33">
        <f t="shared" si="214"/>
        <v>0.5721757509268991</v>
      </c>
      <c r="AF355" s="51">
        <f t="shared" si="215"/>
        <v>0</v>
      </c>
      <c r="AG355" s="51">
        <f>APPLICANTS_PER_YEAR*($H355/Segments!$AH$2)*AE355</f>
        <v>8.2393308133473457</v>
      </c>
      <c r="AH355" s="51">
        <f t="shared" si="216"/>
        <v>8.2393308133473457</v>
      </c>
      <c r="AI355" s="14">
        <f t="shared" si="217"/>
        <v>1469.0166687083909</v>
      </c>
      <c r="AJ355" s="44">
        <f t="shared" si="218"/>
        <v>12103.714303809915</v>
      </c>
      <c r="AK355" s="44">
        <f t="shared" si="219"/>
        <v>26765.484271894184</v>
      </c>
      <c r="AL355" s="44">
        <f t="shared" si="220"/>
        <v>3082.0018906540517</v>
      </c>
      <c r="AM355" s="14">
        <f t="shared" si="221"/>
        <v>4899.5125272147325</v>
      </c>
      <c r="AN355" s="14">
        <f t="shared" si="222"/>
        <v>2987.4618444427892</v>
      </c>
      <c r="AO355" s="14">
        <f t="shared" si="223"/>
        <v>4899.5125272147325</v>
      </c>
      <c r="AP355" s="14">
        <f t="shared" si="224"/>
        <v>2722.7540355593519</v>
      </c>
      <c r="AQ355" s="14">
        <f t="shared" si="225"/>
        <v>1513.0871687696424</v>
      </c>
      <c r="AR355" s="33">
        <f t="shared" si="226"/>
        <v>0.95</v>
      </c>
      <c r="AS355" s="33">
        <f t="shared" si="227"/>
        <v>0.57214031289484435</v>
      </c>
      <c r="AT355" s="51">
        <f t="shared" si="228"/>
        <v>0</v>
      </c>
      <c r="AU355" s="51">
        <f>APPLICANTS_PER_YEAR*($H355/Segments!$AH$2)*AS355</f>
        <v>8.2388205056857586</v>
      </c>
      <c r="AV355" s="51">
        <f t="shared" si="229"/>
        <v>8.2388205056857586</v>
      </c>
      <c r="AW355" s="14">
        <f t="shared" si="230"/>
        <v>1513.0871687696426</v>
      </c>
      <c r="AX355" s="44">
        <f t="shared" si="231"/>
        <v>12466.05359294934</v>
      </c>
      <c r="AY355" s="44">
        <f t="shared" si="232"/>
        <v>27566.741332422938</v>
      </c>
      <c r="AZ355" s="44">
        <f t="shared" si="233"/>
        <v>3163.1429275765113</v>
      </c>
    </row>
    <row r="356" spans="1:52" ht="15" customHeight="1" x14ac:dyDescent="0.35">
      <c r="A356" s="59" t="str">
        <f>Segments!$A$336</f>
        <v>Greek</v>
      </c>
      <c r="B356" s="59" t="str">
        <f>Segments!$B$336</f>
        <v>Off 3-6mi</v>
      </c>
      <c r="C356" s="59" t="str">
        <f>Segments!$C$336</f>
        <v>Yes</v>
      </c>
      <c r="D356" s="59" t="str">
        <f>Segments!$D$336</f>
        <v>2.0-3.0</v>
      </c>
      <c r="E356" s="59" t="str">
        <f>Segments!$E$336</f>
        <v>Sophomore</v>
      </c>
      <c r="F356" s="59">
        <f>Segments!$F$336</f>
        <v>1</v>
      </c>
      <c r="G356" s="59" t="str">
        <f>Segments!$G$336</f>
        <v>Sophomore</v>
      </c>
      <c r="H356" s="60">
        <f>Segments!$H$336</f>
        <v>8</v>
      </c>
      <c r="I356" s="26">
        <f>Segments!$Y$336</f>
        <v>2787.3203252451913</v>
      </c>
      <c r="J356" s="29">
        <v>1</v>
      </c>
      <c r="K356" s="14">
        <f t="shared" si="195"/>
        <v>1426.2297754450396</v>
      </c>
      <c r="L356" s="14">
        <f t="shared" si="196"/>
        <v>2787.3203252451913</v>
      </c>
      <c r="M356" s="14">
        <f t="shared" si="197"/>
        <v>4574.0668140363632</v>
      </c>
      <c r="N356" s="14">
        <f t="shared" si="198"/>
        <v>2554.1476631263295</v>
      </c>
      <c r="O356" s="14">
        <f t="shared" si="199"/>
        <v>1426.2297754450396</v>
      </c>
      <c r="P356" s="33">
        <f t="shared" si="200"/>
        <v>0.95</v>
      </c>
      <c r="Q356" s="33">
        <f t="shared" si="201"/>
        <v>0.5708012293033784</v>
      </c>
      <c r="R356" s="51">
        <f t="shared" si="202"/>
        <v>11.399999999999999</v>
      </c>
      <c r="S356" s="51">
        <f>APPLICANTS_PER_YEAR*($H356/Segments!$AH$2)*Q356</f>
        <v>5.4796918013124323</v>
      </c>
      <c r="T356" s="51">
        <f t="shared" si="203"/>
        <v>16.879691801312433</v>
      </c>
      <c r="U356" s="14">
        <f t="shared" si="204"/>
        <v>1426.2297754450396</v>
      </c>
      <c r="V356" s="44">
        <f t="shared" si="205"/>
        <v>24074.319047367306</v>
      </c>
      <c r="W356" s="44">
        <f t="shared" si="206"/>
        <v>52695.00100667349</v>
      </c>
      <c r="X356" s="44">
        <f t="shared" si="207"/>
        <v>5298.1679172667655</v>
      </c>
      <c r="Y356" s="14">
        <f t="shared" si="208"/>
        <v>1426.2297754450396</v>
      </c>
      <c r="Z356" s="14">
        <f t="shared" si="209"/>
        <v>2870.9399350025469</v>
      </c>
      <c r="AA356" s="14">
        <f t="shared" si="210"/>
        <v>4710.0388184574531</v>
      </c>
      <c r="AB356" s="14">
        <f t="shared" si="211"/>
        <v>2630.423071404593</v>
      </c>
      <c r="AC356" s="14">
        <f t="shared" si="212"/>
        <v>1469.0166687083909</v>
      </c>
      <c r="AD356" s="33">
        <f t="shared" si="213"/>
        <v>0.95</v>
      </c>
      <c r="AE356" s="33">
        <f t="shared" si="214"/>
        <v>0.57076418339731838</v>
      </c>
      <c r="AF356" s="51">
        <f t="shared" si="215"/>
        <v>7.8278634148567843</v>
      </c>
      <c r="AG356" s="51">
        <f>APPLICANTS_PER_YEAR*($H356/Segments!$AH$2)*AE356</f>
        <v>5.4793361606142561</v>
      </c>
      <c r="AH356" s="51">
        <f t="shared" si="216"/>
        <v>13.30719957547104</v>
      </c>
      <c r="AI356" s="14">
        <f t="shared" si="217"/>
        <v>1469.0166687083906</v>
      </c>
      <c r="AJ356" s="44">
        <f t="shared" si="218"/>
        <v>19548.497990196178</v>
      </c>
      <c r="AK356" s="44">
        <f t="shared" si="219"/>
        <v>42788.671166381006</v>
      </c>
      <c r="AL356" s="44">
        <f t="shared" si="220"/>
        <v>4379.5167810408193</v>
      </c>
      <c r="AM356" s="14">
        <f t="shared" si="221"/>
        <v>1469.0166687083909</v>
      </c>
      <c r="AN356" s="14">
        <f t="shared" si="222"/>
        <v>2957.0681330526231</v>
      </c>
      <c r="AO356" s="14">
        <f t="shared" si="223"/>
        <v>4850.0899830111766</v>
      </c>
      <c r="AP356" s="14">
        <f t="shared" si="224"/>
        <v>2708.9866962892943</v>
      </c>
      <c r="AQ356" s="14">
        <f t="shared" si="225"/>
        <v>1513.0871687696424</v>
      </c>
      <c r="AR356" s="33">
        <f t="shared" si="226"/>
        <v>0.95</v>
      </c>
      <c r="AS356" s="33">
        <f t="shared" si="227"/>
        <v>0.57072820238611111</v>
      </c>
      <c r="AT356" s="51">
        <f t="shared" si="228"/>
        <v>7.8273642726799784</v>
      </c>
      <c r="AU356" s="51">
        <f>APPLICANTS_PER_YEAR*($H356/Segments!$AH$2)*AS356</f>
        <v>5.4789907429066664</v>
      </c>
      <c r="AV356" s="51">
        <f t="shared" si="229"/>
        <v>13.306355015586645</v>
      </c>
      <c r="AW356" s="14">
        <f t="shared" si="230"/>
        <v>1513.0871687696426</v>
      </c>
      <c r="AX356" s="44">
        <f t="shared" si="231"/>
        <v>20133.675037177731</v>
      </c>
      <c r="AY356" s="44">
        <f t="shared" si="232"/>
        <v>44069.534189717357</v>
      </c>
      <c r="AZ356" s="44">
        <f t="shared" si="233"/>
        <v>4498.5231215924814</v>
      </c>
    </row>
    <row r="357" spans="1:52" ht="15" customHeight="1" x14ac:dyDescent="0.35">
      <c r="A357" s="59" t="str">
        <f>Segments!$A$337</f>
        <v>Greek</v>
      </c>
      <c r="B357" s="59" t="str">
        <f>Segments!$B$337</f>
        <v>Off 3-6mi</v>
      </c>
      <c r="C357" s="59" t="str">
        <f>Segments!$C$337</f>
        <v>Yes</v>
      </c>
      <c r="D357" s="59" t="str">
        <f>Segments!$D$337</f>
        <v>2.0-3.0</v>
      </c>
      <c r="E357" s="59" t="str">
        <f>Segments!$E$337</f>
        <v>Junior</v>
      </c>
      <c r="F357" s="59">
        <f>Segments!$F$337</f>
        <v>2</v>
      </c>
      <c r="G357" s="59" t="str">
        <f>Segments!$G$337</f>
        <v>Base</v>
      </c>
      <c r="H357" s="60">
        <f>Segments!$H$337</f>
        <v>8</v>
      </c>
      <c r="I357" s="26">
        <f>Segments!$Y$337</f>
        <v>3332.0341388008546</v>
      </c>
      <c r="J357" s="29">
        <v>2</v>
      </c>
      <c r="K357" s="14">
        <f t="shared" si="195"/>
        <v>1426.2297754450396</v>
      </c>
      <c r="L357" s="14">
        <f t="shared" si="196"/>
        <v>3332.0341388008546</v>
      </c>
      <c r="M357" s="14">
        <f t="shared" si="197"/>
        <v>5459.8139405769125</v>
      </c>
      <c r="N357" s="14">
        <f t="shared" si="198"/>
        <v>2790.5105644739474</v>
      </c>
      <c r="O357" s="14">
        <f t="shared" si="199"/>
        <v>1426.2297754450396</v>
      </c>
      <c r="P357" s="33">
        <f t="shared" si="200"/>
        <v>0.95</v>
      </c>
      <c r="Q357" s="33">
        <f t="shared" si="201"/>
        <v>0.59445003118741013</v>
      </c>
      <c r="R357" s="51">
        <f t="shared" si="202"/>
        <v>7.6</v>
      </c>
      <c r="S357" s="51">
        <f>APPLICANTS_PER_YEAR*($H357/Segments!$AH$2)*Q357</f>
        <v>5.7067202993991373</v>
      </c>
      <c r="T357" s="51">
        <f t="shared" si="203"/>
        <v>13.306720299399137</v>
      </c>
      <c r="U357" s="14">
        <f t="shared" si="204"/>
        <v>1426.2297754450396</v>
      </c>
      <c r="V357" s="44">
        <f t="shared" si="205"/>
        <v>18978.440704521981</v>
      </c>
      <c r="W357" s="44">
        <f t="shared" si="206"/>
        <v>49659.059870640922</v>
      </c>
      <c r="X357" s="44">
        <f t="shared" si="207"/>
        <v>4280.5960110175047</v>
      </c>
      <c r="Y357" s="14">
        <f t="shared" si="208"/>
        <v>1426.2297754450396</v>
      </c>
      <c r="Z357" s="14">
        <f t="shared" si="209"/>
        <v>3431.9951629648804</v>
      </c>
      <c r="AA357" s="14">
        <f t="shared" si="210"/>
        <v>5622.3583587942194</v>
      </c>
      <c r="AB357" s="14">
        <f t="shared" si="211"/>
        <v>2873.906426194259</v>
      </c>
      <c r="AC357" s="14">
        <f t="shared" si="212"/>
        <v>1469.0166687083909</v>
      </c>
      <c r="AD357" s="33">
        <f t="shared" si="213"/>
        <v>0.95</v>
      </c>
      <c r="AE357" s="33">
        <f t="shared" si="214"/>
        <v>0.59442162498419937</v>
      </c>
      <c r="AF357" s="51">
        <f t="shared" si="215"/>
        <v>16.035707211246809</v>
      </c>
      <c r="AG357" s="51">
        <f>APPLICANTS_PER_YEAR*($H357/Segments!$AH$2)*AE357</f>
        <v>5.706447599848314</v>
      </c>
      <c r="AH357" s="51">
        <f t="shared" si="216"/>
        <v>21.742154811095123</v>
      </c>
      <c r="AI357" s="14">
        <f t="shared" si="217"/>
        <v>1469.0166687083909</v>
      </c>
      <c r="AJ357" s="44">
        <f t="shared" si="218"/>
        <v>31939.587831137069</v>
      </c>
      <c r="AK357" s="44">
        <f t="shared" si="219"/>
        <v>83573.246561405525</v>
      </c>
      <c r="AL357" s="44">
        <f t="shared" si="220"/>
        <v>6907.4867188181024</v>
      </c>
      <c r="AM357" s="14">
        <f t="shared" si="221"/>
        <v>1469.0166687083906</v>
      </c>
      <c r="AN357" s="14">
        <f t="shared" si="222"/>
        <v>3534.9550178538266</v>
      </c>
      <c r="AO357" s="14">
        <f t="shared" si="223"/>
        <v>5789.779109558046</v>
      </c>
      <c r="AP357" s="14">
        <f t="shared" si="224"/>
        <v>2959.8041287698088</v>
      </c>
      <c r="AQ357" s="14">
        <f t="shared" si="225"/>
        <v>1513.0871687696424</v>
      </c>
      <c r="AR357" s="33">
        <f t="shared" si="226"/>
        <v>0.95</v>
      </c>
      <c r="AS357" s="33">
        <f t="shared" si="227"/>
        <v>0.59439403708134386</v>
      </c>
      <c r="AT357" s="51">
        <f t="shared" si="228"/>
        <v>12.641839596697487</v>
      </c>
      <c r="AU357" s="51">
        <f>APPLICANTS_PER_YEAR*($H357/Segments!$AH$2)*AS357</f>
        <v>5.7061827559809011</v>
      </c>
      <c r="AV357" s="51">
        <f t="shared" si="229"/>
        <v>18.348022352678388</v>
      </c>
      <c r="AW357" s="14">
        <f t="shared" si="230"/>
        <v>1513.0871687696424</v>
      </c>
      <c r="AX357" s="44">
        <f t="shared" si="231"/>
        <v>27762.157194136256</v>
      </c>
      <c r="AY357" s="44">
        <f t="shared" si="232"/>
        <v>72642.565725290013</v>
      </c>
      <c r="AZ357" s="44">
        <f t="shared" si="233"/>
        <v>6058.8510425203685</v>
      </c>
    </row>
    <row r="358" spans="1:52" ht="15" customHeight="1" x14ac:dyDescent="0.35">
      <c r="A358" s="59" t="str">
        <f>Segments!$A$338</f>
        <v>Greek</v>
      </c>
      <c r="B358" s="59" t="str">
        <f>Segments!$B$338</f>
        <v>Off 3-6mi</v>
      </c>
      <c r="C358" s="59" t="str">
        <f>Segments!$C$338</f>
        <v>Yes</v>
      </c>
      <c r="D358" s="59" t="str">
        <f>Segments!$D$338</f>
        <v>2.0-3.0</v>
      </c>
      <c r="E358" s="59" t="str">
        <f>Segments!$E$338</f>
        <v>Senior</v>
      </c>
      <c r="F358" s="59">
        <f>Segments!$F$338</f>
        <v>3</v>
      </c>
      <c r="G358" s="59" t="str">
        <f>Segments!$G$338</f>
        <v>Base</v>
      </c>
      <c r="H358" s="60">
        <f>Segments!$H$338</f>
        <v>6</v>
      </c>
      <c r="I358" s="26">
        <f>Segments!$Y$338</f>
        <v>3114.4105140015513</v>
      </c>
      <c r="J358" s="29">
        <v>3</v>
      </c>
      <c r="K358" s="14">
        <f t="shared" si="195"/>
        <v>1426.2297754450396</v>
      </c>
      <c r="L358" s="14">
        <f t="shared" si="196"/>
        <v>3114.4105140015513</v>
      </c>
      <c r="M358" s="14">
        <f t="shared" si="197"/>
        <v>5105.9409607913103</v>
      </c>
      <c r="N358" s="14">
        <f t="shared" si="198"/>
        <v>2698.5635123052084</v>
      </c>
      <c r="O358" s="14">
        <f t="shared" si="199"/>
        <v>1426.2297754450396</v>
      </c>
      <c r="P358" s="33">
        <f t="shared" si="200"/>
        <v>0.95</v>
      </c>
      <c r="Q358" s="33">
        <f t="shared" si="201"/>
        <v>0.58574278149438408</v>
      </c>
      <c r="R358" s="51">
        <f t="shared" si="202"/>
        <v>7.6</v>
      </c>
      <c r="S358" s="51">
        <f>APPLICANTS_PER_YEAR*($H358/Segments!$AH$2)*Q358</f>
        <v>4.2173480267595647</v>
      </c>
      <c r="T358" s="51">
        <f t="shared" si="203"/>
        <v>11.817348026759564</v>
      </c>
      <c r="U358" s="14">
        <f t="shared" si="204"/>
        <v>1426.2297754450396</v>
      </c>
      <c r="V358" s="44">
        <f t="shared" si="205"/>
        <v>16854.253622561177</v>
      </c>
      <c r="W358" s="44">
        <f t="shared" si="206"/>
        <v>41220.561695214135</v>
      </c>
      <c r="X358" s="44">
        <f t="shared" si="207"/>
        <v>3737.7563523895033</v>
      </c>
      <c r="Y358" s="14">
        <f t="shared" si="208"/>
        <v>1426.2297754450396</v>
      </c>
      <c r="Z358" s="14">
        <f t="shared" si="209"/>
        <v>3207.8428294215978</v>
      </c>
      <c r="AA358" s="14">
        <f t="shared" si="210"/>
        <v>5257.8691896150494</v>
      </c>
      <c r="AB358" s="14">
        <f t="shared" si="211"/>
        <v>2779.1900765209971</v>
      </c>
      <c r="AC358" s="14">
        <f t="shared" si="212"/>
        <v>1469.0166687083909</v>
      </c>
      <c r="AD358" s="33">
        <f t="shared" si="213"/>
        <v>0.95</v>
      </c>
      <c r="AE358" s="33">
        <f t="shared" si="214"/>
        <v>0.5857113712518518</v>
      </c>
      <c r="AF358" s="51">
        <f t="shared" si="215"/>
        <v>12.641384284429179</v>
      </c>
      <c r="AG358" s="51">
        <f>APPLICANTS_PER_YEAR*($H358/Segments!$AH$2)*AE358</f>
        <v>4.2171218730133324</v>
      </c>
      <c r="AH358" s="51">
        <f t="shared" si="216"/>
        <v>16.858506157442513</v>
      </c>
      <c r="AI358" s="14">
        <f t="shared" si="217"/>
        <v>1469.0166687083909</v>
      </c>
      <c r="AJ358" s="44">
        <f t="shared" si="218"/>
        <v>24765.426554806094</v>
      </c>
      <c r="AK358" s="44">
        <f t="shared" si="219"/>
        <v>60568.970662941247</v>
      </c>
      <c r="AL358" s="44">
        <f t="shared" si="220"/>
        <v>5340.0895702226335</v>
      </c>
      <c r="AM358" s="14">
        <f t="shared" si="221"/>
        <v>1469.0166687083909</v>
      </c>
      <c r="AN358" s="14">
        <f t="shared" si="222"/>
        <v>3304.0781143042454</v>
      </c>
      <c r="AO358" s="14">
        <f t="shared" si="223"/>
        <v>5414.3552653035003</v>
      </c>
      <c r="AP358" s="14">
        <f t="shared" si="224"/>
        <v>2862.2353989654798</v>
      </c>
      <c r="AQ358" s="14">
        <f t="shared" si="225"/>
        <v>1513.0871687696424</v>
      </c>
      <c r="AR358" s="33">
        <f t="shared" si="226"/>
        <v>0.95</v>
      </c>
      <c r="AS358" s="33">
        <f t="shared" si="227"/>
        <v>0.58568086515236839</v>
      </c>
      <c r="AT358" s="51">
        <f t="shared" si="228"/>
        <v>20.655047070540366</v>
      </c>
      <c r="AU358" s="51">
        <f>APPLICANTS_PER_YEAR*($H358/Segments!$AH$2)*AS358</f>
        <v>4.2169022290970517</v>
      </c>
      <c r="AV358" s="51">
        <f t="shared" si="229"/>
        <v>24.871949299637418</v>
      </c>
      <c r="AW358" s="14">
        <f t="shared" si="230"/>
        <v>1513.0871687696424</v>
      </c>
      <c r="AX358" s="44">
        <f t="shared" si="231"/>
        <v>37633.427347570469</v>
      </c>
      <c r="AY358" s="44">
        <f t="shared" si="232"/>
        <v>92040.326941938823</v>
      </c>
      <c r="AZ358" s="44">
        <f t="shared" si="233"/>
        <v>7938.8982333290942</v>
      </c>
    </row>
    <row r="359" spans="1:52" ht="15" customHeight="1" x14ac:dyDescent="0.35">
      <c r="A359" s="59" t="str">
        <f>Segments!$A$339</f>
        <v>Greek</v>
      </c>
      <c r="B359" s="59" t="str">
        <f>Segments!$B$339</f>
        <v>Off 3-6mi</v>
      </c>
      <c r="C359" s="59" t="str">
        <f>Segments!$C$339</f>
        <v>Yes</v>
      </c>
      <c r="D359" s="59" t="str">
        <f>Segments!$D$339</f>
        <v>2.0-3.0</v>
      </c>
      <c r="E359" s="59" t="str">
        <f>Segments!$E$339</f>
        <v>Grad student</v>
      </c>
      <c r="F359" s="59">
        <f>Segments!$F$339</f>
        <v>3</v>
      </c>
      <c r="G359" s="59" t="str">
        <f>Segments!$G$339</f>
        <v>Grad</v>
      </c>
      <c r="H359" s="60">
        <f>Segments!$H$339</f>
        <v>7</v>
      </c>
      <c r="I359" s="26">
        <f>Segments!$Y$339</f>
        <v>3708.2676405905954</v>
      </c>
      <c r="J359" s="29">
        <v>4</v>
      </c>
      <c r="K359" s="14">
        <f t="shared" si="195"/>
        <v>1426.2297754450396</v>
      </c>
      <c r="L359" s="14">
        <f t="shared" si="196"/>
        <v>3708.2676405905954</v>
      </c>
      <c r="M359" s="14">
        <f t="shared" si="197"/>
        <v>6071.5989455196914</v>
      </c>
      <c r="N359" s="14">
        <f t="shared" si="198"/>
        <v>2942.7020237633456</v>
      </c>
      <c r="O359" s="14">
        <f t="shared" si="199"/>
        <v>1426.2297754450396</v>
      </c>
      <c r="P359" s="33">
        <f t="shared" si="200"/>
        <v>0.95</v>
      </c>
      <c r="Q359" s="33">
        <f t="shared" si="201"/>
        <v>0.60766663360276763</v>
      </c>
      <c r="R359" s="51">
        <f t="shared" si="202"/>
        <v>3.3249999999999997</v>
      </c>
      <c r="S359" s="51">
        <f>APPLICANTS_PER_YEAR*($H359/Segments!$AH$2)*Q359</f>
        <v>5.1043997222632482</v>
      </c>
      <c r="T359" s="51">
        <f t="shared" si="203"/>
        <v>8.4293997222632484</v>
      </c>
      <c r="U359" s="14">
        <f t="shared" si="204"/>
        <v>1426.2297754450396</v>
      </c>
      <c r="V359" s="44">
        <f t="shared" si="205"/>
        <v>12022.260873019992</v>
      </c>
      <c r="W359" s="44">
        <f t="shared" si="206"/>
        <v>35009.486646032819</v>
      </c>
      <c r="X359" s="44">
        <f t="shared" si="207"/>
        <v>2823.2069329409078</v>
      </c>
      <c r="Y359" s="14">
        <f t="shared" si="208"/>
        <v>1426.2297754450396</v>
      </c>
      <c r="Z359" s="14">
        <f t="shared" si="209"/>
        <v>3819.5156698083133</v>
      </c>
      <c r="AA359" s="14">
        <f t="shared" si="210"/>
        <v>6252.4969138852821</v>
      </c>
      <c r="AB359" s="14">
        <f t="shared" si="211"/>
        <v>3030.6801526299751</v>
      </c>
      <c r="AC359" s="14">
        <f t="shared" si="212"/>
        <v>1469.0166687083909</v>
      </c>
      <c r="AD359" s="33">
        <f t="shared" si="213"/>
        <v>0.95</v>
      </c>
      <c r="AE359" s="33">
        <f t="shared" si="214"/>
        <v>0.60764241115420869</v>
      </c>
      <c r="AF359" s="51">
        <f t="shared" si="215"/>
        <v>4.0039648680750428</v>
      </c>
      <c r="AG359" s="51">
        <f>APPLICANTS_PER_YEAR*($H359/Segments!$AH$2)*AE359</f>
        <v>5.1041962536953536</v>
      </c>
      <c r="AH359" s="51">
        <f t="shared" si="216"/>
        <v>9.1081611217703973</v>
      </c>
      <c r="AI359" s="14">
        <f t="shared" si="217"/>
        <v>1469.0166687083906</v>
      </c>
      <c r="AJ359" s="44">
        <f t="shared" si="218"/>
        <v>13380.040509162427</v>
      </c>
      <c r="AK359" s="44">
        <f t="shared" si="219"/>
        <v>38963.415823069809</v>
      </c>
      <c r="AL359" s="44">
        <f t="shared" si="220"/>
        <v>3101.0310132057994</v>
      </c>
      <c r="AM359" s="14">
        <f t="shared" si="221"/>
        <v>1469.0166687083906</v>
      </c>
      <c r="AN359" s="14">
        <f t="shared" si="222"/>
        <v>3934.1011399025624</v>
      </c>
      <c r="AO359" s="14">
        <f t="shared" si="223"/>
        <v>6438.8218213018399</v>
      </c>
      <c r="AP359" s="14">
        <f t="shared" si="224"/>
        <v>3121.2975955210991</v>
      </c>
      <c r="AQ359" s="14">
        <f t="shared" si="225"/>
        <v>1513.0871687696424</v>
      </c>
      <c r="AR359" s="33">
        <f t="shared" si="226"/>
        <v>0.95</v>
      </c>
      <c r="AS359" s="33">
        <f t="shared" si="227"/>
        <v>0.60761888726329005</v>
      </c>
      <c r="AT359" s="51">
        <f t="shared" si="228"/>
        <v>4.3263765328409383</v>
      </c>
      <c r="AU359" s="51">
        <f>APPLICANTS_PER_YEAR*($H359/Segments!$AH$2)*AS359</f>
        <v>5.1039986530116366</v>
      </c>
      <c r="AV359" s="51">
        <f t="shared" si="229"/>
        <v>9.4303751858525757</v>
      </c>
      <c r="AW359" s="14">
        <f t="shared" si="230"/>
        <v>1513.0871687696424</v>
      </c>
      <c r="AX359" s="44">
        <f t="shared" si="231"/>
        <v>14268.979690397164</v>
      </c>
      <c r="AY359" s="44">
        <f t="shared" si="232"/>
        <v>41552.055740576034</v>
      </c>
      <c r="AZ359" s="44">
        <f t="shared" si="233"/>
        <v>3283.3424520225371</v>
      </c>
    </row>
    <row r="360" spans="1:52" ht="15" customHeight="1" x14ac:dyDescent="0.35">
      <c r="A360" s="61" t="str">
        <f>Segments!$A$340</f>
        <v>Greek</v>
      </c>
      <c r="B360" s="61" t="str">
        <f>Segments!$B$340</f>
        <v>Off 3-6mi</v>
      </c>
      <c r="C360" s="61" t="str">
        <f>Segments!$C$340</f>
        <v>Yes</v>
      </c>
      <c r="D360" s="61" t="str">
        <f>Segments!$D$340</f>
        <v>3.0+</v>
      </c>
      <c r="E360" s="61" t="str">
        <f>Segments!$E$340</f>
        <v>Freshman</v>
      </c>
      <c r="F360" s="61">
        <f>Segments!$F$340</f>
        <v>1</v>
      </c>
      <c r="G360" s="61" t="str">
        <f>Segments!$G$340</f>
        <v>Base</v>
      </c>
      <c r="H360" s="62">
        <f>Segments!$H$340</f>
        <v>9</v>
      </c>
      <c r="I360" s="63">
        <f>Segments!$Y$340</f>
        <v>2468.3311929520055</v>
      </c>
      <c r="J360" s="42">
        <v>0</v>
      </c>
      <c r="K360" s="40">
        <f t="shared" si="195"/>
        <v>4055.3656166460746</v>
      </c>
      <c r="L360" s="40">
        <f t="shared" si="196"/>
        <v>2468.3311929520055</v>
      </c>
      <c r="M360" s="40">
        <f t="shared" si="197"/>
        <v>4055.3656166460746</v>
      </c>
      <c r="N360" s="40">
        <f t="shared" si="198"/>
        <v>2404.9705180680835</v>
      </c>
      <c r="O360" s="40">
        <f t="shared" si="199"/>
        <v>1426.2297754450396</v>
      </c>
      <c r="P360" s="41">
        <f t="shared" si="200"/>
        <v>0.95</v>
      </c>
      <c r="Q360" s="41">
        <f t="shared" si="201"/>
        <v>0.55348289828709996</v>
      </c>
      <c r="R360" s="64">
        <f t="shared" si="202"/>
        <v>0</v>
      </c>
      <c r="S360" s="64">
        <f>APPLICANTS_PER_YEAR*($H360/Segments!$AH$2)*Q360</f>
        <v>5.9776153015006788</v>
      </c>
      <c r="T360" s="64">
        <f t="shared" si="203"/>
        <v>5.9776153015006788</v>
      </c>
      <c r="U360" s="40">
        <f t="shared" si="204"/>
        <v>1426.2297754450396</v>
      </c>
      <c r="V360" s="65">
        <f t="shared" si="205"/>
        <v>8525.4529291561466</v>
      </c>
      <c r="W360" s="65">
        <f t="shared" si="206"/>
        <v>16525.302425140693</v>
      </c>
      <c r="X360" s="65">
        <f t="shared" si="207"/>
        <v>2178.6941446985074</v>
      </c>
      <c r="Y360" s="40">
        <f t="shared" si="208"/>
        <v>4175.7765851454569</v>
      </c>
      <c r="Z360" s="40">
        <f t="shared" si="209"/>
        <v>2542.3811287405656</v>
      </c>
      <c r="AA360" s="40">
        <f t="shared" si="210"/>
        <v>4175.7765851454569</v>
      </c>
      <c r="AB360" s="40">
        <f t="shared" si="211"/>
        <v>2476.7489594993026</v>
      </c>
      <c r="AC360" s="40">
        <f t="shared" si="212"/>
        <v>1469.0166687083909</v>
      </c>
      <c r="AD360" s="41">
        <f t="shared" si="213"/>
        <v>0.95</v>
      </c>
      <c r="AE360" s="41">
        <f t="shared" si="214"/>
        <v>0.5534385210753523</v>
      </c>
      <c r="AF360" s="64">
        <f t="shared" si="215"/>
        <v>0</v>
      </c>
      <c r="AG360" s="64">
        <f>APPLICANTS_PER_YEAR*($H360/Segments!$AH$2)*AE360</f>
        <v>5.9771360276138044</v>
      </c>
      <c r="AH360" s="64">
        <f t="shared" si="216"/>
        <v>5.9771360276138044</v>
      </c>
      <c r="AI360" s="40">
        <f t="shared" si="217"/>
        <v>1469.0166687083909</v>
      </c>
      <c r="AJ360" s="65">
        <f t="shared" si="218"/>
        <v>8780.5124557021354</v>
      </c>
      <c r="AK360" s="65">
        <f t="shared" si="219"/>
        <v>17019.696781383169</v>
      </c>
      <c r="AL360" s="65">
        <f t="shared" si="220"/>
        <v>2235.8059113198992</v>
      </c>
      <c r="AM360" s="40">
        <f t="shared" si="221"/>
        <v>4299.799882699821</v>
      </c>
      <c r="AN360" s="40">
        <f t="shared" si="222"/>
        <v>2618.6525626027824</v>
      </c>
      <c r="AO360" s="40">
        <f t="shared" si="223"/>
        <v>4299.799882699821</v>
      </c>
      <c r="AP360" s="40">
        <f t="shared" si="224"/>
        <v>2550.6806994977469</v>
      </c>
      <c r="AQ360" s="40">
        <f t="shared" si="225"/>
        <v>1513.0871687696424</v>
      </c>
      <c r="AR360" s="41">
        <f t="shared" si="226"/>
        <v>0.95</v>
      </c>
      <c r="AS360" s="41">
        <f t="shared" si="227"/>
        <v>0.55339541733554032</v>
      </c>
      <c r="AT360" s="64">
        <f t="shared" si="228"/>
        <v>0</v>
      </c>
      <c r="AU360" s="64">
        <f>APPLICANTS_PER_YEAR*($H360/Segments!$AH$2)*AS360</f>
        <v>5.9766705072238349</v>
      </c>
      <c r="AV360" s="64">
        <f t="shared" si="229"/>
        <v>5.9766705072238349</v>
      </c>
      <c r="AW360" s="40">
        <f t="shared" si="230"/>
        <v>1513.0871687696424</v>
      </c>
      <c r="AX360" s="65">
        <f t="shared" si="231"/>
        <v>9043.2234564443352</v>
      </c>
      <c r="AY360" s="65">
        <f t="shared" si="232"/>
        <v>17528.922364323069</v>
      </c>
      <c r="AZ360" s="65">
        <f t="shared" si="233"/>
        <v>2294.6322270686042</v>
      </c>
    </row>
    <row r="361" spans="1:52" ht="15" customHeight="1" x14ac:dyDescent="0.35">
      <c r="A361" s="61" t="str">
        <f>Segments!$A$341</f>
        <v>Greek</v>
      </c>
      <c r="B361" s="61" t="str">
        <f>Segments!$B$341</f>
        <v>Off 3-6mi</v>
      </c>
      <c r="C361" s="61" t="str">
        <f>Segments!$C$341</f>
        <v>Yes</v>
      </c>
      <c r="D361" s="61" t="str">
        <f>Segments!$D$341</f>
        <v>3.0+</v>
      </c>
      <c r="E361" s="61" t="str">
        <f>Segments!$E$341</f>
        <v>Sophomore</v>
      </c>
      <c r="F361" s="61">
        <f>Segments!$F$341</f>
        <v>1</v>
      </c>
      <c r="G361" s="61" t="str">
        <f>Segments!$G$341</f>
        <v>Sophomore</v>
      </c>
      <c r="H361" s="62">
        <f>Segments!$H$341</f>
        <v>6</v>
      </c>
      <c r="I361" s="63">
        <f>Segments!$Y$341</f>
        <v>2443.2189907548527</v>
      </c>
      <c r="J361" s="42">
        <v>1</v>
      </c>
      <c r="K361" s="40">
        <f t="shared" si="195"/>
        <v>1426.2297754450396</v>
      </c>
      <c r="L361" s="40">
        <f t="shared" si="196"/>
        <v>2443.2189907548527</v>
      </c>
      <c r="M361" s="40">
        <f t="shared" si="197"/>
        <v>4014.5312181349741</v>
      </c>
      <c r="N361" s="40">
        <f t="shared" si="198"/>
        <v>2392.8317863480802</v>
      </c>
      <c r="O361" s="40">
        <f t="shared" si="199"/>
        <v>1426.2297754450396</v>
      </c>
      <c r="P361" s="41">
        <f t="shared" si="200"/>
        <v>0.95</v>
      </c>
      <c r="Q361" s="41">
        <f t="shared" si="201"/>
        <v>0.55197867990926774</v>
      </c>
      <c r="R361" s="64">
        <f t="shared" si="202"/>
        <v>8.5499999999999989</v>
      </c>
      <c r="S361" s="64">
        <f>APPLICANTS_PER_YEAR*($H361/Segments!$AH$2)*Q361</f>
        <v>3.9742464953467276</v>
      </c>
      <c r="T361" s="64">
        <f t="shared" si="203"/>
        <v>12.524246495346727</v>
      </c>
      <c r="U361" s="40">
        <f t="shared" si="204"/>
        <v>1426.2297754450396</v>
      </c>
      <c r="V361" s="65">
        <f t="shared" si="205"/>
        <v>17862.453266676686</v>
      </c>
      <c r="W361" s="65">
        <f t="shared" si="206"/>
        <v>34271.414108205157</v>
      </c>
      <c r="X361" s="65">
        <f t="shared" si="207"/>
        <v>3924.2313637242528</v>
      </c>
      <c r="Y361" s="40">
        <f t="shared" si="208"/>
        <v>1426.2297754450396</v>
      </c>
      <c r="Z361" s="40">
        <f t="shared" si="209"/>
        <v>2516.5155604774982</v>
      </c>
      <c r="AA361" s="40">
        <f t="shared" si="210"/>
        <v>4133.7171546790232</v>
      </c>
      <c r="AB361" s="40">
        <f t="shared" si="211"/>
        <v>2464.2441851304643</v>
      </c>
      <c r="AC361" s="40">
        <f t="shared" si="212"/>
        <v>1469.0166687083909</v>
      </c>
      <c r="AD361" s="41">
        <f t="shared" si="213"/>
        <v>0.95</v>
      </c>
      <c r="AE361" s="41">
        <f t="shared" si="214"/>
        <v>0.55193362379170696</v>
      </c>
      <c r="AF361" s="64">
        <f t="shared" si="215"/>
        <v>5.6787345364256447</v>
      </c>
      <c r="AG361" s="64">
        <f>APPLICANTS_PER_YEAR*($H361/Segments!$AH$2)*AE361</f>
        <v>3.9739220913002899</v>
      </c>
      <c r="AH361" s="64">
        <f t="shared" si="216"/>
        <v>9.6526566277259356</v>
      </c>
      <c r="AI361" s="40">
        <f t="shared" si="217"/>
        <v>1469.0166687083906</v>
      </c>
      <c r="AJ361" s="65">
        <f t="shared" si="218"/>
        <v>14179.913483447923</v>
      </c>
      <c r="AK361" s="65">
        <f t="shared" si="219"/>
        <v>27205.987876052801</v>
      </c>
      <c r="AL361" s="65">
        <f t="shared" si="220"/>
        <v>3176.7263559380858</v>
      </c>
      <c r="AM361" s="40">
        <f t="shared" si="221"/>
        <v>1469.0166687083909</v>
      </c>
      <c r="AN361" s="40">
        <f t="shared" si="222"/>
        <v>2592.0110272918232</v>
      </c>
      <c r="AO361" s="40">
        <f t="shared" si="223"/>
        <v>4256.4786693193946</v>
      </c>
      <c r="AP361" s="40">
        <f t="shared" si="224"/>
        <v>2537.7989003640259</v>
      </c>
      <c r="AQ361" s="40">
        <f t="shared" si="225"/>
        <v>1513.0871687696424</v>
      </c>
      <c r="AR361" s="41">
        <f t="shared" si="226"/>
        <v>0.95</v>
      </c>
      <c r="AS361" s="41">
        <f t="shared" si="227"/>
        <v>0.55188986043129673</v>
      </c>
      <c r="AT361" s="64">
        <f t="shared" si="228"/>
        <v>5.6782792262331139</v>
      </c>
      <c r="AU361" s="64">
        <f>APPLICANTS_PER_YEAR*($H361/Segments!$AH$2)*AS361</f>
        <v>3.9736069951053361</v>
      </c>
      <c r="AV361" s="64">
        <f t="shared" si="229"/>
        <v>9.6518862213384509</v>
      </c>
      <c r="AW361" s="40">
        <f t="shared" si="230"/>
        <v>1513.0871687696424</v>
      </c>
      <c r="AX361" s="65">
        <f t="shared" si="231"/>
        <v>14604.145195931718</v>
      </c>
      <c r="AY361" s="65">
        <f t="shared" si="232"/>
        <v>28019.930982260306</v>
      </c>
      <c r="AZ361" s="65">
        <f t="shared" si="233"/>
        <v>3262.9958228664482</v>
      </c>
    </row>
    <row r="362" spans="1:52" ht="15" customHeight="1" x14ac:dyDescent="0.35">
      <c r="A362" s="61" t="str">
        <f>Segments!$A$342</f>
        <v>Greek</v>
      </c>
      <c r="B362" s="61" t="str">
        <f>Segments!$B$342</f>
        <v>Off 3-6mi</v>
      </c>
      <c r="C362" s="61" t="str">
        <f>Segments!$C$342</f>
        <v>Yes</v>
      </c>
      <c r="D362" s="61" t="str">
        <f>Segments!$D$342</f>
        <v>3.0+</v>
      </c>
      <c r="E362" s="61" t="str">
        <f>Segments!$E$342</f>
        <v>Junior</v>
      </c>
      <c r="F362" s="61">
        <f>Segments!$F$342</f>
        <v>2</v>
      </c>
      <c r="G362" s="61" t="str">
        <f>Segments!$G$342</f>
        <v>Base</v>
      </c>
      <c r="H362" s="62">
        <f>Segments!$H$342</f>
        <v>2</v>
      </c>
      <c r="I362" s="63">
        <f>Segments!$Y$342</f>
        <v>2920.686586334713</v>
      </c>
      <c r="J362" s="42">
        <v>2</v>
      </c>
      <c r="K362" s="40">
        <f t="shared" si="195"/>
        <v>1426.2297754450396</v>
      </c>
      <c r="L362" s="40">
        <f t="shared" si="196"/>
        <v>2920.686586334713</v>
      </c>
      <c r="M362" s="40">
        <f t="shared" si="197"/>
        <v>4790.9307517551533</v>
      </c>
      <c r="N362" s="40">
        <f t="shared" si="198"/>
        <v>2613.9946614804876</v>
      </c>
      <c r="O362" s="40">
        <f t="shared" si="199"/>
        <v>1426.2297754450396</v>
      </c>
      <c r="P362" s="41">
        <f t="shared" si="200"/>
        <v>0.95</v>
      </c>
      <c r="Q362" s="41">
        <f t="shared" si="201"/>
        <v>0.57719344142859375</v>
      </c>
      <c r="R362" s="64">
        <f t="shared" si="202"/>
        <v>5.6999999999999993</v>
      </c>
      <c r="S362" s="64">
        <f>APPLICANTS_PER_YEAR*($H362/Segments!$AH$2)*Q362</f>
        <v>1.3852642594286249</v>
      </c>
      <c r="T362" s="64">
        <f t="shared" si="203"/>
        <v>7.0852642594286239</v>
      </c>
      <c r="U362" s="40">
        <f t="shared" si="204"/>
        <v>1426.2297754450399</v>
      </c>
      <c r="V362" s="65">
        <f t="shared" si="205"/>
        <v>10105.214853693653</v>
      </c>
      <c r="W362" s="65">
        <f t="shared" si="206"/>
        <v>23177.096637127932</v>
      </c>
      <c r="X362" s="65">
        <f t="shared" si="207"/>
        <v>2155.3721787003806</v>
      </c>
      <c r="Y362" s="40">
        <f t="shared" si="208"/>
        <v>1426.2297754450396</v>
      </c>
      <c r="Z362" s="40">
        <f t="shared" si="209"/>
        <v>3008.3071839247546</v>
      </c>
      <c r="AA362" s="40">
        <f t="shared" si="210"/>
        <v>4933.4086743078087</v>
      </c>
      <c r="AB362" s="40">
        <f t="shared" si="211"/>
        <v>2692.0734715287276</v>
      </c>
      <c r="AC362" s="40">
        <f t="shared" si="212"/>
        <v>1469.0166687083909</v>
      </c>
      <c r="AD362" s="41">
        <f t="shared" si="213"/>
        <v>0.95</v>
      </c>
      <c r="AE362" s="41">
        <f t="shared" si="214"/>
        <v>0.57715888250364289</v>
      </c>
      <c r="AF362" s="64">
        <f t="shared" si="215"/>
        <v>11.89803417057939</v>
      </c>
      <c r="AG362" s="64">
        <f>APPLICANTS_PER_YEAR*($H362/Segments!$AH$2)*AE362</f>
        <v>1.3851813180087429</v>
      </c>
      <c r="AH362" s="64">
        <f t="shared" si="216"/>
        <v>13.283215488588132</v>
      </c>
      <c r="AI362" s="40">
        <f t="shared" si="217"/>
        <v>1469.0166687083909</v>
      </c>
      <c r="AJ362" s="65">
        <f t="shared" si="218"/>
        <v>19513.264966781437</v>
      </c>
      <c r="AK362" s="65">
        <f t="shared" si="219"/>
        <v>44755.19168953308</v>
      </c>
      <c r="AL362" s="65">
        <f t="shared" si="220"/>
        <v>4059.5208270305134</v>
      </c>
      <c r="AM362" s="40">
        <f t="shared" si="221"/>
        <v>1469.0166687083906</v>
      </c>
      <c r="AN362" s="40">
        <f t="shared" si="222"/>
        <v>3098.556399442497</v>
      </c>
      <c r="AO362" s="40">
        <f t="shared" si="223"/>
        <v>5080.1609345370425</v>
      </c>
      <c r="AP362" s="40">
        <f t="shared" si="224"/>
        <v>2772.4946033009323</v>
      </c>
      <c r="AQ362" s="40">
        <f t="shared" si="225"/>
        <v>1513.0871687696424</v>
      </c>
      <c r="AR362" s="41">
        <f t="shared" si="226"/>
        <v>0.95</v>
      </c>
      <c r="AS362" s="41">
        <f t="shared" si="227"/>
        <v>0.57712531758075181</v>
      </c>
      <c r="AT362" s="64">
        <f t="shared" si="228"/>
        <v>9.1700237963396383</v>
      </c>
      <c r="AU362" s="64">
        <f>APPLICANTS_PER_YEAR*($H362/Segments!$AH$2)*AS362</f>
        <v>1.3851007621938043</v>
      </c>
      <c r="AV362" s="64">
        <f t="shared" si="229"/>
        <v>10.555124558533443</v>
      </c>
      <c r="AW362" s="40">
        <f t="shared" si="230"/>
        <v>1513.0871687696424</v>
      </c>
      <c r="AX362" s="65">
        <f t="shared" si="231"/>
        <v>15970.823534282288</v>
      </c>
      <c r="AY362" s="65">
        <f t="shared" si="232"/>
        <v>36630.326597487234</v>
      </c>
      <c r="AZ362" s="65">
        <f t="shared" si="233"/>
        <v>3337.5678948803638</v>
      </c>
    </row>
    <row r="363" spans="1:52" ht="15" customHeight="1" x14ac:dyDescent="0.35">
      <c r="A363" s="61" t="str">
        <f>Segments!$A$343</f>
        <v>Greek</v>
      </c>
      <c r="B363" s="61" t="str">
        <f>Segments!$B$343</f>
        <v>Off 3-6mi</v>
      </c>
      <c r="C363" s="61" t="str">
        <f>Segments!$C$343</f>
        <v>Yes</v>
      </c>
      <c r="D363" s="61" t="str">
        <f>Segments!$D$343</f>
        <v>3.0+</v>
      </c>
      <c r="E363" s="61" t="str">
        <f>Segments!$E$343</f>
        <v>Senior</v>
      </c>
      <c r="F363" s="61">
        <f>Segments!$F$343</f>
        <v>3</v>
      </c>
      <c r="G363" s="61" t="str">
        <f>Segments!$G$343</f>
        <v>Base</v>
      </c>
      <c r="H363" s="62">
        <f>Segments!$H$343</f>
        <v>8</v>
      </c>
      <c r="I363" s="63">
        <f>Segments!$Y$343</f>
        <v>2729.9291164698898</v>
      </c>
      <c r="J363" s="42">
        <v>3</v>
      </c>
      <c r="K363" s="40">
        <f t="shared" si="195"/>
        <v>1426.2297754450396</v>
      </c>
      <c r="L363" s="40">
        <f t="shared" si="196"/>
        <v>2729.9291164698898</v>
      </c>
      <c r="M363" s="40">
        <f t="shared" si="197"/>
        <v>4480.7442343690909</v>
      </c>
      <c r="N363" s="40">
        <f t="shared" si="198"/>
        <v>2527.9578404733898</v>
      </c>
      <c r="O363" s="40">
        <f t="shared" si="199"/>
        <v>1426.2297754450396</v>
      </c>
      <c r="P363" s="41">
        <f t="shared" si="200"/>
        <v>0.95</v>
      </c>
      <c r="Q363" s="41">
        <f t="shared" si="201"/>
        <v>0.56790871022240597</v>
      </c>
      <c r="R363" s="64">
        <f t="shared" si="202"/>
        <v>1.9</v>
      </c>
      <c r="S363" s="64">
        <f>APPLICANTS_PER_YEAR*($H363/Segments!$AH$2)*Q363</f>
        <v>5.4519236181350967</v>
      </c>
      <c r="T363" s="64">
        <f t="shared" si="203"/>
        <v>7.3519236181350962</v>
      </c>
      <c r="U363" s="40">
        <f t="shared" si="204"/>
        <v>1426.2297754450396</v>
      </c>
      <c r="V363" s="65">
        <f t="shared" si="205"/>
        <v>10485.532370981902</v>
      </c>
      <c r="W363" s="65">
        <f t="shared" si="206"/>
        <v>22478.65798887482</v>
      </c>
      <c r="X363" s="65">
        <f t="shared" si="207"/>
        <v>2537.2515338489306</v>
      </c>
      <c r="Y363" s="40">
        <f t="shared" si="208"/>
        <v>1426.2297754450399</v>
      </c>
      <c r="Z363" s="40">
        <f t="shared" si="209"/>
        <v>2811.8269899639868</v>
      </c>
      <c r="AA363" s="40">
        <f t="shared" si="210"/>
        <v>4613.916561400164</v>
      </c>
      <c r="AB363" s="40">
        <f t="shared" si="211"/>
        <v>2603.4439376960936</v>
      </c>
      <c r="AC363" s="40">
        <f t="shared" si="212"/>
        <v>1469.0166687083909</v>
      </c>
      <c r="AD363" s="41">
        <f t="shared" si="213"/>
        <v>0.95</v>
      </c>
      <c r="AE363" s="41">
        <f t="shared" si="214"/>
        <v>0.56787050079357748</v>
      </c>
      <c r="AF363" s="64">
        <f t="shared" si="215"/>
        <v>6.7310010464571928</v>
      </c>
      <c r="AG363" s="64">
        <f>APPLICANTS_PER_YEAR*($H363/Segments!$AH$2)*AE363</f>
        <v>5.4515568076183438</v>
      </c>
      <c r="AH363" s="64">
        <f t="shared" si="216"/>
        <v>12.182557854075537</v>
      </c>
      <c r="AI363" s="40">
        <f t="shared" si="217"/>
        <v>1469.0166687083909</v>
      </c>
      <c r="AJ363" s="65">
        <f t="shared" si="218"/>
        <v>17896.380555141288</v>
      </c>
      <c r="AK363" s="65">
        <f t="shared" si="219"/>
        <v>38365.874378593828</v>
      </c>
      <c r="AL363" s="65">
        <f t="shared" si="220"/>
        <v>4042.6509759217447</v>
      </c>
      <c r="AM363" s="40">
        <f t="shared" si="221"/>
        <v>1469.0166687083909</v>
      </c>
      <c r="AN363" s="40">
        <f t="shared" si="222"/>
        <v>2896.1817996629061</v>
      </c>
      <c r="AO363" s="40">
        <f t="shared" si="223"/>
        <v>4751.0840582421679</v>
      </c>
      <c r="AP363" s="40">
        <f t="shared" si="224"/>
        <v>2681.1945707598738</v>
      </c>
      <c r="AQ363" s="40">
        <f t="shared" si="225"/>
        <v>1513.0871687696424</v>
      </c>
      <c r="AR363" s="41">
        <f t="shared" si="226"/>
        <v>0.95</v>
      </c>
      <c r="AS363" s="41">
        <f t="shared" si="227"/>
        <v>0.56783338940209394</v>
      </c>
      <c r="AT363" s="64">
        <f t="shared" si="228"/>
        <v>12.619054714158725</v>
      </c>
      <c r="AU363" s="64">
        <f>APPLICANTS_PER_YEAR*($H363/Segments!$AH$2)*AS363</f>
        <v>5.4512005382601014</v>
      </c>
      <c r="AV363" s="64">
        <f t="shared" si="229"/>
        <v>18.070255252418825</v>
      </c>
      <c r="AW363" s="40">
        <f t="shared" si="230"/>
        <v>1513.0871687696426</v>
      </c>
      <c r="AX363" s="65">
        <f t="shared" si="231"/>
        <v>27341.871358827164</v>
      </c>
      <c r="AY363" s="65">
        <f t="shared" si="232"/>
        <v>58614.913702596656</v>
      </c>
      <c r="AZ363" s="65">
        <f t="shared" si="233"/>
        <v>5953.9837609323158</v>
      </c>
    </row>
    <row r="364" spans="1:52" ht="15" customHeight="1" x14ac:dyDescent="0.35">
      <c r="A364" s="61" t="str">
        <f>Segments!$A$344</f>
        <v>Greek</v>
      </c>
      <c r="B364" s="61" t="str">
        <f>Segments!$B$344</f>
        <v>Off 3-6mi</v>
      </c>
      <c r="C364" s="61" t="str">
        <f>Segments!$C$344</f>
        <v>Yes</v>
      </c>
      <c r="D364" s="61" t="str">
        <f>Segments!$D$344</f>
        <v>3.0+</v>
      </c>
      <c r="E364" s="61" t="str">
        <f>Segments!$E$344</f>
        <v>Grad student</v>
      </c>
      <c r="F364" s="61">
        <f>Segments!$F$344</f>
        <v>3</v>
      </c>
      <c r="G364" s="61" t="str">
        <f>Segments!$G$344</f>
        <v>Grad</v>
      </c>
      <c r="H364" s="62">
        <f>Segments!$H$344</f>
        <v>6</v>
      </c>
      <c r="I364" s="63">
        <f>Segments!$Y$344</f>
        <v>3250.4731660131838</v>
      </c>
      <c r="J364" s="42">
        <v>4</v>
      </c>
      <c r="K364" s="40">
        <f t="shared" si="195"/>
        <v>1426.2297754450396</v>
      </c>
      <c r="L364" s="40">
        <f t="shared" si="196"/>
        <v>3250.4731660131838</v>
      </c>
      <c r="M364" s="40">
        <f t="shared" si="197"/>
        <v>5327.1894403591496</v>
      </c>
      <c r="N364" s="40">
        <f t="shared" si="198"/>
        <v>2756.410020166923</v>
      </c>
      <c r="O364" s="40">
        <f t="shared" si="199"/>
        <v>1426.2297754450396</v>
      </c>
      <c r="P364" s="41">
        <f t="shared" si="200"/>
        <v>0.95</v>
      </c>
      <c r="Q364" s="41">
        <f t="shared" si="201"/>
        <v>0.59128853018777838</v>
      </c>
      <c r="R364" s="64">
        <f t="shared" si="202"/>
        <v>2.8499999999999996</v>
      </c>
      <c r="S364" s="64">
        <f>APPLICANTS_PER_YEAR*($H364/Segments!$AH$2)*Q364</f>
        <v>4.2572774173520038</v>
      </c>
      <c r="T364" s="64">
        <f t="shared" si="203"/>
        <v>7.1072774173520035</v>
      </c>
      <c r="U364" s="40">
        <f t="shared" si="204"/>
        <v>1426.2297754450396</v>
      </c>
      <c r="V364" s="65">
        <f t="shared" si="205"/>
        <v>10136.610674975549</v>
      </c>
      <c r="W364" s="65">
        <f t="shared" si="206"/>
        <v>25874.256271935872</v>
      </c>
      <c r="X364" s="65">
        <f t="shared" si="207"/>
        <v>2376.9118548747201</v>
      </c>
      <c r="Y364" s="40">
        <f t="shared" si="208"/>
        <v>1426.2297754450396</v>
      </c>
      <c r="Z364" s="40">
        <f t="shared" si="209"/>
        <v>3347.9873609935794</v>
      </c>
      <c r="AA364" s="40">
        <f t="shared" si="210"/>
        <v>5485.7551235699239</v>
      </c>
      <c r="AB364" s="40">
        <f t="shared" si="211"/>
        <v>2838.7789130146566</v>
      </c>
      <c r="AC364" s="40">
        <f t="shared" si="212"/>
        <v>1469.0166687083909</v>
      </c>
      <c r="AD364" s="41">
        <f t="shared" si="213"/>
        <v>0.95</v>
      </c>
      <c r="AE364" s="41">
        <f t="shared" si="214"/>
        <v>0.59125905649546318</v>
      </c>
      <c r="AF364" s="64">
        <f t="shared" si="215"/>
        <v>3.3759567732422013</v>
      </c>
      <c r="AG364" s="64">
        <f>APPLICANTS_PER_YEAR*($H364/Segments!$AH$2)*AE364</f>
        <v>4.2570652067673347</v>
      </c>
      <c r="AH364" s="64">
        <f t="shared" si="216"/>
        <v>7.633021980009536</v>
      </c>
      <c r="AI364" s="40">
        <f t="shared" si="217"/>
        <v>1469.0166687083911</v>
      </c>
      <c r="AJ364" s="65">
        <f t="shared" si="218"/>
        <v>11213.036521251535</v>
      </c>
      <c r="AK364" s="65">
        <f t="shared" si="219"/>
        <v>28621.892449089089</v>
      </c>
      <c r="AL364" s="65">
        <f t="shared" si="220"/>
        <v>2597.2304634841053</v>
      </c>
      <c r="AM364" s="40">
        <f t="shared" si="221"/>
        <v>1469.0166687083911</v>
      </c>
      <c r="AN364" s="40">
        <f t="shared" si="222"/>
        <v>3448.4269818233865</v>
      </c>
      <c r="AO364" s="40">
        <f t="shared" si="223"/>
        <v>5649.0777772770216</v>
      </c>
      <c r="AP364" s="40">
        <f t="shared" si="224"/>
        <v>2923.6188363361584</v>
      </c>
      <c r="AQ364" s="40">
        <f t="shared" si="225"/>
        <v>1513.0871687696424</v>
      </c>
      <c r="AR364" s="41">
        <f t="shared" si="226"/>
        <v>0.95</v>
      </c>
      <c r="AS364" s="41">
        <f t="shared" si="227"/>
        <v>0.59123043162052136</v>
      </c>
      <c r="AT364" s="64">
        <f t="shared" si="228"/>
        <v>3.6256854405045296</v>
      </c>
      <c r="AU364" s="64">
        <f>APPLICANTS_PER_YEAR*($H364/Segments!$AH$2)*AS364</f>
        <v>4.2568591076677533</v>
      </c>
      <c r="AV364" s="64">
        <f t="shared" si="229"/>
        <v>7.8825445481722829</v>
      </c>
      <c r="AW364" s="40">
        <f t="shared" si="230"/>
        <v>1513.0871687696424</v>
      </c>
      <c r="AX364" s="65">
        <f t="shared" si="231"/>
        <v>11926.97701309458</v>
      </c>
      <c r="AY364" s="65">
        <f t="shared" si="232"/>
        <v>30444.264821983194</v>
      </c>
      <c r="AZ364" s="65">
        <f t="shared" si="233"/>
        <v>2743.705985457545</v>
      </c>
    </row>
    <row r="365" spans="1:52" ht="15" customHeight="1" x14ac:dyDescent="0.35">
      <c r="A365" s="59" t="str">
        <f>Segments!$A$345</f>
        <v>Greek</v>
      </c>
      <c r="B365" s="59" t="str">
        <f>Segments!$B$345</f>
        <v>Off 3-6mi</v>
      </c>
      <c r="C365" s="59" t="str">
        <f>Segments!$C$345</f>
        <v>No</v>
      </c>
      <c r="D365" s="59" t="str">
        <f>Segments!$D$345</f>
        <v>&lt;1.0</v>
      </c>
      <c r="E365" s="59" t="str">
        <f>Segments!$E$345</f>
        <v>Freshman</v>
      </c>
      <c r="F365" s="59">
        <f>Segments!$F$345</f>
        <v>1</v>
      </c>
      <c r="G365" s="59" t="str">
        <f>Segments!$G$345</f>
        <v>Base</v>
      </c>
      <c r="H365" s="60">
        <f>Segments!$H$345</f>
        <v>0</v>
      </c>
      <c r="I365" s="26">
        <f>Segments!$Y$345</f>
        <v>4863.499340731837</v>
      </c>
      <c r="J365" s="29">
        <v>0</v>
      </c>
      <c r="K365" s="14">
        <f t="shared" si="195"/>
        <v>7950.0957514100282</v>
      </c>
      <c r="L365" s="14">
        <f t="shared" si="196"/>
        <v>4863.499340731837</v>
      </c>
      <c r="M365" s="14">
        <f t="shared" si="197"/>
        <v>7950.0957514100282</v>
      </c>
      <c r="N365" s="14">
        <f t="shared" si="198"/>
        <v>3367.2931678575428</v>
      </c>
      <c r="O365" s="14">
        <f t="shared" si="199"/>
        <v>1426.2297754450396</v>
      </c>
      <c r="P365" s="33">
        <f t="shared" si="200"/>
        <v>0.95</v>
      </c>
      <c r="Q365" s="33">
        <f t="shared" si="201"/>
        <v>0.63822310616445588</v>
      </c>
      <c r="R365" s="51">
        <f t="shared" si="202"/>
        <v>0</v>
      </c>
      <c r="S365" s="51">
        <f>APPLICANTS_PER_YEAR*($H365/Segments!$AH$2)*Q365</f>
        <v>0</v>
      </c>
      <c r="T365" s="51">
        <f t="shared" si="203"/>
        <v>0</v>
      </c>
      <c r="U365" s="14">
        <f t="shared" si="204"/>
        <v>7950.0957514100282</v>
      </c>
      <c r="V365" s="44">
        <f t="shared" si="205"/>
        <v>0</v>
      </c>
      <c r="W365" s="44">
        <f t="shared" si="206"/>
        <v>0</v>
      </c>
      <c r="X365" s="44">
        <f t="shared" si="207"/>
        <v>0</v>
      </c>
      <c r="Y365" s="14">
        <f t="shared" si="208"/>
        <v>8187.348623952329</v>
      </c>
      <c r="Z365" s="14">
        <f t="shared" si="209"/>
        <v>5009.4043209537922</v>
      </c>
      <c r="AA365" s="14">
        <f t="shared" si="210"/>
        <v>8187.348623952329</v>
      </c>
      <c r="AB365" s="14">
        <f t="shared" si="211"/>
        <v>3468.0472316727</v>
      </c>
      <c r="AC365" s="14">
        <f t="shared" si="212"/>
        <v>1469.0166687083909</v>
      </c>
      <c r="AD365" s="33">
        <f t="shared" si="213"/>
        <v>0.95</v>
      </c>
      <c r="AE365" s="33">
        <f t="shared" si="214"/>
        <v>0.6382069403074625</v>
      </c>
      <c r="AF365" s="51">
        <f t="shared" si="215"/>
        <v>0</v>
      </c>
      <c r="AG365" s="51">
        <f>APPLICANTS_PER_YEAR*($H365/Segments!$AH$2)*AE365</f>
        <v>0</v>
      </c>
      <c r="AH365" s="51">
        <f t="shared" si="216"/>
        <v>0</v>
      </c>
      <c r="AI365" s="14">
        <f t="shared" si="217"/>
        <v>8187.348623952329</v>
      </c>
      <c r="AJ365" s="44">
        <f t="shared" si="218"/>
        <v>0</v>
      </c>
      <c r="AK365" s="44">
        <f t="shared" si="219"/>
        <v>0</v>
      </c>
      <c r="AL365" s="44">
        <f t="shared" si="220"/>
        <v>0</v>
      </c>
      <c r="AM365" s="14">
        <f t="shared" si="221"/>
        <v>8431.7190826708975</v>
      </c>
      <c r="AN365" s="14">
        <f t="shared" si="222"/>
        <v>5159.686450582406</v>
      </c>
      <c r="AO365" s="14">
        <f t="shared" si="223"/>
        <v>8431.7190826708975</v>
      </c>
      <c r="AP365" s="14">
        <f t="shared" si="224"/>
        <v>3571.8238974870355</v>
      </c>
      <c r="AQ365" s="14">
        <f t="shared" si="225"/>
        <v>1513.0871687696424</v>
      </c>
      <c r="AR365" s="33">
        <f t="shared" si="226"/>
        <v>0.95</v>
      </c>
      <c r="AS365" s="33">
        <f t="shared" si="227"/>
        <v>0.63819124175828235</v>
      </c>
      <c r="AT365" s="51">
        <f t="shared" si="228"/>
        <v>0</v>
      </c>
      <c r="AU365" s="51">
        <f>APPLICANTS_PER_YEAR*($H365/Segments!$AH$2)*AS365</f>
        <v>0</v>
      </c>
      <c r="AV365" s="51">
        <f t="shared" si="229"/>
        <v>0</v>
      </c>
      <c r="AW365" s="14">
        <f t="shared" si="230"/>
        <v>8431.7190826708975</v>
      </c>
      <c r="AX365" s="44">
        <f t="shared" si="231"/>
        <v>0</v>
      </c>
      <c r="AY365" s="44">
        <f t="shared" si="232"/>
        <v>0</v>
      </c>
      <c r="AZ365" s="44">
        <f t="shared" si="233"/>
        <v>0</v>
      </c>
    </row>
    <row r="366" spans="1:52" ht="15" customHeight="1" x14ac:dyDescent="0.35">
      <c r="A366" s="59" t="str">
        <f>Segments!$A$346</f>
        <v>Greek</v>
      </c>
      <c r="B366" s="59" t="str">
        <f>Segments!$B$346</f>
        <v>Off 3-6mi</v>
      </c>
      <c r="C366" s="59" t="str">
        <f>Segments!$C$346</f>
        <v>No</v>
      </c>
      <c r="D366" s="59" t="str">
        <f>Segments!$D$346</f>
        <v>&lt;1.0</v>
      </c>
      <c r="E366" s="59" t="str">
        <f>Segments!$E$346</f>
        <v>Sophomore</v>
      </c>
      <c r="F366" s="59">
        <f>Segments!$F$346</f>
        <v>1</v>
      </c>
      <c r="G366" s="59" t="str">
        <f>Segments!$G$346</f>
        <v>Sophomore</v>
      </c>
      <c r="H366" s="60">
        <f>Segments!$H$346</f>
        <v>1</v>
      </c>
      <c r="I366" s="26">
        <f>Segments!$Y$346</f>
        <v>4814.0192793936694</v>
      </c>
      <c r="J366" s="29">
        <v>1</v>
      </c>
      <c r="K366" s="14">
        <f t="shared" si="195"/>
        <v>1426.2297754450396</v>
      </c>
      <c r="L366" s="14">
        <f t="shared" si="196"/>
        <v>4814.0192793936694</v>
      </c>
      <c r="M366" s="14">
        <f t="shared" si="197"/>
        <v>7869.6373142258326</v>
      </c>
      <c r="N366" s="14">
        <f t="shared" si="198"/>
        <v>3350.2105992761431</v>
      </c>
      <c r="O366" s="14">
        <f t="shared" si="199"/>
        <v>1426.2297754450396</v>
      </c>
      <c r="P366" s="33">
        <f t="shared" si="200"/>
        <v>0.95</v>
      </c>
      <c r="Q366" s="33">
        <f t="shared" si="201"/>
        <v>0.63714326559751266</v>
      </c>
      <c r="R366" s="51">
        <f t="shared" si="202"/>
        <v>0</v>
      </c>
      <c r="S366" s="51">
        <f>APPLICANTS_PER_YEAR*($H366/Segments!$AH$2)*Q366</f>
        <v>0.76457191871701513</v>
      </c>
      <c r="T366" s="51">
        <f t="shared" si="203"/>
        <v>0.76457191871701513</v>
      </c>
      <c r="U366" s="14">
        <f t="shared" si="204"/>
        <v>1426.2297754450396</v>
      </c>
      <c r="V366" s="44">
        <f t="shared" si="205"/>
        <v>1090.4552359433517</v>
      </c>
      <c r="W366" s="44">
        <f t="shared" si="206"/>
        <v>4122.3436320491273</v>
      </c>
      <c r="X366" s="44">
        <f t="shared" si="207"/>
        <v>278.66770919357646</v>
      </c>
      <c r="Y366" s="14">
        <f t="shared" si="208"/>
        <v>7950.0957514100282</v>
      </c>
      <c r="Z366" s="14">
        <f t="shared" si="209"/>
        <v>4958.43985777548</v>
      </c>
      <c r="AA366" s="14">
        <f t="shared" si="210"/>
        <v>8104.4764336526086</v>
      </c>
      <c r="AB366" s="14">
        <f t="shared" si="211"/>
        <v>3450.4508360778032</v>
      </c>
      <c r="AC366" s="14">
        <f t="shared" si="212"/>
        <v>1469.0166687083909</v>
      </c>
      <c r="AD366" s="33">
        <f t="shared" si="213"/>
        <v>0.95</v>
      </c>
      <c r="AE366" s="33">
        <f t="shared" si="214"/>
        <v>0.63712685117138901</v>
      </c>
      <c r="AF366" s="51">
        <f t="shared" si="215"/>
        <v>0</v>
      </c>
      <c r="AG366" s="51">
        <f>APPLICANTS_PER_YEAR*($H366/Segments!$AH$2)*AE366</f>
        <v>0.76455222140566681</v>
      </c>
      <c r="AH366" s="51">
        <f t="shared" si="216"/>
        <v>0.76455222140566681</v>
      </c>
      <c r="AI366" s="14">
        <f t="shared" si="217"/>
        <v>1469.0166687083909</v>
      </c>
      <c r="AJ366" s="44">
        <f t="shared" si="218"/>
        <v>1123.1399573429528</v>
      </c>
      <c r="AK366" s="44">
        <f t="shared" si="219"/>
        <v>4245.9045529248788</v>
      </c>
      <c r="AL366" s="44">
        <f t="shared" si="220"/>
        <v>285.98820040807647</v>
      </c>
      <c r="AM366" s="14">
        <f t="shared" si="221"/>
        <v>8187.348623952329</v>
      </c>
      <c r="AN366" s="14">
        <f t="shared" si="222"/>
        <v>5107.193053508744</v>
      </c>
      <c r="AO366" s="14">
        <f t="shared" si="223"/>
        <v>8346.3607266621857</v>
      </c>
      <c r="AP366" s="14">
        <f t="shared" si="224"/>
        <v>3553.698259761994</v>
      </c>
      <c r="AQ366" s="14">
        <f t="shared" si="225"/>
        <v>1513.0871687696424</v>
      </c>
      <c r="AR366" s="33">
        <f t="shared" si="226"/>
        <v>0.95</v>
      </c>
      <c r="AS366" s="33">
        <f t="shared" si="227"/>
        <v>0.63711091120170393</v>
      </c>
      <c r="AT366" s="51">
        <f t="shared" si="228"/>
        <v>0</v>
      </c>
      <c r="AU366" s="51">
        <f>APPLICANTS_PER_YEAR*($H366/Segments!$AH$2)*AS366</f>
        <v>0.76453309344204468</v>
      </c>
      <c r="AV366" s="51">
        <f t="shared" si="229"/>
        <v>0.76453309344204468</v>
      </c>
      <c r="AW366" s="14">
        <f t="shared" si="230"/>
        <v>1513.0871687696424</v>
      </c>
      <c r="AX366" s="44">
        <f t="shared" si="231"/>
        <v>1156.8052137869199</v>
      </c>
      <c r="AY366" s="44">
        <f t="shared" si="232"/>
        <v>4373.1722764853339</v>
      </c>
      <c r="AZ366" s="44">
        <f t="shared" si="233"/>
        <v>293.52835709316207</v>
      </c>
    </row>
    <row r="367" spans="1:52" ht="15" customHeight="1" x14ac:dyDescent="0.35">
      <c r="A367" s="59" t="str">
        <f>Segments!$A$347</f>
        <v>Greek</v>
      </c>
      <c r="B367" s="59" t="str">
        <f>Segments!$B$347</f>
        <v>Off 3-6mi</v>
      </c>
      <c r="C367" s="59" t="str">
        <f>Segments!$C$347</f>
        <v>No</v>
      </c>
      <c r="D367" s="59" t="str">
        <f>Segments!$D$347</f>
        <v>&lt;1.0</v>
      </c>
      <c r="E367" s="59" t="str">
        <f>Segments!$E$347</f>
        <v>Junior</v>
      </c>
      <c r="F367" s="59">
        <f>Segments!$F$347</f>
        <v>2</v>
      </c>
      <c r="G367" s="59" t="str">
        <f>Segments!$G$347</f>
        <v>Base</v>
      </c>
      <c r="H367" s="60">
        <f>Segments!$H$347</f>
        <v>0</v>
      </c>
      <c r="I367" s="26">
        <f>Segments!$Y$347</f>
        <v>5754.8020005107137</v>
      </c>
      <c r="J367" s="29">
        <v>2</v>
      </c>
      <c r="K367" s="14">
        <f t="shared" si="195"/>
        <v>1426.2297754450396</v>
      </c>
      <c r="L367" s="14">
        <f t="shared" si="196"/>
        <v>5754.8020005107137</v>
      </c>
      <c r="M367" s="14">
        <f t="shared" si="197"/>
        <v>9399.423361855168</v>
      </c>
      <c r="N367" s="14">
        <f t="shared" si="198"/>
        <v>3661.3846384519006</v>
      </c>
      <c r="O367" s="14">
        <f t="shared" si="199"/>
        <v>1426.2297754450396</v>
      </c>
      <c r="P367" s="33">
        <f t="shared" si="200"/>
        <v>0.95</v>
      </c>
      <c r="Q367" s="33">
        <f t="shared" si="201"/>
        <v>0.65523355010741569</v>
      </c>
      <c r="R367" s="51">
        <f t="shared" si="202"/>
        <v>0.95</v>
      </c>
      <c r="S367" s="51">
        <f>APPLICANTS_PER_YEAR*($H367/Segments!$AH$2)*Q367</f>
        <v>0</v>
      </c>
      <c r="T367" s="51">
        <f t="shared" si="203"/>
        <v>0.95</v>
      </c>
      <c r="U367" s="14">
        <f t="shared" si="204"/>
        <v>1426.2297754450396</v>
      </c>
      <c r="V367" s="44">
        <f t="shared" si="205"/>
        <v>1354.9182866727876</v>
      </c>
      <c r="W367" s="44">
        <f t="shared" si="206"/>
        <v>6123.1093285433999</v>
      </c>
      <c r="X367" s="44">
        <f t="shared" si="207"/>
        <v>275.07955618115687</v>
      </c>
      <c r="Y367" s="14">
        <f t="shared" si="208"/>
        <v>1426.2297754450396</v>
      </c>
      <c r="Z367" s="14">
        <f t="shared" si="209"/>
        <v>5927.4460605260356</v>
      </c>
      <c r="AA367" s="14">
        <f t="shared" si="210"/>
        <v>9680.1560627108229</v>
      </c>
      <c r="AB367" s="14">
        <f t="shared" si="211"/>
        <v>3770.9827116841552</v>
      </c>
      <c r="AC367" s="14">
        <f t="shared" si="212"/>
        <v>1469.0166687083909</v>
      </c>
      <c r="AD367" s="33">
        <f t="shared" si="213"/>
        <v>0.95</v>
      </c>
      <c r="AE367" s="33">
        <f t="shared" si="214"/>
        <v>0.65522097540294544</v>
      </c>
      <c r="AF367" s="51">
        <f t="shared" si="215"/>
        <v>0.72634332278116431</v>
      </c>
      <c r="AG367" s="51">
        <f>APPLICANTS_PER_YEAR*($H367/Segments!$AH$2)*AE367</f>
        <v>0</v>
      </c>
      <c r="AH367" s="51">
        <f t="shared" si="216"/>
        <v>0.72634332278116431</v>
      </c>
      <c r="AI367" s="14">
        <f t="shared" si="217"/>
        <v>1469.0166687083909</v>
      </c>
      <c r="AJ367" s="44">
        <f t="shared" si="218"/>
        <v>1067.0104483705695</v>
      </c>
      <c r="AK367" s="44">
        <f t="shared" si="219"/>
        <v>4822.0041712736356</v>
      </c>
      <c r="AL367" s="44">
        <f t="shared" si="220"/>
        <v>216.19184119766092</v>
      </c>
      <c r="AM367" s="14">
        <f t="shared" si="221"/>
        <v>1469.0166687083909</v>
      </c>
      <c r="AN367" s="14">
        <f t="shared" si="222"/>
        <v>6105.2694423418161</v>
      </c>
      <c r="AO367" s="14">
        <f t="shared" si="223"/>
        <v>9969.3107445921469</v>
      </c>
      <c r="AP367" s="14">
        <f t="shared" si="224"/>
        <v>3883.8687116224346</v>
      </c>
      <c r="AQ367" s="14">
        <f t="shared" si="225"/>
        <v>1513.0871687696424</v>
      </c>
      <c r="AR367" s="33">
        <f t="shared" si="226"/>
        <v>0.95</v>
      </c>
      <c r="AS367" s="33">
        <f t="shared" si="227"/>
        <v>0.65520876462150413</v>
      </c>
      <c r="AT367" s="51">
        <f t="shared" si="228"/>
        <v>0.72632461033538342</v>
      </c>
      <c r="AU367" s="51">
        <f>APPLICANTS_PER_YEAR*($H367/Segments!$AH$2)*AS367</f>
        <v>0</v>
      </c>
      <c r="AV367" s="51">
        <f t="shared" si="229"/>
        <v>0.72632461033538342</v>
      </c>
      <c r="AW367" s="14">
        <f t="shared" si="230"/>
        <v>1513.0871687696424</v>
      </c>
      <c r="AX367" s="44">
        <f t="shared" si="231"/>
        <v>1098.9924482600791</v>
      </c>
      <c r="AY367" s="44">
        <f t="shared" si="232"/>
        <v>4966.5363425456171</v>
      </c>
      <c r="AZ367" s="44">
        <f t="shared" si="233"/>
        <v>222.23606492786263</v>
      </c>
    </row>
    <row r="368" spans="1:52" ht="15" customHeight="1" x14ac:dyDescent="0.35">
      <c r="A368" s="59" t="str">
        <f>Segments!$A$348</f>
        <v>Greek</v>
      </c>
      <c r="B368" s="59" t="str">
        <f>Segments!$B$348</f>
        <v>Off 3-6mi</v>
      </c>
      <c r="C368" s="59" t="str">
        <f>Segments!$C$348</f>
        <v>No</v>
      </c>
      <c r="D368" s="59" t="str">
        <f>Segments!$D$348</f>
        <v>&lt;1.0</v>
      </c>
      <c r="E368" s="59" t="str">
        <f>Segments!$E$348</f>
        <v>Senior</v>
      </c>
      <c r="F368" s="59">
        <f>Segments!$F$348</f>
        <v>3</v>
      </c>
      <c r="G368" s="59" t="str">
        <f>Segments!$G$348</f>
        <v>Base</v>
      </c>
      <c r="H368" s="60">
        <f>Segments!$H$348</f>
        <v>0</v>
      </c>
      <c r="I368" s="26">
        <f>Segments!$Y$348</f>
        <v>5378.9412442328257</v>
      </c>
      <c r="J368" s="29">
        <v>3</v>
      </c>
      <c r="K368" s="14">
        <f t="shared" si="195"/>
        <v>1426.2297754450396</v>
      </c>
      <c r="L368" s="14">
        <f t="shared" si="196"/>
        <v>5378.9412442328257</v>
      </c>
      <c r="M368" s="14">
        <f t="shared" si="197"/>
        <v>8788.2444701737713</v>
      </c>
      <c r="N368" s="14">
        <f t="shared" si="198"/>
        <v>3540.3468667987959</v>
      </c>
      <c r="O368" s="14">
        <f t="shared" si="199"/>
        <v>1426.2297754450396</v>
      </c>
      <c r="P368" s="33">
        <f t="shared" si="200"/>
        <v>0.95</v>
      </c>
      <c r="Q368" s="33">
        <f t="shared" si="201"/>
        <v>0.64857485309982554</v>
      </c>
      <c r="R368" s="51">
        <f t="shared" si="202"/>
        <v>0</v>
      </c>
      <c r="S368" s="51">
        <f>APPLICANTS_PER_YEAR*($H368/Segments!$AH$2)*Q368</f>
        <v>0</v>
      </c>
      <c r="T368" s="51">
        <f t="shared" si="203"/>
        <v>0</v>
      </c>
      <c r="U368" s="14">
        <f t="shared" si="204"/>
        <v>8788.2444701737713</v>
      </c>
      <c r="V368" s="44">
        <f t="shared" si="205"/>
        <v>0</v>
      </c>
      <c r="W368" s="44">
        <f t="shared" si="206"/>
        <v>0</v>
      </c>
      <c r="X368" s="44">
        <f t="shared" si="207"/>
        <v>0</v>
      </c>
      <c r="Y368" s="14">
        <f t="shared" si="208"/>
        <v>1426.2297754450396</v>
      </c>
      <c r="Z368" s="14">
        <f t="shared" si="209"/>
        <v>5540.3094815598106</v>
      </c>
      <c r="AA368" s="14">
        <f t="shared" si="210"/>
        <v>9050.6418042789846</v>
      </c>
      <c r="AB368" s="14">
        <f t="shared" si="211"/>
        <v>3646.3054826762404</v>
      </c>
      <c r="AC368" s="14">
        <f t="shared" si="212"/>
        <v>1469.0166687083909</v>
      </c>
      <c r="AD368" s="33">
        <f t="shared" si="213"/>
        <v>0.95</v>
      </c>
      <c r="AE368" s="33">
        <f t="shared" si="214"/>
        <v>0.64856094399005315</v>
      </c>
      <c r="AF368" s="51">
        <f t="shared" si="215"/>
        <v>0.90249999999999997</v>
      </c>
      <c r="AG368" s="51">
        <f>APPLICANTS_PER_YEAR*($H368/Segments!$AH$2)*AE368</f>
        <v>0</v>
      </c>
      <c r="AH368" s="51">
        <f t="shared" si="216"/>
        <v>0.90249999999999997</v>
      </c>
      <c r="AI368" s="14">
        <f t="shared" si="217"/>
        <v>1469.0166687083909</v>
      </c>
      <c r="AJ368" s="44">
        <f t="shared" si="218"/>
        <v>1325.7875435093226</v>
      </c>
      <c r="AK368" s="44">
        <f t="shared" si="219"/>
        <v>5600.144823960657</v>
      </c>
      <c r="AL368" s="44">
        <f t="shared" si="220"/>
        <v>268.62384572326198</v>
      </c>
      <c r="AM368" s="14">
        <f t="shared" si="221"/>
        <v>1469.0166687083909</v>
      </c>
      <c r="AN368" s="14">
        <f t="shared" si="222"/>
        <v>5706.5187660066049</v>
      </c>
      <c r="AO368" s="14">
        <f t="shared" si="223"/>
        <v>9320.9110584073533</v>
      </c>
      <c r="AP368" s="14">
        <f t="shared" si="224"/>
        <v>3755.4428398950818</v>
      </c>
      <c r="AQ368" s="14">
        <f t="shared" si="225"/>
        <v>1513.0871687696424</v>
      </c>
      <c r="AR368" s="33">
        <f t="shared" si="226"/>
        <v>0.95</v>
      </c>
      <c r="AS368" s="33">
        <f t="shared" si="227"/>
        <v>0.64854743724285857</v>
      </c>
      <c r="AT368" s="51">
        <f t="shared" si="228"/>
        <v>0.69002615664210609</v>
      </c>
      <c r="AU368" s="51">
        <f>APPLICANTS_PER_YEAR*($H368/Segments!$AH$2)*AS368</f>
        <v>0</v>
      </c>
      <c r="AV368" s="51">
        <f t="shared" si="229"/>
        <v>0.69002615664210609</v>
      </c>
      <c r="AW368" s="14">
        <f t="shared" si="230"/>
        <v>1513.0871687696424</v>
      </c>
      <c r="AX368" s="44">
        <f t="shared" si="231"/>
        <v>1044.0697237306022</v>
      </c>
      <c r="AY368" s="44">
        <f t="shared" si="232"/>
        <v>4410.1648773432225</v>
      </c>
      <c r="AZ368" s="44">
        <f t="shared" si="233"/>
        <v>211.12970091792593</v>
      </c>
    </row>
    <row r="369" spans="1:52" ht="15" customHeight="1" x14ac:dyDescent="0.35">
      <c r="A369" s="59" t="str">
        <f>Segments!$A$349</f>
        <v>Greek</v>
      </c>
      <c r="B369" s="59" t="str">
        <f>Segments!$B$349</f>
        <v>Off 3-6mi</v>
      </c>
      <c r="C369" s="59" t="str">
        <f>Segments!$C$349</f>
        <v>No</v>
      </c>
      <c r="D369" s="59" t="str">
        <f>Segments!$D$349</f>
        <v>&lt;1.0</v>
      </c>
      <c r="E369" s="59" t="str">
        <f>Segments!$E$349</f>
        <v>Grad student</v>
      </c>
      <c r="F369" s="59">
        <f>Segments!$F$349</f>
        <v>3</v>
      </c>
      <c r="G369" s="59" t="str">
        <f>Segments!$G$349</f>
        <v>Grad</v>
      </c>
      <c r="H369" s="60">
        <f>Segments!$H$349</f>
        <v>0</v>
      </c>
      <c r="I369" s="26">
        <f>Segments!$Y$349</f>
        <v>6404.6000573631418</v>
      </c>
      <c r="J369" s="29">
        <v>4</v>
      </c>
      <c r="K369" s="14">
        <f t="shared" si="195"/>
        <v>1426.2297754450396</v>
      </c>
      <c r="L369" s="14">
        <f t="shared" si="196"/>
        <v>6404.6000573631418</v>
      </c>
      <c r="M369" s="14">
        <f t="shared" si="197"/>
        <v>10456.045660327236</v>
      </c>
      <c r="N369" s="14">
        <f t="shared" si="198"/>
        <v>3861.699581035738</v>
      </c>
      <c r="O369" s="14">
        <f t="shared" si="199"/>
        <v>1426.2297754450396</v>
      </c>
      <c r="P369" s="33">
        <f t="shared" si="200"/>
        <v>0.95</v>
      </c>
      <c r="Q369" s="33">
        <f t="shared" si="201"/>
        <v>0.66533651886735923</v>
      </c>
      <c r="R369" s="51">
        <f t="shared" si="202"/>
        <v>0</v>
      </c>
      <c r="S369" s="51">
        <f>APPLICANTS_PER_YEAR*($H369/Segments!$AH$2)*Q369</f>
        <v>0</v>
      </c>
      <c r="T369" s="51">
        <f t="shared" si="203"/>
        <v>0</v>
      </c>
      <c r="U369" s="14">
        <f t="shared" si="204"/>
        <v>10456.045660327236</v>
      </c>
      <c r="V369" s="44">
        <f t="shared" si="205"/>
        <v>0</v>
      </c>
      <c r="W369" s="44">
        <f t="shared" si="206"/>
        <v>0</v>
      </c>
      <c r="X369" s="44">
        <f t="shared" si="207"/>
        <v>0</v>
      </c>
      <c r="Y369" s="14">
        <f t="shared" si="208"/>
        <v>10456.045660327236</v>
      </c>
      <c r="Z369" s="14">
        <f t="shared" si="209"/>
        <v>6596.7380590840366</v>
      </c>
      <c r="AA369" s="14">
        <f t="shared" si="210"/>
        <v>10768.477030137054</v>
      </c>
      <c r="AB369" s="14">
        <f t="shared" si="211"/>
        <v>3977.319732417141</v>
      </c>
      <c r="AC369" s="14">
        <f t="shared" si="212"/>
        <v>1469.0166687083909</v>
      </c>
      <c r="AD369" s="33">
        <f t="shared" si="213"/>
        <v>0.95</v>
      </c>
      <c r="AE369" s="33">
        <f t="shared" si="214"/>
        <v>0.6653258013511999</v>
      </c>
      <c r="AF369" s="51">
        <f t="shared" si="215"/>
        <v>0</v>
      </c>
      <c r="AG369" s="51">
        <f>APPLICANTS_PER_YEAR*($H369/Segments!$AH$2)*AE369</f>
        <v>0</v>
      </c>
      <c r="AH369" s="51">
        <f t="shared" si="216"/>
        <v>0</v>
      </c>
      <c r="AI369" s="14">
        <f t="shared" si="217"/>
        <v>10768.477030137054</v>
      </c>
      <c r="AJ369" s="44">
        <f t="shared" si="218"/>
        <v>0</v>
      </c>
      <c r="AK369" s="44">
        <f t="shared" si="219"/>
        <v>0</v>
      </c>
      <c r="AL369" s="44">
        <f t="shared" si="220"/>
        <v>0</v>
      </c>
      <c r="AM369" s="14">
        <f t="shared" si="221"/>
        <v>10768.477030137054</v>
      </c>
      <c r="AN369" s="14">
        <f t="shared" si="222"/>
        <v>6794.6402008565565</v>
      </c>
      <c r="AO369" s="14">
        <f t="shared" si="223"/>
        <v>11090.281341041164</v>
      </c>
      <c r="AP369" s="14">
        <f t="shared" si="224"/>
        <v>4096.4084751370647</v>
      </c>
      <c r="AQ369" s="14">
        <f t="shared" si="225"/>
        <v>1513.0871687696424</v>
      </c>
      <c r="AR369" s="33">
        <f t="shared" si="226"/>
        <v>0.95</v>
      </c>
      <c r="AS369" s="33">
        <f t="shared" si="227"/>
        <v>0.66531539421016661</v>
      </c>
      <c r="AT369" s="51">
        <f t="shared" si="228"/>
        <v>0</v>
      </c>
      <c r="AU369" s="51">
        <f>APPLICANTS_PER_YEAR*($H369/Segments!$AH$2)*AS369</f>
        <v>0</v>
      </c>
      <c r="AV369" s="51">
        <f t="shared" si="229"/>
        <v>0</v>
      </c>
      <c r="AW369" s="14">
        <f t="shared" si="230"/>
        <v>11090.281341041164</v>
      </c>
      <c r="AX369" s="44">
        <f t="shared" si="231"/>
        <v>0</v>
      </c>
      <c r="AY369" s="44">
        <f t="shared" si="232"/>
        <v>0</v>
      </c>
      <c r="AZ369" s="44">
        <f t="shared" si="233"/>
        <v>0</v>
      </c>
    </row>
    <row r="370" spans="1:52" ht="15" customHeight="1" x14ac:dyDescent="0.35">
      <c r="A370" s="61" t="str">
        <f>Segments!$A$350</f>
        <v>Greek</v>
      </c>
      <c r="B370" s="61" t="str">
        <f>Segments!$B$350</f>
        <v>Off 3-6mi</v>
      </c>
      <c r="C370" s="61" t="str">
        <f>Segments!$C$350</f>
        <v>No</v>
      </c>
      <c r="D370" s="61" t="str">
        <f>Segments!$D$350</f>
        <v>1.0-2.0</v>
      </c>
      <c r="E370" s="61" t="str">
        <f>Segments!$E$350</f>
        <v>Freshman</v>
      </c>
      <c r="F370" s="61">
        <f>Segments!$F$350</f>
        <v>1</v>
      </c>
      <c r="G370" s="61" t="str">
        <f>Segments!$G$350</f>
        <v>Base</v>
      </c>
      <c r="H370" s="62">
        <f>Segments!$H$350</f>
        <v>4</v>
      </c>
      <c r="I370" s="63">
        <f>Segments!$Y$350</f>
        <v>4413.2418371730728</v>
      </c>
      <c r="J370" s="42">
        <v>0</v>
      </c>
      <c r="K370" s="40">
        <f t="shared" si="195"/>
        <v>7217.9419487054411</v>
      </c>
      <c r="L370" s="40">
        <f t="shared" si="196"/>
        <v>4413.2418371730728</v>
      </c>
      <c r="M370" s="40">
        <f t="shared" si="197"/>
        <v>7217.9419487054411</v>
      </c>
      <c r="N370" s="40">
        <f t="shared" si="198"/>
        <v>3208.4955547230379</v>
      </c>
      <c r="O370" s="40">
        <f t="shared" si="199"/>
        <v>1426.2297754450396</v>
      </c>
      <c r="P370" s="41">
        <f t="shared" si="200"/>
        <v>0.95</v>
      </c>
      <c r="Q370" s="41">
        <f t="shared" si="201"/>
        <v>0.62774166254561725</v>
      </c>
      <c r="R370" s="64">
        <f t="shared" si="202"/>
        <v>0</v>
      </c>
      <c r="S370" s="64">
        <f>APPLICANTS_PER_YEAR*($H370/Segments!$AH$2)*Q370</f>
        <v>3.0131599802189628</v>
      </c>
      <c r="T370" s="64">
        <f t="shared" si="203"/>
        <v>3.0131599802189628</v>
      </c>
      <c r="U370" s="40">
        <f t="shared" si="204"/>
        <v>1426.2297754450396</v>
      </c>
      <c r="V370" s="65">
        <f t="shared" si="205"/>
        <v>4297.4584819676711</v>
      </c>
      <c r="W370" s="65">
        <f t="shared" si="206"/>
        <v>14893.540129213667</v>
      </c>
      <c r="X370" s="65">
        <f t="shared" si="207"/>
        <v>1098.2228990706117</v>
      </c>
      <c r="Y370" s="40">
        <f t="shared" si="208"/>
        <v>7433.2302071666036</v>
      </c>
      <c r="Z370" s="40">
        <f t="shared" si="209"/>
        <v>4545.6390922882647</v>
      </c>
      <c r="AA370" s="40">
        <f t="shared" si="210"/>
        <v>7433.2302071666036</v>
      </c>
      <c r="AB370" s="40">
        <f t="shared" si="211"/>
        <v>3304.472586763955</v>
      </c>
      <c r="AC370" s="40">
        <f t="shared" si="212"/>
        <v>1469.0166687083909</v>
      </c>
      <c r="AD370" s="41">
        <f t="shared" si="213"/>
        <v>0.95</v>
      </c>
      <c r="AE370" s="41">
        <f t="shared" si="214"/>
        <v>0.62772297543146094</v>
      </c>
      <c r="AF370" s="64">
        <f t="shared" si="215"/>
        <v>0</v>
      </c>
      <c r="AG370" s="64">
        <f>APPLICANTS_PER_YEAR*($H370/Segments!$AH$2)*AE370</f>
        <v>3.0130702820710122</v>
      </c>
      <c r="AH370" s="64">
        <f t="shared" si="216"/>
        <v>3.0130702820710122</v>
      </c>
      <c r="AI370" s="40">
        <f t="shared" si="217"/>
        <v>1469.0166687083906</v>
      </c>
      <c r="AJ370" s="65">
        <f t="shared" si="218"/>
        <v>4426.2504683522093</v>
      </c>
      <c r="AK370" s="65">
        <f t="shared" si="219"/>
        <v>15339.889669433305</v>
      </c>
      <c r="AL370" s="65">
        <f t="shared" si="220"/>
        <v>1127.0682676040904</v>
      </c>
      <c r="AM370" s="40">
        <f t="shared" si="221"/>
        <v>7654.9771133816021</v>
      </c>
      <c r="AN370" s="40">
        <f t="shared" si="222"/>
        <v>4682.0082650569129</v>
      </c>
      <c r="AO370" s="40">
        <f t="shared" si="223"/>
        <v>7654.9771133816021</v>
      </c>
      <c r="AP370" s="40">
        <f t="shared" si="224"/>
        <v>3403.3289067445394</v>
      </c>
      <c r="AQ370" s="40">
        <f t="shared" si="225"/>
        <v>1513.0871687696424</v>
      </c>
      <c r="AR370" s="41">
        <f t="shared" si="226"/>
        <v>0.95</v>
      </c>
      <c r="AS370" s="41">
        <f t="shared" si="227"/>
        <v>0.62770482809183015</v>
      </c>
      <c r="AT370" s="64">
        <f t="shared" si="228"/>
        <v>0</v>
      </c>
      <c r="AU370" s="64">
        <f>APPLICANTS_PER_YEAR*($H370/Segments!$AH$2)*AS370</f>
        <v>3.0129831748407847</v>
      </c>
      <c r="AV370" s="64">
        <f t="shared" si="229"/>
        <v>3.0129831748407847</v>
      </c>
      <c r="AW370" s="40">
        <f t="shared" si="230"/>
        <v>1513.0871687696422</v>
      </c>
      <c r="AX370" s="65">
        <f t="shared" si="231"/>
        <v>4558.9061815704108</v>
      </c>
      <c r="AY370" s="65">
        <f t="shared" si="232"/>
        <v>15799.629582331811</v>
      </c>
      <c r="AZ370" s="65">
        <f t="shared" si="233"/>
        <v>1156.7792275396073</v>
      </c>
    </row>
    <row r="371" spans="1:52" ht="15" customHeight="1" x14ac:dyDescent="0.35">
      <c r="A371" s="61" t="str">
        <f>Segments!$A$351</f>
        <v>Greek</v>
      </c>
      <c r="B371" s="61" t="str">
        <f>Segments!$B$351</f>
        <v>Off 3-6mi</v>
      </c>
      <c r="C371" s="61" t="str">
        <f>Segments!$C$351</f>
        <v>No</v>
      </c>
      <c r="D371" s="61" t="str">
        <f>Segments!$D$351</f>
        <v>1.0-2.0</v>
      </c>
      <c r="E371" s="61" t="str">
        <f>Segments!$E$351</f>
        <v>Sophomore</v>
      </c>
      <c r="F371" s="61">
        <f>Segments!$F$351</f>
        <v>1</v>
      </c>
      <c r="G371" s="61" t="str">
        <f>Segments!$G$351</f>
        <v>Sophomore</v>
      </c>
      <c r="H371" s="62">
        <f>Segments!$H$351</f>
        <v>2</v>
      </c>
      <c r="I371" s="63">
        <f>Segments!$Y$351</f>
        <v>4368.3425863446282</v>
      </c>
      <c r="J371" s="42">
        <v>1</v>
      </c>
      <c r="K371" s="40">
        <f t="shared" si="195"/>
        <v>1426.2297754450396</v>
      </c>
      <c r="L371" s="40">
        <f t="shared" si="196"/>
        <v>4368.3425863446282</v>
      </c>
      <c r="M371" s="40">
        <f t="shared" si="197"/>
        <v>7144.9322665284453</v>
      </c>
      <c r="N371" s="40">
        <f t="shared" si="198"/>
        <v>3192.2273011270486</v>
      </c>
      <c r="O371" s="40">
        <f t="shared" si="199"/>
        <v>1426.2297754450396</v>
      </c>
      <c r="P371" s="41">
        <f t="shared" si="200"/>
        <v>0.95</v>
      </c>
      <c r="Q371" s="41">
        <f t="shared" si="201"/>
        <v>0.62660898787791597</v>
      </c>
      <c r="R371" s="64">
        <f t="shared" si="202"/>
        <v>3.8</v>
      </c>
      <c r="S371" s="64">
        <f>APPLICANTS_PER_YEAR*($H371/Segments!$AH$2)*Q371</f>
        <v>1.5038615709069982</v>
      </c>
      <c r="T371" s="64">
        <f t="shared" si="203"/>
        <v>5.3038615709069976</v>
      </c>
      <c r="U371" s="40">
        <f t="shared" si="204"/>
        <v>1426.2297754450399</v>
      </c>
      <c r="V371" s="65">
        <f t="shared" si="205"/>
        <v>7564.5252972662638</v>
      </c>
      <c r="W371" s="65">
        <f t="shared" si="206"/>
        <v>25949.374496942131</v>
      </c>
      <c r="X371" s="65">
        <f t="shared" si="207"/>
        <v>1648.4388771442677</v>
      </c>
      <c r="Y371" s="40">
        <f t="shared" si="208"/>
        <v>1426.2297754450396</v>
      </c>
      <c r="Z371" s="40">
        <f t="shared" si="209"/>
        <v>4499.392863934967</v>
      </c>
      <c r="AA371" s="40">
        <f t="shared" si="210"/>
        <v>7358.030234524299</v>
      </c>
      <c r="AB371" s="40">
        <f t="shared" si="211"/>
        <v>3287.7148695372753</v>
      </c>
      <c r="AC371" s="40">
        <f t="shared" si="212"/>
        <v>1469.0166687083909</v>
      </c>
      <c r="AD371" s="41">
        <f t="shared" si="213"/>
        <v>0.95</v>
      </c>
      <c r="AE371" s="41">
        <f t="shared" si="214"/>
        <v>0.62659001358059596</v>
      </c>
      <c r="AF371" s="64">
        <f t="shared" si="215"/>
        <v>2.8625019812080144</v>
      </c>
      <c r="AG371" s="64">
        <f>APPLICANTS_PER_YEAR*($H371/Segments!$AH$2)*AE371</f>
        <v>1.5038160325934302</v>
      </c>
      <c r="AH371" s="64">
        <f t="shared" si="216"/>
        <v>4.366318013801445</v>
      </c>
      <c r="AI371" s="40">
        <f t="shared" si="217"/>
        <v>1469.0166687083906</v>
      </c>
      <c r="AJ371" s="65">
        <f t="shared" si="218"/>
        <v>6414.1939431560359</v>
      </c>
      <c r="AK371" s="65">
        <f t="shared" si="219"/>
        <v>22003.273726525193</v>
      </c>
      <c r="AL371" s="65">
        <f t="shared" si="220"/>
        <v>1414.523994996629</v>
      </c>
      <c r="AM371" s="40">
        <f t="shared" si="221"/>
        <v>1469.0166687083906</v>
      </c>
      <c r="AN371" s="40">
        <f t="shared" si="222"/>
        <v>4634.3746498530163</v>
      </c>
      <c r="AO371" s="40">
        <f t="shared" si="223"/>
        <v>7577.5211415600279</v>
      </c>
      <c r="AP371" s="40">
        <f t="shared" si="224"/>
        <v>3386.0670416244229</v>
      </c>
      <c r="AQ371" s="40">
        <f t="shared" si="225"/>
        <v>1513.0871687696424</v>
      </c>
      <c r="AR371" s="41">
        <f t="shared" si="226"/>
        <v>0.95</v>
      </c>
      <c r="AS371" s="41">
        <f t="shared" si="227"/>
        <v>0.62657158730623386</v>
      </c>
      <c r="AT371" s="64">
        <f t="shared" si="228"/>
        <v>2.8624167679674617</v>
      </c>
      <c r="AU371" s="64">
        <f>APPLICANTS_PER_YEAR*($H371/Segments!$AH$2)*AS371</f>
        <v>1.5037718095349613</v>
      </c>
      <c r="AV371" s="64">
        <f t="shared" si="229"/>
        <v>4.366188577502423</v>
      </c>
      <c r="AW371" s="40">
        <f t="shared" si="230"/>
        <v>1513.0871687696426</v>
      </c>
      <c r="AX371" s="65">
        <f t="shared" si="231"/>
        <v>6606.4239130474944</v>
      </c>
      <c r="AY371" s="65">
        <f t="shared" si="232"/>
        <v>22662.700099261634</v>
      </c>
      <c r="AZ371" s="65">
        <f t="shared" si="233"/>
        <v>1453.1690103961689</v>
      </c>
    </row>
    <row r="372" spans="1:52" ht="15" customHeight="1" x14ac:dyDescent="0.35">
      <c r="A372" s="61" t="str">
        <f>Segments!$A$352</f>
        <v>Greek</v>
      </c>
      <c r="B372" s="61" t="str">
        <f>Segments!$B$352</f>
        <v>Off 3-6mi</v>
      </c>
      <c r="C372" s="61" t="str">
        <f>Segments!$C$352</f>
        <v>No</v>
      </c>
      <c r="D372" s="61" t="str">
        <f>Segments!$D$352</f>
        <v>1.0-2.0</v>
      </c>
      <c r="E372" s="61" t="str">
        <f>Segments!$E$352</f>
        <v>Junior</v>
      </c>
      <c r="F372" s="61">
        <f>Segments!$F$352</f>
        <v>2</v>
      </c>
      <c r="G372" s="61" t="str">
        <f>Segments!$G$352</f>
        <v>Base</v>
      </c>
      <c r="H372" s="62">
        <f>Segments!$H$352</f>
        <v>5</v>
      </c>
      <c r="I372" s="63">
        <f>Segments!$Y$352</f>
        <v>5222.0286616671965</v>
      </c>
      <c r="J372" s="42">
        <v>2</v>
      </c>
      <c r="K372" s="40">
        <f t="shared" si="195"/>
        <v>1426.2297754450396</v>
      </c>
      <c r="L372" s="40">
        <f t="shared" si="196"/>
        <v>5222.0286616671965</v>
      </c>
      <c r="M372" s="40">
        <f t="shared" si="197"/>
        <v>8533.0923780718149</v>
      </c>
      <c r="N372" s="40">
        <f t="shared" si="198"/>
        <v>3488.5742684124048</v>
      </c>
      <c r="O372" s="40">
        <f t="shared" si="199"/>
        <v>1426.2297754450396</v>
      </c>
      <c r="P372" s="41">
        <f t="shared" si="200"/>
        <v>0.95</v>
      </c>
      <c r="Q372" s="41">
        <f t="shared" si="201"/>
        <v>0.64558557942151906</v>
      </c>
      <c r="R372" s="64">
        <f t="shared" si="202"/>
        <v>1.9</v>
      </c>
      <c r="S372" s="64">
        <f>APPLICANTS_PER_YEAR*($H372/Segments!$AH$2)*Q372</f>
        <v>3.8735134765291144</v>
      </c>
      <c r="T372" s="64">
        <f t="shared" si="203"/>
        <v>5.7735134765291143</v>
      </c>
      <c r="U372" s="40">
        <f t="shared" si="204"/>
        <v>1426.2297754450396</v>
      </c>
      <c r="V372" s="65">
        <f t="shared" si="205"/>
        <v>8234.3568291590291</v>
      </c>
      <c r="W372" s="65">
        <f t="shared" si="206"/>
        <v>33767.387195311676</v>
      </c>
      <c r="X372" s="65">
        <f t="shared" si="207"/>
        <v>1961.9597561083374</v>
      </c>
      <c r="Y372" s="40">
        <f t="shared" si="208"/>
        <v>1426.2297754450399</v>
      </c>
      <c r="Z372" s="40">
        <f t="shared" si="209"/>
        <v>5378.6895215172126</v>
      </c>
      <c r="AA372" s="40">
        <f t="shared" si="210"/>
        <v>8787.8351494139697</v>
      </c>
      <c r="AB372" s="40">
        <f t="shared" si="211"/>
        <v>3592.9759693533456</v>
      </c>
      <c r="AC372" s="40">
        <f t="shared" si="212"/>
        <v>1469.0166687083909</v>
      </c>
      <c r="AD372" s="41">
        <f t="shared" si="213"/>
        <v>0.95</v>
      </c>
      <c r="AE372" s="41">
        <f t="shared" si="214"/>
        <v>0.6455710417717071</v>
      </c>
      <c r="AF372" s="64">
        <f t="shared" si="215"/>
        <v>5.0386684923616478</v>
      </c>
      <c r="AG372" s="64">
        <f>APPLICANTS_PER_YEAR*($H372/Segments!$AH$2)*AE372</f>
        <v>3.8734262506302426</v>
      </c>
      <c r="AH372" s="64">
        <f t="shared" si="216"/>
        <v>8.91209474299189</v>
      </c>
      <c r="AI372" s="40">
        <f t="shared" si="217"/>
        <v>1469.0166687083911</v>
      </c>
      <c r="AJ372" s="65">
        <f t="shared" si="218"/>
        <v>13092.015730563511</v>
      </c>
      <c r="AK372" s="65">
        <f t="shared" si="219"/>
        <v>53687.637481967009</v>
      </c>
      <c r="AL372" s="65">
        <f t="shared" si="220"/>
        <v>2948.6229946536937</v>
      </c>
      <c r="AM372" s="40">
        <f t="shared" si="221"/>
        <v>1469.0166687083906</v>
      </c>
      <c r="AN372" s="40">
        <f t="shared" si="222"/>
        <v>5540.0502071627288</v>
      </c>
      <c r="AO372" s="40">
        <f t="shared" si="223"/>
        <v>9050.2202038963878</v>
      </c>
      <c r="AP372" s="40">
        <f t="shared" si="224"/>
        <v>3700.5097034132209</v>
      </c>
      <c r="AQ372" s="40">
        <f t="shared" si="225"/>
        <v>1513.0871687696424</v>
      </c>
      <c r="AR372" s="41">
        <f t="shared" si="226"/>
        <v>0.95</v>
      </c>
      <c r="AS372" s="41">
        <f t="shared" si="227"/>
        <v>0.64555692458068359</v>
      </c>
      <c r="AT372" s="64">
        <f t="shared" si="228"/>
        <v>4.1480021131113727</v>
      </c>
      <c r="AU372" s="64">
        <f>APPLICANTS_PER_YEAR*($H372/Segments!$AH$2)*AS372</f>
        <v>3.8733415474841015</v>
      </c>
      <c r="AV372" s="64">
        <f t="shared" si="229"/>
        <v>8.0213436605954733</v>
      </c>
      <c r="AW372" s="40">
        <f t="shared" si="230"/>
        <v>1513.0871687696426</v>
      </c>
      <c r="AX372" s="65">
        <f t="shared" si="231"/>
        <v>12136.992169138726</v>
      </c>
      <c r="AY372" s="65">
        <f t="shared" si="232"/>
        <v>49771.284201638045</v>
      </c>
      <c r="AZ372" s="65">
        <f t="shared" si="233"/>
        <v>2756.2765507178501</v>
      </c>
    </row>
    <row r="373" spans="1:52" ht="15" customHeight="1" x14ac:dyDescent="0.35">
      <c r="A373" s="61" t="str">
        <f>Segments!$A$353</f>
        <v>Greek</v>
      </c>
      <c r="B373" s="61" t="str">
        <f>Segments!$B$353</f>
        <v>Off 3-6mi</v>
      </c>
      <c r="C373" s="61" t="str">
        <f>Segments!$C$353</f>
        <v>No</v>
      </c>
      <c r="D373" s="61" t="str">
        <f>Segments!$D$353</f>
        <v>1.0-2.0</v>
      </c>
      <c r="E373" s="61" t="str">
        <f>Segments!$E$353</f>
        <v>Senior</v>
      </c>
      <c r="F373" s="61">
        <f>Segments!$F$353</f>
        <v>3</v>
      </c>
      <c r="G373" s="61" t="str">
        <f>Segments!$G$353</f>
        <v>Base</v>
      </c>
      <c r="H373" s="62">
        <f>Segments!$H$353</f>
        <v>5</v>
      </c>
      <c r="I373" s="63">
        <f>Segments!$Y$353</f>
        <v>4880.9646872846124</v>
      </c>
      <c r="J373" s="42">
        <v>3</v>
      </c>
      <c r="K373" s="40">
        <f t="shared" si="195"/>
        <v>1426.2297754450396</v>
      </c>
      <c r="L373" s="40">
        <f t="shared" si="196"/>
        <v>4880.9646872846124</v>
      </c>
      <c r="M373" s="40">
        <f t="shared" si="197"/>
        <v>7978.4957664971707</v>
      </c>
      <c r="N373" s="40">
        <f t="shared" si="198"/>
        <v>3373.3022730612893</v>
      </c>
      <c r="O373" s="40">
        <f t="shared" si="199"/>
        <v>1426.2297754450396</v>
      </c>
      <c r="P373" s="41">
        <f t="shared" si="200"/>
        <v>0.95</v>
      </c>
      <c r="Q373" s="41">
        <f t="shared" si="201"/>
        <v>0.63860035952978378</v>
      </c>
      <c r="R373" s="64">
        <f t="shared" si="202"/>
        <v>4.75</v>
      </c>
      <c r="S373" s="64">
        <f>APPLICANTS_PER_YEAR*($H373/Segments!$AH$2)*Q373</f>
        <v>3.8316021571787027</v>
      </c>
      <c r="T373" s="64">
        <f t="shared" si="203"/>
        <v>8.5816021571787022</v>
      </c>
      <c r="U373" s="40">
        <f t="shared" si="204"/>
        <v>1426.2297754450396</v>
      </c>
      <c r="V373" s="65">
        <f t="shared" si="205"/>
        <v>12239.336517591648</v>
      </c>
      <c r="W373" s="65">
        <f t="shared" si="206"/>
        <v>46912.876740256463</v>
      </c>
      <c r="X373" s="65">
        <f t="shared" si="207"/>
        <v>2771.9227768458327</v>
      </c>
      <c r="Y373" s="40">
        <f t="shared" si="208"/>
        <v>1426.2297754450396</v>
      </c>
      <c r="Z373" s="40">
        <f t="shared" si="209"/>
        <v>5027.3936279031514</v>
      </c>
      <c r="AA373" s="40">
        <f t="shared" si="210"/>
        <v>8216.600639492086</v>
      </c>
      <c r="AB373" s="40">
        <f t="shared" si="211"/>
        <v>3474.2370816531643</v>
      </c>
      <c r="AC373" s="40">
        <f t="shared" si="212"/>
        <v>1469.0166687083909</v>
      </c>
      <c r="AD373" s="41">
        <f t="shared" si="213"/>
        <v>0.95</v>
      </c>
      <c r="AE373" s="41">
        <f t="shared" si="214"/>
        <v>0.63858427991773936</v>
      </c>
      <c r="AF373" s="64">
        <f t="shared" si="215"/>
        <v>5.4848378027026587</v>
      </c>
      <c r="AG373" s="64">
        <f>APPLICANTS_PER_YEAR*($H373/Segments!$AH$2)*AE373</f>
        <v>3.8315056795064359</v>
      </c>
      <c r="AH373" s="64">
        <f t="shared" si="216"/>
        <v>9.3163434822090956</v>
      </c>
      <c r="AI373" s="40">
        <f t="shared" si="217"/>
        <v>1469.0166687083906</v>
      </c>
      <c r="AJ373" s="65">
        <f t="shared" si="218"/>
        <v>13685.863866777934</v>
      </c>
      <c r="AK373" s="65">
        <f t="shared" si="219"/>
        <v>52457.356960752877</v>
      </c>
      <c r="AL373" s="65">
        <f t="shared" si="220"/>
        <v>3065.7418822834766</v>
      </c>
      <c r="AM373" s="40">
        <f t="shared" si="221"/>
        <v>1469.0166687083911</v>
      </c>
      <c r="AN373" s="40">
        <f t="shared" si="222"/>
        <v>5178.2154367402454</v>
      </c>
      <c r="AO373" s="40">
        <f t="shared" si="223"/>
        <v>8461.8486586768486</v>
      </c>
      <c r="AP373" s="40">
        <f t="shared" si="224"/>
        <v>3578.1999146937765</v>
      </c>
      <c r="AQ373" s="40">
        <f t="shared" si="225"/>
        <v>1513.0871687696424</v>
      </c>
      <c r="AR373" s="41">
        <f t="shared" si="226"/>
        <v>0.95</v>
      </c>
      <c r="AS373" s="41">
        <f t="shared" si="227"/>
        <v>0.63856866513296351</v>
      </c>
      <c r="AT373" s="64">
        <f t="shared" si="228"/>
        <v>8.4664900058422958</v>
      </c>
      <c r="AU373" s="64">
        <f>APPLICANTS_PER_YEAR*($H373/Segments!$AH$2)*AS373</f>
        <v>3.8314119907977808</v>
      </c>
      <c r="AV373" s="64">
        <f t="shared" si="229"/>
        <v>12.297901996640077</v>
      </c>
      <c r="AW373" s="40">
        <f t="shared" si="230"/>
        <v>1513.0871687696424</v>
      </c>
      <c r="AX373" s="65">
        <f t="shared" si="231"/>
        <v>18607.797713902666</v>
      </c>
      <c r="AY373" s="65">
        <f t="shared" si="232"/>
        <v>71322.92827354277</v>
      </c>
      <c r="AZ373" s="65">
        <f t="shared" si="233"/>
        <v>4061.5212188844698</v>
      </c>
    </row>
    <row r="374" spans="1:52" ht="15" customHeight="1" x14ac:dyDescent="0.35">
      <c r="A374" s="61" t="str">
        <f>Segments!$A$354</f>
        <v>Greek</v>
      </c>
      <c r="B374" s="61" t="str">
        <f>Segments!$B$354</f>
        <v>Off 3-6mi</v>
      </c>
      <c r="C374" s="61" t="str">
        <f>Segments!$C$354</f>
        <v>No</v>
      </c>
      <c r="D374" s="61" t="str">
        <f>Segments!$D$354</f>
        <v>1.0-2.0</v>
      </c>
      <c r="E374" s="61" t="str">
        <f>Segments!$E$354</f>
        <v>Grad student</v>
      </c>
      <c r="F374" s="61">
        <f>Segments!$F$354</f>
        <v>3</v>
      </c>
      <c r="G374" s="61" t="str">
        <f>Segments!$G$354</f>
        <v>Grad</v>
      </c>
      <c r="H374" s="62">
        <f>Segments!$H$354</f>
        <v>1</v>
      </c>
      <c r="I374" s="63">
        <f>Segments!$Y$354</f>
        <v>5811.6691179118943</v>
      </c>
      <c r="J374" s="42">
        <v>4</v>
      </c>
      <c r="K374" s="40">
        <f t="shared" si="195"/>
        <v>1426.2297754450396</v>
      </c>
      <c r="L374" s="40">
        <f t="shared" si="196"/>
        <v>5811.6691179118943</v>
      </c>
      <c r="M374" s="40">
        <f t="shared" si="197"/>
        <v>9491.8937280901373</v>
      </c>
      <c r="N374" s="40">
        <f t="shared" si="198"/>
        <v>3679.3506846130035</v>
      </c>
      <c r="O374" s="40">
        <f t="shared" si="199"/>
        <v>1426.2297754450396</v>
      </c>
      <c r="P374" s="41">
        <f t="shared" si="200"/>
        <v>0.95</v>
      </c>
      <c r="Q374" s="41">
        <f t="shared" si="201"/>
        <v>0.65618458286546133</v>
      </c>
      <c r="R374" s="64">
        <f t="shared" si="202"/>
        <v>0.47499999999999998</v>
      </c>
      <c r="S374" s="64">
        <f>APPLICANTS_PER_YEAR*($H374/Segments!$AH$2)*Q374</f>
        <v>0.78742149943855355</v>
      </c>
      <c r="T374" s="64">
        <f t="shared" si="203"/>
        <v>1.2624214994385534</v>
      </c>
      <c r="U374" s="40">
        <f t="shared" si="204"/>
        <v>1426.2297754450399</v>
      </c>
      <c r="V374" s="65">
        <f t="shared" si="205"/>
        <v>1800.5031316612385</v>
      </c>
      <c r="W374" s="65">
        <f t="shared" si="206"/>
        <v>8217.1891671240774</v>
      </c>
      <c r="X374" s="65">
        <f t="shared" si="207"/>
        <v>424.53559895007857</v>
      </c>
      <c r="Y374" s="40">
        <f t="shared" si="208"/>
        <v>1426.2297754450399</v>
      </c>
      <c r="Z374" s="40">
        <f t="shared" si="209"/>
        <v>5986.0191914492516</v>
      </c>
      <c r="AA374" s="40">
        <f t="shared" si="210"/>
        <v>9775.4005399328435</v>
      </c>
      <c r="AB374" s="40">
        <f t="shared" si="211"/>
        <v>3789.4889281356063</v>
      </c>
      <c r="AC374" s="40">
        <f t="shared" si="212"/>
        <v>1469.0166687083909</v>
      </c>
      <c r="AD374" s="41">
        <f t="shared" si="213"/>
        <v>0.95</v>
      </c>
      <c r="AE374" s="41">
        <f t="shared" si="214"/>
        <v>0.65617219147924333</v>
      </c>
      <c r="AF374" s="64">
        <f t="shared" si="215"/>
        <v>0.59965021223331283</v>
      </c>
      <c r="AG374" s="64">
        <f>APPLICANTS_PER_YEAR*($H374/Segments!$AH$2)*AE374</f>
        <v>0.78740662977509202</v>
      </c>
      <c r="AH374" s="64">
        <f t="shared" si="216"/>
        <v>1.3870568420084048</v>
      </c>
      <c r="AI374" s="40">
        <f t="shared" si="217"/>
        <v>1469.0166687083909</v>
      </c>
      <c r="AJ374" s="65">
        <f t="shared" si="218"/>
        <v>2037.6096213563676</v>
      </c>
      <c r="AK374" s="65">
        <f t="shared" si="219"/>
        <v>9299.3027410005016</v>
      </c>
      <c r="AL374" s="65">
        <f t="shared" si="220"/>
        <v>473.01949226758757</v>
      </c>
      <c r="AM374" s="40">
        <f t="shared" si="221"/>
        <v>1469.0166687083909</v>
      </c>
      <c r="AN374" s="40">
        <f t="shared" si="222"/>
        <v>6165.599767192728</v>
      </c>
      <c r="AO374" s="40">
        <f t="shared" si="223"/>
        <v>10067.412556130826</v>
      </c>
      <c r="AP374" s="40">
        <f t="shared" si="224"/>
        <v>3902.931303698791</v>
      </c>
      <c r="AQ374" s="40">
        <f t="shared" si="225"/>
        <v>1513.0871687696424</v>
      </c>
      <c r="AR374" s="41">
        <f t="shared" si="226"/>
        <v>0.95</v>
      </c>
      <c r="AS374" s="41">
        <f t="shared" si="227"/>
        <v>0.65616015873304034</v>
      </c>
      <c r="AT374" s="64">
        <f t="shared" si="228"/>
        <v>0.65885199995399224</v>
      </c>
      <c r="AU374" s="64">
        <f>APPLICANTS_PER_YEAR*($H374/Segments!$AH$2)*AS374</f>
        <v>0.78739219047964837</v>
      </c>
      <c r="AV374" s="64">
        <f t="shared" si="229"/>
        <v>1.4462441904336405</v>
      </c>
      <c r="AW374" s="40">
        <f t="shared" si="230"/>
        <v>1513.0871687696426</v>
      </c>
      <c r="AX374" s="65">
        <f t="shared" si="231"/>
        <v>2188.2935274527808</v>
      </c>
      <c r="AY374" s="65">
        <f t="shared" si="232"/>
        <v>9986.9983851024681</v>
      </c>
      <c r="AZ374" s="65">
        <f t="shared" si="233"/>
        <v>503.8959209663858</v>
      </c>
    </row>
    <row r="375" spans="1:52" ht="15" customHeight="1" x14ac:dyDescent="0.35">
      <c r="A375" s="59" t="str">
        <f>Segments!$A$355</f>
        <v>Greek</v>
      </c>
      <c r="B375" s="59" t="str">
        <f>Segments!$B$355</f>
        <v>Off 3-6mi</v>
      </c>
      <c r="C375" s="59" t="str">
        <f>Segments!$C$355</f>
        <v>No</v>
      </c>
      <c r="D375" s="59" t="str">
        <f>Segments!$D$355</f>
        <v>2.0-3.0</v>
      </c>
      <c r="E375" s="59" t="str">
        <f>Segments!$E$355</f>
        <v>Freshman</v>
      </c>
      <c r="F375" s="59">
        <f>Segments!$F$355</f>
        <v>1</v>
      </c>
      <c r="G375" s="59" t="str">
        <f>Segments!$G$355</f>
        <v>Base</v>
      </c>
      <c r="H375" s="60">
        <f>Segments!$H$355</f>
        <v>5</v>
      </c>
      <c r="I375" s="26">
        <f>Segments!$Y$355</f>
        <v>4336.8032507806984</v>
      </c>
      <c r="J375" s="29">
        <v>0</v>
      </c>
      <c r="K375" s="14">
        <f t="shared" si="195"/>
        <v>7093.6468481058882</v>
      </c>
      <c r="L375" s="14">
        <f t="shared" si="196"/>
        <v>4336.8032507806984</v>
      </c>
      <c r="M375" s="14">
        <f t="shared" si="197"/>
        <v>7093.6468481058882</v>
      </c>
      <c r="N375" s="14">
        <f t="shared" si="198"/>
        <v>3180.7499667940697</v>
      </c>
      <c r="O375" s="14">
        <f t="shared" si="199"/>
        <v>1426.2297754450396</v>
      </c>
      <c r="P375" s="33">
        <f t="shared" si="200"/>
        <v>0.95</v>
      </c>
      <c r="Q375" s="33">
        <f t="shared" si="201"/>
        <v>0.62580290963854668</v>
      </c>
      <c r="R375" s="51">
        <f t="shared" si="202"/>
        <v>0</v>
      </c>
      <c r="S375" s="51">
        <f>APPLICANTS_PER_YEAR*($H375/Segments!$AH$2)*Q375</f>
        <v>3.7548174578312801</v>
      </c>
      <c r="T375" s="51">
        <f t="shared" si="203"/>
        <v>3.7548174578312801</v>
      </c>
      <c r="U375" s="14">
        <f t="shared" si="204"/>
        <v>1426.2297754450396</v>
      </c>
      <c r="V375" s="44">
        <f t="shared" si="205"/>
        <v>5355.2324597198212</v>
      </c>
      <c r="W375" s="44">
        <f t="shared" si="206"/>
        <v>18237.973104076114</v>
      </c>
      <c r="X375" s="44">
        <f t="shared" si="207"/>
        <v>1368.5388565796475</v>
      </c>
      <c r="Y375" s="14">
        <f t="shared" si="208"/>
        <v>7305.206253549065</v>
      </c>
      <c r="Z375" s="14">
        <f t="shared" si="209"/>
        <v>4466.9073483041193</v>
      </c>
      <c r="AA375" s="14">
        <f t="shared" si="210"/>
        <v>7305.206253549065</v>
      </c>
      <c r="AB375" s="14">
        <f t="shared" si="211"/>
        <v>3275.8922074476673</v>
      </c>
      <c r="AC375" s="14">
        <f t="shared" si="212"/>
        <v>1469.0166687083909</v>
      </c>
      <c r="AD375" s="33">
        <f t="shared" si="213"/>
        <v>0.95</v>
      </c>
      <c r="AE375" s="33">
        <f t="shared" si="214"/>
        <v>0.62578372918244762</v>
      </c>
      <c r="AF375" s="51">
        <f t="shared" si="215"/>
        <v>0</v>
      </c>
      <c r="AG375" s="51">
        <f>APPLICANTS_PER_YEAR*($H375/Segments!$AH$2)*AE375</f>
        <v>3.754702375094686</v>
      </c>
      <c r="AH375" s="51">
        <f t="shared" si="216"/>
        <v>3.754702375094686</v>
      </c>
      <c r="AI375" s="14">
        <f t="shared" si="217"/>
        <v>1469.0166687083909</v>
      </c>
      <c r="AJ375" s="44">
        <f t="shared" si="218"/>
        <v>5515.7203750530789</v>
      </c>
      <c r="AK375" s="44">
        <f t="shared" si="219"/>
        <v>18784.536545606028</v>
      </c>
      <c r="AL375" s="44">
        <f t="shared" si="220"/>
        <v>1404.4829708911507</v>
      </c>
      <c r="AM375" s="14">
        <f t="shared" si="221"/>
        <v>7523.1124411555365</v>
      </c>
      <c r="AN375" s="14">
        <f t="shared" si="222"/>
        <v>4600.9145687532427</v>
      </c>
      <c r="AO375" s="14">
        <f t="shared" si="223"/>
        <v>7523.1124411555365</v>
      </c>
      <c r="AP375" s="14">
        <f t="shared" si="224"/>
        <v>3373.8886916914889</v>
      </c>
      <c r="AQ375" s="14">
        <f t="shared" si="225"/>
        <v>1513.0871687696424</v>
      </c>
      <c r="AR375" s="33">
        <f t="shared" si="226"/>
        <v>0.95</v>
      </c>
      <c r="AS375" s="33">
        <f t="shared" si="227"/>
        <v>0.62576510266984231</v>
      </c>
      <c r="AT375" s="51">
        <f t="shared" si="228"/>
        <v>0</v>
      </c>
      <c r="AU375" s="51">
        <f>APPLICANTS_PER_YEAR*($H375/Segments!$AH$2)*AS375</f>
        <v>3.7545906160190539</v>
      </c>
      <c r="AV375" s="51">
        <f t="shared" si="229"/>
        <v>3.7545906160190539</v>
      </c>
      <c r="AW375" s="14">
        <f t="shared" si="230"/>
        <v>1513.0871687696426</v>
      </c>
      <c r="AX375" s="44">
        <f t="shared" si="231"/>
        <v>5681.0228850813382</v>
      </c>
      <c r="AY375" s="44">
        <f t="shared" si="232"/>
        <v>19347.49674473983</v>
      </c>
      <c r="AZ375" s="44">
        <f t="shared" si="233"/>
        <v>1441.505703979077</v>
      </c>
    </row>
    <row r="376" spans="1:52" ht="15" customHeight="1" x14ac:dyDescent="0.35">
      <c r="A376" s="59" t="str">
        <f>Segments!$A$356</f>
        <v>Greek</v>
      </c>
      <c r="B376" s="59" t="str">
        <f>Segments!$B$356</f>
        <v>Off 3-6mi</v>
      </c>
      <c r="C376" s="59" t="str">
        <f>Segments!$C$356</f>
        <v>No</v>
      </c>
      <c r="D376" s="59" t="str">
        <f>Segments!$D$356</f>
        <v>2.0-3.0</v>
      </c>
      <c r="E376" s="59" t="str">
        <f>Segments!$E$356</f>
        <v>Sophomore</v>
      </c>
      <c r="F376" s="59">
        <f>Segments!$F$356</f>
        <v>1</v>
      </c>
      <c r="G376" s="59" t="str">
        <f>Segments!$G$356</f>
        <v>Sophomore</v>
      </c>
      <c r="H376" s="60">
        <f>Segments!$H$356</f>
        <v>7</v>
      </c>
      <c r="I376" s="26">
        <f>Segments!$Y$356</f>
        <v>4292.6816675694008</v>
      </c>
      <c r="J376" s="29">
        <v>1</v>
      </c>
      <c r="K376" s="14">
        <f t="shared" si="195"/>
        <v>1426.2297754450396</v>
      </c>
      <c r="L376" s="14">
        <f t="shared" si="196"/>
        <v>4292.6816675694008</v>
      </c>
      <c r="M376" s="14">
        <f t="shared" si="197"/>
        <v>7021.90171410107</v>
      </c>
      <c r="N376" s="14">
        <f t="shared" si="198"/>
        <v>3164.6240384758989</v>
      </c>
      <c r="O376" s="14">
        <f t="shared" si="199"/>
        <v>1426.2297754450396</v>
      </c>
      <c r="P376" s="33">
        <f t="shared" si="200"/>
        <v>0.95</v>
      </c>
      <c r="Q376" s="33">
        <f t="shared" si="201"/>
        <v>0.62466047181201334</v>
      </c>
      <c r="R376" s="51">
        <f t="shared" si="202"/>
        <v>4.75</v>
      </c>
      <c r="S376" s="51">
        <f>APPLICANTS_PER_YEAR*($H376/Segments!$AH$2)*Q376</f>
        <v>5.2471479632209119</v>
      </c>
      <c r="T376" s="51">
        <f t="shared" si="203"/>
        <v>9.997147963220911</v>
      </c>
      <c r="U376" s="14">
        <f t="shared" si="204"/>
        <v>1426.2297754450399</v>
      </c>
      <c r="V376" s="44">
        <f t="shared" si="205"/>
        <v>14258.230094675397</v>
      </c>
      <c r="W376" s="44">
        <f t="shared" si="206"/>
        <v>48064.322644460844</v>
      </c>
      <c r="X376" s="44">
        <f t="shared" si="207"/>
        <v>3287.8544993844921</v>
      </c>
      <c r="Y376" s="14">
        <f t="shared" si="208"/>
        <v>1426.2297754450396</v>
      </c>
      <c r="Z376" s="14">
        <f t="shared" si="209"/>
        <v>4421.462117596483</v>
      </c>
      <c r="AA376" s="14">
        <f t="shared" si="210"/>
        <v>7231.3087655241025</v>
      </c>
      <c r="AB376" s="14">
        <f t="shared" si="211"/>
        <v>3259.2810730484725</v>
      </c>
      <c r="AC376" s="14">
        <f t="shared" si="212"/>
        <v>1469.0166687083909</v>
      </c>
      <c r="AD376" s="33">
        <f t="shared" si="213"/>
        <v>0.95</v>
      </c>
      <c r="AE376" s="33">
        <f t="shared" si="214"/>
        <v>0.62464099662101413</v>
      </c>
      <c r="AF376" s="51">
        <f t="shared" si="215"/>
        <v>3.5670765849397159</v>
      </c>
      <c r="AG376" s="51">
        <f>APPLICANTS_PER_YEAR*($H376/Segments!$AH$2)*AE376</f>
        <v>5.2469843716165192</v>
      </c>
      <c r="AH376" s="51">
        <f t="shared" si="216"/>
        <v>8.8140609565562347</v>
      </c>
      <c r="AI376" s="14">
        <f t="shared" si="217"/>
        <v>1469.0166687083911</v>
      </c>
      <c r="AJ376" s="44">
        <f t="shared" si="218"/>
        <v>12948.002464192934</v>
      </c>
      <c r="AK376" s="44">
        <f t="shared" si="219"/>
        <v>43647.561016191568</v>
      </c>
      <c r="AL376" s="44">
        <f t="shared" si="220"/>
        <v>3024.4050567365002</v>
      </c>
      <c r="AM376" s="14">
        <f t="shared" si="221"/>
        <v>1469.0166687083909</v>
      </c>
      <c r="AN376" s="14">
        <f t="shared" si="222"/>
        <v>4554.1059811243767</v>
      </c>
      <c r="AO376" s="14">
        <f t="shared" si="223"/>
        <v>7446.9980284898247</v>
      </c>
      <c r="AP376" s="14">
        <f t="shared" si="224"/>
        <v>3356.7777946657088</v>
      </c>
      <c r="AQ376" s="14">
        <f t="shared" si="225"/>
        <v>1513.0871687696424</v>
      </c>
      <c r="AR376" s="33">
        <f t="shared" si="226"/>
        <v>0.95</v>
      </c>
      <c r="AS376" s="33">
        <f t="shared" si="227"/>
        <v>0.62462208383675177</v>
      </c>
      <c r="AT376" s="51">
        <f t="shared" si="228"/>
        <v>3.5669672563399515</v>
      </c>
      <c r="AU376" s="51">
        <f>APPLICANTS_PER_YEAR*($H376/Segments!$AH$2)*AS376</f>
        <v>5.2468255042287151</v>
      </c>
      <c r="AV376" s="51">
        <f t="shared" si="229"/>
        <v>8.813792760568667</v>
      </c>
      <c r="AW376" s="14">
        <f t="shared" si="230"/>
        <v>1513.0871687696424</v>
      </c>
      <c r="AX376" s="44">
        <f t="shared" si="231"/>
        <v>13336.036734211215</v>
      </c>
      <c r="AY376" s="44">
        <f t="shared" si="232"/>
        <v>44955.619886572087</v>
      </c>
      <c r="AZ376" s="44">
        <f t="shared" si="233"/>
        <v>3105.8190877357729</v>
      </c>
    </row>
    <row r="377" spans="1:52" ht="15" customHeight="1" x14ac:dyDescent="0.35">
      <c r="A377" s="59" t="str">
        <f>Segments!$A$357</f>
        <v>Greek</v>
      </c>
      <c r="B377" s="59" t="str">
        <f>Segments!$B$357</f>
        <v>Off 3-6mi</v>
      </c>
      <c r="C377" s="59" t="str">
        <f>Segments!$C$357</f>
        <v>No</v>
      </c>
      <c r="D377" s="59" t="str">
        <f>Segments!$D$357</f>
        <v>2.0-3.0</v>
      </c>
      <c r="E377" s="59" t="str">
        <f>Segments!$E$357</f>
        <v>Junior</v>
      </c>
      <c r="F377" s="59">
        <f>Segments!$F$357</f>
        <v>2</v>
      </c>
      <c r="G377" s="59" t="str">
        <f>Segments!$G$357</f>
        <v>Base</v>
      </c>
      <c r="H377" s="60">
        <f>Segments!$H$357</f>
        <v>2</v>
      </c>
      <c r="I377" s="26">
        <f>Segments!$Y$357</f>
        <v>5131.5816606358676</v>
      </c>
      <c r="J377" s="29">
        <v>2</v>
      </c>
      <c r="K377" s="14">
        <f t="shared" si="195"/>
        <v>1426.2297754450396</v>
      </c>
      <c r="L377" s="14">
        <f t="shared" si="196"/>
        <v>5131.5816606358676</v>
      </c>
      <c r="M377" s="14">
        <f t="shared" si="197"/>
        <v>8386.0185031781984</v>
      </c>
      <c r="N377" s="14">
        <f t="shared" si="198"/>
        <v>3458.3795752730484</v>
      </c>
      <c r="O377" s="14">
        <f t="shared" si="199"/>
        <v>1426.2297754450396</v>
      </c>
      <c r="P377" s="33">
        <f t="shared" si="200"/>
        <v>0.95</v>
      </c>
      <c r="Q377" s="33">
        <f t="shared" si="201"/>
        <v>0.64380086187728036</v>
      </c>
      <c r="R377" s="51">
        <f t="shared" si="202"/>
        <v>6.6499999999999995</v>
      </c>
      <c r="S377" s="51">
        <f>APPLICANTS_PER_YEAR*($H377/Segments!$AH$2)*Q377</f>
        <v>1.5451220685054727</v>
      </c>
      <c r="T377" s="51">
        <f t="shared" si="203"/>
        <v>8.1951220685054729</v>
      </c>
      <c r="U377" s="14">
        <f t="shared" si="204"/>
        <v>1426.2297754450394</v>
      </c>
      <c r="V377" s="44">
        <f t="shared" si="205"/>
        <v>11688.127107509248</v>
      </c>
      <c r="W377" s="44">
        <f t="shared" si="206"/>
        <v>47100.410687024756</v>
      </c>
      <c r="X377" s="44">
        <f t="shared" si="207"/>
        <v>2488.7159849299851</v>
      </c>
      <c r="Y377" s="14">
        <f t="shared" si="208"/>
        <v>1426.2297754450399</v>
      </c>
      <c r="Z377" s="14">
        <f t="shared" si="209"/>
        <v>5285.5291104549442</v>
      </c>
      <c r="AA377" s="14">
        <f t="shared" si="210"/>
        <v>8636.3490582735449</v>
      </c>
      <c r="AB377" s="14">
        <f t="shared" si="211"/>
        <v>3561.8732042828037</v>
      </c>
      <c r="AC377" s="14">
        <f t="shared" si="212"/>
        <v>1469.0166687083909</v>
      </c>
      <c r="AD377" s="33">
        <f t="shared" si="213"/>
        <v>0.95</v>
      </c>
      <c r="AE377" s="33">
        <f t="shared" si="214"/>
        <v>0.6437859400859578</v>
      </c>
      <c r="AF377" s="51">
        <f t="shared" si="215"/>
        <v>9.4972905650598651</v>
      </c>
      <c r="AG377" s="51">
        <f>APPLICANTS_PER_YEAR*($H377/Segments!$AH$2)*AE377</f>
        <v>1.5450862562062986</v>
      </c>
      <c r="AH377" s="51">
        <f t="shared" si="216"/>
        <v>11.042376821266163</v>
      </c>
      <c r="AI377" s="14">
        <f t="shared" si="217"/>
        <v>1469.0166687083909</v>
      </c>
      <c r="AJ377" s="44">
        <f t="shared" si="218"/>
        <v>16221.435612599169</v>
      </c>
      <c r="AK377" s="44">
        <f t="shared" si="219"/>
        <v>65368.580633905076</v>
      </c>
      <c r="AL377" s="44">
        <f t="shared" si="220"/>
        <v>3404.767534885299</v>
      </c>
      <c r="AM377" s="14">
        <f t="shared" si="221"/>
        <v>1469.0166687083911</v>
      </c>
      <c r="AN377" s="14">
        <f t="shared" si="222"/>
        <v>5444.0949837685921</v>
      </c>
      <c r="AO377" s="14">
        <f t="shared" si="223"/>
        <v>8894.1895300217511</v>
      </c>
      <c r="AP377" s="14">
        <f t="shared" si="224"/>
        <v>3668.4716237802918</v>
      </c>
      <c r="AQ377" s="14">
        <f t="shared" si="225"/>
        <v>1513.0871687696424</v>
      </c>
      <c r="AR377" s="33">
        <f t="shared" si="226"/>
        <v>0.95</v>
      </c>
      <c r="AS377" s="33">
        <f t="shared" si="227"/>
        <v>0.64377144981014811</v>
      </c>
      <c r="AT377" s="51">
        <f t="shared" si="228"/>
        <v>8.3733579087284227</v>
      </c>
      <c r="AU377" s="51">
        <f>APPLICANTS_PER_YEAR*($H377/Segments!$AH$2)*AS377</f>
        <v>1.5450514795443555</v>
      </c>
      <c r="AV377" s="51">
        <f t="shared" si="229"/>
        <v>9.918409388272778</v>
      </c>
      <c r="AW377" s="14">
        <f t="shared" si="230"/>
        <v>1513.0871687696426</v>
      </c>
      <c r="AX377" s="44">
        <f t="shared" si="231"/>
        <v>15007.4179799999</v>
      </c>
      <c r="AY377" s="44">
        <f t="shared" si="232"/>
        <v>60476.37433337824</v>
      </c>
      <c r="AZ377" s="44">
        <f t="shared" si="233"/>
        <v>3155.2193878815947</v>
      </c>
    </row>
    <row r="378" spans="1:52" ht="15" customHeight="1" x14ac:dyDescent="0.35">
      <c r="A378" s="59" t="str">
        <f>Segments!$A$358</f>
        <v>Greek</v>
      </c>
      <c r="B378" s="59" t="str">
        <f>Segments!$B$358</f>
        <v>Off 3-6mi</v>
      </c>
      <c r="C378" s="59" t="str">
        <f>Segments!$C$358</f>
        <v>No</v>
      </c>
      <c r="D378" s="59" t="str">
        <f>Segments!$D$358</f>
        <v>2.0-3.0</v>
      </c>
      <c r="E378" s="59" t="str">
        <f>Segments!$E$358</f>
        <v>Senior</v>
      </c>
      <c r="F378" s="59">
        <f>Segments!$F$358</f>
        <v>3</v>
      </c>
      <c r="G378" s="59" t="str">
        <f>Segments!$G$358</f>
        <v>Base</v>
      </c>
      <c r="H378" s="60">
        <f>Segments!$H$358</f>
        <v>4</v>
      </c>
      <c r="I378" s="26">
        <f>Segments!$Y$358</f>
        <v>4796.4250099470755</v>
      </c>
      <c r="J378" s="29">
        <v>3</v>
      </c>
      <c r="K378" s="14">
        <f t="shared" si="195"/>
        <v>1426.2297754450396</v>
      </c>
      <c r="L378" s="14">
        <f t="shared" si="196"/>
        <v>4796.4250099470755</v>
      </c>
      <c r="M378" s="14">
        <f t="shared" si="197"/>
        <v>7841.0276604625578</v>
      </c>
      <c r="N378" s="14">
        <f t="shared" si="198"/>
        <v>3344.1152969716604</v>
      </c>
      <c r="O378" s="14">
        <f t="shared" si="199"/>
        <v>1426.2297754450396</v>
      </c>
      <c r="P378" s="33">
        <f t="shared" si="200"/>
        <v>0.95</v>
      </c>
      <c r="Q378" s="33">
        <f t="shared" si="201"/>
        <v>0.63675529268733722</v>
      </c>
      <c r="R378" s="51">
        <f t="shared" si="202"/>
        <v>1.9</v>
      </c>
      <c r="S378" s="51">
        <f>APPLICANTS_PER_YEAR*($H378/Segments!$AH$2)*Q378</f>
        <v>3.0564254048992185</v>
      </c>
      <c r="T378" s="51">
        <f t="shared" si="203"/>
        <v>4.9564254048992185</v>
      </c>
      <c r="U378" s="14">
        <f t="shared" si="204"/>
        <v>1426.2297754450396</v>
      </c>
      <c r="V378" s="44">
        <f t="shared" si="205"/>
        <v>7069.0014922395021</v>
      </c>
      <c r="W378" s="44">
        <f t="shared" si="206"/>
        <v>26625.897504635155</v>
      </c>
      <c r="X378" s="44">
        <f t="shared" si="207"/>
        <v>1664.1511974150183</v>
      </c>
      <c r="Y378" s="14">
        <f t="shared" si="208"/>
        <v>1426.2297754450394</v>
      </c>
      <c r="Z378" s="14">
        <f t="shared" si="209"/>
        <v>4940.317760245488</v>
      </c>
      <c r="AA378" s="14">
        <f t="shared" si="210"/>
        <v>8075.0084902764347</v>
      </c>
      <c r="AB378" s="14">
        <f t="shared" si="211"/>
        <v>3444.172189681849</v>
      </c>
      <c r="AC378" s="14">
        <f t="shared" si="212"/>
        <v>1469.0166687083909</v>
      </c>
      <c r="AD378" s="33">
        <f t="shared" si="213"/>
        <v>0.95</v>
      </c>
      <c r="AE378" s="33">
        <f t="shared" si="214"/>
        <v>0.63673878833507314</v>
      </c>
      <c r="AF378" s="51">
        <f t="shared" si="215"/>
        <v>7.7853659650801985</v>
      </c>
      <c r="AG378" s="51">
        <f>APPLICANTS_PER_YEAR*($H378/Segments!$AH$2)*AE378</f>
        <v>3.0563461840083508</v>
      </c>
      <c r="AH378" s="51">
        <f t="shared" si="216"/>
        <v>10.841712149088549</v>
      </c>
      <c r="AI378" s="14">
        <f t="shared" si="217"/>
        <v>1469.0166687083909</v>
      </c>
      <c r="AJ378" s="44">
        <f t="shared" si="218"/>
        <v>15926.65586434935</v>
      </c>
      <c r="AK378" s="44">
        <f t="shared" si="219"/>
        <v>59988.883451404814</v>
      </c>
      <c r="AL378" s="44">
        <f t="shared" si="220"/>
        <v>3460.5246780818106</v>
      </c>
      <c r="AM378" s="14">
        <f t="shared" si="221"/>
        <v>1469.0166687083909</v>
      </c>
      <c r="AN378" s="14">
        <f t="shared" si="222"/>
        <v>5088.5272930528527</v>
      </c>
      <c r="AO378" s="14">
        <f t="shared" si="223"/>
        <v>8316.0087449847269</v>
      </c>
      <c r="AP378" s="14">
        <f t="shared" si="224"/>
        <v>3547.2307688410306</v>
      </c>
      <c r="AQ378" s="14">
        <f t="shared" si="225"/>
        <v>1513.0871687696424</v>
      </c>
      <c r="AR378" s="33">
        <f t="shared" si="226"/>
        <v>0.95</v>
      </c>
      <c r="AS378" s="33">
        <f t="shared" si="227"/>
        <v>0.6367227610252143</v>
      </c>
      <c r="AT378" s="51">
        <f t="shared" si="228"/>
        <v>10.490257980202855</v>
      </c>
      <c r="AU378" s="51">
        <f>APPLICANTS_PER_YEAR*($H378/Segments!$AH$2)*AS378</f>
        <v>3.0562692529210285</v>
      </c>
      <c r="AV378" s="51">
        <f t="shared" si="229"/>
        <v>13.546527233123884</v>
      </c>
      <c r="AW378" s="14">
        <f t="shared" si="230"/>
        <v>1513.0871687696424</v>
      </c>
      <c r="AX378" s="44">
        <f t="shared" si="231"/>
        <v>20497.076537828274</v>
      </c>
      <c r="AY378" s="44">
        <f t="shared" si="232"/>
        <v>77203.698378054789</v>
      </c>
      <c r="AZ378" s="44">
        <f t="shared" si="233"/>
        <v>4383.1388043165462</v>
      </c>
    </row>
    <row r="379" spans="1:52" ht="15" customHeight="1" x14ac:dyDescent="0.35">
      <c r="A379" s="59" t="str">
        <f>Segments!$A$359</f>
        <v>Greek</v>
      </c>
      <c r="B379" s="59" t="str">
        <f>Segments!$B$359</f>
        <v>Off 3-6mi</v>
      </c>
      <c r="C379" s="59" t="str">
        <f>Segments!$C$359</f>
        <v>No</v>
      </c>
      <c r="D379" s="59" t="str">
        <f>Segments!$D$359</f>
        <v>2.0-3.0</v>
      </c>
      <c r="E379" s="59" t="str">
        <f>Segments!$E$359</f>
        <v>Grad student</v>
      </c>
      <c r="F379" s="59">
        <f>Segments!$F$359</f>
        <v>3</v>
      </c>
      <c r="G379" s="59" t="str">
        <f>Segments!$G$359</f>
        <v>Grad</v>
      </c>
      <c r="H379" s="60">
        <f>Segments!$H$359</f>
        <v>0</v>
      </c>
      <c r="I379" s="26">
        <f>Segments!$Y$359</f>
        <v>5711.0093788032036</v>
      </c>
      <c r="J379" s="29">
        <v>4</v>
      </c>
      <c r="K379" s="14">
        <f t="shared" si="195"/>
        <v>1426.2297754450396</v>
      </c>
      <c r="L379" s="14">
        <f t="shared" si="196"/>
        <v>5711.0093788032036</v>
      </c>
      <c r="M379" s="14">
        <f t="shared" si="197"/>
        <v>9328.2131449012322</v>
      </c>
      <c r="N379" s="14">
        <f t="shared" si="198"/>
        <v>3647.4889086816911</v>
      </c>
      <c r="O379" s="14">
        <f t="shared" si="199"/>
        <v>1426.2297754450396</v>
      </c>
      <c r="P379" s="33">
        <f t="shared" si="200"/>
        <v>0.95</v>
      </c>
      <c r="Q379" s="33">
        <f t="shared" si="201"/>
        <v>0.65449155416890348</v>
      </c>
      <c r="R379" s="51">
        <f t="shared" si="202"/>
        <v>0</v>
      </c>
      <c r="S379" s="51">
        <f>APPLICANTS_PER_YEAR*($H379/Segments!$AH$2)*Q379</f>
        <v>0</v>
      </c>
      <c r="T379" s="51">
        <f t="shared" si="203"/>
        <v>0</v>
      </c>
      <c r="U379" s="14">
        <f t="shared" si="204"/>
        <v>9328.2131449012322</v>
      </c>
      <c r="V379" s="44">
        <f t="shared" si="205"/>
        <v>0</v>
      </c>
      <c r="W379" s="44">
        <f t="shared" si="206"/>
        <v>0</v>
      </c>
      <c r="X379" s="44">
        <f t="shared" si="207"/>
        <v>0</v>
      </c>
      <c r="Y379" s="14">
        <f t="shared" si="208"/>
        <v>9328.2131449012322</v>
      </c>
      <c r="Z379" s="14">
        <f t="shared" si="209"/>
        <v>5882.3396601673003</v>
      </c>
      <c r="AA379" s="14">
        <f t="shared" si="210"/>
        <v>9606.8095392482701</v>
      </c>
      <c r="AB379" s="14">
        <f t="shared" si="211"/>
        <v>3756.6691824357495</v>
      </c>
      <c r="AC379" s="14">
        <f t="shared" si="212"/>
        <v>1469.0166687083909</v>
      </c>
      <c r="AD379" s="33">
        <f t="shared" si="213"/>
        <v>0.95</v>
      </c>
      <c r="AE379" s="33">
        <f t="shared" si="214"/>
        <v>0.65447883519039196</v>
      </c>
      <c r="AF379" s="51">
        <f t="shared" si="215"/>
        <v>0</v>
      </c>
      <c r="AG379" s="51">
        <f>APPLICANTS_PER_YEAR*($H379/Segments!$AH$2)*AE379</f>
        <v>0</v>
      </c>
      <c r="AH379" s="51">
        <f t="shared" si="216"/>
        <v>0</v>
      </c>
      <c r="AI379" s="14">
        <f t="shared" si="217"/>
        <v>9606.8095392482701</v>
      </c>
      <c r="AJ379" s="44">
        <f t="shared" si="218"/>
        <v>0</v>
      </c>
      <c r="AK379" s="44">
        <f t="shared" si="219"/>
        <v>0</v>
      </c>
      <c r="AL379" s="44">
        <f t="shared" si="220"/>
        <v>0</v>
      </c>
      <c r="AM379" s="14">
        <f t="shared" si="221"/>
        <v>9606.8095392482701</v>
      </c>
      <c r="AN379" s="14">
        <f t="shared" si="222"/>
        <v>6058.8098499723183</v>
      </c>
      <c r="AO379" s="14">
        <f t="shared" si="223"/>
        <v>9893.7638254257163</v>
      </c>
      <c r="AP379" s="14">
        <f t="shared" si="224"/>
        <v>3869.1248487337425</v>
      </c>
      <c r="AQ379" s="14">
        <f t="shared" si="225"/>
        <v>1513.0871687696424</v>
      </c>
      <c r="AR379" s="33">
        <f t="shared" si="226"/>
        <v>0.95</v>
      </c>
      <c r="AS379" s="33">
        <f t="shared" si="227"/>
        <v>0.65446648429232845</v>
      </c>
      <c r="AT379" s="51">
        <f t="shared" si="228"/>
        <v>0</v>
      </c>
      <c r="AU379" s="51">
        <f>APPLICANTS_PER_YEAR*($H379/Segments!$AH$2)*AS379</f>
        <v>0</v>
      </c>
      <c r="AV379" s="51">
        <f t="shared" si="229"/>
        <v>0</v>
      </c>
      <c r="AW379" s="14">
        <f t="shared" si="230"/>
        <v>9893.7638254257163</v>
      </c>
      <c r="AX379" s="44">
        <f t="shared" si="231"/>
        <v>0</v>
      </c>
      <c r="AY379" s="44">
        <f t="shared" si="232"/>
        <v>0</v>
      </c>
      <c r="AZ379" s="44">
        <f t="shared" si="233"/>
        <v>0</v>
      </c>
    </row>
    <row r="380" spans="1:52" ht="15" customHeight="1" x14ac:dyDescent="0.35">
      <c r="A380" s="61" t="str">
        <f>Segments!$A$360</f>
        <v>Greek</v>
      </c>
      <c r="B380" s="61" t="str">
        <f>Segments!$B$360</f>
        <v>Off 3-6mi</v>
      </c>
      <c r="C380" s="61" t="str">
        <f>Segments!$C$360</f>
        <v>No</v>
      </c>
      <c r="D380" s="61" t="str">
        <f>Segments!$D$360</f>
        <v>3.0+</v>
      </c>
      <c r="E380" s="61" t="str">
        <f>Segments!$E$360</f>
        <v>Freshman</v>
      </c>
      <c r="F380" s="61">
        <f>Segments!$F$360</f>
        <v>1</v>
      </c>
      <c r="G380" s="61" t="str">
        <f>Segments!$G$360</f>
        <v>Base</v>
      </c>
      <c r="H380" s="62">
        <f>Segments!$H$360</f>
        <v>3</v>
      </c>
      <c r="I380" s="63">
        <f>Segments!$Y$360</f>
        <v>3801.41455774112</v>
      </c>
      <c r="J380" s="42">
        <v>0</v>
      </c>
      <c r="K380" s="40">
        <f t="shared" si="195"/>
        <v>6223.0630945076382</v>
      </c>
      <c r="L380" s="40">
        <f t="shared" si="196"/>
        <v>3801.41455774112</v>
      </c>
      <c r="M380" s="40">
        <f t="shared" si="197"/>
        <v>6223.0630945076382</v>
      </c>
      <c r="N380" s="40">
        <f t="shared" si="198"/>
        <v>2979.1807397101543</v>
      </c>
      <c r="O380" s="40">
        <f t="shared" si="199"/>
        <v>1426.2297754450396</v>
      </c>
      <c r="P380" s="41">
        <f t="shared" si="200"/>
        <v>0.95</v>
      </c>
      <c r="Q380" s="41">
        <f t="shared" si="201"/>
        <v>0.61063389568237503</v>
      </c>
      <c r="R380" s="64">
        <f t="shared" si="202"/>
        <v>0</v>
      </c>
      <c r="S380" s="64">
        <f>APPLICANTS_PER_YEAR*($H380/Segments!$AH$2)*Q380</f>
        <v>2.19828202445655</v>
      </c>
      <c r="T380" s="64">
        <f t="shared" si="203"/>
        <v>2.19828202445655</v>
      </c>
      <c r="U380" s="40">
        <f t="shared" si="204"/>
        <v>1426.2297754450396</v>
      </c>
      <c r="V380" s="65">
        <f t="shared" si="205"/>
        <v>3135.2552781055324</v>
      </c>
      <c r="W380" s="65">
        <f t="shared" si="206"/>
        <v>9359.3710445645211</v>
      </c>
      <c r="X380" s="65">
        <f t="shared" si="207"/>
        <v>801.21987339618397</v>
      </c>
      <c r="Y380" s="40">
        <f t="shared" si="208"/>
        <v>6408.5049873428679</v>
      </c>
      <c r="Z380" s="40">
        <f t="shared" si="209"/>
        <v>3915.4569944733539</v>
      </c>
      <c r="AA380" s="40">
        <f t="shared" si="210"/>
        <v>6408.5049873428679</v>
      </c>
      <c r="AB380" s="40">
        <f t="shared" si="211"/>
        <v>3068.2569396821259</v>
      </c>
      <c r="AC380" s="40">
        <f t="shared" si="212"/>
        <v>1469.0166687083909</v>
      </c>
      <c r="AD380" s="41">
        <f t="shared" si="213"/>
        <v>0.95</v>
      </c>
      <c r="AE380" s="41">
        <f t="shared" si="214"/>
        <v>0.61061055224720162</v>
      </c>
      <c r="AF380" s="64">
        <f t="shared" si="215"/>
        <v>0</v>
      </c>
      <c r="AG380" s="64">
        <f>APPLICANTS_PER_YEAR*($H380/Segments!$AH$2)*AE380</f>
        <v>2.1981979880899258</v>
      </c>
      <c r="AH380" s="64">
        <f t="shared" si="216"/>
        <v>2.1981979880899258</v>
      </c>
      <c r="AI380" s="40">
        <f t="shared" si="217"/>
        <v>1469.0166687083909</v>
      </c>
      <c r="AJ380" s="65">
        <f t="shared" si="218"/>
        <v>3229.1894856253498</v>
      </c>
      <c r="AK380" s="65">
        <f t="shared" si="219"/>
        <v>9639.7836502284299</v>
      </c>
      <c r="AL380" s="65">
        <f t="shared" si="220"/>
        <v>822.25735424412505</v>
      </c>
      <c r="AM380" s="40">
        <f t="shared" si="221"/>
        <v>6599.5101369631529</v>
      </c>
      <c r="AN380" s="40">
        <f t="shared" si="222"/>
        <v>4032.9207043075539</v>
      </c>
      <c r="AO380" s="40">
        <f t="shared" si="223"/>
        <v>6599.5101369631529</v>
      </c>
      <c r="AP380" s="40">
        <f t="shared" si="224"/>
        <v>3160.0053968947796</v>
      </c>
      <c r="AQ380" s="40">
        <f t="shared" si="225"/>
        <v>1513.0871687696424</v>
      </c>
      <c r="AR380" s="41">
        <f t="shared" si="226"/>
        <v>0.95</v>
      </c>
      <c r="AS380" s="41">
        <f t="shared" si="227"/>
        <v>0.61058788218265425</v>
      </c>
      <c r="AT380" s="64">
        <f t="shared" si="228"/>
        <v>0</v>
      </c>
      <c r="AU380" s="64">
        <f>APPLICANTS_PER_YEAR*($H380/Segments!$AH$2)*AS380</f>
        <v>2.198116375857555</v>
      </c>
      <c r="AV380" s="64">
        <f t="shared" si="229"/>
        <v>2.198116375857555</v>
      </c>
      <c r="AW380" s="40">
        <f t="shared" si="230"/>
        <v>1513.0871687696424</v>
      </c>
      <c r="AX380" s="65">
        <f t="shared" si="231"/>
        <v>3325.9416837724953</v>
      </c>
      <c r="AY380" s="65">
        <f t="shared" si="232"/>
        <v>9928.6085277942293</v>
      </c>
      <c r="AZ380" s="65">
        <f t="shared" si="233"/>
        <v>843.92617407862895</v>
      </c>
    </row>
    <row r="381" spans="1:52" ht="15" customHeight="1" x14ac:dyDescent="0.35">
      <c r="A381" s="61" t="str">
        <f>Segments!$A$361</f>
        <v>Greek</v>
      </c>
      <c r="B381" s="61" t="str">
        <f>Segments!$B$361</f>
        <v>Off 3-6mi</v>
      </c>
      <c r="C381" s="61" t="str">
        <f>Segments!$C$361</f>
        <v>No</v>
      </c>
      <c r="D381" s="61" t="str">
        <f>Segments!$D$361</f>
        <v>3.0+</v>
      </c>
      <c r="E381" s="61" t="str">
        <f>Segments!$E$361</f>
        <v>Sophomore</v>
      </c>
      <c r="F381" s="61">
        <f>Segments!$F$361</f>
        <v>1</v>
      </c>
      <c r="G381" s="61" t="str">
        <f>Segments!$G$361</f>
        <v>Sophomore</v>
      </c>
      <c r="H381" s="62">
        <f>Segments!$H$361</f>
        <v>4</v>
      </c>
      <c r="I381" s="63">
        <f>Segments!$Y$361</f>
        <v>3762.7398890897757</v>
      </c>
      <c r="J381" s="42">
        <v>1</v>
      </c>
      <c r="K381" s="40">
        <f t="shared" si="195"/>
        <v>1426.2297754450396</v>
      </c>
      <c r="L381" s="40">
        <f t="shared" si="196"/>
        <v>3762.7398890897757</v>
      </c>
      <c r="M381" s="40">
        <f t="shared" si="197"/>
        <v>6160.1750682168649</v>
      </c>
      <c r="N381" s="40">
        <f t="shared" si="198"/>
        <v>2964.0892537582386</v>
      </c>
      <c r="O381" s="40">
        <f t="shared" si="199"/>
        <v>1426.2297754450396</v>
      </c>
      <c r="P381" s="41">
        <f t="shared" si="200"/>
        <v>0.95</v>
      </c>
      <c r="Q381" s="41">
        <f t="shared" si="201"/>
        <v>0.60941517725272787</v>
      </c>
      <c r="R381" s="64">
        <f t="shared" si="202"/>
        <v>2.8499999999999996</v>
      </c>
      <c r="S381" s="64">
        <f>APPLICANTS_PER_YEAR*($H381/Segments!$AH$2)*Q381</f>
        <v>2.9251928508130938</v>
      </c>
      <c r="T381" s="64">
        <f t="shared" si="203"/>
        <v>5.7751928508130934</v>
      </c>
      <c r="U381" s="40">
        <f t="shared" si="204"/>
        <v>1426.2297754450396</v>
      </c>
      <c r="V381" s="65">
        <f t="shared" si="205"/>
        <v>8236.7520027669561</v>
      </c>
      <c r="W381" s="65">
        <f t="shared" si="206"/>
        <v>24338.214327773392</v>
      </c>
      <c r="X381" s="65">
        <f t="shared" si="207"/>
        <v>1891.3997068057449</v>
      </c>
      <c r="Y381" s="40">
        <f t="shared" si="208"/>
        <v>1426.2297754450396</v>
      </c>
      <c r="Z381" s="40">
        <f t="shared" si="209"/>
        <v>3875.6220857624689</v>
      </c>
      <c r="AA381" s="40">
        <f t="shared" si="210"/>
        <v>6343.7303202633702</v>
      </c>
      <c r="AB381" s="40">
        <f t="shared" si="211"/>
        <v>3052.7111855296284</v>
      </c>
      <c r="AC381" s="40">
        <f t="shared" si="212"/>
        <v>1469.0166687083909</v>
      </c>
      <c r="AD381" s="41">
        <f t="shared" si="213"/>
        <v>0.95</v>
      </c>
      <c r="AE381" s="41">
        <f t="shared" si="214"/>
        <v>0.60939147540851879</v>
      </c>
      <c r="AF381" s="64">
        <f t="shared" si="215"/>
        <v>2.0883679232337222</v>
      </c>
      <c r="AG381" s="64">
        <f>APPLICANTS_PER_YEAR*($H381/Segments!$AH$2)*AE381</f>
        <v>2.9250790819608903</v>
      </c>
      <c r="AH381" s="64">
        <f t="shared" si="216"/>
        <v>5.0134470051946121</v>
      </c>
      <c r="AI381" s="40">
        <f t="shared" si="217"/>
        <v>1469.0166687083911</v>
      </c>
      <c r="AJ381" s="65">
        <f t="shared" si="218"/>
        <v>7364.8372183170486</v>
      </c>
      <c r="AK381" s="65">
        <f t="shared" si="219"/>
        <v>21761.85305182778</v>
      </c>
      <c r="AL381" s="65">
        <f t="shared" si="220"/>
        <v>1715.7447989190141</v>
      </c>
      <c r="AM381" s="40">
        <f t="shared" si="221"/>
        <v>1469.0166687083909</v>
      </c>
      <c r="AN381" s="40">
        <f t="shared" si="222"/>
        <v>3991.8907483353428</v>
      </c>
      <c r="AO381" s="40">
        <f t="shared" si="223"/>
        <v>6532.792229871271</v>
      </c>
      <c r="AP381" s="40">
        <f t="shared" si="224"/>
        <v>3143.9917460540892</v>
      </c>
      <c r="AQ381" s="40">
        <f t="shared" si="225"/>
        <v>1513.0871687696424</v>
      </c>
      <c r="AR381" s="41">
        <f t="shared" si="226"/>
        <v>0.95</v>
      </c>
      <c r="AS381" s="41">
        <f t="shared" si="227"/>
        <v>0.6093684572059288</v>
      </c>
      <c r="AT381" s="64">
        <f t="shared" si="228"/>
        <v>2.0882880886854296</v>
      </c>
      <c r="AU381" s="64">
        <f>APPLICANTS_PER_YEAR*($H381/Segments!$AH$2)*AS381</f>
        <v>2.9249685945884583</v>
      </c>
      <c r="AV381" s="64">
        <f t="shared" si="229"/>
        <v>5.0132566832738874</v>
      </c>
      <c r="AW381" s="40">
        <f t="shared" si="230"/>
        <v>1513.0871687696424</v>
      </c>
      <c r="AX381" s="65">
        <f t="shared" si="231"/>
        <v>7585.4943612103743</v>
      </c>
      <c r="AY381" s="65">
        <f t="shared" si="232"/>
        <v>22413.857729750322</v>
      </c>
      <c r="AZ381" s="65">
        <f t="shared" si="233"/>
        <v>1761.948418532359</v>
      </c>
    </row>
    <row r="382" spans="1:52" ht="15" customHeight="1" x14ac:dyDescent="0.35">
      <c r="A382" s="61" t="str">
        <f>Segments!$A$362</f>
        <v>Greek</v>
      </c>
      <c r="B382" s="61" t="str">
        <f>Segments!$B$362</f>
        <v>Off 3-6mi</v>
      </c>
      <c r="C382" s="61" t="str">
        <f>Segments!$C$362</f>
        <v>No</v>
      </c>
      <c r="D382" s="61" t="str">
        <f>Segments!$D$362</f>
        <v>3.0+</v>
      </c>
      <c r="E382" s="61" t="str">
        <f>Segments!$E$362</f>
        <v>Junior</v>
      </c>
      <c r="F382" s="61">
        <f>Segments!$F$362</f>
        <v>2</v>
      </c>
      <c r="G382" s="61" t="str">
        <f>Segments!$G$362</f>
        <v>Base</v>
      </c>
      <c r="H382" s="62">
        <f>Segments!$H$362</f>
        <v>3</v>
      </c>
      <c r="I382" s="63">
        <f>Segments!$Y$362</f>
        <v>4498.0756794689487</v>
      </c>
      <c r="J382" s="42">
        <v>2</v>
      </c>
      <c r="K382" s="40">
        <f t="shared" si="195"/>
        <v>1426.2297754450396</v>
      </c>
      <c r="L382" s="40">
        <f t="shared" si="196"/>
        <v>4498.0756794689487</v>
      </c>
      <c r="M382" s="40">
        <f t="shared" si="197"/>
        <v>7355.8883898953109</v>
      </c>
      <c r="N382" s="40">
        <f t="shared" si="198"/>
        <v>3239.0101954947845</v>
      </c>
      <c r="O382" s="40">
        <f t="shared" si="199"/>
        <v>1426.2297754450396</v>
      </c>
      <c r="P382" s="41">
        <f t="shared" si="200"/>
        <v>0.95</v>
      </c>
      <c r="Q382" s="41">
        <f t="shared" si="201"/>
        <v>0.62983555324573903</v>
      </c>
      <c r="R382" s="64">
        <f t="shared" si="202"/>
        <v>3.8</v>
      </c>
      <c r="S382" s="64">
        <f>APPLICANTS_PER_YEAR*($H382/Segments!$AH$2)*Q382</f>
        <v>2.2674079916846601</v>
      </c>
      <c r="T382" s="64">
        <f t="shared" si="203"/>
        <v>6.0674079916846599</v>
      </c>
      <c r="U382" s="40">
        <f t="shared" si="204"/>
        <v>1426.2297754450399</v>
      </c>
      <c r="V382" s="65">
        <f t="shared" si="205"/>
        <v>8653.5179375138523</v>
      </c>
      <c r="W382" s="65">
        <f t="shared" si="206"/>
        <v>30566.659563789784</v>
      </c>
      <c r="X382" s="65">
        <f t="shared" si="207"/>
        <v>1926.7328174947224</v>
      </c>
      <c r="Y382" s="40">
        <f t="shared" si="208"/>
        <v>1426.2297754450396</v>
      </c>
      <c r="Z382" s="40">
        <f t="shared" si="209"/>
        <v>4633.0179498530169</v>
      </c>
      <c r="AA382" s="40">
        <f t="shared" si="210"/>
        <v>7575.31504159217</v>
      </c>
      <c r="AB382" s="40">
        <f t="shared" si="211"/>
        <v>3335.9052844492289</v>
      </c>
      <c r="AC382" s="40">
        <f t="shared" si="212"/>
        <v>1469.0166687083909</v>
      </c>
      <c r="AD382" s="41">
        <f t="shared" si="213"/>
        <v>0.95</v>
      </c>
      <c r="AE382" s="41">
        <f t="shared" si="214"/>
        <v>0.62981738936707676</v>
      </c>
      <c r="AF382" s="64">
        <f t="shared" si="215"/>
        <v>5.4864332082724383</v>
      </c>
      <c r="AG382" s="64">
        <f>APPLICANTS_PER_YEAR*($H382/Segments!$AH$2)*AE382</f>
        <v>2.2673426017214759</v>
      </c>
      <c r="AH382" s="64">
        <f t="shared" si="216"/>
        <v>7.7537758099939147</v>
      </c>
      <c r="AI382" s="40">
        <f t="shared" si="217"/>
        <v>1469.0166687083906</v>
      </c>
      <c r="AJ382" s="65">
        <f t="shared" si="218"/>
        <v>11390.425910308964</v>
      </c>
      <c r="AK382" s="65">
        <f t="shared" si="219"/>
        <v>40234.188407658476</v>
      </c>
      <c r="AL382" s="65">
        <f t="shared" si="220"/>
        <v>2481.1263209373619</v>
      </c>
      <c r="AM382" s="40">
        <f t="shared" si="221"/>
        <v>1469.0166687083911</v>
      </c>
      <c r="AN382" s="40">
        <f t="shared" si="222"/>
        <v>4772.0084883486079</v>
      </c>
      <c r="AO382" s="40">
        <f t="shared" si="223"/>
        <v>7801.3244928399363</v>
      </c>
      <c r="AP382" s="40">
        <f t="shared" si="224"/>
        <v>3435.7072036953973</v>
      </c>
      <c r="AQ382" s="40">
        <f t="shared" si="225"/>
        <v>1513.0871687696424</v>
      </c>
      <c r="AR382" s="41">
        <f t="shared" si="226"/>
        <v>0.95</v>
      </c>
      <c r="AS382" s="41">
        <f t="shared" si="227"/>
        <v>0.62979975023159895</v>
      </c>
      <c r="AT382" s="64">
        <f t="shared" si="228"/>
        <v>4.7627746549348808</v>
      </c>
      <c r="AU382" s="64">
        <f>APPLICANTS_PER_YEAR*($H382/Segments!$AH$2)*AS382</f>
        <v>2.2672791008337558</v>
      </c>
      <c r="AV382" s="64">
        <f t="shared" si="229"/>
        <v>7.0300537557686367</v>
      </c>
      <c r="AW382" s="40">
        <f t="shared" si="230"/>
        <v>1513.0871687696426</v>
      </c>
      <c r="AX382" s="65">
        <f t="shared" si="231"/>
        <v>10637.084133614359</v>
      </c>
      <c r="AY382" s="65">
        <f t="shared" si="232"/>
        <v>37573.173339603942</v>
      </c>
      <c r="AZ382" s="65">
        <f t="shared" si="233"/>
        <v>2327.7626359315195</v>
      </c>
    </row>
    <row r="383" spans="1:52" ht="15" customHeight="1" x14ac:dyDescent="0.35">
      <c r="A383" s="61" t="str">
        <f>Segments!$A$363</f>
        <v>Greek</v>
      </c>
      <c r="B383" s="61" t="str">
        <f>Segments!$B$363</f>
        <v>Off 3-6mi</v>
      </c>
      <c r="C383" s="61" t="str">
        <f>Segments!$C$363</f>
        <v>No</v>
      </c>
      <c r="D383" s="61" t="str">
        <f>Segments!$D$363</f>
        <v>3.0+</v>
      </c>
      <c r="E383" s="61" t="str">
        <f>Segments!$E$363</f>
        <v>Senior</v>
      </c>
      <c r="F383" s="61">
        <f>Segments!$F$363</f>
        <v>3</v>
      </c>
      <c r="G383" s="61" t="str">
        <f>Segments!$G$363</f>
        <v>Base</v>
      </c>
      <c r="H383" s="62">
        <f>Segments!$H$363</f>
        <v>4</v>
      </c>
      <c r="I383" s="63">
        <f>Segments!$Y$363</f>
        <v>4204.2949157640751</v>
      </c>
      <c r="J383" s="42">
        <v>3</v>
      </c>
      <c r="K383" s="40">
        <f t="shared" si="195"/>
        <v>1426.2297754450396</v>
      </c>
      <c r="L383" s="40">
        <f t="shared" si="196"/>
        <v>4204.2949157640751</v>
      </c>
      <c r="M383" s="40">
        <f t="shared" si="197"/>
        <v>6878.1779650652479</v>
      </c>
      <c r="N383" s="40">
        <f t="shared" si="198"/>
        <v>3132.0699568473924</v>
      </c>
      <c r="O383" s="40">
        <f t="shared" si="199"/>
        <v>1426.2297754450396</v>
      </c>
      <c r="P383" s="41">
        <f t="shared" si="200"/>
        <v>0.95</v>
      </c>
      <c r="Q383" s="41">
        <f t="shared" si="201"/>
        <v>0.6223183397728731</v>
      </c>
      <c r="R383" s="64">
        <f t="shared" si="202"/>
        <v>2.8499999999999996</v>
      </c>
      <c r="S383" s="64">
        <f>APPLICANTS_PER_YEAR*($H383/Segments!$AH$2)*Q383</f>
        <v>2.987128030909791</v>
      </c>
      <c r="T383" s="64">
        <f t="shared" si="203"/>
        <v>5.8371280309097902</v>
      </c>
      <c r="U383" s="40">
        <f t="shared" si="204"/>
        <v>1426.2297754450399</v>
      </c>
      <c r="V383" s="65">
        <f t="shared" si="205"/>
        <v>8325.0858007684183</v>
      </c>
      <c r="W383" s="65">
        <f t="shared" si="206"/>
        <v>27485.928627380159</v>
      </c>
      <c r="X383" s="65">
        <f t="shared" si="207"/>
        <v>1913.9735606624233</v>
      </c>
      <c r="Y383" s="40">
        <f t="shared" si="208"/>
        <v>1426.2297754450399</v>
      </c>
      <c r="Z383" s="40">
        <f t="shared" si="209"/>
        <v>4330.4237632369977</v>
      </c>
      <c r="AA383" s="40">
        <f t="shared" si="210"/>
        <v>7083.2733040172061</v>
      </c>
      <c r="AB383" s="40">
        <f t="shared" si="211"/>
        <v>3225.7474409225579</v>
      </c>
      <c r="AC383" s="40">
        <f t="shared" si="212"/>
        <v>1469.0166687083909</v>
      </c>
      <c r="AD383" s="41">
        <f t="shared" si="213"/>
        <v>0.95</v>
      </c>
      <c r="AE383" s="41">
        <f t="shared" si="214"/>
        <v>0.62229825093060365</v>
      </c>
      <c r="AF383" s="64">
        <f t="shared" si="215"/>
        <v>5.7640375921004265</v>
      </c>
      <c r="AG383" s="64">
        <f>APPLICANTS_PER_YEAR*($H383/Segments!$AH$2)*AE383</f>
        <v>2.9870316044668974</v>
      </c>
      <c r="AH383" s="64">
        <f t="shared" si="216"/>
        <v>8.7510691965673235</v>
      </c>
      <c r="AI383" s="40">
        <f t="shared" si="217"/>
        <v>1469.0166687083909</v>
      </c>
      <c r="AJ383" s="65">
        <f t="shared" si="218"/>
        <v>12855.466518777945</v>
      </c>
      <c r="AK383" s="65">
        <f t="shared" si="219"/>
        <v>42443.338562852012</v>
      </c>
      <c r="AL383" s="65">
        <f t="shared" si="220"/>
        <v>2832.9603186842733</v>
      </c>
      <c r="AM383" s="40">
        <f t="shared" si="221"/>
        <v>1469.0166687083906</v>
      </c>
      <c r="AN383" s="40">
        <f t="shared" si="222"/>
        <v>4460.3364761341072</v>
      </c>
      <c r="AO383" s="40">
        <f t="shared" si="223"/>
        <v>7294.5215031377211</v>
      </c>
      <c r="AP383" s="40">
        <f t="shared" si="224"/>
        <v>3322.2352247714084</v>
      </c>
      <c r="AQ383" s="40">
        <f t="shared" si="225"/>
        <v>1513.0871687696424</v>
      </c>
      <c r="AR383" s="41">
        <f t="shared" si="226"/>
        <v>0.95</v>
      </c>
      <c r="AS383" s="41">
        <f t="shared" si="227"/>
        <v>0.62227874211198386</v>
      </c>
      <c r="AT383" s="64">
        <f t="shared" si="228"/>
        <v>7.366087019494219</v>
      </c>
      <c r="AU383" s="64">
        <f>APPLICANTS_PER_YEAR*($H383/Segments!$AH$2)*AS383</f>
        <v>2.9869379621375223</v>
      </c>
      <c r="AV383" s="64">
        <f t="shared" si="229"/>
        <v>10.353024981631741</v>
      </c>
      <c r="AW383" s="40">
        <f t="shared" si="230"/>
        <v>1513.0871687696424</v>
      </c>
      <c r="AX383" s="65">
        <f t="shared" si="231"/>
        <v>15665.029257658549</v>
      </c>
      <c r="AY383" s="65">
        <f t="shared" si="232"/>
        <v>51719.331959567673</v>
      </c>
      <c r="AZ383" s="65">
        <f t="shared" si="233"/>
        <v>3400.6068910382814</v>
      </c>
    </row>
    <row r="384" spans="1:52" ht="15" customHeight="1" x14ac:dyDescent="0.35">
      <c r="A384" s="61" t="str">
        <f>Segments!$A$364</f>
        <v>Greek</v>
      </c>
      <c r="B384" s="61" t="str">
        <f>Segments!$B$364</f>
        <v>Off 3-6mi</v>
      </c>
      <c r="C384" s="61" t="str">
        <f>Segments!$C$364</f>
        <v>No</v>
      </c>
      <c r="D384" s="61" t="str">
        <f>Segments!$D$364</f>
        <v>3.0+</v>
      </c>
      <c r="E384" s="61" t="str">
        <f>Segments!$E$364</f>
        <v>Grad student</v>
      </c>
      <c r="F384" s="61">
        <f>Segments!$F$364</f>
        <v>3</v>
      </c>
      <c r="G384" s="61" t="str">
        <f>Segments!$G$364</f>
        <v>Grad</v>
      </c>
      <c r="H384" s="62">
        <f>Segments!$H$364</f>
        <v>0</v>
      </c>
      <c r="I384" s="63">
        <f>Segments!$Y$364</f>
        <v>5005.9716654359199</v>
      </c>
      <c r="J384" s="42">
        <v>4</v>
      </c>
      <c r="K384" s="40">
        <f t="shared" si="195"/>
        <v>1426.2297754450396</v>
      </c>
      <c r="L384" s="40">
        <f t="shared" si="196"/>
        <v>5005.9716654359199</v>
      </c>
      <c r="M384" s="40">
        <f t="shared" si="197"/>
        <v>8181.7668584716412</v>
      </c>
      <c r="N384" s="40">
        <f t="shared" si="198"/>
        <v>3416.0034410553035</v>
      </c>
      <c r="O384" s="40">
        <f t="shared" si="199"/>
        <v>1426.2297754450396</v>
      </c>
      <c r="P384" s="41">
        <f t="shared" si="200"/>
        <v>0.95</v>
      </c>
      <c r="Q384" s="41">
        <f t="shared" si="201"/>
        <v>0.64124292465518773</v>
      </c>
      <c r="R384" s="64">
        <f t="shared" si="202"/>
        <v>0</v>
      </c>
      <c r="S384" s="64">
        <f>APPLICANTS_PER_YEAR*($H384/Segments!$AH$2)*Q384</f>
        <v>0</v>
      </c>
      <c r="T384" s="64">
        <f t="shared" si="203"/>
        <v>0</v>
      </c>
      <c r="U384" s="40">
        <f t="shared" si="204"/>
        <v>8181.7668584716412</v>
      </c>
      <c r="V384" s="65">
        <f t="shared" si="205"/>
        <v>0</v>
      </c>
      <c r="W384" s="65">
        <f t="shared" si="206"/>
        <v>0</v>
      </c>
      <c r="X384" s="65">
        <f t="shared" si="207"/>
        <v>0</v>
      </c>
      <c r="Y384" s="40">
        <f t="shared" si="208"/>
        <v>8181.7668584716412</v>
      </c>
      <c r="Z384" s="40">
        <f t="shared" si="209"/>
        <v>5156.150815398998</v>
      </c>
      <c r="AA384" s="40">
        <f t="shared" si="210"/>
        <v>8425.9698642257899</v>
      </c>
      <c r="AB384" s="40">
        <f t="shared" si="211"/>
        <v>3518.2225882655948</v>
      </c>
      <c r="AC384" s="40">
        <f t="shared" si="212"/>
        <v>1469.0166687083909</v>
      </c>
      <c r="AD384" s="41">
        <f t="shared" si="213"/>
        <v>0.95</v>
      </c>
      <c r="AE384" s="41">
        <f t="shared" si="214"/>
        <v>0.64122744058206627</v>
      </c>
      <c r="AF384" s="64">
        <f t="shared" si="215"/>
        <v>0</v>
      </c>
      <c r="AG384" s="64">
        <f>APPLICANTS_PER_YEAR*($H384/Segments!$AH$2)*AE384</f>
        <v>0</v>
      </c>
      <c r="AH384" s="64">
        <f t="shared" si="216"/>
        <v>0</v>
      </c>
      <c r="AI384" s="40">
        <f t="shared" si="217"/>
        <v>8425.9698642257899</v>
      </c>
      <c r="AJ384" s="65">
        <f t="shared" si="218"/>
        <v>0</v>
      </c>
      <c r="AK384" s="65">
        <f t="shared" si="219"/>
        <v>0</v>
      </c>
      <c r="AL384" s="65">
        <f t="shared" si="220"/>
        <v>0</v>
      </c>
      <c r="AM384" s="40">
        <f t="shared" si="221"/>
        <v>8425.9698642257899</v>
      </c>
      <c r="AN384" s="40">
        <f t="shared" si="222"/>
        <v>5310.835339860967</v>
      </c>
      <c r="AO384" s="40">
        <f t="shared" si="223"/>
        <v>8677.4989601525631</v>
      </c>
      <c r="AP384" s="40">
        <f t="shared" si="224"/>
        <v>3623.5082908168929</v>
      </c>
      <c r="AQ384" s="40">
        <f t="shared" si="225"/>
        <v>1513.0871687696424</v>
      </c>
      <c r="AR384" s="41">
        <f t="shared" si="226"/>
        <v>0.95</v>
      </c>
      <c r="AS384" s="41">
        <f t="shared" si="227"/>
        <v>0.64121240420447223</v>
      </c>
      <c r="AT384" s="64">
        <f t="shared" si="228"/>
        <v>0</v>
      </c>
      <c r="AU384" s="64">
        <f>APPLICANTS_PER_YEAR*($H384/Segments!$AH$2)*AS384</f>
        <v>0</v>
      </c>
      <c r="AV384" s="64">
        <f t="shared" si="229"/>
        <v>0</v>
      </c>
      <c r="AW384" s="40">
        <f t="shared" si="230"/>
        <v>8677.4989601525631</v>
      </c>
      <c r="AX384" s="65">
        <f t="shared" si="231"/>
        <v>0</v>
      </c>
      <c r="AY384" s="65">
        <f t="shared" si="232"/>
        <v>0</v>
      </c>
      <c r="AZ384" s="65">
        <f t="shared" si="233"/>
        <v>0</v>
      </c>
    </row>
    <row r="385" spans="1:52" ht="15" customHeight="1" x14ac:dyDescent="0.35">
      <c r="A385" s="59" t="str">
        <f>Segments!$A$365</f>
        <v>Greek</v>
      </c>
      <c r="B385" s="59" t="str">
        <f>Segments!$B$365</f>
        <v>Off 6+mi</v>
      </c>
      <c r="C385" s="59" t="str">
        <f>Segments!$C$365</f>
        <v>Yes</v>
      </c>
      <c r="D385" s="59" t="str">
        <f>Segments!$D$365</f>
        <v>&lt;1.0</v>
      </c>
      <c r="E385" s="59" t="str">
        <f>Segments!$E$365</f>
        <v>Freshman</v>
      </c>
      <c r="F385" s="59">
        <f>Segments!$F$365</f>
        <v>1</v>
      </c>
      <c r="G385" s="59" t="str">
        <f>Segments!$G$365</f>
        <v>Base</v>
      </c>
      <c r="H385" s="60">
        <f>Segments!$H$365</f>
        <v>2</v>
      </c>
      <c r="I385" s="26">
        <f>Segments!$Y$365</f>
        <v>3600.1530161003484</v>
      </c>
      <c r="J385" s="29">
        <v>0</v>
      </c>
      <c r="K385" s="14">
        <f t="shared" si="195"/>
        <v>5895.7961375201085</v>
      </c>
      <c r="L385" s="14">
        <f t="shared" si="196"/>
        <v>3600.1530161003484</v>
      </c>
      <c r="M385" s="14">
        <f t="shared" si="197"/>
        <v>5895.7961375201085</v>
      </c>
      <c r="N385" s="14">
        <f t="shared" si="198"/>
        <v>2899.786199236943</v>
      </c>
      <c r="O385" s="14">
        <f t="shared" si="199"/>
        <v>1426.2297754450396</v>
      </c>
      <c r="P385" s="33">
        <f t="shared" si="200"/>
        <v>0.95</v>
      </c>
      <c r="Q385" s="33">
        <f t="shared" si="201"/>
        <v>0.60408018428732069</v>
      </c>
      <c r="R385" s="51">
        <f t="shared" si="202"/>
        <v>0</v>
      </c>
      <c r="S385" s="51">
        <f>APPLICANTS_PER_YEAR*($H385/Segments!$AH$2)*Q385</f>
        <v>1.4497924422895696</v>
      </c>
      <c r="T385" s="51">
        <f t="shared" si="203"/>
        <v>1.4497924422895696</v>
      </c>
      <c r="U385" s="14">
        <f t="shared" si="204"/>
        <v>1426.2297754450394</v>
      </c>
      <c r="V385" s="44">
        <f t="shared" si="205"/>
        <v>2067.7371494085683</v>
      </c>
      <c r="W385" s="44">
        <f t="shared" si="206"/>
        <v>5845.8115898876786</v>
      </c>
      <c r="X385" s="44">
        <f t="shared" si="207"/>
        <v>528.41378137054994</v>
      </c>
      <c r="Y385" s="14">
        <f t="shared" si="208"/>
        <v>6071.4200216457111</v>
      </c>
      <c r="Z385" s="14">
        <f t="shared" si="209"/>
        <v>3708.1576065833588</v>
      </c>
      <c r="AA385" s="14">
        <f t="shared" si="210"/>
        <v>6071.4200216457111</v>
      </c>
      <c r="AB385" s="14">
        <f t="shared" si="211"/>
        <v>2986.4723696239698</v>
      </c>
      <c r="AC385" s="14">
        <f t="shared" si="212"/>
        <v>1469.0166687083909</v>
      </c>
      <c r="AD385" s="33">
        <f t="shared" si="213"/>
        <v>0.95</v>
      </c>
      <c r="AE385" s="33">
        <f t="shared" si="214"/>
        <v>0.60405487027938642</v>
      </c>
      <c r="AF385" s="51">
        <f t="shared" si="215"/>
        <v>0</v>
      </c>
      <c r="AG385" s="51">
        <f>APPLICANTS_PER_YEAR*($H385/Segments!$AH$2)*AE385</f>
        <v>1.4497316886705274</v>
      </c>
      <c r="AH385" s="51">
        <f t="shared" si="216"/>
        <v>1.4497316886705274</v>
      </c>
      <c r="AI385" s="14">
        <f t="shared" si="217"/>
        <v>1469.0166687083909</v>
      </c>
      <c r="AJ385" s="44">
        <f t="shared" si="218"/>
        <v>2129.680015811768</v>
      </c>
      <c r="AK385" s="44">
        <f t="shared" si="219"/>
        <v>6020.9336195103806</v>
      </c>
      <c r="AL385" s="44">
        <f t="shared" si="220"/>
        <v>542.28624953200983</v>
      </c>
      <c r="AM385" s="14">
        <f t="shared" si="221"/>
        <v>6252.3126222950823</v>
      </c>
      <c r="AN385" s="14">
        <f t="shared" si="222"/>
        <v>3819.4023347808593</v>
      </c>
      <c r="AO385" s="14">
        <f t="shared" si="223"/>
        <v>6252.3126222950823</v>
      </c>
      <c r="AP385" s="14">
        <f t="shared" si="224"/>
        <v>3075.7590939361889</v>
      </c>
      <c r="AQ385" s="14">
        <f t="shared" si="225"/>
        <v>1513.0871687696424</v>
      </c>
      <c r="AR385" s="33">
        <f t="shared" si="226"/>
        <v>0.95</v>
      </c>
      <c r="AS385" s="33">
        <f t="shared" si="227"/>
        <v>0.60403028609219267</v>
      </c>
      <c r="AT385" s="51">
        <f t="shared" si="228"/>
        <v>0</v>
      </c>
      <c r="AU385" s="51">
        <f>APPLICANTS_PER_YEAR*($H385/Segments!$AH$2)*AS385</f>
        <v>1.4496726866212624</v>
      </c>
      <c r="AV385" s="51">
        <f t="shared" si="229"/>
        <v>1.4496726866212624</v>
      </c>
      <c r="AW385" s="14">
        <f t="shared" si="230"/>
        <v>1513.0871687696424</v>
      </c>
      <c r="AX385" s="44">
        <f t="shared" si="231"/>
        <v>2193.4811410424468</v>
      </c>
      <c r="AY385" s="44">
        <f t="shared" si="232"/>
        <v>6201.3092332232063</v>
      </c>
      <c r="AZ385" s="44">
        <f t="shared" si="233"/>
        <v>556.57504649146483</v>
      </c>
    </row>
    <row r="386" spans="1:52" ht="15" customHeight="1" x14ac:dyDescent="0.35">
      <c r="A386" s="59" t="str">
        <f>Segments!$A$366</f>
        <v>Greek</v>
      </c>
      <c r="B386" s="59" t="str">
        <f>Segments!$B$366</f>
        <v>Off 6+mi</v>
      </c>
      <c r="C386" s="59" t="str">
        <f>Segments!$C$366</f>
        <v>Yes</v>
      </c>
      <c r="D386" s="59" t="str">
        <f>Segments!$D$366</f>
        <v>&lt;1.0</v>
      </c>
      <c r="E386" s="59" t="str">
        <f>Segments!$E$366</f>
        <v>Sophomore</v>
      </c>
      <c r="F386" s="59">
        <f>Segments!$F$366</f>
        <v>1</v>
      </c>
      <c r="G386" s="59" t="str">
        <f>Segments!$G$366</f>
        <v>Sophomore</v>
      </c>
      <c r="H386" s="60">
        <f>Segments!$H$366</f>
        <v>1</v>
      </c>
      <c r="I386" s="26">
        <f>Segments!$Y$366</f>
        <v>3563.5259335033493</v>
      </c>
      <c r="J386" s="29">
        <v>1</v>
      </c>
      <c r="K386" s="14">
        <f t="shared" si="195"/>
        <v>1426.2297754450396</v>
      </c>
      <c r="L386" s="14">
        <f t="shared" si="196"/>
        <v>3563.5259335033493</v>
      </c>
      <c r="M386" s="14">
        <f t="shared" si="197"/>
        <v>5836.237645782795</v>
      </c>
      <c r="N386" s="14">
        <f t="shared" si="198"/>
        <v>2885.102408405754</v>
      </c>
      <c r="O386" s="14">
        <f t="shared" si="199"/>
        <v>1426.2297754450396</v>
      </c>
      <c r="P386" s="33">
        <f t="shared" si="200"/>
        <v>0.95</v>
      </c>
      <c r="Q386" s="33">
        <f t="shared" si="201"/>
        <v>0.60282857008997059</v>
      </c>
      <c r="R386" s="51">
        <f t="shared" si="202"/>
        <v>1.9</v>
      </c>
      <c r="S386" s="51">
        <f>APPLICANTS_PER_YEAR*($H386/Segments!$AH$2)*Q386</f>
        <v>0.72339428410796469</v>
      </c>
      <c r="T386" s="51">
        <f t="shared" si="203"/>
        <v>2.6233942841079645</v>
      </c>
      <c r="U386" s="14">
        <f t="shared" si="204"/>
        <v>1426.2297754450396</v>
      </c>
      <c r="V386" s="44">
        <f t="shared" si="205"/>
        <v>3741.5630407271028</v>
      </c>
      <c r="W386" s="44">
        <f t="shared" si="206"/>
        <v>10470.357593049968</v>
      </c>
      <c r="X386" s="44">
        <f t="shared" si="207"/>
        <v>813.81858384063435</v>
      </c>
      <c r="Y386" s="14">
        <f t="shared" si="208"/>
        <v>1426.2297754450394</v>
      </c>
      <c r="Z386" s="14">
        <f t="shared" si="209"/>
        <v>3670.43171150845</v>
      </c>
      <c r="AA386" s="14">
        <f t="shared" si="210"/>
        <v>6010.0747751562794</v>
      </c>
      <c r="AB386" s="14">
        <f t="shared" si="211"/>
        <v>2971.3465003072947</v>
      </c>
      <c r="AC386" s="14">
        <f t="shared" si="212"/>
        <v>1469.0166687083909</v>
      </c>
      <c r="AD386" s="33">
        <f t="shared" si="213"/>
        <v>0.95</v>
      </c>
      <c r="AE386" s="33">
        <f t="shared" si="214"/>
        <v>0.60280286756248957</v>
      </c>
      <c r="AF386" s="51">
        <f t="shared" si="215"/>
        <v>1.377302820175091</v>
      </c>
      <c r="AG386" s="51">
        <f>APPLICANTS_PER_YEAR*($H386/Segments!$AH$2)*AE386</f>
        <v>0.72336344107498751</v>
      </c>
      <c r="AH386" s="51">
        <f t="shared" si="216"/>
        <v>2.1006662612500784</v>
      </c>
      <c r="AI386" s="14">
        <f t="shared" si="217"/>
        <v>1469.0166687083909</v>
      </c>
      <c r="AJ386" s="44">
        <f t="shared" si="218"/>
        <v>3085.9137531697006</v>
      </c>
      <c r="AK386" s="44">
        <f t="shared" si="219"/>
        <v>8635.5943078587643</v>
      </c>
      <c r="AL386" s="44">
        <f t="shared" si="220"/>
        <v>680.52726393751936</v>
      </c>
      <c r="AM386" s="14">
        <f t="shared" si="221"/>
        <v>1469.0166687083909</v>
      </c>
      <c r="AN386" s="14">
        <f t="shared" si="222"/>
        <v>3780.5446628537029</v>
      </c>
      <c r="AO386" s="14">
        <f t="shared" si="223"/>
        <v>6189.1270184109671</v>
      </c>
      <c r="AP386" s="14">
        <f t="shared" si="224"/>
        <v>3060.1778833007652</v>
      </c>
      <c r="AQ386" s="14">
        <f t="shared" si="225"/>
        <v>1513.0871687696424</v>
      </c>
      <c r="AR386" s="33">
        <f t="shared" si="226"/>
        <v>0.95</v>
      </c>
      <c r="AS386" s="33">
        <f t="shared" si="227"/>
        <v>0.60277790597950498</v>
      </c>
      <c r="AT386" s="51">
        <f t="shared" si="228"/>
        <v>1.3772451042370009</v>
      </c>
      <c r="AU386" s="51">
        <f>APPLICANTS_PER_YEAR*($H386/Segments!$AH$2)*AS386</f>
        <v>0.72333348717540591</v>
      </c>
      <c r="AV386" s="51">
        <f t="shared" si="229"/>
        <v>2.1005785914124067</v>
      </c>
      <c r="AW386" s="14">
        <f t="shared" si="230"/>
        <v>1513.0871687696426</v>
      </c>
      <c r="AX386" s="44">
        <f t="shared" si="231"/>
        <v>3178.3585136583224</v>
      </c>
      <c r="AY386" s="44">
        <f t="shared" si="232"/>
        <v>8894.2909245891951</v>
      </c>
      <c r="AZ386" s="44">
        <f t="shared" si="233"/>
        <v>699.11099972558395</v>
      </c>
    </row>
    <row r="387" spans="1:52" ht="15" customHeight="1" x14ac:dyDescent="0.35">
      <c r="A387" s="59" t="str">
        <f>Segments!$A$367</f>
        <v>Greek</v>
      </c>
      <c r="B387" s="59" t="str">
        <f>Segments!$B$367</f>
        <v>Off 6+mi</v>
      </c>
      <c r="C387" s="59" t="str">
        <f>Segments!$C$367</f>
        <v>Yes</v>
      </c>
      <c r="D387" s="59" t="str">
        <f>Segments!$D$367</f>
        <v>&lt;1.0</v>
      </c>
      <c r="E387" s="59" t="str">
        <f>Segments!$E$367</f>
        <v>Junior</v>
      </c>
      <c r="F387" s="59">
        <f>Segments!$F$367</f>
        <v>2</v>
      </c>
      <c r="G387" s="59" t="str">
        <f>Segments!$G$367</f>
        <v>Base</v>
      </c>
      <c r="H387" s="60">
        <f>Segments!$H$367</f>
        <v>4</v>
      </c>
      <c r="I387" s="26">
        <f>Segments!$Y$367</f>
        <v>4259.9302123234966</v>
      </c>
      <c r="J387" s="29">
        <v>2</v>
      </c>
      <c r="K387" s="14">
        <f t="shared" si="195"/>
        <v>1426.2297754450396</v>
      </c>
      <c r="L387" s="14">
        <f t="shared" si="196"/>
        <v>4259.9302123234966</v>
      </c>
      <c r="M387" s="14">
        <f t="shared" si="197"/>
        <v>6968.6452945791943</v>
      </c>
      <c r="N387" s="14">
        <f t="shared" si="198"/>
        <v>3152.6004208658946</v>
      </c>
      <c r="O387" s="14">
        <f t="shared" si="199"/>
        <v>1426.2297754450396</v>
      </c>
      <c r="P387" s="33">
        <f t="shared" si="200"/>
        <v>0.95</v>
      </c>
      <c r="Q387" s="33">
        <f t="shared" si="201"/>
        <v>0.6238010554706912</v>
      </c>
      <c r="R387" s="51">
        <f t="shared" si="202"/>
        <v>0.95</v>
      </c>
      <c r="S387" s="51">
        <f>APPLICANTS_PER_YEAR*($H387/Segments!$AH$2)*Q387</f>
        <v>2.9942450662593179</v>
      </c>
      <c r="T387" s="51">
        <f t="shared" si="203"/>
        <v>3.9442450662593176</v>
      </c>
      <c r="U387" s="14">
        <f t="shared" si="204"/>
        <v>1426.2297754450399</v>
      </c>
      <c r="V387" s="44">
        <f t="shared" si="205"/>
        <v>5625.399755151233</v>
      </c>
      <c r="W387" s="44">
        <f t="shared" si="206"/>
        <v>18818.473769273878</v>
      </c>
      <c r="X387" s="44">
        <f t="shared" si="207"/>
        <v>1366.4084331019978</v>
      </c>
      <c r="Y387" s="14">
        <f t="shared" si="208"/>
        <v>1426.2297754450396</v>
      </c>
      <c r="Z387" s="14">
        <f t="shared" si="209"/>
        <v>4387.7281186932014</v>
      </c>
      <c r="AA387" s="14">
        <f t="shared" si="210"/>
        <v>7176.4546534165702</v>
      </c>
      <c r="AB387" s="14">
        <f t="shared" si="211"/>
        <v>3246.8956724999398</v>
      </c>
      <c r="AC387" s="14">
        <f t="shared" si="212"/>
        <v>1469.0166687083909</v>
      </c>
      <c r="AD387" s="33">
        <f t="shared" si="213"/>
        <v>0.95</v>
      </c>
      <c r="AE387" s="33">
        <f t="shared" si="214"/>
        <v>0.62378135658154288</v>
      </c>
      <c r="AF387" s="51">
        <f t="shared" si="215"/>
        <v>2.4922245699025662</v>
      </c>
      <c r="AG387" s="51">
        <f>APPLICANTS_PER_YEAR*($H387/Segments!$AH$2)*AE387</f>
        <v>2.9941505115914056</v>
      </c>
      <c r="AH387" s="51">
        <f t="shared" si="216"/>
        <v>5.4863750814939714</v>
      </c>
      <c r="AI387" s="14">
        <f t="shared" si="217"/>
        <v>1469.0166687083911</v>
      </c>
      <c r="AJ387" s="44">
        <f t="shared" si="218"/>
        <v>8059.5764455010012</v>
      </c>
      <c r="AK387" s="44">
        <f t="shared" si="219"/>
        <v>26961.448880541058</v>
      </c>
      <c r="AL387" s="44">
        <f t="shared" si="220"/>
        <v>1861.7872079745873</v>
      </c>
      <c r="AM387" s="14">
        <f t="shared" si="221"/>
        <v>1469.0166687083909</v>
      </c>
      <c r="AN387" s="14">
        <f t="shared" si="222"/>
        <v>4519.3599622539969</v>
      </c>
      <c r="AO387" s="14">
        <f t="shared" si="223"/>
        <v>7390.4982930190663</v>
      </c>
      <c r="AP387" s="14">
        <f t="shared" si="224"/>
        <v>3344.0197574148833</v>
      </c>
      <c r="AQ387" s="14">
        <f t="shared" si="225"/>
        <v>1513.0871687696424</v>
      </c>
      <c r="AR387" s="33">
        <f t="shared" si="226"/>
        <v>0.95</v>
      </c>
      <c r="AS387" s="33">
        <f t="shared" si="227"/>
        <v>0.62376222652174995</v>
      </c>
      <c r="AT387" s="51">
        <f t="shared" si="228"/>
        <v>1.9956329481875743</v>
      </c>
      <c r="AU387" s="51">
        <f>APPLICANTS_PER_YEAR*($H387/Segments!$AH$2)*AS387</f>
        <v>2.9940586873043995</v>
      </c>
      <c r="AV387" s="51">
        <f t="shared" si="229"/>
        <v>4.9896916354919743</v>
      </c>
      <c r="AW387" s="14">
        <f t="shared" si="230"/>
        <v>1513.0871687696424</v>
      </c>
      <c r="AX387" s="44">
        <f t="shared" si="231"/>
        <v>7549.8383897801177</v>
      </c>
      <c r="AY387" s="44">
        <f t="shared" si="232"/>
        <v>25256.238113608426</v>
      </c>
      <c r="AZ387" s="44">
        <f t="shared" si="233"/>
        <v>1760.1242679415166</v>
      </c>
    </row>
    <row r="388" spans="1:52" ht="15" customHeight="1" x14ac:dyDescent="0.35">
      <c r="A388" s="59" t="str">
        <f>Segments!$A$368</f>
        <v>Greek</v>
      </c>
      <c r="B388" s="59" t="str">
        <f>Segments!$B$368</f>
        <v>Off 6+mi</v>
      </c>
      <c r="C388" s="59" t="str">
        <f>Segments!$C$368</f>
        <v>Yes</v>
      </c>
      <c r="D388" s="59" t="str">
        <f>Segments!$D$368</f>
        <v>&lt;1.0</v>
      </c>
      <c r="E388" s="59" t="str">
        <f>Segments!$E$368</f>
        <v>Senior</v>
      </c>
      <c r="F388" s="59">
        <f>Segments!$F$368</f>
        <v>3</v>
      </c>
      <c r="G388" s="59" t="str">
        <f>Segments!$G$368</f>
        <v>Base</v>
      </c>
      <c r="H388" s="60">
        <f>Segments!$H$368</f>
        <v>3</v>
      </c>
      <c r="I388" s="26">
        <f>Segments!$Y$368</f>
        <v>3981.7033348127093</v>
      </c>
      <c r="J388" s="29">
        <v>3</v>
      </c>
      <c r="K388" s="14">
        <f t="shared" si="195"/>
        <v>1426.2297754450396</v>
      </c>
      <c r="L388" s="14">
        <f t="shared" si="196"/>
        <v>3981.7033348127093</v>
      </c>
      <c r="M388" s="14">
        <f t="shared" si="197"/>
        <v>6516.2267012762622</v>
      </c>
      <c r="N388" s="14">
        <f t="shared" si="198"/>
        <v>3048.5466282985103</v>
      </c>
      <c r="O388" s="14">
        <f t="shared" si="199"/>
        <v>1426.2297754450396</v>
      </c>
      <c r="P388" s="33">
        <f t="shared" si="200"/>
        <v>0.95</v>
      </c>
      <c r="Q388" s="33">
        <f t="shared" si="201"/>
        <v>0.61608037380732739</v>
      </c>
      <c r="R388" s="51">
        <f t="shared" si="202"/>
        <v>3.8</v>
      </c>
      <c r="S388" s="51">
        <f>APPLICANTS_PER_YEAR*($H388/Segments!$AH$2)*Q388</f>
        <v>2.2178893457063782</v>
      </c>
      <c r="T388" s="51">
        <f t="shared" si="203"/>
        <v>6.0178893457063776</v>
      </c>
      <c r="U388" s="14">
        <f t="shared" si="204"/>
        <v>1426.2297754450399</v>
      </c>
      <c r="V388" s="44">
        <f t="shared" si="205"/>
        <v>8582.8929701799043</v>
      </c>
      <c r="W388" s="44">
        <f t="shared" si="206"/>
        <v>26836.824085492914</v>
      </c>
      <c r="X388" s="44">
        <f t="shared" si="207"/>
        <v>1908.6844857428953</v>
      </c>
      <c r="Y388" s="14">
        <f t="shared" si="208"/>
        <v>1426.2297754450399</v>
      </c>
      <c r="Z388" s="14">
        <f t="shared" si="209"/>
        <v>4101.1544348570906</v>
      </c>
      <c r="AA388" s="14">
        <f t="shared" si="210"/>
        <v>6710.4635023145493</v>
      </c>
      <c r="AB388" s="14">
        <f t="shared" si="211"/>
        <v>3139.7106139992202</v>
      </c>
      <c r="AC388" s="14">
        <f t="shared" si="212"/>
        <v>1469.0166687083909</v>
      </c>
      <c r="AD388" s="33">
        <f t="shared" si="213"/>
        <v>0.95</v>
      </c>
      <c r="AE388" s="33">
        <f t="shared" si="214"/>
        <v>0.61605858798603985</v>
      </c>
      <c r="AF388" s="51">
        <f t="shared" si="215"/>
        <v>3.7470328129463515</v>
      </c>
      <c r="AG388" s="51">
        <f>APPLICANTS_PER_YEAR*($H388/Segments!$AH$2)*AE388</f>
        <v>2.2178109167497433</v>
      </c>
      <c r="AH388" s="51">
        <f t="shared" si="216"/>
        <v>5.9648437296960948</v>
      </c>
      <c r="AI388" s="14">
        <f t="shared" si="217"/>
        <v>1469.0166687083909</v>
      </c>
      <c r="AJ388" s="44">
        <f t="shared" si="218"/>
        <v>8762.4548651642908</v>
      </c>
      <c r="AK388" s="44">
        <f t="shared" si="219"/>
        <v>27398.274753105368</v>
      </c>
      <c r="AL388" s="44">
        <f t="shared" si="220"/>
        <v>1944.8761591949246</v>
      </c>
      <c r="AM388" s="14">
        <f t="shared" si="221"/>
        <v>1469.0166687083911</v>
      </c>
      <c r="AN388" s="14">
        <f t="shared" si="222"/>
        <v>4224.1890679028029</v>
      </c>
      <c r="AO388" s="14">
        <f t="shared" si="223"/>
        <v>6910.5274073839855</v>
      </c>
      <c r="AP388" s="14">
        <f t="shared" si="224"/>
        <v>3233.6094924315853</v>
      </c>
      <c r="AQ388" s="14">
        <f t="shared" si="225"/>
        <v>1513.0871687696424</v>
      </c>
      <c r="AR388" s="33">
        <f t="shared" si="226"/>
        <v>0.95</v>
      </c>
      <c r="AS388" s="33">
        <f t="shared" si="227"/>
        <v>0.6160374308785439</v>
      </c>
      <c r="AT388" s="51">
        <f t="shared" si="228"/>
        <v>5.2120563274192726</v>
      </c>
      <c r="AU388" s="51">
        <f>APPLICANTS_PER_YEAR*($H388/Segments!$AH$2)*AS388</f>
        <v>2.2177347511627579</v>
      </c>
      <c r="AV388" s="51">
        <f t="shared" si="229"/>
        <v>7.4297910785820305</v>
      </c>
      <c r="AW388" s="14">
        <f t="shared" si="230"/>
        <v>1513.0871687696424</v>
      </c>
      <c r="AX388" s="44">
        <f t="shared" si="231"/>
        <v>11241.921547641632</v>
      </c>
      <c r="AY388" s="44">
        <f t="shared" si="232"/>
        <v>35151.023321061744</v>
      </c>
      <c r="AZ388" s="44">
        <f t="shared" si="233"/>
        <v>2446.2092727051395</v>
      </c>
    </row>
    <row r="389" spans="1:52" ht="15" customHeight="1" x14ac:dyDescent="0.35">
      <c r="A389" s="59" t="str">
        <f>Segments!$A$369</f>
        <v>Greek</v>
      </c>
      <c r="B389" s="59" t="str">
        <f>Segments!$B$369</f>
        <v>Off 6+mi</v>
      </c>
      <c r="C389" s="59" t="str">
        <f>Segments!$C$369</f>
        <v>Yes</v>
      </c>
      <c r="D389" s="59" t="str">
        <f>Segments!$D$369</f>
        <v>&lt;1.0</v>
      </c>
      <c r="E389" s="59" t="str">
        <f>Segments!$E$369</f>
        <v>Grad student</v>
      </c>
      <c r="F389" s="59">
        <f>Segments!$F$369</f>
        <v>3</v>
      </c>
      <c r="G389" s="59" t="str">
        <f>Segments!$G$369</f>
        <v>Grad</v>
      </c>
      <c r="H389" s="60">
        <f>Segments!$H$369</f>
        <v>1</v>
      </c>
      <c r="I389" s="26">
        <f>Segments!$Y$369</f>
        <v>4740.9362267874349</v>
      </c>
      <c r="J389" s="29">
        <v>4</v>
      </c>
      <c r="K389" s="14">
        <f t="shared" si="195"/>
        <v>1426.2297754450396</v>
      </c>
      <c r="L389" s="14">
        <f t="shared" si="196"/>
        <v>4740.9362267874349</v>
      </c>
      <c r="M389" s="14">
        <f t="shared" si="197"/>
        <v>7750.7985731587878</v>
      </c>
      <c r="N389" s="14">
        <f t="shared" si="198"/>
        <v>3324.8187482201179</v>
      </c>
      <c r="O389" s="14">
        <f t="shared" si="199"/>
        <v>1426.2297754450396</v>
      </c>
      <c r="P389" s="33">
        <f t="shared" si="200"/>
        <v>0.95</v>
      </c>
      <c r="Q389" s="33">
        <f t="shared" si="201"/>
        <v>0.6355176652549035</v>
      </c>
      <c r="R389" s="51">
        <f t="shared" si="202"/>
        <v>0.47499999999999998</v>
      </c>
      <c r="S389" s="51">
        <f>APPLICANTS_PER_YEAR*($H389/Segments!$AH$2)*Q389</f>
        <v>0.76262119830588415</v>
      </c>
      <c r="T389" s="51">
        <f t="shared" si="203"/>
        <v>1.237621198305884</v>
      </c>
      <c r="U389" s="14">
        <f t="shared" si="204"/>
        <v>1426.2297754450399</v>
      </c>
      <c r="V389" s="44">
        <f t="shared" si="205"/>
        <v>1765.1322037458222</v>
      </c>
      <c r="W389" s="44">
        <f t="shared" si="206"/>
        <v>6571.5811549790542</v>
      </c>
      <c r="X389" s="44">
        <f t="shared" si="207"/>
        <v>415.4964975460552</v>
      </c>
      <c r="Y389" s="14">
        <f t="shared" si="208"/>
        <v>1426.2297754450399</v>
      </c>
      <c r="Z389" s="14">
        <f t="shared" si="209"/>
        <v>4883.1643135910581</v>
      </c>
      <c r="AA389" s="14">
        <f t="shared" si="210"/>
        <v>7982.0725303535519</v>
      </c>
      <c r="AB389" s="14">
        <f t="shared" si="211"/>
        <v>3424.2951972528199</v>
      </c>
      <c r="AC389" s="14">
        <f t="shared" si="212"/>
        <v>1469.0166687083909</v>
      </c>
      <c r="AD389" s="33">
        <f t="shared" si="213"/>
        <v>0.95</v>
      </c>
      <c r="AE389" s="33">
        <f t="shared" si="214"/>
        <v>0.63550087184555137</v>
      </c>
      <c r="AF389" s="51">
        <f t="shared" si="215"/>
        <v>0.58787006919529483</v>
      </c>
      <c r="AG389" s="51">
        <f>APPLICANTS_PER_YEAR*($H389/Segments!$AH$2)*AE389</f>
        <v>0.76260104621466163</v>
      </c>
      <c r="AH389" s="51">
        <f t="shared" si="216"/>
        <v>1.3504711154099565</v>
      </c>
      <c r="AI389" s="14">
        <f t="shared" si="217"/>
        <v>1469.0166687083909</v>
      </c>
      <c r="AJ389" s="44">
        <f t="shared" si="218"/>
        <v>1983.8645791464392</v>
      </c>
      <c r="AK389" s="44">
        <f t="shared" si="219"/>
        <v>7385.921040182061</v>
      </c>
      <c r="AL389" s="44">
        <f t="shared" si="220"/>
        <v>460.23443161847558</v>
      </c>
      <c r="AM389" s="14">
        <f t="shared" si="221"/>
        <v>1469.0166687083909</v>
      </c>
      <c r="AN389" s="14">
        <f t="shared" si="222"/>
        <v>5029.6592429987895</v>
      </c>
      <c r="AO389" s="14">
        <f t="shared" si="223"/>
        <v>8220.2847062641576</v>
      </c>
      <c r="AP389" s="14">
        <f t="shared" si="224"/>
        <v>3526.7559190680645</v>
      </c>
      <c r="AQ389" s="14">
        <f t="shared" si="225"/>
        <v>1513.0871687696424</v>
      </c>
      <c r="AR389" s="33">
        <f t="shared" si="226"/>
        <v>0.95</v>
      </c>
      <c r="AS389" s="33">
        <f t="shared" si="227"/>
        <v>0.6354845637900749</v>
      </c>
      <c r="AT389" s="51">
        <f t="shared" si="228"/>
        <v>0.64147377981972931</v>
      </c>
      <c r="AU389" s="51">
        <f>APPLICANTS_PER_YEAR*($H389/Segments!$AH$2)*AS389</f>
        <v>0.76258147654808983</v>
      </c>
      <c r="AV389" s="51">
        <f t="shared" si="229"/>
        <v>1.404055256367819</v>
      </c>
      <c r="AW389" s="14">
        <f t="shared" si="230"/>
        <v>1513.0871687696426</v>
      </c>
      <c r="AX389" s="44">
        <f t="shared" si="231"/>
        <v>2124.4579926537181</v>
      </c>
      <c r="AY389" s="44">
        <f t="shared" si="232"/>
        <v>7909.3498376160087</v>
      </c>
      <c r="AZ389" s="44">
        <f t="shared" si="233"/>
        <v>489.05303130833261</v>
      </c>
    </row>
    <row r="390" spans="1:52" ht="15" customHeight="1" x14ac:dyDescent="0.35">
      <c r="A390" s="61" t="str">
        <f>Segments!$A$370</f>
        <v>Greek</v>
      </c>
      <c r="B390" s="61" t="str">
        <f>Segments!$B$370</f>
        <v>Off 6+mi</v>
      </c>
      <c r="C390" s="61" t="str">
        <f>Segments!$C$370</f>
        <v>Yes</v>
      </c>
      <c r="D390" s="61" t="str">
        <f>Segments!$D$370</f>
        <v>1.0-2.0</v>
      </c>
      <c r="E390" s="61" t="str">
        <f>Segments!$E$370</f>
        <v>Freshman</v>
      </c>
      <c r="F390" s="61">
        <f>Segments!$F$370</f>
        <v>1</v>
      </c>
      <c r="G390" s="61" t="str">
        <f>Segments!$G$370</f>
        <v>Base</v>
      </c>
      <c r="H390" s="62">
        <f>Segments!$H$370</f>
        <v>9</v>
      </c>
      <c r="I390" s="63">
        <f>Segments!$Y$370</f>
        <v>3266.8547475300102</v>
      </c>
      <c r="J390" s="42">
        <v>0</v>
      </c>
      <c r="K390" s="40">
        <f t="shared" si="195"/>
        <v>5353.8271690078946</v>
      </c>
      <c r="L390" s="40">
        <f t="shared" si="196"/>
        <v>3266.8547475300102</v>
      </c>
      <c r="M390" s="40">
        <f t="shared" si="197"/>
        <v>5353.8271690078946</v>
      </c>
      <c r="N390" s="40">
        <f t="shared" si="198"/>
        <v>2763.292912636241</v>
      </c>
      <c r="O390" s="40">
        <f t="shared" si="199"/>
        <v>1426.2297754450396</v>
      </c>
      <c r="P390" s="41">
        <f t="shared" si="200"/>
        <v>0.95</v>
      </c>
      <c r="Q390" s="41">
        <f t="shared" si="201"/>
        <v>0.59193293643915834</v>
      </c>
      <c r="R390" s="64">
        <f t="shared" si="202"/>
        <v>0</v>
      </c>
      <c r="S390" s="64">
        <f>APPLICANTS_PER_YEAR*($H390/Segments!$AH$2)*Q390</f>
        <v>6.3928757135429093</v>
      </c>
      <c r="T390" s="64">
        <f t="shared" si="203"/>
        <v>6.3928757135429093</v>
      </c>
      <c r="U390" s="40">
        <f t="shared" si="204"/>
        <v>1426.2297754450396</v>
      </c>
      <c r="V390" s="65">
        <f t="shared" si="205"/>
        <v>9117.7096933743505</v>
      </c>
      <c r="W390" s="65">
        <f t="shared" si="206"/>
        <v>23390.747940175792</v>
      </c>
      <c r="X390" s="65">
        <f t="shared" si="207"/>
        <v>2330.0463784252852</v>
      </c>
      <c r="Y390" s="40">
        <f t="shared" si="208"/>
        <v>5513.1919840781311</v>
      </c>
      <c r="Z390" s="40">
        <f t="shared" si="209"/>
        <v>3364.8603899559107</v>
      </c>
      <c r="AA390" s="40">
        <f t="shared" si="210"/>
        <v>5513.1919840781311</v>
      </c>
      <c r="AB390" s="40">
        <f t="shared" si="211"/>
        <v>2845.8690979031799</v>
      </c>
      <c r="AC390" s="40">
        <f t="shared" si="212"/>
        <v>1469.0166687083909</v>
      </c>
      <c r="AD390" s="41">
        <f t="shared" si="213"/>
        <v>0.95</v>
      </c>
      <c r="AE390" s="41">
        <f t="shared" si="214"/>
        <v>0.59190368246544545</v>
      </c>
      <c r="AF390" s="64">
        <f t="shared" si="215"/>
        <v>0</v>
      </c>
      <c r="AG390" s="64">
        <f>APPLICANTS_PER_YEAR*($H390/Segments!$AH$2)*AE390</f>
        <v>6.3925597706268098</v>
      </c>
      <c r="AH390" s="64">
        <f t="shared" si="216"/>
        <v>6.3925597706268098</v>
      </c>
      <c r="AI390" s="40">
        <f t="shared" si="217"/>
        <v>1469.0166687083909</v>
      </c>
      <c r="AJ390" s="65">
        <f t="shared" si="218"/>
        <v>9390.7768587654718</v>
      </c>
      <c r="AK390" s="65">
        <f t="shared" si="219"/>
        <v>24091.27970212073</v>
      </c>
      <c r="AL390" s="65">
        <f t="shared" si="220"/>
        <v>2391.1992060416719</v>
      </c>
      <c r="AM390" s="40">
        <f t="shared" si="221"/>
        <v>5677.3377436004748</v>
      </c>
      <c r="AN390" s="40">
        <f t="shared" si="222"/>
        <v>3465.8062016545878</v>
      </c>
      <c r="AO390" s="40">
        <f t="shared" si="223"/>
        <v>5677.3377436004748</v>
      </c>
      <c r="AP390" s="40">
        <f t="shared" si="224"/>
        <v>2930.922532687187</v>
      </c>
      <c r="AQ390" s="40">
        <f t="shared" si="225"/>
        <v>1513.0871687696424</v>
      </c>
      <c r="AR390" s="41">
        <f t="shared" si="226"/>
        <v>0.95</v>
      </c>
      <c r="AS390" s="41">
        <f t="shared" si="227"/>
        <v>0.59187527102901905</v>
      </c>
      <c r="AT390" s="64">
        <f t="shared" si="228"/>
        <v>0</v>
      </c>
      <c r="AU390" s="64">
        <f>APPLICANTS_PER_YEAR*($H390/Segments!$AH$2)*AS390</f>
        <v>6.3922529271134048</v>
      </c>
      <c r="AV390" s="64">
        <f t="shared" si="229"/>
        <v>6.3922529271134048</v>
      </c>
      <c r="AW390" s="40">
        <f t="shared" si="230"/>
        <v>1513.0871687696426</v>
      </c>
      <c r="AX390" s="65">
        <f t="shared" si="231"/>
        <v>9672.0358835454826</v>
      </c>
      <c r="AY390" s="65">
        <f t="shared" si="232"/>
        <v>24812.827017814452</v>
      </c>
      <c r="AZ390" s="65">
        <f t="shared" si="233"/>
        <v>2454.187419634291</v>
      </c>
    </row>
    <row r="391" spans="1:52" ht="15" customHeight="1" x14ac:dyDescent="0.35">
      <c r="A391" s="61" t="str">
        <f>Segments!$A$371</f>
        <v>Greek</v>
      </c>
      <c r="B391" s="61" t="str">
        <f>Segments!$B$371</f>
        <v>Off 6+mi</v>
      </c>
      <c r="C391" s="61" t="str">
        <f>Segments!$C$371</f>
        <v>Yes</v>
      </c>
      <c r="D391" s="61" t="str">
        <f>Segments!$D$371</f>
        <v>1.0-2.0</v>
      </c>
      <c r="E391" s="61" t="str">
        <f>Segments!$E$371</f>
        <v>Sophomore</v>
      </c>
      <c r="F391" s="61">
        <f>Segments!$F$371</f>
        <v>1</v>
      </c>
      <c r="G391" s="61" t="str">
        <f>Segments!$G$371</f>
        <v>Sophomore</v>
      </c>
      <c r="H391" s="62">
        <f>Segments!$H$371</f>
        <v>5</v>
      </c>
      <c r="I391" s="63">
        <f>Segments!$Y$371</f>
        <v>3233.6185605859932</v>
      </c>
      <c r="J391" s="42">
        <v>1</v>
      </c>
      <c r="K391" s="40">
        <f t="shared" si="195"/>
        <v>1426.2297754450396</v>
      </c>
      <c r="L391" s="40">
        <f t="shared" si="196"/>
        <v>3233.6185605859932</v>
      </c>
      <c r="M391" s="40">
        <f t="shared" si="197"/>
        <v>5299.7825379553733</v>
      </c>
      <c r="N391" s="40">
        <f t="shared" si="198"/>
        <v>2749.3103969933322</v>
      </c>
      <c r="O391" s="40">
        <f t="shared" si="199"/>
        <v>1426.2297754450396</v>
      </c>
      <c r="P391" s="41">
        <f t="shared" si="200"/>
        <v>0.95</v>
      </c>
      <c r="Q391" s="41">
        <f t="shared" si="201"/>
        <v>0.59062045213141889</v>
      </c>
      <c r="R391" s="64">
        <f t="shared" si="202"/>
        <v>8.5499999999999989</v>
      </c>
      <c r="S391" s="64">
        <f>APPLICANTS_PER_YEAR*($H391/Segments!$AH$2)*Q391</f>
        <v>3.5437227127885134</v>
      </c>
      <c r="T391" s="64">
        <f t="shared" si="203"/>
        <v>12.093722712788512</v>
      </c>
      <c r="U391" s="40">
        <f t="shared" si="204"/>
        <v>1426.2297754450396</v>
      </c>
      <c r="V391" s="65">
        <f t="shared" si="205"/>
        <v>17248.427428954936</v>
      </c>
      <c r="W391" s="65">
        <f t="shared" si="206"/>
        <v>43799.264578331728</v>
      </c>
      <c r="X391" s="65">
        <f t="shared" si="207"/>
        <v>3767.3160058594608</v>
      </c>
      <c r="Y391" s="40">
        <f t="shared" si="208"/>
        <v>1426.2297754450396</v>
      </c>
      <c r="Z391" s="40">
        <f t="shared" si="209"/>
        <v>3330.6271174035733</v>
      </c>
      <c r="AA391" s="40">
        <f t="shared" si="210"/>
        <v>5457.5260140940345</v>
      </c>
      <c r="AB391" s="40">
        <f t="shared" si="211"/>
        <v>2831.4654659052089</v>
      </c>
      <c r="AC391" s="40">
        <f t="shared" si="212"/>
        <v>1469.0166687083909</v>
      </c>
      <c r="AD391" s="41">
        <f t="shared" si="213"/>
        <v>0.95</v>
      </c>
      <c r="AE391" s="41">
        <f t="shared" si="214"/>
        <v>0.59059074949043189</v>
      </c>
      <c r="AF391" s="64">
        <f t="shared" si="215"/>
        <v>6.0732319278657636</v>
      </c>
      <c r="AG391" s="64">
        <f>APPLICANTS_PER_YEAR*($H391/Segments!$AH$2)*AE391</f>
        <v>3.5435444969425913</v>
      </c>
      <c r="AH391" s="64">
        <f t="shared" si="216"/>
        <v>9.6167764248083554</v>
      </c>
      <c r="AI391" s="40">
        <f t="shared" si="217"/>
        <v>1469.0166687083906</v>
      </c>
      <c r="AJ391" s="65">
        <f t="shared" si="218"/>
        <v>14127.204867285358</v>
      </c>
      <c r="AK391" s="65">
        <f t="shared" si="219"/>
        <v>35873.483903570988</v>
      </c>
      <c r="AL391" s="65">
        <f t="shared" si="220"/>
        <v>3133.1592684678144</v>
      </c>
      <c r="AM391" s="40">
        <f t="shared" si="221"/>
        <v>1469.0166687083909</v>
      </c>
      <c r="AN391" s="40">
        <f t="shared" si="222"/>
        <v>3430.5459309256803</v>
      </c>
      <c r="AO391" s="40">
        <f t="shared" si="223"/>
        <v>5620.0017945168556</v>
      </c>
      <c r="AP391" s="40">
        <f t="shared" si="224"/>
        <v>2916.0851502906803</v>
      </c>
      <c r="AQ391" s="40">
        <f t="shared" si="225"/>
        <v>1513.0871687696424</v>
      </c>
      <c r="AR391" s="41">
        <f t="shared" si="226"/>
        <v>0.95</v>
      </c>
      <c r="AS391" s="41">
        <f t="shared" si="227"/>
        <v>0.59056190221008886</v>
      </c>
      <c r="AT391" s="64">
        <f t="shared" si="228"/>
        <v>6.0729317820954689</v>
      </c>
      <c r="AU391" s="64">
        <f>APPLICANTS_PER_YEAR*($H391/Segments!$AH$2)*AS391</f>
        <v>3.543371413260533</v>
      </c>
      <c r="AV391" s="64">
        <f t="shared" si="229"/>
        <v>9.6163031953560019</v>
      </c>
      <c r="AW391" s="40">
        <f t="shared" si="230"/>
        <v>1513.0871687696424</v>
      </c>
      <c r="AX391" s="65">
        <f t="shared" si="231"/>
        <v>14550.304975891679</v>
      </c>
      <c r="AY391" s="65">
        <f t="shared" si="232"/>
        <v>36947.870173061288</v>
      </c>
      <c r="AZ391" s="65">
        <f t="shared" si="233"/>
        <v>3218.5680333677992</v>
      </c>
    </row>
    <row r="392" spans="1:52" ht="15" customHeight="1" x14ac:dyDescent="0.35">
      <c r="A392" s="61" t="str">
        <f>Segments!$A$372</f>
        <v>Greek</v>
      </c>
      <c r="B392" s="61" t="str">
        <f>Segments!$B$372</f>
        <v>Off 6+mi</v>
      </c>
      <c r="C392" s="61" t="str">
        <f>Segments!$C$372</f>
        <v>Yes</v>
      </c>
      <c r="D392" s="61" t="str">
        <f>Segments!$D$372</f>
        <v>1.0-2.0</v>
      </c>
      <c r="E392" s="61" t="str">
        <f>Segments!$E$372</f>
        <v>Junior</v>
      </c>
      <c r="F392" s="61">
        <f>Segments!$F$372</f>
        <v>2</v>
      </c>
      <c r="G392" s="61" t="str">
        <f>Segments!$G$372</f>
        <v>Base</v>
      </c>
      <c r="H392" s="62">
        <f>Segments!$H$372</f>
        <v>7</v>
      </c>
      <c r="I392" s="63">
        <f>Segments!$Y$372</f>
        <v>3865.5504852262752</v>
      </c>
      <c r="J392" s="42">
        <v>2</v>
      </c>
      <c r="K392" s="40">
        <f t="shared" si="195"/>
        <v>1426.2297754450396</v>
      </c>
      <c r="L392" s="40">
        <f t="shared" si="196"/>
        <v>3865.5504852262752</v>
      </c>
      <c r="M392" s="40">
        <f t="shared" si="197"/>
        <v>6327.353112613052</v>
      </c>
      <c r="N392" s="40">
        <f t="shared" si="198"/>
        <v>3004.0405138685442</v>
      </c>
      <c r="O392" s="40">
        <f t="shared" si="199"/>
        <v>1426.2297754450396</v>
      </c>
      <c r="P392" s="41">
        <f t="shared" si="200"/>
        <v>0.95</v>
      </c>
      <c r="Q392" s="41">
        <f t="shared" si="201"/>
        <v>0.61261475688149603</v>
      </c>
      <c r="R392" s="64">
        <f t="shared" si="202"/>
        <v>4.75</v>
      </c>
      <c r="S392" s="64">
        <f>APPLICANTS_PER_YEAR*($H392/Segments!$AH$2)*Q392</f>
        <v>5.1459639578045664</v>
      </c>
      <c r="T392" s="64">
        <f t="shared" si="203"/>
        <v>9.8959639578045664</v>
      </c>
      <c r="U392" s="40">
        <f t="shared" si="204"/>
        <v>1426.2297754450396</v>
      </c>
      <c r="V392" s="65">
        <f t="shared" si="205"/>
        <v>14113.918453351813</v>
      </c>
      <c r="W392" s="65">
        <f t="shared" si="206"/>
        <v>42843.750072337956</v>
      </c>
      <c r="X392" s="65">
        <f t="shared" si="207"/>
        <v>3250.9754114842735</v>
      </c>
      <c r="Y392" s="40">
        <f t="shared" si="208"/>
        <v>1426.2297754450396</v>
      </c>
      <c r="Z392" s="40">
        <f t="shared" si="209"/>
        <v>3981.5169997830635</v>
      </c>
      <c r="AA392" s="40">
        <f t="shared" si="210"/>
        <v>6515.923705991444</v>
      </c>
      <c r="AB392" s="40">
        <f t="shared" si="211"/>
        <v>3093.8649835009901</v>
      </c>
      <c r="AC392" s="40">
        <f t="shared" si="212"/>
        <v>1469.0166687083909</v>
      </c>
      <c r="AD392" s="41">
        <f t="shared" si="213"/>
        <v>0.95</v>
      </c>
      <c r="AE392" s="41">
        <f t="shared" si="214"/>
        <v>0.61259198825055627</v>
      </c>
      <c r="AF392" s="64">
        <f t="shared" si="215"/>
        <v>11.489036577149086</v>
      </c>
      <c r="AG392" s="64">
        <f>APPLICANTS_PER_YEAR*($H392/Segments!$AH$2)*AE392</f>
        <v>5.145772701304673</v>
      </c>
      <c r="AH392" s="64">
        <f t="shared" si="216"/>
        <v>16.634809278453758</v>
      </c>
      <c r="AI392" s="40">
        <f t="shared" si="217"/>
        <v>1469.0166687083911</v>
      </c>
      <c r="AJ392" s="65">
        <f t="shared" si="218"/>
        <v>24436.812110833576</v>
      </c>
      <c r="AK392" s="65">
        <f t="shared" si="219"/>
        <v>74179.58904195021</v>
      </c>
      <c r="AL392" s="65">
        <f t="shared" si="220"/>
        <v>5344.4708975552785</v>
      </c>
      <c r="AM392" s="40">
        <f t="shared" si="221"/>
        <v>1469.0166687083906</v>
      </c>
      <c r="AN392" s="40">
        <f t="shared" si="222"/>
        <v>4100.9625097765556</v>
      </c>
      <c r="AO392" s="40">
        <f t="shared" si="223"/>
        <v>6710.1514171711879</v>
      </c>
      <c r="AP392" s="40">
        <f t="shared" si="224"/>
        <v>3186.3841591721416</v>
      </c>
      <c r="AQ392" s="40">
        <f t="shared" si="225"/>
        <v>1513.0871687696424</v>
      </c>
      <c r="AR392" s="41">
        <f t="shared" si="226"/>
        <v>0.95</v>
      </c>
      <c r="AS392" s="41">
        <f t="shared" si="227"/>
        <v>0.61256987651439376</v>
      </c>
      <c r="AT392" s="64">
        <f t="shared" si="228"/>
        <v>9.1359376035679372</v>
      </c>
      <c r="AU392" s="64">
        <f>APPLICANTS_PER_YEAR*($H392/Segments!$AH$2)*AS392</f>
        <v>5.1455869627209081</v>
      </c>
      <c r="AV392" s="64">
        <f t="shared" si="229"/>
        <v>14.281524566288844</v>
      </c>
      <c r="AW392" s="40">
        <f t="shared" si="230"/>
        <v>1513.0871687696424</v>
      </c>
      <c r="AX392" s="65">
        <f t="shared" si="231"/>
        <v>21609.191571720083</v>
      </c>
      <c r="AY392" s="65">
        <f t="shared" si="232"/>
        <v>65596.156448259848</v>
      </c>
      <c r="AZ392" s="65">
        <f t="shared" si="233"/>
        <v>4770.907628766744</v>
      </c>
    </row>
    <row r="393" spans="1:52" ht="15" customHeight="1" x14ac:dyDescent="0.35">
      <c r="A393" s="61" t="str">
        <f>Segments!$A$373</f>
        <v>Greek</v>
      </c>
      <c r="B393" s="61" t="str">
        <f>Segments!$B$373</f>
        <v>Off 6+mi</v>
      </c>
      <c r="C393" s="61" t="str">
        <f>Segments!$C$373</f>
        <v>Yes</v>
      </c>
      <c r="D393" s="61" t="str">
        <f>Segments!$D$373</f>
        <v>1.0-2.0</v>
      </c>
      <c r="E393" s="61" t="str">
        <f>Segments!$E$373</f>
        <v>Senior</v>
      </c>
      <c r="F393" s="61">
        <f>Segments!$F$373</f>
        <v>3</v>
      </c>
      <c r="G393" s="61" t="str">
        <f>Segments!$G$373</f>
        <v>Base</v>
      </c>
      <c r="H393" s="62">
        <f>Segments!$H$373</f>
        <v>8</v>
      </c>
      <c r="I393" s="63">
        <f>Segments!$Y$373</f>
        <v>3613.0815508166188</v>
      </c>
      <c r="J393" s="42">
        <v>3</v>
      </c>
      <c r="K393" s="40">
        <f t="shared" si="195"/>
        <v>1426.2297754450396</v>
      </c>
      <c r="L393" s="40">
        <f t="shared" si="196"/>
        <v>3613.0815508166188</v>
      </c>
      <c r="M393" s="40">
        <f t="shared" si="197"/>
        <v>5916.8189428728247</v>
      </c>
      <c r="N393" s="40">
        <f t="shared" si="198"/>
        <v>2904.9515232172926</v>
      </c>
      <c r="O393" s="40">
        <f t="shared" si="199"/>
        <v>1426.2297754450396</v>
      </c>
      <c r="P393" s="41">
        <f t="shared" si="200"/>
        <v>0.95</v>
      </c>
      <c r="Q393" s="41">
        <f t="shared" si="201"/>
        <v>0.60451745682395042</v>
      </c>
      <c r="R393" s="64">
        <f t="shared" si="202"/>
        <v>6.6499999999999995</v>
      </c>
      <c r="S393" s="64">
        <f>APPLICANTS_PER_YEAR*($H393/Segments!$AH$2)*Q393</f>
        <v>5.8033675855099238</v>
      </c>
      <c r="T393" s="64">
        <f t="shared" si="203"/>
        <v>12.453367585509923</v>
      </c>
      <c r="U393" s="40">
        <f t="shared" si="204"/>
        <v>1426.2297754450396</v>
      </c>
      <c r="V393" s="65">
        <f t="shared" si="205"/>
        <v>17761.363655016354</v>
      </c>
      <c r="W393" s="65">
        <f t="shared" si="206"/>
        <v>50394.436588992838</v>
      </c>
      <c r="X393" s="65">
        <f t="shared" si="207"/>
        <v>4040.7420198367772</v>
      </c>
      <c r="Y393" s="40">
        <f t="shared" si="208"/>
        <v>1426.2297754450396</v>
      </c>
      <c r="Z393" s="40">
        <f t="shared" si="209"/>
        <v>3721.4739973411174</v>
      </c>
      <c r="AA393" s="40">
        <f t="shared" si="210"/>
        <v>6093.0735111590093</v>
      </c>
      <c r="AB393" s="40">
        <f t="shared" si="211"/>
        <v>2991.7931999986472</v>
      </c>
      <c r="AC393" s="40">
        <f t="shared" si="212"/>
        <v>1469.0166687083909</v>
      </c>
      <c r="AD393" s="41">
        <f t="shared" si="213"/>
        <v>0.95</v>
      </c>
      <c r="AE393" s="41">
        <f t="shared" si="214"/>
        <v>0.60449227762315672</v>
      </c>
      <c r="AF393" s="64">
        <f t="shared" si="215"/>
        <v>9.4011657599143383</v>
      </c>
      <c r="AG393" s="64">
        <f>APPLICANTS_PER_YEAR*($H393/Segments!$AH$2)*AE393</f>
        <v>5.8031258651823041</v>
      </c>
      <c r="AH393" s="64">
        <f t="shared" si="216"/>
        <v>15.204291625096642</v>
      </c>
      <c r="AI393" s="40">
        <f t="shared" si="217"/>
        <v>1469.0166687083906</v>
      </c>
      <c r="AJ393" s="65">
        <f t="shared" si="218"/>
        <v>22335.357833170354</v>
      </c>
      <c r="AK393" s="65">
        <f t="shared" si="219"/>
        <v>63372.2610424831</v>
      </c>
      <c r="AL393" s="65">
        <f t="shared" si="220"/>
        <v>4968.9177115304838</v>
      </c>
      <c r="AM393" s="40">
        <f t="shared" si="221"/>
        <v>1469.0166687083911</v>
      </c>
      <c r="AN393" s="40">
        <f t="shared" si="222"/>
        <v>3833.1182172613508</v>
      </c>
      <c r="AO393" s="40">
        <f t="shared" si="223"/>
        <v>6274.6157164937786</v>
      </c>
      <c r="AP393" s="40">
        <f t="shared" si="224"/>
        <v>3081.2400960631217</v>
      </c>
      <c r="AQ393" s="40">
        <f t="shared" si="225"/>
        <v>1513.0871687696424</v>
      </c>
      <c r="AR393" s="41">
        <f t="shared" si="226"/>
        <v>0.95</v>
      </c>
      <c r="AS393" s="41">
        <f t="shared" si="227"/>
        <v>0.60446782438296465</v>
      </c>
      <c r="AT393" s="64">
        <f t="shared" si="228"/>
        <v>15.80306881453107</v>
      </c>
      <c r="AU393" s="64">
        <f>APPLICANTS_PER_YEAR*($H393/Segments!$AH$2)*AS393</f>
        <v>5.8028911140764601</v>
      </c>
      <c r="AV393" s="64">
        <f t="shared" si="229"/>
        <v>21.605959928607529</v>
      </c>
      <c r="AW393" s="40">
        <f t="shared" si="230"/>
        <v>1513.0871687696424</v>
      </c>
      <c r="AX393" s="65">
        <f t="shared" si="231"/>
        <v>32691.700736927112</v>
      </c>
      <c r="AY393" s="65">
        <f t="shared" si="232"/>
        <v>92756.382436215994</v>
      </c>
      <c r="AZ393" s="65">
        <f t="shared" si="233"/>
        <v>7063.2327187299625</v>
      </c>
    </row>
    <row r="394" spans="1:52" ht="15" customHeight="1" x14ac:dyDescent="0.35">
      <c r="A394" s="61" t="str">
        <f>Segments!$A$374</f>
        <v>Greek</v>
      </c>
      <c r="B394" s="61" t="str">
        <f>Segments!$B$374</f>
        <v>Off 6+mi</v>
      </c>
      <c r="C394" s="61" t="str">
        <f>Segments!$C$374</f>
        <v>Yes</v>
      </c>
      <c r="D394" s="61" t="str">
        <f>Segments!$D$374</f>
        <v>1.0-2.0</v>
      </c>
      <c r="E394" s="61" t="str">
        <f>Segments!$E$374</f>
        <v>Grad student</v>
      </c>
      <c r="F394" s="61">
        <f>Segments!$F$374</f>
        <v>3</v>
      </c>
      <c r="G394" s="61" t="str">
        <f>Segments!$G$374</f>
        <v>Grad</v>
      </c>
      <c r="H394" s="62">
        <f>Segments!$H$374</f>
        <v>1</v>
      </c>
      <c r="I394" s="63">
        <f>Segments!$Y$374</f>
        <v>4302.0254836262338</v>
      </c>
      <c r="J394" s="42">
        <v>4</v>
      </c>
      <c r="K394" s="40">
        <f t="shared" si="195"/>
        <v>1426.2297754450396</v>
      </c>
      <c r="L394" s="40">
        <f t="shared" si="196"/>
        <v>4302.0254836262338</v>
      </c>
      <c r="M394" s="40">
        <f t="shared" si="197"/>
        <v>7037.095487450124</v>
      </c>
      <c r="N394" s="40">
        <f t="shared" si="198"/>
        <v>3168.045946139559</v>
      </c>
      <c r="O394" s="40">
        <f t="shared" si="199"/>
        <v>1426.2297754450396</v>
      </c>
      <c r="P394" s="41">
        <f t="shared" si="200"/>
        <v>0.95</v>
      </c>
      <c r="Q394" s="41">
        <f t="shared" si="201"/>
        <v>0.62490386823729938</v>
      </c>
      <c r="R394" s="64">
        <f t="shared" si="202"/>
        <v>0.47499999999999998</v>
      </c>
      <c r="S394" s="64">
        <f>APPLICANTS_PER_YEAR*($H394/Segments!$AH$2)*Q394</f>
        <v>0.74988464188475923</v>
      </c>
      <c r="T394" s="64">
        <f t="shared" si="203"/>
        <v>1.2248846418847592</v>
      </c>
      <c r="U394" s="40">
        <f t="shared" si="204"/>
        <v>1426.2297754450399</v>
      </c>
      <c r="V394" s="65">
        <f t="shared" si="205"/>
        <v>1746.9669477413781</v>
      </c>
      <c r="W394" s="65">
        <f t="shared" si="206"/>
        <v>5901.8231371575039</v>
      </c>
      <c r="X394" s="65">
        <f t="shared" si="207"/>
        <v>410.85433516210907</v>
      </c>
      <c r="Y394" s="40">
        <f t="shared" si="208"/>
        <v>1426.2297754450399</v>
      </c>
      <c r="Z394" s="40">
        <f t="shared" si="209"/>
        <v>4431.0862481350214</v>
      </c>
      <c r="AA394" s="40">
        <f t="shared" si="210"/>
        <v>7246.9583520736278</v>
      </c>
      <c r="AB394" s="40">
        <f t="shared" si="211"/>
        <v>3262.8059422269735</v>
      </c>
      <c r="AC394" s="40">
        <f t="shared" si="212"/>
        <v>1469.0166687083909</v>
      </c>
      <c r="AD394" s="41">
        <f t="shared" si="213"/>
        <v>0.95</v>
      </c>
      <c r="AE394" s="41">
        <f t="shared" si="214"/>
        <v>0.62488445609092236</v>
      </c>
      <c r="AF394" s="64">
        <f t="shared" si="215"/>
        <v>0.58182020489526065</v>
      </c>
      <c r="AG394" s="64">
        <f>APPLICANTS_PER_YEAR*($H394/Segments!$AH$2)*AE394</f>
        <v>0.74986134730910681</v>
      </c>
      <c r="AH394" s="64">
        <f t="shared" si="216"/>
        <v>1.3316815522043675</v>
      </c>
      <c r="AI394" s="40">
        <f t="shared" si="217"/>
        <v>1469.0166687083911</v>
      </c>
      <c r="AJ394" s="65">
        <f t="shared" si="218"/>
        <v>1956.2623975996792</v>
      </c>
      <c r="AK394" s="65">
        <f t="shared" si="219"/>
        <v>6608.8913104120174</v>
      </c>
      <c r="AL394" s="65">
        <f t="shared" si="220"/>
        <v>453.66831651775669</v>
      </c>
      <c r="AM394" s="40">
        <f t="shared" si="221"/>
        <v>1469.0166687083911</v>
      </c>
      <c r="AN394" s="40">
        <f t="shared" si="222"/>
        <v>4564.0188355790715</v>
      </c>
      <c r="AO394" s="40">
        <f t="shared" si="223"/>
        <v>7463.1171026358361</v>
      </c>
      <c r="AP394" s="40">
        <f t="shared" si="224"/>
        <v>3360.4087142821718</v>
      </c>
      <c r="AQ394" s="40">
        <f t="shared" si="225"/>
        <v>1513.0871687696424</v>
      </c>
      <c r="AR394" s="41">
        <f t="shared" si="226"/>
        <v>0.95</v>
      </c>
      <c r="AS394" s="41">
        <f t="shared" si="227"/>
        <v>0.62486560454107465</v>
      </c>
      <c r="AT394" s="64">
        <f t="shared" si="228"/>
        <v>0.6325487372970745</v>
      </c>
      <c r="AU394" s="64">
        <f>APPLICANTS_PER_YEAR*($H394/Segments!$AH$2)*AS394</f>
        <v>0.74983872544928953</v>
      </c>
      <c r="AV394" s="64">
        <f t="shared" si="229"/>
        <v>1.3823874627463639</v>
      </c>
      <c r="AW394" s="40">
        <f t="shared" si="230"/>
        <v>1513.0871687696426</v>
      </c>
      <c r="AX394" s="65">
        <f t="shared" si="231"/>
        <v>2091.6727321495455</v>
      </c>
      <c r="AY394" s="65">
        <f t="shared" si="232"/>
        <v>7066.3515082078993</v>
      </c>
      <c r="AZ394" s="65">
        <f t="shared" si="233"/>
        <v>481.4298611617603</v>
      </c>
    </row>
    <row r="395" spans="1:52" ht="15" customHeight="1" x14ac:dyDescent="0.35">
      <c r="A395" s="59" t="str">
        <f>Segments!$A$375</f>
        <v>Greek</v>
      </c>
      <c r="B395" s="59" t="str">
        <f>Segments!$B$375</f>
        <v>Off 6+mi</v>
      </c>
      <c r="C395" s="59" t="str">
        <f>Segments!$C$375</f>
        <v>Yes</v>
      </c>
      <c r="D395" s="59" t="str">
        <f>Segments!$D$375</f>
        <v>2.0-3.0</v>
      </c>
      <c r="E395" s="59" t="str">
        <f>Segments!$E$375</f>
        <v>Freshman</v>
      </c>
      <c r="F395" s="59">
        <f>Segments!$F$375</f>
        <v>1</v>
      </c>
      <c r="G395" s="59" t="str">
        <f>Segments!$G$375</f>
        <v>Base</v>
      </c>
      <c r="H395" s="60">
        <f>Segments!$H$375</f>
        <v>12</v>
      </c>
      <c r="I395" s="26">
        <f>Segments!$Y$375</f>
        <v>3210.2719070549988</v>
      </c>
      <c r="J395" s="29">
        <v>0</v>
      </c>
      <c r="K395" s="14">
        <f t="shared" si="195"/>
        <v>5261.8190592170049</v>
      </c>
      <c r="L395" s="14">
        <f t="shared" si="196"/>
        <v>3210.2719070549988</v>
      </c>
      <c r="M395" s="14">
        <f t="shared" si="197"/>
        <v>5261.8190592170049</v>
      </c>
      <c r="N395" s="14">
        <f t="shared" si="198"/>
        <v>2739.4457496470886</v>
      </c>
      <c r="O395" s="14">
        <f t="shared" si="199"/>
        <v>1426.2297754450396</v>
      </c>
      <c r="P395" s="33">
        <f t="shared" si="200"/>
        <v>0.95</v>
      </c>
      <c r="Q395" s="33">
        <f t="shared" si="201"/>
        <v>0.58968643554471289</v>
      </c>
      <c r="R395" s="51">
        <f t="shared" si="202"/>
        <v>0</v>
      </c>
      <c r="S395" s="51">
        <f>APPLICANTS_PER_YEAR*($H395/Segments!$AH$2)*Q395</f>
        <v>8.4914846718438657</v>
      </c>
      <c r="T395" s="51">
        <f t="shared" si="203"/>
        <v>8.4914846718438657</v>
      </c>
      <c r="U395" s="14">
        <f t="shared" si="204"/>
        <v>1426.2297754450396</v>
      </c>
      <c r="V395" s="44">
        <f t="shared" si="205"/>
        <v>12110.808276718873</v>
      </c>
      <c r="W395" s="44">
        <f t="shared" si="206"/>
        <v>30531.171654153517</v>
      </c>
      <c r="X395" s="44">
        <f t="shared" si="207"/>
        <v>3094.9378642180018</v>
      </c>
      <c r="Y395" s="14">
        <f t="shared" si="208"/>
        <v>5418.423630993515</v>
      </c>
      <c r="Z395" s="14">
        <f t="shared" si="209"/>
        <v>3306.5800642666491</v>
      </c>
      <c r="AA395" s="14">
        <f t="shared" si="210"/>
        <v>5418.423630993515</v>
      </c>
      <c r="AB395" s="14">
        <f t="shared" si="211"/>
        <v>2821.3037114165704</v>
      </c>
      <c r="AC395" s="14">
        <f t="shared" si="212"/>
        <v>1469.0166687083909</v>
      </c>
      <c r="AD395" s="33">
        <f t="shared" si="213"/>
        <v>0.95</v>
      </c>
      <c r="AE395" s="33">
        <f t="shared" si="214"/>
        <v>0.58965641083518783</v>
      </c>
      <c r="AF395" s="51">
        <f t="shared" si="215"/>
        <v>0</v>
      </c>
      <c r="AG395" s="51">
        <f>APPLICANTS_PER_YEAR*($H395/Segments!$AH$2)*AE395</f>
        <v>8.4910523160267033</v>
      </c>
      <c r="AH395" s="51">
        <f t="shared" si="216"/>
        <v>8.4910523160267033</v>
      </c>
      <c r="AI395" s="14">
        <f t="shared" si="217"/>
        <v>1469.0166687083911</v>
      </c>
      <c r="AJ395" s="44">
        <f t="shared" si="218"/>
        <v>12473.497387118216</v>
      </c>
      <c r="AK395" s="44">
        <f t="shared" si="219"/>
        <v>31445.505630357344</v>
      </c>
      <c r="AL395" s="44">
        <f t="shared" si="220"/>
        <v>3176.160768935682</v>
      </c>
      <c r="AM395" s="14">
        <f t="shared" si="221"/>
        <v>5579.7263399233207</v>
      </c>
      <c r="AN395" s="14">
        <f t="shared" si="222"/>
        <v>3405.7774661946482</v>
      </c>
      <c r="AO395" s="14">
        <f t="shared" si="223"/>
        <v>5579.7263399233207</v>
      </c>
      <c r="AP395" s="14">
        <f t="shared" si="224"/>
        <v>2905.6173750485418</v>
      </c>
      <c r="AQ395" s="14">
        <f t="shared" si="225"/>
        <v>1513.0871687696424</v>
      </c>
      <c r="AR395" s="33">
        <f t="shared" si="226"/>
        <v>0.95</v>
      </c>
      <c r="AS395" s="33">
        <f t="shared" si="227"/>
        <v>0.58962725068981858</v>
      </c>
      <c r="AT395" s="51">
        <f t="shared" si="228"/>
        <v>0</v>
      </c>
      <c r="AU395" s="51">
        <f>APPLICANTS_PER_YEAR*($H395/Segments!$AH$2)*AS395</f>
        <v>8.4906324099333865</v>
      </c>
      <c r="AV395" s="51">
        <f t="shared" si="229"/>
        <v>8.4906324099333865</v>
      </c>
      <c r="AW395" s="14">
        <f t="shared" si="230"/>
        <v>1513.0871687696424</v>
      </c>
      <c r="AX395" s="44">
        <f t="shared" si="231"/>
        <v>12847.066954209873</v>
      </c>
      <c r="AY395" s="44">
        <f t="shared" si="232"/>
        <v>32387.269079752263</v>
      </c>
      <c r="AZ395" s="44">
        <f t="shared" si="233"/>
        <v>3259.821456190014</v>
      </c>
    </row>
    <row r="396" spans="1:52" ht="15" customHeight="1" x14ac:dyDescent="0.35">
      <c r="A396" s="59" t="str">
        <f>Segments!$A$376</f>
        <v>Greek</v>
      </c>
      <c r="B396" s="59" t="str">
        <f>Segments!$B$376</f>
        <v>Off 6+mi</v>
      </c>
      <c r="C396" s="59" t="str">
        <f>Segments!$C$376</f>
        <v>Yes</v>
      </c>
      <c r="D396" s="59" t="str">
        <f>Segments!$D$376</f>
        <v>2.0-3.0</v>
      </c>
      <c r="E396" s="59" t="str">
        <f>Segments!$E$376</f>
        <v>Sophomore</v>
      </c>
      <c r="F396" s="59">
        <f>Segments!$F$376</f>
        <v>1</v>
      </c>
      <c r="G396" s="59" t="str">
        <f>Segments!$G$376</f>
        <v>Sophomore</v>
      </c>
      <c r="H396" s="60">
        <f>Segments!$H$376</f>
        <v>11</v>
      </c>
      <c r="I396" s="26">
        <f>Segments!$Y$376</f>
        <v>3177.6113801905344</v>
      </c>
      <c r="J396" s="29">
        <v>1</v>
      </c>
      <c r="K396" s="14">
        <f t="shared" si="195"/>
        <v>1426.2297754450396</v>
      </c>
      <c r="L396" s="14">
        <f t="shared" si="196"/>
        <v>3177.6113801905344</v>
      </c>
      <c r="M396" s="14">
        <f t="shared" si="197"/>
        <v>5208.7104963320953</v>
      </c>
      <c r="N396" s="14">
        <f t="shared" si="198"/>
        <v>2725.5858088752125</v>
      </c>
      <c r="O396" s="14">
        <f t="shared" si="199"/>
        <v>1426.2297754450396</v>
      </c>
      <c r="P396" s="33">
        <f t="shared" si="200"/>
        <v>0.95</v>
      </c>
      <c r="Q396" s="33">
        <f t="shared" si="201"/>
        <v>0.5883627088897978</v>
      </c>
      <c r="R396" s="51">
        <f t="shared" si="202"/>
        <v>11.399999999999999</v>
      </c>
      <c r="S396" s="51">
        <f>APPLICANTS_PER_YEAR*($H396/Segments!$AH$2)*Q396</f>
        <v>7.7663877573453313</v>
      </c>
      <c r="T396" s="51">
        <f t="shared" si="203"/>
        <v>19.16638775734533</v>
      </c>
      <c r="U396" s="14">
        <f t="shared" si="204"/>
        <v>1426.2297754450396</v>
      </c>
      <c r="V396" s="44">
        <f t="shared" si="205"/>
        <v>27335.672907251188</v>
      </c>
      <c r="W396" s="44">
        <f t="shared" si="206"/>
        <v>68211.731677471267</v>
      </c>
      <c r="X396" s="44">
        <f t="shared" si="207"/>
        <v>6131.612499902235</v>
      </c>
      <c r="Y396" s="14">
        <f t="shared" si="208"/>
        <v>1426.2297754450396</v>
      </c>
      <c r="Z396" s="14">
        <f t="shared" si="209"/>
        <v>3272.9397215962504</v>
      </c>
      <c r="AA396" s="14">
        <f t="shared" si="210"/>
        <v>5363.721811222058</v>
      </c>
      <c r="AB396" s="14">
        <f t="shared" si="211"/>
        <v>2807.0263174754814</v>
      </c>
      <c r="AC396" s="14">
        <f t="shared" si="212"/>
        <v>1469.0166687083909</v>
      </c>
      <c r="AD396" s="33">
        <f t="shared" si="213"/>
        <v>0.95</v>
      </c>
      <c r="AE396" s="33">
        <f t="shared" si="214"/>
        <v>0.58833222375528682</v>
      </c>
      <c r="AF396" s="51">
        <f t="shared" si="215"/>
        <v>8.0669104382516714</v>
      </c>
      <c r="AG396" s="51">
        <f>APPLICANTS_PER_YEAR*($H396/Segments!$AH$2)*AE396</f>
        <v>7.7659853535697865</v>
      </c>
      <c r="AH396" s="51">
        <f t="shared" si="216"/>
        <v>15.832895791821457</v>
      </c>
      <c r="AI396" s="14">
        <f t="shared" si="217"/>
        <v>1469.0166687083911</v>
      </c>
      <c r="AJ396" s="44">
        <f t="shared" si="218"/>
        <v>23258.787832108661</v>
      </c>
      <c r="AK396" s="44">
        <f t="shared" si="219"/>
        <v>58038.52717034016</v>
      </c>
      <c r="AL396" s="44">
        <f t="shared" si="220"/>
        <v>5306.011117611084</v>
      </c>
      <c r="AM396" s="14">
        <f t="shared" si="221"/>
        <v>1469.0166687083911</v>
      </c>
      <c r="AN396" s="14">
        <f t="shared" si="222"/>
        <v>3371.1279132441377</v>
      </c>
      <c r="AO396" s="14">
        <f t="shared" si="223"/>
        <v>5523.3834655587198</v>
      </c>
      <c r="AP396" s="14">
        <f t="shared" si="224"/>
        <v>2890.9100037758531</v>
      </c>
      <c r="AQ396" s="14">
        <f t="shared" si="225"/>
        <v>1513.0871687696424</v>
      </c>
      <c r="AR396" s="33">
        <f t="shared" si="226"/>
        <v>0.95</v>
      </c>
      <c r="AS396" s="33">
        <f t="shared" si="227"/>
        <v>0.58830261633994474</v>
      </c>
      <c r="AT396" s="51">
        <f t="shared" si="228"/>
        <v>8.0664997002253678</v>
      </c>
      <c r="AU396" s="51">
        <f>APPLICANTS_PER_YEAR*($H396/Segments!$AH$2)*AS396</f>
        <v>7.7655945356872715</v>
      </c>
      <c r="AV396" s="51">
        <f t="shared" si="229"/>
        <v>15.832094235912638</v>
      </c>
      <c r="AW396" s="14">
        <f t="shared" si="230"/>
        <v>1513.0871687696424</v>
      </c>
      <c r="AX396" s="44">
        <f t="shared" si="231"/>
        <v>23955.33864311123</v>
      </c>
      <c r="AY396" s="44">
        <f t="shared" si="232"/>
        <v>59776.656580252326</v>
      </c>
      <c r="AZ396" s="44">
        <f t="shared" si="233"/>
        <v>5449.5915024020196</v>
      </c>
    </row>
    <row r="397" spans="1:52" ht="15" customHeight="1" x14ac:dyDescent="0.35">
      <c r="A397" s="59" t="str">
        <f>Segments!$A$377</f>
        <v>Greek</v>
      </c>
      <c r="B397" s="59" t="str">
        <f>Segments!$B$377</f>
        <v>Off 6+mi</v>
      </c>
      <c r="C397" s="59" t="str">
        <f>Segments!$C$377</f>
        <v>Yes</v>
      </c>
      <c r="D397" s="59" t="str">
        <f>Segments!$D$377</f>
        <v>2.0-3.0</v>
      </c>
      <c r="E397" s="59" t="str">
        <f>Segments!$E$377</f>
        <v>Junior</v>
      </c>
      <c r="F397" s="59">
        <f>Segments!$F$377</f>
        <v>2</v>
      </c>
      <c r="G397" s="59" t="str">
        <f>Segments!$G$377</f>
        <v>Base</v>
      </c>
      <c r="H397" s="60">
        <f>Segments!$H$377</f>
        <v>9</v>
      </c>
      <c r="I397" s="26">
        <f>Segments!$Y$377</f>
        <v>3798.5980666594464</v>
      </c>
      <c r="J397" s="29">
        <v>2</v>
      </c>
      <c r="K397" s="14">
        <f t="shared" si="195"/>
        <v>1426.2297754450396</v>
      </c>
      <c r="L397" s="14">
        <f t="shared" si="196"/>
        <v>3798.5980666594464</v>
      </c>
      <c r="M397" s="14">
        <f t="shared" si="197"/>
        <v>6218.4832604361736</v>
      </c>
      <c r="N397" s="14">
        <f t="shared" si="198"/>
        <v>2978.0842808994885</v>
      </c>
      <c r="O397" s="14">
        <f t="shared" si="199"/>
        <v>1426.2297754450396</v>
      </c>
      <c r="P397" s="33">
        <f t="shared" si="200"/>
        <v>0.95</v>
      </c>
      <c r="Q397" s="33">
        <f t="shared" si="201"/>
        <v>0.61054576685548545</v>
      </c>
      <c r="R397" s="51">
        <f t="shared" si="202"/>
        <v>10.45</v>
      </c>
      <c r="S397" s="51">
        <f>APPLICANTS_PER_YEAR*($H397/Segments!$AH$2)*Q397</f>
        <v>6.5938942820392423</v>
      </c>
      <c r="T397" s="51">
        <f t="shared" si="203"/>
        <v>17.04389428203924</v>
      </c>
      <c r="U397" s="14">
        <f t="shared" si="204"/>
        <v>1426.2297754450399</v>
      </c>
      <c r="V397" s="44">
        <f t="shared" si="205"/>
        <v>24308.509514581823</v>
      </c>
      <c r="W397" s="44">
        <f t="shared" si="206"/>
        <v>72512.052332274528</v>
      </c>
      <c r="X397" s="44">
        <f t="shared" si="207"/>
        <v>5429.1878335890706</v>
      </c>
      <c r="Y397" s="14">
        <f t="shared" si="208"/>
        <v>1426.2297754450396</v>
      </c>
      <c r="Z397" s="14">
        <f t="shared" si="209"/>
        <v>3912.55600865923</v>
      </c>
      <c r="AA397" s="14">
        <f t="shared" si="210"/>
        <v>6403.7877582492592</v>
      </c>
      <c r="AB397" s="14">
        <f t="shared" si="211"/>
        <v>3067.1274769299857</v>
      </c>
      <c r="AC397" s="14">
        <f t="shared" si="212"/>
        <v>1469.0166687083909</v>
      </c>
      <c r="AD397" s="33">
        <f t="shared" si="213"/>
        <v>0.95</v>
      </c>
      <c r="AE397" s="33">
        <f t="shared" si="214"/>
        <v>0.61052239762483063</v>
      </c>
      <c r="AF397" s="51">
        <f t="shared" si="215"/>
        <v>18.208068369478063</v>
      </c>
      <c r="AG397" s="51">
        <f>APPLICANTS_PER_YEAR*($H397/Segments!$AH$2)*AE397</f>
        <v>6.5936418943481705</v>
      </c>
      <c r="AH397" s="51">
        <f t="shared" si="216"/>
        <v>24.801710263826234</v>
      </c>
      <c r="AI397" s="14">
        <f t="shared" si="217"/>
        <v>1469.0166687083909</v>
      </c>
      <c r="AJ397" s="44">
        <f t="shared" si="218"/>
        <v>36434.12579003672</v>
      </c>
      <c r="AK397" s="44">
        <f t="shared" si="219"/>
        <v>108682.65017988968</v>
      </c>
      <c r="AL397" s="44">
        <f t="shared" si="220"/>
        <v>7885.940971712369</v>
      </c>
      <c r="AM397" s="14">
        <f t="shared" si="221"/>
        <v>1469.0166687083911</v>
      </c>
      <c r="AN397" s="14">
        <f t="shared" si="222"/>
        <v>4029.9326889190065</v>
      </c>
      <c r="AO397" s="14">
        <f t="shared" si="223"/>
        <v>6594.6513909967362</v>
      </c>
      <c r="AP397" s="14">
        <f t="shared" si="224"/>
        <v>3158.8419400511384</v>
      </c>
      <c r="AQ397" s="14">
        <f t="shared" si="225"/>
        <v>1513.0871687696424</v>
      </c>
      <c r="AR397" s="33">
        <f t="shared" si="226"/>
        <v>0.95</v>
      </c>
      <c r="AS397" s="33">
        <f t="shared" si="227"/>
        <v>0.61049970250408492</v>
      </c>
      <c r="AT397" s="51">
        <f t="shared" si="228"/>
        <v>15.041251002230384</v>
      </c>
      <c r="AU397" s="51">
        <f>APPLICANTS_PER_YEAR*($H397/Segments!$AH$2)*AS397</f>
        <v>6.5933967870441164</v>
      </c>
      <c r="AV397" s="51">
        <f t="shared" si="229"/>
        <v>21.634647789274499</v>
      </c>
      <c r="AW397" s="14">
        <f t="shared" si="230"/>
        <v>1513.0871687696424</v>
      </c>
      <c r="AX397" s="44">
        <f t="shared" si="231"/>
        <v>32735.107970801757</v>
      </c>
      <c r="AY397" s="44">
        <f t="shared" si="232"/>
        <v>97648.515259956213</v>
      </c>
      <c r="AZ397" s="44">
        <f t="shared" si="233"/>
        <v>7133.6367246410455</v>
      </c>
    </row>
    <row r="398" spans="1:52" ht="15" customHeight="1" x14ac:dyDescent="0.35">
      <c r="A398" s="59" t="str">
        <f>Segments!$A$378</f>
        <v>Greek</v>
      </c>
      <c r="B398" s="59" t="str">
        <f>Segments!$B$378</f>
        <v>Off 6+mi</v>
      </c>
      <c r="C398" s="59" t="str">
        <f>Segments!$C$378</f>
        <v>Yes</v>
      </c>
      <c r="D398" s="59" t="str">
        <f>Segments!$D$378</f>
        <v>2.0-3.0</v>
      </c>
      <c r="E398" s="59" t="str">
        <f>Segments!$E$378</f>
        <v>Senior</v>
      </c>
      <c r="F398" s="59">
        <f>Segments!$F$378</f>
        <v>3</v>
      </c>
      <c r="G398" s="59" t="str">
        <f>Segments!$G$378</f>
        <v>Base</v>
      </c>
      <c r="H398" s="60">
        <f>Segments!$H$378</f>
        <v>8</v>
      </c>
      <c r="I398" s="26">
        <f>Segments!$Y$378</f>
        <v>3550.5019650031895</v>
      </c>
      <c r="J398" s="29">
        <v>3</v>
      </c>
      <c r="K398" s="14">
        <f t="shared" si="195"/>
        <v>1426.2297754450396</v>
      </c>
      <c r="L398" s="14">
        <f t="shared" si="196"/>
        <v>3550.5019650031895</v>
      </c>
      <c r="M398" s="14">
        <f t="shared" si="197"/>
        <v>5815.0596576574908</v>
      </c>
      <c r="N398" s="14">
        <f t="shared" si="198"/>
        <v>2879.863057463037</v>
      </c>
      <c r="O398" s="14">
        <f t="shared" si="199"/>
        <v>1426.2297754450396</v>
      </c>
      <c r="P398" s="33">
        <f t="shared" si="200"/>
        <v>0.95</v>
      </c>
      <c r="Q398" s="33">
        <f t="shared" si="201"/>
        <v>0.60237888972723397</v>
      </c>
      <c r="R398" s="51">
        <f t="shared" si="202"/>
        <v>8.5499999999999989</v>
      </c>
      <c r="S398" s="51">
        <f>APPLICANTS_PER_YEAR*($H398/Segments!$AH$2)*Q398</f>
        <v>5.7828373413814456</v>
      </c>
      <c r="T398" s="51">
        <f t="shared" si="203"/>
        <v>14.332837341381445</v>
      </c>
      <c r="U398" s="14">
        <f t="shared" si="204"/>
        <v>1426.2297754450396</v>
      </c>
      <c r="V398" s="44">
        <f t="shared" si="205"/>
        <v>20441.919382888736</v>
      </c>
      <c r="W398" s="44">
        <f t="shared" si="206"/>
        <v>56995.419202003432</v>
      </c>
      <c r="X398" s="44">
        <f t="shared" si="207"/>
        <v>4583.4183618273137</v>
      </c>
      <c r="Y398" s="14">
        <f t="shared" si="208"/>
        <v>1426.2297754450399</v>
      </c>
      <c r="Z398" s="14">
        <f t="shared" si="209"/>
        <v>3657.0170239532854</v>
      </c>
      <c r="AA398" s="14">
        <f t="shared" si="210"/>
        <v>5988.2614473872154</v>
      </c>
      <c r="AB398" s="14">
        <f t="shared" si="211"/>
        <v>2965.9494066480047</v>
      </c>
      <c r="AC398" s="14">
        <f t="shared" si="212"/>
        <v>1469.0166687083909</v>
      </c>
      <c r="AD398" s="33">
        <f t="shared" si="213"/>
        <v>0.95</v>
      </c>
      <c r="AE398" s="33">
        <f t="shared" si="214"/>
        <v>0.60235304664744538</v>
      </c>
      <c r="AF398" s="51">
        <f t="shared" si="215"/>
        <v>16.191699567937277</v>
      </c>
      <c r="AG398" s="51">
        <f>APPLICANTS_PER_YEAR*($H398/Segments!$AH$2)*AE398</f>
        <v>5.7825892478154755</v>
      </c>
      <c r="AH398" s="51">
        <f t="shared" si="216"/>
        <v>21.974288815752754</v>
      </c>
      <c r="AI398" s="14">
        <f t="shared" si="217"/>
        <v>1469.0166687083909</v>
      </c>
      <c r="AJ398" s="44">
        <f t="shared" si="218"/>
        <v>32280.59655335316</v>
      </c>
      <c r="AK398" s="44">
        <f t="shared" si="219"/>
        <v>90003.590083090996</v>
      </c>
      <c r="AL398" s="44">
        <f t="shared" si="220"/>
        <v>6982.3984558609091</v>
      </c>
      <c r="AM398" s="14">
        <f t="shared" si="221"/>
        <v>1469.0166687083909</v>
      </c>
      <c r="AN398" s="14">
        <f t="shared" si="222"/>
        <v>3766.7275346718834</v>
      </c>
      <c r="AO398" s="14">
        <f t="shared" si="223"/>
        <v>6166.6592908088314</v>
      </c>
      <c r="AP398" s="14">
        <f t="shared" si="224"/>
        <v>3054.61831447023</v>
      </c>
      <c r="AQ398" s="14">
        <f t="shared" si="225"/>
        <v>1513.0871687696424</v>
      </c>
      <c r="AR398" s="33">
        <f t="shared" si="226"/>
        <v>0.95</v>
      </c>
      <c r="AS398" s="33">
        <f t="shared" si="227"/>
        <v>0.60232794853584504</v>
      </c>
      <c r="AT398" s="51">
        <f t="shared" si="228"/>
        <v>23.56162475063492</v>
      </c>
      <c r="AU398" s="51">
        <f>APPLICANTS_PER_YEAR*($H398/Segments!$AH$2)*AS398</f>
        <v>5.7823483059441125</v>
      </c>
      <c r="AV398" s="51">
        <f t="shared" si="229"/>
        <v>29.343973056579031</v>
      </c>
      <c r="AW398" s="14">
        <f t="shared" si="230"/>
        <v>1513.0871687696426</v>
      </c>
      <c r="AX398" s="44">
        <f t="shared" si="231"/>
        <v>44399.98911263184</v>
      </c>
      <c r="AY398" s="44">
        <f t="shared" si="232"/>
        <v>123794.44144355245</v>
      </c>
      <c r="AZ398" s="44">
        <f t="shared" si="233"/>
        <v>9429.2580070154327</v>
      </c>
    </row>
    <row r="399" spans="1:52" ht="15" customHeight="1" x14ac:dyDescent="0.35">
      <c r="A399" s="59" t="str">
        <f>Segments!$A$379</f>
        <v>Greek</v>
      </c>
      <c r="B399" s="59" t="str">
        <f>Segments!$B$379</f>
        <v>Off 6+mi</v>
      </c>
      <c r="C399" s="59" t="str">
        <f>Segments!$C$379</f>
        <v>Yes</v>
      </c>
      <c r="D399" s="59" t="str">
        <f>Segments!$D$379</f>
        <v>2.0-3.0</v>
      </c>
      <c r="E399" s="59" t="str">
        <f>Segments!$E$379</f>
        <v>Grad student</v>
      </c>
      <c r="F399" s="59">
        <f>Segments!$F$379</f>
        <v>3</v>
      </c>
      <c r="G399" s="59" t="str">
        <f>Segments!$G$379</f>
        <v>Grad</v>
      </c>
      <c r="H399" s="60">
        <f>Segments!$H$379</f>
        <v>7</v>
      </c>
      <c r="I399" s="26">
        <f>Segments!$Y$379</f>
        <v>4227.5131956699051</v>
      </c>
      <c r="J399" s="29">
        <v>4</v>
      </c>
      <c r="K399" s="14">
        <f t="shared" si="195"/>
        <v>1426.2297754450396</v>
      </c>
      <c r="L399" s="14">
        <f t="shared" si="196"/>
        <v>4227.5131956699051</v>
      </c>
      <c r="M399" s="14">
        <f t="shared" si="197"/>
        <v>6915.9326982811363</v>
      </c>
      <c r="N399" s="14">
        <f t="shared" si="198"/>
        <v>3140.6542533781894</v>
      </c>
      <c r="O399" s="14">
        <f t="shared" si="199"/>
        <v>1426.2297754450396</v>
      </c>
      <c r="P399" s="33">
        <f t="shared" si="200"/>
        <v>0.95</v>
      </c>
      <c r="Q399" s="33">
        <f t="shared" si="201"/>
        <v>0.62294065815889466</v>
      </c>
      <c r="R399" s="51">
        <f t="shared" si="202"/>
        <v>3.3249999999999997</v>
      </c>
      <c r="S399" s="51">
        <f>APPLICANTS_PER_YEAR*($H399/Segments!$AH$2)*Q399</f>
        <v>5.2327015285347152</v>
      </c>
      <c r="T399" s="51">
        <f t="shared" si="203"/>
        <v>8.5577015285347144</v>
      </c>
      <c r="U399" s="14">
        <f t="shared" si="204"/>
        <v>1426.2297754450399</v>
      </c>
      <c r="V399" s="44">
        <f t="shared" si="205"/>
        <v>12205.24872936774</v>
      </c>
      <c r="W399" s="44">
        <f t="shared" si="206"/>
        <v>40519.131672863223</v>
      </c>
      <c r="X399" s="44">
        <f t="shared" si="207"/>
        <v>2869.9697940450192</v>
      </c>
      <c r="Y399" s="14">
        <f t="shared" si="208"/>
        <v>1426.2297754450399</v>
      </c>
      <c r="Z399" s="14">
        <f t="shared" si="209"/>
        <v>4354.3385915400022</v>
      </c>
      <c r="AA399" s="14">
        <f t="shared" si="210"/>
        <v>7122.1606792295697</v>
      </c>
      <c r="AB399" s="14">
        <f t="shared" si="211"/>
        <v>3234.5900443499345</v>
      </c>
      <c r="AC399" s="14">
        <f t="shared" si="212"/>
        <v>1469.0166687083909</v>
      </c>
      <c r="AD399" s="33">
        <f t="shared" si="213"/>
        <v>0.95</v>
      </c>
      <c r="AE399" s="33">
        <f t="shared" si="214"/>
        <v>0.62292073360665645</v>
      </c>
      <c r="AF399" s="51">
        <f t="shared" si="215"/>
        <v>4.0649082260539888</v>
      </c>
      <c r="AG399" s="51">
        <f>APPLICANTS_PER_YEAR*($H399/Segments!$AH$2)*AE399</f>
        <v>5.2325341622959147</v>
      </c>
      <c r="AH399" s="51">
        <f t="shared" si="216"/>
        <v>9.2974423883499036</v>
      </c>
      <c r="AI399" s="14">
        <f t="shared" si="217"/>
        <v>1469.0166687083909</v>
      </c>
      <c r="AJ399" s="44">
        <f t="shared" si="218"/>
        <v>13658.097844841961</v>
      </c>
      <c r="AK399" s="44">
        <f t="shared" si="219"/>
        <v>45342.317657517255</v>
      </c>
      <c r="AL399" s="44">
        <f t="shared" si="220"/>
        <v>3167.1764911394839</v>
      </c>
      <c r="AM399" s="14">
        <f t="shared" si="221"/>
        <v>1469.0166687083909</v>
      </c>
      <c r="AN399" s="14">
        <f t="shared" si="222"/>
        <v>4484.9687492862022</v>
      </c>
      <c r="AO399" s="14">
        <f t="shared" si="223"/>
        <v>7334.575499606457</v>
      </c>
      <c r="AP399" s="14">
        <f t="shared" si="224"/>
        <v>3331.3438845046785</v>
      </c>
      <c r="AQ399" s="14">
        <f t="shared" si="225"/>
        <v>1513.0871687696424</v>
      </c>
      <c r="AR399" s="33">
        <f t="shared" si="226"/>
        <v>0.95</v>
      </c>
      <c r="AS399" s="33">
        <f t="shared" si="227"/>
        <v>0.62290138436209264</v>
      </c>
      <c r="AT399" s="51">
        <f t="shared" si="228"/>
        <v>4.4162851344662037</v>
      </c>
      <c r="AU399" s="51">
        <f>APPLICANTS_PER_YEAR*($H399/Segments!$AH$2)*AS399</f>
        <v>5.2323716286415785</v>
      </c>
      <c r="AV399" s="51">
        <f t="shared" si="229"/>
        <v>9.6486567631077822</v>
      </c>
      <c r="AW399" s="14">
        <f t="shared" si="230"/>
        <v>1513.0871687696424</v>
      </c>
      <c r="AX399" s="44">
        <f t="shared" si="231"/>
        <v>14599.258744120816</v>
      </c>
      <c r="AY399" s="44">
        <f t="shared" si="232"/>
        <v>48466.794941742657</v>
      </c>
      <c r="AZ399" s="44">
        <f t="shared" si="233"/>
        <v>3360.1385316906458</v>
      </c>
    </row>
    <row r="400" spans="1:52" ht="15" customHeight="1" x14ac:dyDescent="0.35">
      <c r="A400" s="61" t="str">
        <f>Segments!$A$380</f>
        <v>Greek</v>
      </c>
      <c r="B400" s="61" t="str">
        <f>Segments!$B$380</f>
        <v>Off 6+mi</v>
      </c>
      <c r="C400" s="61" t="str">
        <f>Segments!$C$380</f>
        <v>Yes</v>
      </c>
      <c r="D400" s="61" t="str">
        <f>Segments!$D$380</f>
        <v>3.0+</v>
      </c>
      <c r="E400" s="61" t="str">
        <f>Segments!$E$380</f>
        <v>Freshman</v>
      </c>
      <c r="F400" s="61">
        <f>Segments!$F$380</f>
        <v>1</v>
      </c>
      <c r="G400" s="61" t="str">
        <f>Segments!$G$380</f>
        <v>Base</v>
      </c>
      <c r="H400" s="62">
        <f>Segments!$H$380</f>
        <v>7</v>
      </c>
      <c r="I400" s="63">
        <f>Segments!$Y$380</f>
        <v>2813.9561921766613</v>
      </c>
      <c r="J400" s="42">
        <v>0</v>
      </c>
      <c r="K400" s="40">
        <f t="shared" si="195"/>
        <v>4617.3788101898344</v>
      </c>
      <c r="L400" s="40">
        <f t="shared" si="196"/>
        <v>2813.9561921766613</v>
      </c>
      <c r="M400" s="40">
        <f t="shared" si="197"/>
        <v>4617.3788101898344</v>
      </c>
      <c r="N400" s="40">
        <f t="shared" si="198"/>
        <v>2566.211827500164</v>
      </c>
      <c r="O400" s="40">
        <f t="shared" si="199"/>
        <v>1426.2297754450396</v>
      </c>
      <c r="P400" s="41">
        <f t="shared" si="200"/>
        <v>0.95</v>
      </c>
      <c r="Q400" s="41">
        <f t="shared" si="201"/>
        <v>0.57211378652354283</v>
      </c>
      <c r="R400" s="64">
        <f t="shared" si="202"/>
        <v>0</v>
      </c>
      <c r="S400" s="64">
        <f>APPLICANTS_PER_YEAR*($H400/Segments!$AH$2)*Q400</f>
        <v>4.8057558067977597</v>
      </c>
      <c r="T400" s="64">
        <f t="shared" si="203"/>
        <v>4.8057558067977597</v>
      </c>
      <c r="U400" s="40">
        <f t="shared" si="204"/>
        <v>1426.2297754450396</v>
      </c>
      <c r="V400" s="65">
        <f t="shared" si="205"/>
        <v>6854.1120251728644</v>
      </c>
      <c r="W400" s="65">
        <f t="shared" si="206"/>
        <v>15145.968667902805</v>
      </c>
      <c r="X400" s="65">
        <f t="shared" si="207"/>
        <v>1751.5801049446206</v>
      </c>
      <c r="Y400" s="40">
        <f t="shared" si="208"/>
        <v>4754.6501744955303</v>
      </c>
      <c r="Z400" s="40">
        <f t="shared" si="209"/>
        <v>2898.3748779419611</v>
      </c>
      <c r="AA400" s="40">
        <f t="shared" si="210"/>
        <v>4754.6501744955303</v>
      </c>
      <c r="AB400" s="40">
        <f t="shared" si="211"/>
        <v>2642.8508017311897</v>
      </c>
      <c r="AC400" s="40">
        <f t="shared" si="212"/>
        <v>1469.0166687083909</v>
      </c>
      <c r="AD400" s="41">
        <f t="shared" si="213"/>
        <v>0.95</v>
      </c>
      <c r="AE400" s="41">
        <f t="shared" si="214"/>
        <v>0.57207726070913334</v>
      </c>
      <c r="AF400" s="64">
        <f t="shared" si="215"/>
        <v>0</v>
      </c>
      <c r="AG400" s="64">
        <f>APPLICANTS_PER_YEAR*($H400/Segments!$AH$2)*AE400</f>
        <v>4.8054489899567203</v>
      </c>
      <c r="AH400" s="64">
        <f t="shared" si="216"/>
        <v>4.8054489899567203</v>
      </c>
      <c r="AI400" s="40">
        <f t="shared" si="217"/>
        <v>1469.0166687083909</v>
      </c>
      <c r="AJ400" s="65">
        <f t="shared" si="218"/>
        <v>7059.2846668743232</v>
      </c>
      <c r="AK400" s="65">
        <f t="shared" si="219"/>
        <v>15599.351745288786</v>
      </c>
      <c r="AL400" s="65">
        <f t="shared" si="220"/>
        <v>1797.5249699279009</v>
      </c>
      <c r="AM400" s="40">
        <f t="shared" si="221"/>
        <v>4896.0396797303956</v>
      </c>
      <c r="AN400" s="40">
        <f t="shared" si="222"/>
        <v>2985.32612428022</v>
      </c>
      <c r="AO400" s="40">
        <f t="shared" si="223"/>
        <v>4896.0396797303956</v>
      </c>
      <c r="AP400" s="40">
        <f t="shared" si="224"/>
        <v>2721.7889001880899</v>
      </c>
      <c r="AQ400" s="40">
        <f t="shared" si="225"/>
        <v>1513.0871687696424</v>
      </c>
      <c r="AR400" s="41">
        <f t="shared" si="226"/>
        <v>0.95</v>
      </c>
      <c r="AS400" s="41">
        <f t="shared" si="227"/>
        <v>0.57204178496997327</v>
      </c>
      <c r="AT400" s="64">
        <f t="shared" si="228"/>
        <v>0</v>
      </c>
      <c r="AU400" s="64">
        <f>APPLICANTS_PER_YEAR*($H400/Segments!$AH$2)*AS400</f>
        <v>4.8051509937477759</v>
      </c>
      <c r="AV400" s="64">
        <f t="shared" si="229"/>
        <v>4.8051509937477759</v>
      </c>
      <c r="AW400" s="40">
        <f t="shared" si="230"/>
        <v>1513.0871687696424</v>
      </c>
      <c r="AX400" s="65">
        <f t="shared" si="231"/>
        <v>7270.6123126404564</v>
      </c>
      <c r="AY400" s="65">
        <f t="shared" si="232"/>
        <v>16066.335927875853</v>
      </c>
      <c r="AZ400" s="65">
        <f t="shared" si="233"/>
        <v>1844.8489527501119</v>
      </c>
    </row>
    <row r="401" spans="1:52" ht="15" customHeight="1" x14ac:dyDescent="0.35">
      <c r="A401" s="61" t="str">
        <f>Segments!$A$381</f>
        <v>Greek</v>
      </c>
      <c r="B401" s="61" t="str">
        <f>Segments!$B$381</f>
        <v>Off 6+mi</v>
      </c>
      <c r="C401" s="61" t="str">
        <f>Segments!$C$381</f>
        <v>Yes</v>
      </c>
      <c r="D401" s="61" t="str">
        <f>Segments!$D$381</f>
        <v>3.0+</v>
      </c>
      <c r="E401" s="61" t="str">
        <f>Segments!$E$381</f>
        <v>Sophomore</v>
      </c>
      <c r="F401" s="61">
        <f>Segments!$F$381</f>
        <v>1</v>
      </c>
      <c r="G401" s="61" t="str">
        <f>Segments!$G$381</f>
        <v>Sophomore</v>
      </c>
      <c r="H401" s="62">
        <f>Segments!$H$381</f>
        <v>4</v>
      </c>
      <c r="I401" s="63">
        <f>Segments!$Y$381</f>
        <v>2785.3276851620253</v>
      </c>
      <c r="J401" s="42">
        <v>1</v>
      </c>
      <c r="K401" s="40">
        <f t="shared" si="195"/>
        <v>1426.2297754450396</v>
      </c>
      <c r="L401" s="40">
        <f t="shared" si="196"/>
        <v>2785.3276851620253</v>
      </c>
      <c r="M401" s="40">
        <f t="shared" si="197"/>
        <v>4570.8266259156089</v>
      </c>
      <c r="N401" s="40">
        <f t="shared" si="198"/>
        <v>2553.2428463187412</v>
      </c>
      <c r="O401" s="40">
        <f t="shared" si="199"/>
        <v>1426.2297754450396</v>
      </c>
      <c r="P401" s="41">
        <f t="shared" si="200"/>
        <v>0.95</v>
      </c>
      <c r="Q401" s="41">
        <f t="shared" si="201"/>
        <v>0.57070228699526682</v>
      </c>
      <c r="R401" s="64">
        <f t="shared" si="202"/>
        <v>6.6499999999999995</v>
      </c>
      <c r="S401" s="64">
        <f>APPLICANTS_PER_YEAR*($H401/Segments!$AH$2)*Q401</f>
        <v>2.7393709775772805</v>
      </c>
      <c r="T401" s="64">
        <f t="shared" si="203"/>
        <v>9.3893709775772791</v>
      </c>
      <c r="U401" s="40">
        <f t="shared" si="204"/>
        <v>1426.2297754450399</v>
      </c>
      <c r="V401" s="65">
        <f t="shared" si="205"/>
        <v>13391.400460920217</v>
      </c>
      <c r="W401" s="65">
        <f t="shared" si="206"/>
        <v>29290.771921715164</v>
      </c>
      <c r="X401" s="65">
        <f t="shared" si="207"/>
        <v>2923.9904170022733</v>
      </c>
      <c r="Y401" s="40">
        <f t="shared" si="208"/>
        <v>1426.2297754450396</v>
      </c>
      <c r="Z401" s="40">
        <f t="shared" si="209"/>
        <v>2868.8875157168864</v>
      </c>
      <c r="AA401" s="40">
        <f t="shared" si="210"/>
        <v>4706.7014246930776</v>
      </c>
      <c r="AB401" s="40">
        <f t="shared" si="211"/>
        <v>2629.4909863902672</v>
      </c>
      <c r="AC401" s="40">
        <f t="shared" si="212"/>
        <v>1469.0166687083909</v>
      </c>
      <c r="AD401" s="41">
        <f t="shared" si="213"/>
        <v>0.95</v>
      </c>
      <c r="AE401" s="41">
        <f t="shared" si="214"/>
        <v>0.57066520168509127</v>
      </c>
      <c r="AF401" s="64">
        <f t="shared" si="215"/>
        <v>4.5654680164578716</v>
      </c>
      <c r="AG401" s="64">
        <f>APPLICANTS_PER_YEAR*($H401/Segments!$AH$2)*AE401</f>
        <v>2.7391929680884379</v>
      </c>
      <c r="AH401" s="64">
        <f t="shared" si="216"/>
        <v>7.3046609845463095</v>
      </c>
      <c r="AI401" s="40">
        <f t="shared" si="217"/>
        <v>1469.0166687083909</v>
      </c>
      <c r="AJ401" s="65">
        <f t="shared" si="218"/>
        <v>10730.668745562374</v>
      </c>
      <c r="AK401" s="65">
        <f t="shared" si="219"/>
        <v>23471.000789722224</v>
      </c>
      <c r="AL401" s="65">
        <f t="shared" si="220"/>
        <v>2383.5066413170016</v>
      </c>
      <c r="AM401" s="40">
        <f t="shared" si="221"/>
        <v>1469.0166687083909</v>
      </c>
      <c r="AN401" s="40">
        <f t="shared" si="222"/>
        <v>2954.9541411883924</v>
      </c>
      <c r="AO401" s="40">
        <f t="shared" si="223"/>
        <v>4846.6524674338689</v>
      </c>
      <c r="AP401" s="40">
        <f t="shared" si="224"/>
        <v>2708.0265249734748</v>
      </c>
      <c r="AQ401" s="40">
        <f t="shared" si="225"/>
        <v>1513.0871687696424</v>
      </c>
      <c r="AR401" s="41">
        <f t="shared" si="226"/>
        <v>0.95</v>
      </c>
      <c r="AS401" s="41">
        <f t="shared" si="227"/>
        <v>0.57062918239243188</v>
      </c>
      <c r="AT401" s="64">
        <f t="shared" si="228"/>
        <v>4.565176540458884</v>
      </c>
      <c r="AU401" s="64">
        <f>APPLICANTS_PER_YEAR*($H401/Segments!$AH$2)*AS401</f>
        <v>2.7390200754836731</v>
      </c>
      <c r="AV401" s="64">
        <f t="shared" si="229"/>
        <v>7.3041966159425566</v>
      </c>
      <c r="AW401" s="40">
        <f t="shared" si="230"/>
        <v>1513.0871687696426</v>
      </c>
      <c r="AX401" s="65">
        <f t="shared" si="231"/>
        <v>11051.886177753328</v>
      </c>
      <c r="AY401" s="65">
        <f t="shared" si="232"/>
        <v>24173.593962933744</v>
      </c>
      <c r="AZ401" s="65">
        <f t="shared" si="233"/>
        <v>2448.4190863939102</v>
      </c>
    </row>
    <row r="402" spans="1:52" ht="15" customHeight="1" x14ac:dyDescent="0.35">
      <c r="A402" s="61" t="str">
        <f>Segments!$A$382</f>
        <v>Greek</v>
      </c>
      <c r="B402" s="61" t="str">
        <f>Segments!$B$382</f>
        <v>Off 6+mi</v>
      </c>
      <c r="C402" s="61" t="str">
        <f>Segments!$C$382</f>
        <v>Yes</v>
      </c>
      <c r="D402" s="61" t="str">
        <f>Segments!$D$382</f>
        <v>3.0+</v>
      </c>
      <c r="E402" s="61" t="str">
        <f>Segments!$E$382</f>
        <v>Junior</v>
      </c>
      <c r="F402" s="61">
        <f>Segments!$F$382</f>
        <v>2</v>
      </c>
      <c r="G402" s="61" t="str">
        <f>Segments!$G$382</f>
        <v>Base</v>
      </c>
      <c r="H402" s="62">
        <f>Segments!$H$382</f>
        <v>3</v>
      </c>
      <c r="I402" s="63">
        <f>Segments!$Y$382</f>
        <v>3329.6520857862379</v>
      </c>
      <c r="J402" s="42">
        <v>2</v>
      </c>
      <c r="K402" s="40">
        <f t="shared" si="195"/>
        <v>1426.2297754450396</v>
      </c>
      <c r="L402" s="40">
        <f t="shared" si="196"/>
        <v>3329.6520857862379</v>
      </c>
      <c r="M402" s="40">
        <f t="shared" si="197"/>
        <v>5455.9405366711226</v>
      </c>
      <c r="N402" s="40">
        <f t="shared" si="198"/>
        <v>2789.5205406051309</v>
      </c>
      <c r="O402" s="40">
        <f t="shared" si="199"/>
        <v>1426.2297754450396</v>
      </c>
      <c r="P402" s="41">
        <f t="shared" si="200"/>
        <v>0.95</v>
      </c>
      <c r="Q402" s="41">
        <f t="shared" si="201"/>
        <v>0.59435933439377941</v>
      </c>
      <c r="R402" s="64">
        <f t="shared" si="202"/>
        <v>3.8</v>
      </c>
      <c r="S402" s="64">
        <f>APPLICANTS_PER_YEAR*($H402/Segments!$AH$2)*Q402</f>
        <v>2.1396936038176055</v>
      </c>
      <c r="T402" s="64">
        <f t="shared" si="203"/>
        <v>5.9396936038176058</v>
      </c>
      <c r="U402" s="40">
        <f t="shared" si="204"/>
        <v>1426.2297754450396</v>
      </c>
      <c r="V402" s="65">
        <f t="shared" si="205"/>
        <v>8471.3678747851227</v>
      </c>
      <c r="W402" s="65">
        <f t="shared" si="206"/>
        <v>22150.366780508364</v>
      </c>
      <c r="X402" s="65">
        <f t="shared" si="207"/>
        <v>1880.1840559894692</v>
      </c>
      <c r="Y402" s="40">
        <f t="shared" si="208"/>
        <v>1426.2297754450399</v>
      </c>
      <c r="Z402" s="40">
        <f t="shared" si="209"/>
        <v>3429.5416483598251</v>
      </c>
      <c r="AA402" s="40">
        <f t="shared" si="210"/>
        <v>5618.3687527712564</v>
      </c>
      <c r="AB402" s="40">
        <f t="shared" si="211"/>
        <v>2872.8865882194768</v>
      </c>
      <c r="AC402" s="40">
        <f t="shared" si="212"/>
        <v>1469.0166687083909</v>
      </c>
      <c r="AD402" s="41">
        <f t="shared" si="213"/>
        <v>0.95</v>
      </c>
      <c r="AE402" s="41">
        <f t="shared" si="214"/>
        <v>0.59433089793167915</v>
      </c>
      <c r="AF402" s="64">
        <f t="shared" si="215"/>
        <v>8.9199024286984141</v>
      </c>
      <c r="AG402" s="64">
        <f>APPLICANTS_PER_YEAR*($H402/Segments!$AH$2)*AE402</f>
        <v>2.1395912325540447</v>
      </c>
      <c r="AH402" s="64">
        <f t="shared" si="216"/>
        <v>11.059493661252459</v>
      </c>
      <c r="AI402" s="40">
        <f t="shared" si="217"/>
        <v>1469.0166687083909</v>
      </c>
      <c r="AJ402" s="65">
        <f t="shared" si="218"/>
        <v>16246.580535854653</v>
      </c>
      <c r="AK402" s="65">
        <f t="shared" si="219"/>
        <v>42480.473415561217</v>
      </c>
      <c r="AL402" s="65">
        <f t="shared" si="220"/>
        <v>3455.2917067849776</v>
      </c>
      <c r="AM402" s="40">
        <f t="shared" si="221"/>
        <v>1469.0166687083909</v>
      </c>
      <c r="AN402" s="40">
        <f t="shared" si="222"/>
        <v>3532.4278978106195</v>
      </c>
      <c r="AO402" s="40">
        <f t="shared" si="223"/>
        <v>5785.669815354393</v>
      </c>
      <c r="AP402" s="40">
        <f t="shared" si="224"/>
        <v>2958.7535822285977</v>
      </c>
      <c r="AQ402" s="40">
        <f t="shared" si="225"/>
        <v>1513.0871687696424</v>
      </c>
      <c r="AR402" s="41">
        <f t="shared" si="226"/>
        <v>0.95</v>
      </c>
      <c r="AS402" s="41">
        <f t="shared" si="227"/>
        <v>0.5943032806351598</v>
      </c>
      <c r="AT402" s="64">
        <f t="shared" si="228"/>
        <v>6.939427935318994</v>
      </c>
      <c r="AU402" s="64">
        <f>APPLICANTS_PER_YEAR*($H402/Segments!$AH$2)*AS402</f>
        <v>2.1394918102865752</v>
      </c>
      <c r="AV402" s="64">
        <f t="shared" si="229"/>
        <v>9.0789197456055692</v>
      </c>
      <c r="AW402" s="40">
        <f t="shared" si="230"/>
        <v>1513.0871687696424</v>
      </c>
      <c r="AX402" s="65">
        <f t="shared" si="231"/>
        <v>13737.196973365133</v>
      </c>
      <c r="AY402" s="65">
        <f t="shared" si="232"/>
        <v>35919.104918324105</v>
      </c>
      <c r="AZ402" s="65">
        <f t="shared" si="233"/>
        <v>2944.6992343394181</v>
      </c>
    </row>
    <row r="403" spans="1:52" ht="15" customHeight="1" x14ac:dyDescent="0.35">
      <c r="A403" s="61" t="str">
        <f>Segments!$A$383</f>
        <v>Greek</v>
      </c>
      <c r="B403" s="61" t="str">
        <f>Segments!$B$383</f>
        <v>Off 6+mi</v>
      </c>
      <c r="C403" s="61" t="str">
        <f>Segments!$C$383</f>
        <v>Yes</v>
      </c>
      <c r="D403" s="61" t="str">
        <f>Segments!$D$383</f>
        <v>3.0+</v>
      </c>
      <c r="E403" s="61" t="str">
        <f>Segments!$E$383</f>
        <v>Senior</v>
      </c>
      <c r="F403" s="61">
        <f>Segments!$F$383</f>
        <v>3</v>
      </c>
      <c r="G403" s="61" t="str">
        <f>Segments!$G$383</f>
        <v>Base</v>
      </c>
      <c r="H403" s="62">
        <f>Segments!$H$383</f>
        <v>6</v>
      </c>
      <c r="I403" s="63">
        <f>Segments!$Y$383</f>
        <v>3112.1840389281892</v>
      </c>
      <c r="J403" s="42">
        <v>3</v>
      </c>
      <c r="K403" s="40">
        <f t="shared" si="195"/>
        <v>1426.2297754450396</v>
      </c>
      <c r="L403" s="40">
        <f t="shared" si="196"/>
        <v>3112.1840389281892</v>
      </c>
      <c r="M403" s="40">
        <f t="shared" si="197"/>
        <v>5102.3205387468024</v>
      </c>
      <c r="N403" s="40">
        <f t="shared" si="198"/>
        <v>2697.6066199921488</v>
      </c>
      <c r="O403" s="40">
        <f t="shared" si="199"/>
        <v>1426.2297754450396</v>
      </c>
      <c r="P403" s="41">
        <f t="shared" si="200"/>
        <v>0.95</v>
      </c>
      <c r="Q403" s="41">
        <f t="shared" si="201"/>
        <v>0.58564904443903121</v>
      </c>
      <c r="R403" s="64">
        <f t="shared" si="202"/>
        <v>2.8499999999999996</v>
      </c>
      <c r="S403" s="64">
        <f>APPLICANTS_PER_YEAR*($H403/Segments!$AH$2)*Q403</f>
        <v>4.2166731199610243</v>
      </c>
      <c r="T403" s="64">
        <f t="shared" si="203"/>
        <v>7.066673119961024</v>
      </c>
      <c r="U403" s="40">
        <f t="shared" si="204"/>
        <v>1426.2297754450394</v>
      </c>
      <c r="V403" s="65">
        <f t="shared" si="205"/>
        <v>10078.699617025508</v>
      </c>
      <c r="W403" s="65">
        <f t="shared" si="206"/>
        <v>24631.921767337441</v>
      </c>
      <c r="X403" s="65">
        <f t="shared" si="207"/>
        <v>2362.1125845113179</v>
      </c>
      <c r="Y403" s="40">
        <f t="shared" si="208"/>
        <v>1426.2297754450396</v>
      </c>
      <c r="Z403" s="40">
        <f t="shared" si="209"/>
        <v>3205.5495600960348</v>
      </c>
      <c r="AA403" s="40">
        <f t="shared" si="210"/>
        <v>5254.1401549092061</v>
      </c>
      <c r="AB403" s="40">
        <f t="shared" si="211"/>
        <v>2778.2043602463286</v>
      </c>
      <c r="AC403" s="40">
        <f t="shared" si="212"/>
        <v>1469.0166687083909</v>
      </c>
      <c r="AD403" s="41">
        <f t="shared" si="213"/>
        <v>0.95</v>
      </c>
      <c r="AE403" s="41">
        <f t="shared" si="214"/>
        <v>0.58561760075523361</v>
      </c>
      <c r="AF403" s="64">
        <f t="shared" si="215"/>
        <v>5.6427089236267252</v>
      </c>
      <c r="AG403" s="64">
        <f>APPLICANTS_PER_YEAR*($H403/Segments!$AH$2)*AE403</f>
        <v>4.2164467254376818</v>
      </c>
      <c r="AH403" s="64">
        <f t="shared" si="216"/>
        <v>9.859155649064407</v>
      </c>
      <c r="AI403" s="40">
        <f t="shared" si="217"/>
        <v>1469.0166687083909</v>
      </c>
      <c r="AJ403" s="65">
        <f t="shared" si="218"/>
        <v>14483.263987866108</v>
      </c>
      <c r="AK403" s="65">
        <f t="shared" si="219"/>
        <v>35396.493500229961</v>
      </c>
      <c r="AL403" s="65">
        <f t="shared" si="220"/>
        <v>3256.7222431075352</v>
      </c>
      <c r="AM403" s="40">
        <f t="shared" si="221"/>
        <v>1469.0166687083909</v>
      </c>
      <c r="AN403" s="40">
        <f t="shared" si="222"/>
        <v>3301.7160468989159</v>
      </c>
      <c r="AO403" s="40">
        <f t="shared" si="223"/>
        <v>5410.5143595564823</v>
      </c>
      <c r="AP403" s="40">
        <f t="shared" si="224"/>
        <v>2861.2199939691486</v>
      </c>
      <c r="AQ403" s="40">
        <f t="shared" si="225"/>
        <v>1513.0871687696424</v>
      </c>
      <c r="AR403" s="41">
        <f t="shared" si="226"/>
        <v>0.95</v>
      </c>
      <c r="AS403" s="41">
        <f t="shared" si="227"/>
        <v>0.58558706216947443</v>
      </c>
      <c r="AT403" s="64">
        <f t="shared" si="228"/>
        <v>10.506518978189835</v>
      </c>
      <c r="AU403" s="64">
        <f>APPLICANTS_PER_YEAR*($H403/Segments!$AH$2)*AS403</f>
        <v>4.2162268476202156</v>
      </c>
      <c r="AV403" s="64">
        <f t="shared" si="229"/>
        <v>14.722745825810051</v>
      </c>
      <c r="AW403" s="40">
        <f t="shared" si="230"/>
        <v>1513.0871687696426</v>
      </c>
      <c r="AX403" s="65">
        <f t="shared" si="231"/>
        <v>22276.797798090003</v>
      </c>
      <c r="AY403" s="65">
        <f t="shared" si="232"/>
        <v>54443.565285190009</v>
      </c>
      <c r="AZ403" s="65">
        <f t="shared" si="233"/>
        <v>4833.4585275771842</v>
      </c>
    </row>
    <row r="404" spans="1:52" ht="15" customHeight="1" x14ac:dyDescent="0.35">
      <c r="A404" s="61" t="str">
        <f>Segments!$A$384</f>
        <v>Greek</v>
      </c>
      <c r="B404" s="61" t="str">
        <f>Segments!$B$384</f>
        <v>Off 6+mi</v>
      </c>
      <c r="C404" s="61" t="str">
        <f>Segments!$C$384</f>
        <v>Yes</v>
      </c>
      <c r="D404" s="61" t="str">
        <f>Segments!$D$384</f>
        <v>3.0+</v>
      </c>
      <c r="E404" s="61" t="str">
        <f>Segments!$E$384</f>
        <v>Grad student</v>
      </c>
      <c r="F404" s="61">
        <f>Segments!$F$384</f>
        <v>3</v>
      </c>
      <c r="G404" s="61" t="str">
        <f>Segments!$G$384</f>
        <v>Grad</v>
      </c>
      <c r="H404" s="62">
        <f>Segments!$H$384</f>
        <v>3</v>
      </c>
      <c r="I404" s="63">
        <f>Segments!$Y$384</f>
        <v>3705.6166202995933</v>
      </c>
      <c r="J404" s="42">
        <v>4</v>
      </c>
      <c r="K404" s="40">
        <f t="shared" si="195"/>
        <v>1426.2297754450396</v>
      </c>
      <c r="L404" s="40">
        <f t="shared" si="196"/>
        <v>3705.6166202995933</v>
      </c>
      <c r="M404" s="40">
        <f t="shared" si="197"/>
        <v>6067.2881798539038</v>
      </c>
      <c r="N404" s="40">
        <f t="shared" si="198"/>
        <v>2941.6571959209277</v>
      </c>
      <c r="O404" s="40">
        <f t="shared" si="199"/>
        <v>1426.2297754450396</v>
      </c>
      <c r="P404" s="41">
        <f t="shared" si="200"/>
        <v>0.95</v>
      </c>
      <c r="Q404" s="41">
        <f t="shared" si="201"/>
        <v>0.60758056081063205</v>
      </c>
      <c r="R404" s="64">
        <f t="shared" si="202"/>
        <v>1.4249999999999998</v>
      </c>
      <c r="S404" s="64">
        <f>APPLICANTS_PER_YEAR*($H404/Segments!$AH$2)*Q404</f>
        <v>2.1872900189182753</v>
      </c>
      <c r="T404" s="64">
        <f t="shared" si="203"/>
        <v>3.6122900189182752</v>
      </c>
      <c r="U404" s="40">
        <f t="shared" si="204"/>
        <v>1426.2297754450396</v>
      </c>
      <c r="V404" s="65">
        <f t="shared" si="205"/>
        <v>5151.9555825241696</v>
      </c>
      <c r="W404" s="65">
        <f t="shared" si="206"/>
        <v>14992.053363219402</v>
      </c>
      <c r="X404" s="65">
        <f t="shared" si="207"/>
        <v>1209.8328912864149</v>
      </c>
      <c r="Y404" s="40">
        <f t="shared" si="208"/>
        <v>1426.2297754450396</v>
      </c>
      <c r="Z404" s="40">
        <f t="shared" si="209"/>
        <v>3816.7851189085814</v>
      </c>
      <c r="AA404" s="40">
        <f t="shared" si="210"/>
        <v>6248.0568252495214</v>
      </c>
      <c r="AB404" s="40">
        <f t="shared" si="211"/>
        <v>3029.6038723451575</v>
      </c>
      <c r="AC404" s="40">
        <f t="shared" si="212"/>
        <v>1469.0166687083909</v>
      </c>
      <c r="AD404" s="41">
        <f t="shared" si="213"/>
        <v>0.95</v>
      </c>
      <c r="AE404" s="41">
        <f t="shared" si="214"/>
        <v>0.60755631254008569</v>
      </c>
      <c r="AF404" s="64">
        <f t="shared" si="215"/>
        <v>1.7158377589861806</v>
      </c>
      <c r="AG404" s="64">
        <f>APPLICANTS_PER_YEAR*($H404/Segments!$AH$2)*AE404</f>
        <v>2.1872027251443082</v>
      </c>
      <c r="AH404" s="64">
        <f t="shared" si="216"/>
        <v>3.9030404841304889</v>
      </c>
      <c r="AI404" s="40">
        <f t="shared" si="217"/>
        <v>1469.0166687083911</v>
      </c>
      <c r="AJ404" s="65">
        <f t="shared" si="218"/>
        <v>5733.6315298313566</v>
      </c>
      <c r="AK404" s="65">
        <f t="shared" si="219"/>
        <v>16684.714858926236</v>
      </c>
      <c r="AL404" s="65">
        <f t="shared" si="220"/>
        <v>1328.853541087193</v>
      </c>
      <c r="AM404" s="40">
        <f t="shared" si="221"/>
        <v>1469.0166687083911</v>
      </c>
      <c r="AN404" s="40">
        <f t="shared" si="222"/>
        <v>3931.2886724758382</v>
      </c>
      <c r="AO404" s="40">
        <f t="shared" si="223"/>
        <v>6434.2485300070057</v>
      </c>
      <c r="AP404" s="40">
        <f t="shared" si="224"/>
        <v>3120.1889191887944</v>
      </c>
      <c r="AQ404" s="40">
        <f t="shared" si="225"/>
        <v>1513.0871687696424</v>
      </c>
      <c r="AR404" s="41">
        <f t="shared" si="226"/>
        <v>0.95</v>
      </c>
      <c r="AS404" s="41">
        <f t="shared" si="227"/>
        <v>0.60753276356692143</v>
      </c>
      <c r="AT404" s="64">
        <f t="shared" si="228"/>
        <v>1.8539442299619822</v>
      </c>
      <c r="AU404" s="64">
        <f>APPLICANTS_PER_YEAR*($H404/Segments!$AH$2)*AS404</f>
        <v>2.1871179488409171</v>
      </c>
      <c r="AV404" s="64">
        <f t="shared" si="229"/>
        <v>4.0410621788028998</v>
      </c>
      <c r="AW404" s="40">
        <f t="shared" si="230"/>
        <v>1513.0871687696424</v>
      </c>
      <c r="AX404" s="65">
        <f t="shared" si="231"/>
        <v>6114.4793309469624</v>
      </c>
      <c r="AY404" s="65">
        <f t="shared" si="232"/>
        <v>17792.971804494176</v>
      </c>
      <c r="AZ404" s="65">
        <f t="shared" si="233"/>
        <v>1406.9612895202504</v>
      </c>
    </row>
    <row r="405" spans="1:52" ht="15" customHeight="1" x14ac:dyDescent="0.35">
      <c r="A405" s="59" t="str">
        <f>Segments!$A$385</f>
        <v>Greek</v>
      </c>
      <c r="B405" s="59" t="str">
        <f>Segments!$B$385</f>
        <v>Off 6+mi</v>
      </c>
      <c r="C405" s="59" t="str">
        <f>Segments!$C$385</f>
        <v>No</v>
      </c>
      <c r="D405" s="59" t="str">
        <f>Segments!$D$385</f>
        <v>&lt;1.0</v>
      </c>
      <c r="E405" s="59" t="str">
        <f>Segments!$E$385</f>
        <v>Freshman</v>
      </c>
      <c r="F405" s="59">
        <f>Segments!$F$385</f>
        <v>1</v>
      </c>
      <c r="G405" s="59" t="str">
        <f>Segments!$G$385</f>
        <v>Base</v>
      </c>
      <c r="H405" s="60">
        <f>Segments!$H$385</f>
        <v>0</v>
      </c>
      <c r="I405" s="26">
        <f>Segments!$Y$385</f>
        <v>5544.5047749577134</v>
      </c>
      <c r="J405" s="29">
        <v>0</v>
      </c>
      <c r="K405" s="14">
        <f t="shared" si="195"/>
        <v>9057.4636784075847</v>
      </c>
      <c r="L405" s="14">
        <f t="shared" si="196"/>
        <v>5544.5047749577134</v>
      </c>
      <c r="M405" s="14">
        <f t="shared" si="197"/>
        <v>9057.4636784075847</v>
      </c>
      <c r="N405" s="14">
        <f t="shared" si="198"/>
        <v>3594.1653256572454</v>
      </c>
      <c r="O405" s="14">
        <f t="shared" si="199"/>
        <v>1426.2297754450396</v>
      </c>
      <c r="P405" s="33">
        <f t="shared" si="200"/>
        <v>0.95</v>
      </c>
      <c r="Q405" s="33">
        <f t="shared" si="201"/>
        <v>0.65159096115254056</v>
      </c>
      <c r="R405" s="51">
        <f t="shared" si="202"/>
        <v>0</v>
      </c>
      <c r="S405" s="51">
        <f>APPLICANTS_PER_YEAR*($H405/Segments!$AH$2)*Q405</f>
        <v>0</v>
      </c>
      <c r="T405" s="51">
        <f t="shared" si="203"/>
        <v>0</v>
      </c>
      <c r="U405" s="14">
        <f t="shared" si="204"/>
        <v>9057.4636784075847</v>
      </c>
      <c r="V405" s="44">
        <f t="shared" si="205"/>
        <v>0</v>
      </c>
      <c r="W405" s="44">
        <f t="shared" si="206"/>
        <v>0</v>
      </c>
      <c r="X405" s="44">
        <f t="shared" si="207"/>
        <v>0</v>
      </c>
      <c r="Y405" s="14">
        <f t="shared" si="208"/>
        <v>9327.9375887598126</v>
      </c>
      <c r="Z405" s="14">
        <f t="shared" si="209"/>
        <v>5710.839918206445</v>
      </c>
      <c r="AA405" s="14">
        <f t="shared" si="210"/>
        <v>9327.9375887598126</v>
      </c>
      <c r="AB405" s="14">
        <f t="shared" si="211"/>
        <v>3701.7422658202067</v>
      </c>
      <c r="AC405" s="14">
        <f t="shared" si="212"/>
        <v>1469.0166687083909</v>
      </c>
      <c r="AD405" s="33">
        <f t="shared" si="213"/>
        <v>0.95</v>
      </c>
      <c r="AE405" s="33">
        <f t="shared" si="214"/>
        <v>0.65157766759284408</v>
      </c>
      <c r="AF405" s="51">
        <f t="shared" si="215"/>
        <v>0</v>
      </c>
      <c r="AG405" s="51">
        <f>APPLICANTS_PER_YEAR*($H405/Segments!$AH$2)*AE405</f>
        <v>0</v>
      </c>
      <c r="AH405" s="51">
        <f t="shared" si="216"/>
        <v>0</v>
      </c>
      <c r="AI405" s="14">
        <f t="shared" si="217"/>
        <v>9327.9375887598126</v>
      </c>
      <c r="AJ405" s="44">
        <f t="shared" si="218"/>
        <v>0</v>
      </c>
      <c r="AK405" s="44">
        <f t="shared" si="219"/>
        <v>0</v>
      </c>
      <c r="AL405" s="44">
        <f t="shared" si="220"/>
        <v>0</v>
      </c>
      <c r="AM405" s="14">
        <f t="shared" si="221"/>
        <v>9606.5257164226059</v>
      </c>
      <c r="AN405" s="14">
        <f t="shared" si="222"/>
        <v>5882.1651157526376</v>
      </c>
      <c r="AO405" s="14">
        <f t="shared" si="223"/>
        <v>9606.5257164226059</v>
      </c>
      <c r="AP405" s="14">
        <f t="shared" si="224"/>
        <v>3812.5464978114878</v>
      </c>
      <c r="AQ405" s="14">
        <f t="shared" si="225"/>
        <v>1513.0871687696424</v>
      </c>
      <c r="AR405" s="33">
        <f t="shared" si="226"/>
        <v>0.95</v>
      </c>
      <c r="AS405" s="33">
        <f t="shared" si="227"/>
        <v>0.65156475866744201</v>
      </c>
      <c r="AT405" s="51">
        <f t="shared" si="228"/>
        <v>0</v>
      </c>
      <c r="AU405" s="51">
        <f>APPLICANTS_PER_YEAR*($H405/Segments!$AH$2)*AS405</f>
        <v>0</v>
      </c>
      <c r="AV405" s="51">
        <f t="shared" si="229"/>
        <v>0</v>
      </c>
      <c r="AW405" s="14">
        <f t="shared" si="230"/>
        <v>9606.5257164226059</v>
      </c>
      <c r="AX405" s="44">
        <f t="shared" si="231"/>
        <v>0</v>
      </c>
      <c r="AY405" s="44">
        <f t="shared" si="232"/>
        <v>0</v>
      </c>
      <c r="AZ405" s="44">
        <f t="shared" si="233"/>
        <v>0</v>
      </c>
    </row>
    <row r="406" spans="1:52" ht="15" customHeight="1" x14ac:dyDescent="0.35">
      <c r="A406" s="59" t="str">
        <f>Segments!$A$386</f>
        <v>Greek</v>
      </c>
      <c r="B406" s="59" t="str">
        <f>Segments!$B$386</f>
        <v>Off 6+mi</v>
      </c>
      <c r="C406" s="59" t="str">
        <f>Segments!$C$386</f>
        <v>No</v>
      </c>
      <c r="D406" s="59" t="str">
        <f>Segments!$D$386</f>
        <v>&lt;1.0</v>
      </c>
      <c r="E406" s="59" t="str">
        <f>Segments!$E$386</f>
        <v>Sophomore</v>
      </c>
      <c r="F406" s="59">
        <f>Segments!$F$386</f>
        <v>1</v>
      </c>
      <c r="G406" s="59" t="str">
        <f>Segments!$G$386</f>
        <v>Sophomore</v>
      </c>
      <c r="H406" s="60">
        <f>Segments!$H$386</f>
        <v>0</v>
      </c>
      <c r="I406" s="26">
        <f>Segments!$Y$386</f>
        <v>5488.0963296934051</v>
      </c>
      <c r="J406" s="29">
        <v>1</v>
      </c>
      <c r="K406" s="14">
        <f t="shared" si="195"/>
        <v>1426.2297754450396</v>
      </c>
      <c r="L406" s="14">
        <f t="shared" si="196"/>
        <v>5488.0963296934051</v>
      </c>
      <c r="M406" s="14">
        <f t="shared" si="197"/>
        <v>8965.7391488250887</v>
      </c>
      <c r="N406" s="14">
        <f t="shared" si="198"/>
        <v>3575.9200400634809</v>
      </c>
      <c r="O406" s="14">
        <f t="shared" si="199"/>
        <v>1426.2297754450396</v>
      </c>
      <c r="P406" s="33">
        <f t="shared" si="200"/>
        <v>0.95</v>
      </c>
      <c r="Q406" s="33">
        <f t="shared" si="201"/>
        <v>0.6505786259947075</v>
      </c>
      <c r="R406" s="51">
        <f t="shared" si="202"/>
        <v>0</v>
      </c>
      <c r="S406" s="51">
        <f>APPLICANTS_PER_YEAR*($H406/Segments!$AH$2)*Q406</f>
        <v>0</v>
      </c>
      <c r="T406" s="51">
        <f t="shared" si="203"/>
        <v>0</v>
      </c>
      <c r="U406" s="14">
        <f t="shared" si="204"/>
        <v>8965.7391488250887</v>
      </c>
      <c r="V406" s="44">
        <f t="shared" si="205"/>
        <v>0</v>
      </c>
      <c r="W406" s="44">
        <f t="shared" si="206"/>
        <v>0</v>
      </c>
      <c r="X406" s="44">
        <f t="shared" si="207"/>
        <v>0</v>
      </c>
      <c r="Y406" s="14">
        <f t="shared" si="208"/>
        <v>9057.4636784075847</v>
      </c>
      <c r="Z406" s="14">
        <f t="shared" si="209"/>
        <v>5652.7392195842076</v>
      </c>
      <c r="AA406" s="14">
        <f t="shared" si="210"/>
        <v>9233.4613232898428</v>
      </c>
      <c r="AB406" s="14">
        <f t="shared" si="211"/>
        <v>3682.9483561118545</v>
      </c>
      <c r="AC406" s="14">
        <f t="shared" si="212"/>
        <v>1469.0166687083909</v>
      </c>
      <c r="AD406" s="33">
        <f t="shared" si="213"/>
        <v>0.95</v>
      </c>
      <c r="AE406" s="33">
        <f t="shared" si="214"/>
        <v>0.65056512789942367</v>
      </c>
      <c r="AF406" s="51">
        <f t="shared" si="215"/>
        <v>0</v>
      </c>
      <c r="AG406" s="51">
        <f>APPLICANTS_PER_YEAR*($H406/Segments!$AH$2)*AE406</f>
        <v>0</v>
      </c>
      <c r="AH406" s="51">
        <f t="shared" si="216"/>
        <v>0</v>
      </c>
      <c r="AI406" s="14">
        <f t="shared" si="217"/>
        <v>9233.4613232898428</v>
      </c>
      <c r="AJ406" s="44">
        <f t="shared" si="218"/>
        <v>0</v>
      </c>
      <c r="AK406" s="44">
        <f t="shared" si="219"/>
        <v>0</v>
      </c>
      <c r="AL406" s="44">
        <f t="shared" si="220"/>
        <v>0</v>
      </c>
      <c r="AM406" s="14">
        <f t="shared" si="221"/>
        <v>9327.9375887598126</v>
      </c>
      <c r="AN406" s="14">
        <f t="shared" si="222"/>
        <v>5822.3213961717329</v>
      </c>
      <c r="AO406" s="14">
        <f t="shared" si="223"/>
        <v>9509.2151629885357</v>
      </c>
      <c r="AP406" s="14">
        <f t="shared" si="224"/>
        <v>3793.187505013123</v>
      </c>
      <c r="AQ406" s="14">
        <f t="shared" si="225"/>
        <v>1513.0871687696424</v>
      </c>
      <c r="AR406" s="33">
        <f t="shared" si="226"/>
        <v>0.95</v>
      </c>
      <c r="AS406" s="33">
        <f t="shared" si="227"/>
        <v>0.65055202032987713</v>
      </c>
      <c r="AT406" s="51">
        <f t="shared" si="228"/>
        <v>0</v>
      </c>
      <c r="AU406" s="51">
        <f>APPLICANTS_PER_YEAR*($H406/Segments!$AH$2)*AS406</f>
        <v>0</v>
      </c>
      <c r="AV406" s="51">
        <f t="shared" si="229"/>
        <v>0</v>
      </c>
      <c r="AW406" s="14">
        <f t="shared" si="230"/>
        <v>9509.2151629885357</v>
      </c>
      <c r="AX406" s="44">
        <f t="shared" si="231"/>
        <v>0</v>
      </c>
      <c r="AY406" s="44">
        <f t="shared" si="232"/>
        <v>0</v>
      </c>
      <c r="AZ406" s="44">
        <f t="shared" si="233"/>
        <v>0</v>
      </c>
    </row>
    <row r="407" spans="1:52" ht="15" customHeight="1" x14ac:dyDescent="0.35">
      <c r="A407" s="59" t="str">
        <f>Segments!$A$387</f>
        <v>Greek</v>
      </c>
      <c r="B407" s="59" t="str">
        <f>Segments!$B$387</f>
        <v>Off 6+mi</v>
      </c>
      <c r="C407" s="59" t="str">
        <f>Segments!$C$387</f>
        <v>No</v>
      </c>
      <c r="D407" s="59" t="str">
        <f>Segments!$D$387</f>
        <v>&lt;1.0</v>
      </c>
      <c r="E407" s="59" t="str">
        <f>Segments!$E$387</f>
        <v>Junior</v>
      </c>
      <c r="F407" s="59">
        <f>Segments!$F$387</f>
        <v>2</v>
      </c>
      <c r="G407" s="59" t="str">
        <f>Segments!$G$387</f>
        <v>Base</v>
      </c>
      <c r="H407" s="60">
        <f>Segments!$H$387</f>
        <v>1</v>
      </c>
      <c r="I407" s="26">
        <f>Segments!$Y$387</f>
        <v>6560.610978918432</v>
      </c>
      <c r="J407" s="29">
        <v>2</v>
      </c>
      <c r="K407" s="14">
        <f t="shared" si="195"/>
        <v>1426.2297754450396</v>
      </c>
      <c r="L407" s="14">
        <f t="shared" si="196"/>
        <v>6560.610978918432</v>
      </c>
      <c r="M407" s="14">
        <f t="shared" si="197"/>
        <v>10709.731581333202</v>
      </c>
      <c r="N407" s="14">
        <f t="shared" si="198"/>
        <v>3908.2653528543201</v>
      </c>
      <c r="O407" s="14">
        <f t="shared" si="199"/>
        <v>1426.2297754450396</v>
      </c>
      <c r="P407" s="33">
        <f t="shared" si="200"/>
        <v>0.95</v>
      </c>
      <c r="Q407" s="33">
        <f t="shared" si="201"/>
        <v>0.66753672707977429</v>
      </c>
      <c r="R407" s="51">
        <f t="shared" si="202"/>
        <v>0</v>
      </c>
      <c r="S407" s="51">
        <f>APPLICANTS_PER_YEAR*($H407/Segments!$AH$2)*Q407</f>
        <v>0.80104407249572918</v>
      </c>
      <c r="T407" s="51">
        <f t="shared" si="203"/>
        <v>0.80104407249572918</v>
      </c>
      <c r="U407" s="14">
        <f t="shared" si="204"/>
        <v>1426.2297754450396</v>
      </c>
      <c r="V407" s="44">
        <f t="shared" si="205"/>
        <v>1142.4729076371639</v>
      </c>
      <c r="W407" s="44">
        <f t="shared" si="206"/>
        <v>5885.9791610065759</v>
      </c>
      <c r="X407" s="44">
        <f t="shared" si="207"/>
        <v>291.96091457303248</v>
      </c>
      <c r="Y407" s="14">
        <f t="shared" si="208"/>
        <v>8965.7391488250887</v>
      </c>
      <c r="Z407" s="14">
        <f t="shared" si="209"/>
        <v>6757.4293082859849</v>
      </c>
      <c r="AA407" s="14">
        <f t="shared" si="210"/>
        <v>11029.773528773199</v>
      </c>
      <c r="AB407" s="14">
        <f t="shared" si="211"/>
        <v>4025.2852278871364</v>
      </c>
      <c r="AC407" s="14">
        <f t="shared" si="212"/>
        <v>1469.0166687083909</v>
      </c>
      <c r="AD407" s="33">
        <f t="shared" si="213"/>
        <v>0.95</v>
      </c>
      <c r="AE407" s="33">
        <f t="shared" si="214"/>
        <v>0.66752638812635468</v>
      </c>
      <c r="AF407" s="51">
        <f t="shared" si="215"/>
        <v>0</v>
      </c>
      <c r="AG407" s="51">
        <f>APPLICANTS_PER_YEAR*($H407/Segments!$AH$2)*AE407</f>
        <v>0.80103166575162554</v>
      </c>
      <c r="AH407" s="51">
        <f t="shared" si="216"/>
        <v>0.80103166575162554</v>
      </c>
      <c r="AI407" s="14">
        <f t="shared" si="217"/>
        <v>1469.0166687083909</v>
      </c>
      <c r="AJ407" s="44">
        <f t="shared" si="218"/>
        <v>1176.7288691523861</v>
      </c>
      <c r="AK407" s="44">
        <f t="shared" si="219"/>
        <v>6062.4646376169994</v>
      </c>
      <c r="AL407" s="44">
        <f t="shared" si="220"/>
        <v>299.63369164895761</v>
      </c>
      <c r="AM407" s="14">
        <f t="shared" si="221"/>
        <v>9233.4613232898428</v>
      </c>
      <c r="AN407" s="14">
        <f t="shared" si="222"/>
        <v>6960.1521875345643</v>
      </c>
      <c r="AO407" s="14">
        <f t="shared" si="223"/>
        <v>11359.416734636396</v>
      </c>
      <c r="AP407" s="14">
        <f t="shared" si="224"/>
        <v>4145.8156864343937</v>
      </c>
      <c r="AQ407" s="14">
        <f t="shared" si="225"/>
        <v>1513.0871687696424</v>
      </c>
      <c r="AR407" s="33">
        <f t="shared" si="226"/>
        <v>0.95</v>
      </c>
      <c r="AS407" s="33">
        <f t="shared" si="227"/>
        <v>0.66751634862583908</v>
      </c>
      <c r="AT407" s="51">
        <f t="shared" si="228"/>
        <v>0</v>
      </c>
      <c r="AU407" s="51">
        <f>APPLICANTS_PER_YEAR*($H407/Segments!$AH$2)*AS407</f>
        <v>0.80101961835100688</v>
      </c>
      <c r="AV407" s="51">
        <f t="shared" si="229"/>
        <v>0.80101961835100688</v>
      </c>
      <c r="AW407" s="14">
        <f t="shared" si="230"/>
        <v>1513.0871687696424</v>
      </c>
      <c r="AX407" s="44">
        <f t="shared" si="231"/>
        <v>1212.0125064596646</v>
      </c>
      <c r="AY407" s="44">
        <f t="shared" si="232"/>
        <v>6244.2446627947265</v>
      </c>
      <c r="AZ407" s="44">
        <f t="shared" si="233"/>
        <v>307.53668427276017</v>
      </c>
    </row>
    <row r="408" spans="1:52" ht="15" customHeight="1" x14ac:dyDescent="0.35">
      <c r="A408" s="59" t="str">
        <f>Segments!$A$388</f>
        <v>Greek</v>
      </c>
      <c r="B408" s="59" t="str">
        <f>Segments!$B$388</f>
        <v>Off 6+mi</v>
      </c>
      <c r="C408" s="59" t="str">
        <f>Segments!$C$388</f>
        <v>No</v>
      </c>
      <c r="D408" s="59" t="str">
        <f>Segments!$D$388</f>
        <v>&lt;1.0</v>
      </c>
      <c r="E408" s="59" t="str">
        <f>Segments!$E$388</f>
        <v>Senior</v>
      </c>
      <c r="F408" s="59">
        <f>Segments!$F$388</f>
        <v>3</v>
      </c>
      <c r="G408" s="59" t="str">
        <f>Segments!$G$388</f>
        <v>Base</v>
      </c>
      <c r="H408" s="60">
        <f>Segments!$H$388</f>
        <v>2</v>
      </c>
      <c r="I408" s="26">
        <f>Segments!$Y$388</f>
        <v>6132.1207886456032</v>
      </c>
      <c r="J408" s="29">
        <v>3</v>
      </c>
      <c r="K408" s="14">
        <f t="shared" si="195"/>
        <v>1426.2297754450396</v>
      </c>
      <c r="L408" s="14">
        <f t="shared" si="196"/>
        <v>6132.1207886456032</v>
      </c>
      <c r="M408" s="14">
        <f t="shared" si="197"/>
        <v>10012.973127003703</v>
      </c>
      <c r="N408" s="14">
        <f t="shared" si="198"/>
        <v>3778.9946301184004</v>
      </c>
      <c r="O408" s="14">
        <f t="shared" si="199"/>
        <v>1426.2297754450396</v>
      </c>
      <c r="P408" s="33">
        <f t="shared" si="200"/>
        <v>0.95</v>
      </c>
      <c r="Q408" s="33">
        <f t="shared" si="201"/>
        <v>0.66129507778629015</v>
      </c>
      <c r="R408" s="51">
        <f t="shared" si="202"/>
        <v>0.95</v>
      </c>
      <c r="S408" s="51">
        <f>APPLICANTS_PER_YEAR*($H408/Segments!$AH$2)*Q408</f>
        <v>1.5871081866870964</v>
      </c>
      <c r="T408" s="51">
        <f t="shared" si="203"/>
        <v>2.5371081866870964</v>
      </c>
      <c r="U408" s="14">
        <f t="shared" si="204"/>
        <v>1426.2297754450399</v>
      </c>
      <c r="V408" s="44">
        <f t="shared" si="205"/>
        <v>3618.4992393785096</v>
      </c>
      <c r="W408" s="44">
        <f t="shared" si="206"/>
        <v>17424.796317182121</v>
      </c>
      <c r="X408" s="44">
        <f t="shared" si="207"/>
        <v>853.54155798815782</v>
      </c>
      <c r="Y408" s="14">
        <f t="shared" si="208"/>
        <v>1426.2297754450396</v>
      </c>
      <c r="Z408" s="14">
        <f t="shared" si="209"/>
        <v>6316.084412304971</v>
      </c>
      <c r="AA408" s="14">
        <f t="shared" si="210"/>
        <v>10312.112320813814</v>
      </c>
      <c r="AB408" s="14">
        <f t="shared" si="211"/>
        <v>3892.1285807214363</v>
      </c>
      <c r="AC408" s="14">
        <f t="shared" si="212"/>
        <v>1469.0166687083909</v>
      </c>
      <c r="AD408" s="33">
        <f t="shared" si="213"/>
        <v>0.95</v>
      </c>
      <c r="AE408" s="33">
        <f t="shared" si="214"/>
        <v>0.66128364104095227</v>
      </c>
      <c r="AF408" s="51">
        <f t="shared" si="215"/>
        <v>0.76099186887094272</v>
      </c>
      <c r="AG408" s="51">
        <f>APPLICANTS_PER_YEAR*($H408/Segments!$AH$2)*AE408</f>
        <v>1.5870807384982855</v>
      </c>
      <c r="AH408" s="51">
        <f t="shared" si="216"/>
        <v>2.348072607369228</v>
      </c>
      <c r="AI408" s="14">
        <f t="shared" si="217"/>
        <v>1469.0166687083911</v>
      </c>
      <c r="AJ408" s="44">
        <f t="shared" si="218"/>
        <v>3449.3577995629694</v>
      </c>
      <c r="AK408" s="44">
        <f t="shared" si="219"/>
        <v>16610.299769688881</v>
      </c>
      <c r="AL408" s="44">
        <f t="shared" si="220"/>
        <v>820.16777680764289</v>
      </c>
      <c r="AM408" s="14">
        <f t="shared" si="221"/>
        <v>1469.0166687083909</v>
      </c>
      <c r="AN408" s="14">
        <f t="shared" si="222"/>
        <v>6505.5669446741204</v>
      </c>
      <c r="AO408" s="14">
        <f t="shared" si="223"/>
        <v>10620.225690438228</v>
      </c>
      <c r="AP408" s="14">
        <f t="shared" si="224"/>
        <v>4008.6565357535687</v>
      </c>
      <c r="AQ408" s="14">
        <f t="shared" si="225"/>
        <v>1513.0871687696424</v>
      </c>
      <c r="AR408" s="33">
        <f t="shared" si="226"/>
        <v>0.95</v>
      </c>
      <c r="AS408" s="33">
        <f t="shared" si="227"/>
        <v>0.66127253541500974</v>
      </c>
      <c r="AT408" s="51">
        <f t="shared" si="228"/>
        <v>0.76098008246404425</v>
      </c>
      <c r="AU408" s="51">
        <f>APPLICANTS_PER_YEAR*($H408/Segments!$AH$2)*AS408</f>
        <v>1.5870540849960233</v>
      </c>
      <c r="AV408" s="51">
        <f t="shared" si="229"/>
        <v>2.3480341674600673</v>
      </c>
      <c r="AW408" s="14">
        <f t="shared" si="230"/>
        <v>1513.0871687696424</v>
      </c>
      <c r="AX408" s="44">
        <f t="shared" si="231"/>
        <v>3552.7803706165378</v>
      </c>
      <c r="AY408" s="44">
        <f t="shared" si="232"/>
        <v>17108.328680568869</v>
      </c>
      <c r="AZ408" s="44">
        <f t="shared" si="233"/>
        <v>842.15981654591008</v>
      </c>
    </row>
    <row r="409" spans="1:52" ht="15" customHeight="1" x14ac:dyDescent="0.35">
      <c r="A409" s="59" t="str">
        <f>Segments!$A$389</f>
        <v>Greek</v>
      </c>
      <c r="B409" s="59" t="str">
        <f>Segments!$B$389</f>
        <v>Off 6+mi</v>
      </c>
      <c r="C409" s="59" t="str">
        <f>Segments!$C$389</f>
        <v>No</v>
      </c>
      <c r="D409" s="59" t="str">
        <f>Segments!$D$389</f>
        <v>&lt;1.0</v>
      </c>
      <c r="E409" s="59" t="str">
        <f>Segments!$E$389</f>
        <v>Grad student</v>
      </c>
      <c r="F409" s="59">
        <f>Segments!$F$389</f>
        <v>3</v>
      </c>
      <c r="G409" s="59" t="str">
        <f>Segments!$G$389</f>
        <v>Grad</v>
      </c>
      <c r="H409" s="60">
        <f>Segments!$H$389</f>
        <v>0</v>
      </c>
      <c r="I409" s="26">
        <f>Segments!$Y$389</f>
        <v>7301.396198894302</v>
      </c>
      <c r="J409" s="29">
        <v>4</v>
      </c>
      <c r="K409" s="14">
        <f t="shared" ref="K409:K424" si="234">IF($J409=0,M409,CURRENT_FLAT)</f>
        <v>1426.2297754450396</v>
      </c>
      <c r="L409" s="14">
        <f t="shared" ref="L409:L424" si="235">$I409*(1+LOSS_TREND)^0</f>
        <v>7301.396198894302</v>
      </c>
      <c r="M409" s="14">
        <f t="shared" ref="M409:M424" si="236">L409*GROSS_MULT+POLICY_FEE</f>
        <v>11914.30610037151</v>
      </c>
      <c r="N409" s="14">
        <f t="shared" ref="N409:N424" si="237">M409^MARKET_RISK_WEIGHT*(CURRENT_FLAT*(1+LOSS_TREND)^0)^(1-MARKET_RISK_WEIGHT)</f>
        <v>4122.2006397210125</v>
      </c>
      <c r="O409" s="14">
        <f t="shared" ref="O409:O424" si="238">CURRENT_FLAT*(1+LOSS_TREND)^0</f>
        <v>1426.2297754450396</v>
      </c>
      <c r="P409" s="33">
        <f t="shared" ref="P409:P424" si="239">MEDIAN(RET_FLOOR,BASE_RETENTION-ELAST_MARKET*(O409/N409-1)-ELAST_INCREASE*MAX(O409/K409-1,0),RET_CEIL)</f>
        <v>0.95</v>
      </c>
      <c r="Q409" s="33">
        <f t="shared" ref="Q409:Q424" si="240">MEDIAN(CONV_FLOOR,BASE_CONVERSION-ELAST_MARKET*(CURRENT_FLAT*(1+LOSS_TREND)^0/N409-1),CONV_CEIL)</f>
        <v>0.67700626436010092</v>
      </c>
      <c r="R409" s="51">
        <f t="shared" ref="R409:R424" si="241">IF($J409=0,0,IF($J409=4,$H409*GRAD_CONTINUE,$H408)*P409)</f>
        <v>0</v>
      </c>
      <c r="S409" s="51">
        <f>APPLICANTS_PER_YEAR*($H409/Segments!$AH$2)*Q409</f>
        <v>0</v>
      </c>
      <c r="T409" s="51">
        <f t="shared" ref="T409:T424" si="242">R409+S409</f>
        <v>0</v>
      </c>
      <c r="U409" s="14">
        <f t="shared" ref="U409:U424" si="243">IFERROR((R409*O409+S409*CURRENT_FLAT*(1+LOSS_TREND)^0)/T409,M409)</f>
        <v>11914.30610037151</v>
      </c>
      <c r="V409" s="44">
        <f t="shared" ref="V409:V424" si="244">R409*O409+S409*CURRENT_FLAT*(1+LOSS_TREND)^0</f>
        <v>0</v>
      </c>
      <c r="W409" s="44">
        <f t="shared" ref="W409:W424" si="245">T409*L409*(1+LAE_RATIO)</f>
        <v>0</v>
      </c>
      <c r="X409" s="44">
        <f t="shared" ref="X409:X424" si="246">R409*O409*(PREMIUM_TAX+OTHER_VARIABLE+COMMISSION_RN)+S409*CURRENT_FLAT*(1+LOSS_TREND)^0*(PREMIUM_TAX+OTHER_VARIABLE+COMMISSION_NB)+T409*FIXED_PER_POLICY+S409*NB_ACQUISITION</f>
        <v>0</v>
      </c>
      <c r="Y409" s="14">
        <f t="shared" ref="Y409:Y424" si="247">IF($J409=0,AA409,IF($J409=4,U409,U408))</f>
        <v>11914.30610037151</v>
      </c>
      <c r="Z409" s="14">
        <f t="shared" ref="Z409:Z424" si="248">$I409*(1+LOSS_TREND)^1</f>
        <v>7520.4380848611308</v>
      </c>
      <c r="AA409" s="14">
        <f t="shared" ref="AA409:AA424" si="249">Z409*GROSS_MULT+POLICY_FEE</f>
        <v>12270.485283382655</v>
      </c>
      <c r="AB409" s="14">
        <f t="shared" ref="AB409:AB424" si="250">AA409^MARKET_RISK_WEIGHT*(CURRENT_FLAT*(1+LOSS_TREND)^1)^(1-MARKET_RISK_WEIGHT)</f>
        <v>4245.6504112362009</v>
      </c>
      <c r="AC409" s="14">
        <f t="shared" ref="AC409:AC424" si="251">CURRENT_FLAT*(1+LOSS_TREND)^1</f>
        <v>1469.0166687083909</v>
      </c>
      <c r="AD409" s="33">
        <f t="shared" ref="AD409:AD424" si="252">MEDIAN(RET_FLOOR,BASE_RETENTION-ELAST_MARKET*(AC409/AB409-1)-ELAST_INCREASE*MAX(AC409/Y409-1,0),RET_CEIL)</f>
        <v>0.95</v>
      </c>
      <c r="AE409" s="33">
        <f t="shared" ref="AE409:AE424" si="253">MEDIAN(CONV_FLOOR,BASE_CONVERSION-ELAST_MARKET*(CURRENT_FLAT*(1+LOSS_TREND)^1/AB409-1),CONV_CEIL)</f>
        <v>0.67699745310864401</v>
      </c>
      <c r="AF409" s="51">
        <f t="shared" ref="AF409:AF424" si="254">IF($J409=0,0,IF($J409=4,T409*GRAD_CONTINUE,T408)*AD409)</f>
        <v>0</v>
      </c>
      <c r="AG409" s="51">
        <f>APPLICANTS_PER_YEAR*($H409/Segments!$AH$2)*AE409</f>
        <v>0</v>
      </c>
      <c r="AH409" s="51">
        <f t="shared" ref="AH409:AH424" si="255">AF409+AG409</f>
        <v>0</v>
      </c>
      <c r="AI409" s="14">
        <f t="shared" ref="AI409:AI424" si="256">IFERROR((AF409*AC409+AG409*CURRENT_FLAT*(1+LOSS_TREND)^1)/AH409,AA409)</f>
        <v>12270.485283382655</v>
      </c>
      <c r="AJ409" s="44">
        <f t="shared" ref="AJ409:AJ424" si="257">AF409*AC409+AG409*CURRENT_FLAT*(1+LOSS_TREND)^1</f>
        <v>0</v>
      </c>
      <c r="AK409" s="44">
        <f t="shared" ref="AK409:AK424" si="258">AH409*Z409*(1+LAE_RATIO)</f>
        <v>0</v>
      </c>
      <c r="AL409" s="44">
        <f t="shared" ref="AL409:AL424" si="259">AF409*AC409*(PREMIUM_TAX+OTHER_VARIABLE+COMMISSION_RN)+AG409*CURRENT_FLAT*(1+LOSS_TREND)^1*(PREMIUM_TAX+OTHER_VARIABLE+COMMISSION_NB)+AH409*FIXED_PER_POLICY+AG409*NB_ACQUISITION</f>
        <v>0</v>
      </c>
      <c r="AM409" s="14">
        <f t="shared" ref="AM409:AM424" si="260">IF($J409=0,AO409,IF($J409=4,AI409,AI408))</f>
        <v>12270.485283382655</v>
      </c>
      <c r="AN409" s="14">
        <f t="shared" ref="AN409:AN424" si="261">$I409*(1+LOSS_TREND)^2</f>
        <v>7746.0512274069642</v>
      </c>
      <c r="AO409" s="14">
        <f t="shared" ref="AO409:AO424" si="262">AN409*GROSS_MULT+POLICY_FEE</f>
        <v>12637.349841884134</v>
      </c>
      <c r="AP409" s="14">
        <f t="shared" ref="AP409:AP424" si="263">AO409^MARKET_RISK_WEIGHT*(CURRENT_FLAT*(1+LOSS_TREND)^2)^(1-MARKET_RISK_WEIGHT)</f>
        <v>4372.8036650423664</v>
      </c>
      <c r="AQ409" s="14">
        <f t="shared" ref="AQ409:AQ424" si="264">CURRENT_FLAT*(1+LOSS_TREND)^2</f>
        <v>1513.0871687696424</v>
      </c>
      <c r="AR409" s="33">
        <f t="shared" ref="AR409:AR424" si="265">MEDIAN(RET_FLOOR,BASE_RETENTION-ELAST_MARKET*(AQ409/AP409-1)-ELAST_INCREASE*MAX(AQ409/AM409-1,0),RET_CEIL)</f>
        <v>0.95</v>
      </c>
      <c r="AS409" s="33">
        <f t="shared" ref="AS409:AS424" si="266">MEDIAN(CONV_FLOOR,BASE_CONVERSION-ELAST_MARKET*(CURRENT_FLAT*(1+LOSS_TREND)^2/AP409-1),CONV_CEIL)</f>
        <v>0.67698889720732724</v>
      </c>
      <c r="AT409" s="51">
        <f t="shared" ref="AT409:AT424" si="267">IF($J409=0,0,IF($J409=4,AH409*GRAD_CONTINUE,AH408)*AR409)</f>
        <v>0</v>
      </c>
      <c r="AU409" s="51">
        <f>APPLICANTS_PER_YEAR*($H409/Segments!$AH$2)*AS409</f>
        <v>0</v>
      </c>
      <c r="AV409" s="51">
        <f t="shared" ref="AV409:AV424" si="268">AT409+AU409</f>
        <v>0</v>
      </c>
      <c r="AW409" s="14">
        <f t="shared" ref="AW409:AW424" si="269">IFERROR((AT409*AQ409+AU409*CURRENT_FLAT*(1+LOSS_TREND)^2)/AV409,AO409)</f>
        <v>12637.349841884134</v>
      </c>
      <c r="AX409" s="44">
        <f t="shared" ref="AX409:AX424" si="270">AT409*AQ409+AU409*CURRENT_FLAT*(1+LOSS_TREND)^2</f>
        <v>0</v>
      </c>
      <c r="AY409" s="44">
        <f t="shared" ref="AY409:AY424" si="271">AV409*AN409*(1+LAE_RATIO)</f>
        <v>0</v>
      </c>
      <c r="AZ409" s="44">
        <f t="shared" ref="AZ409:AZ424" si="272">AT409*AQ409*(PREMIUM_TAX+OTHER_VARIABLE+COMMISSION_RN)+AU409*CURRENT_FLAT*(1+LOSS_TREND)^2*(PREMIUM_TAX+OTHER_VARIABLE+COMMISSION_NB)+AV409*FIXED_PER_POLICY+AU409*NB_ACQUISITION</f>
        <v>0</v>
      </c>
    </row>
    <row r="410" spans="1:52" ht="15" customHeight="1" x14ac:dyDescent="0.35">
      <c r="A410" s="61" t="str">
        <f>Segments!$A$390</f>
        <v>Greek</v>
      </c>
      <c r="B410" s="61" t="str">
        <f>Segments!$B$390</f>
        <v>Off 6+mi</v>
      </c>
      <c r="C410" s="61" t="str">
        <f>Segments!$C$390</f>
        <v>No</v>
      </c>
      <c r="D410" s="61" t="str">
        <f>Segments!$D$390</f>
        <v>1.0-2.0</v>
      </c>
      <c r="E410" s="61" t="str">
        <f>Segments!$E$390</f>
        <v>Freshman</v>
      </c>
      <c r="F410" s="61">
        <f>Segments!$F$390</f>
        <v>1</v>
      </c>
      <c r="G410" s="61" t="str">
        <f>Segments!$G$390</f>
        <v>Base</v>
      </c>
      <c r="H410" s="62">
        <f>Segments!$H$390</f>
        <v>5</v>
      </c>
      <c r="I410" s="63">
        <f>Segments!$Y$390</f>
        <v>5031.2005255802569</v>
      </c>
      <c r="J410" s="42">
        <v>0</v>
      </c>
      <c r="K410" s="40">
        <f t="shared" si="234"/>
        <v>8222.7909518994766</v>
      </c>
      <c r="L410" s="40">
        <f t="shared" si="235"/>
        <v>5031.2005255802569</v>
      </c>
      <c r="M410" s="40">
        <f t="shared" si="236"/>
        <v>8222.7909518994766</v>
      </c>
      <c r="N410" s="40">
        <f t="shared" si="237"/>
        <v>3424.5568023992673</v>
      </c>
      <c r="O410" s="40">
        <f t="shared" si="238"/>
        <v>1426.2297754450396</v>
      </c>
      <c r="P410" s="41">
        <f t="shared" si="239"/>
        <v>0.95</v>
      </c>
      <c r="Q410" s="41">
        <f t="shared" si="240"/>
        <v>0.64176432780355497</v>
      </c>
      <c r="R410" s="64">
        <f t="shared" si="241"/>
        <v>0</v>
      </c>
      <c r="S410" s="64">
        <f>APPLICANTS_PER_YEAR*($H410/Segments!$AH$2)*Q410</f>
        <v>3.8505859668213298</v>
      </c>
      <c r="T410" s="64">
        <f t="shared" si="242"/>
        <v>3.8505859668213298</v>
      </c>
      <c r="U410" s="40">
        <f t="shared" si="243"/>
        <v>1426.2297754450396</v>
      </c>
      <c r="V410" s="65">
        <f t="shared" si="244"/>
        <v>5491.8203587914059</v>
      </c>
      <c r="W410" s="65">
        <f t="shared" si="245"/>
        <v>21697.838556871051</v>
      </c>
      <c r="X410" s="65">
        <f t="shared" si="246"/>
        <v>1403.4441288762346</v>
      </c>
      <c r="Y410" s="40">
        <f t="shared" si="247"/>
        <v>8468.2246804564602</v>
      </c>
      <c r="Z410" s="40">
        <f t="shared" si="248"/>
        <v>5182.1365413476651</v>
      </c>
      <c r="AA410" s="40">
        <f t="shared" si="249"/>
        <v>8468.2246804564602</v>
      </c>
      <c r="AB410" s="40">
        <f t="shared" si="250"/>
        <v>3527.0332022761459</v>
      </c>
      <c r="AC410" s="40">
        <f t="shared" si="251"/>
        <v>1469.0166687083909</v>
      </c>
      <c r="AD410" s="41">
        <f t="shared" si="252"/>
        <v>0.95</v>
      </c>
      <c r="AE410" s="41">
        <f t="shared" si="253"/>
        <v>0.64174895947104049</v>
      </c>
      <c r="AF410" s="64">
        <f t="shared" si="254"/>
        <v>0</v>
      </c>
      <c r="AG410" s="64">
        <f>APPLICANTS_PER_YEAR*($H410/Segments!$AH$2)*AE410</f>
        <v>3.8504937568262427</v>
      </c>
      <c r="AH410" s="64">
        <f t="shared" si="255"/>
        <v>3.8504937568262427</v>
      </c>
      <c r="AI410" s="40">
        <f t="shared" si="256"/>
        <v>1469.0166687083911</v>
      </c>
      <c r="AJ410" s="65">
        <f t="shared" si="257"/>
        <v>5656.4395115353445</v>
      </c>
      <c r="AK410" s="65">
        <f t="shared" si="258"/>
        <v>22348.238527417965</v>
      </c>
      <c r="AL410" s="65">
        <f t="shared" si="259"/>
        <v>1440.3146696410981</v>
      </c>
      <c r="AM410" s="40">
        <f t="shared" si="260"/>
        <v>8721.0214208701527</v>
      </c>
      <c r="AN410" s="40">
        <f t="shared" si="261"/>
        <v>5337.6006375880943</v>
      </c>
      <c r="AO410" s="40">
        <f t="shared" si="262"/>
        <v>8721.0214208701527</v>
      </c>
      <c r="AP410" s="40">
        <f t="shared" si="263"/>
        <v>3632.5838752166242</v>
      </c>
      <c r="AQ410" s="40">
        <f t="shared" si="264"/>
        <v>1513.0871687696424</v>
      </c>
      <c r="AR410" s="41">
        <f t="shared" si="265"/>
        <v>0.95</v>
      </c>
      <c r="AS410" s="41">
        <f t="shared" si="266"/>
        <v>0.64173403550394115</v>
      </c>
      <c r="AT410" s="64">
        <f t="shared" si="267"/>
        <v>0</v>
      </c>
      <c r="AU410" s="64">
        <f>APPLICANTS_PER_YEAR*($H410/Segments!$AH$2)*AS410</f>
        <v>3.8504042130236469</v>
      </c>
      <c r="AV410" s="64">
        <f t="shared" si="268"/>
        <v>3.8504042130236469</v>
      </c>
      <c r="AW410" s="40">
        <f t="shared" si="269"/>
        <v>1513.0871687696426</v>
      </c>
      <c r="AX410" s="65">
        <f t="shared" si="270"/>
        <v>5825.9972093026536</v>
      </c>
      <c r="AY410" s="65">
        <f t="shared" si="271"/>
        <v>23018.150380295734</v>
      </c>
      <c r="AZ410" s="65">
        <f t="shared" si="272"/>
        <v>1478.2915644698587</v>
      </c>
    </row>
    <row r="411" spans="1:52" ht="15" customHeight="1" x14ac:dyDescent="0.35">
      <c r="A411" s="61" t="str">
        <f>Segments!$A$391</f>
        <v>Greek</v>
      </c>
      <c r="B411" s="61" t="str">
        <f>Segments!$B$391</f>
        <v>Off 6+mi</v>
      </c>
      <c r="C411" s="61" t="str">
        <f>Segments!$C$391</f>
        <v>No</v>
      </c>
      <c r="D411" s="61" t="str">
        <f>Segments!$D$391</f>
        <v>1.0-2.0</v>
      </c>
      <c r="E411" s="61" t="str">
        <f>Segments!$E$391</f>
        <v>Sophomore</v>
      </c>
      <c r="F411" s="61">
        <f>Segments!$F$391</f>
        <v>1</v>
      </c>
      <c r="G411" s="61" t="str">
        <f>Segments!$G$391</f>
        <v>Sophomore</v>
      </c>
      <c r="H411" s="62">
        <f>Segments!$H$391</f>
        <v>0</v>
      </c>
      <c r="I411" s="63">
        <f>Segments!$Y$391</f>
        <v>4980.0143131086261</v>
      </c>
      <c r="J411" s="42">
        <v>1</v>
      </c>
      <c r="K411" s="40">
        <f t="shared" si="234"/>
        <v>1426.2297754450396</v>
      </c>
      <c r="L411" s="40">
        <f t="shared" si="235"/>
        <v>4980.0143131086261</v>
      </c>
      <c r="M411" s="40">
        <f t="shared" si="236"/>
        <v>8139.5581799613219</v>
      </c>
      <c r="N411" s="40">
        <f t="shared" si="237"/>
        <v>3407.1806871999133</v>
      </c>
      <c r="O411" s="40">
        <f t="shared" si="238"/>
        <v>1426.2297754450396</v>
      </c>
      <c r="P411" s="41">
        <f t="shared" si="239"/>
        <v>0.95</v>
      </c>
      <c r="Q411" s="41">
        <f t="shared" si="240"/>
        <v>0.64070235681907106</v>
      </c>
      <c r="R411" s="64">
        <f t="shared" si="241"/>
        <v>4.75</v>
      </c>
      <c r="S411" s="64">
        <f>APPLICANTS_PER_YEAR*($H411/Segments!$AH$2)*Q411</f>
        <v>0</v>
      </c>
      <c r="T411" s="64">
        <f t="shared" si="242"/>
        <v>4.75</v>
      </c>
      <c r="U411" s="40">
        <f t="shared" si="243"/>
        <v>1426.2297754450396</v>
      </c>
      <c r="V411" s="65">
        <f t="shared" si="244"/>
        <v>6774.5914333639384</v>
      </c>
      <c r="W411" s="65">
        <f t="shared" si="245"/>
        <v>26493.676145737893</v>
      </c>
      <c r="X411" s="65">
        <f t="shared" si="246"/>
        <v>1375.3977809057844</v>
      </c>
      <c r="Y411" s="40">
        <f t="shared" si="247"/>
        <v>1426.2297754450396</v>
      </c>
      <c r="Z411" s="40">
        <f t="shared" si="248"/>
        <v>5129.4147425018846</v>
      </c>
      <c r="AA411" s="40">
        <f t="shared" si="249"/>
        <v>8382.4949253601608</v>
      </c>
      <c r="AB411" s="40">
        <f t="shared" si="250"/>
        <v>3509.1344760093725</v>
      </c>
      <c r="AC411" s="40">
        <f t="shared" si="251"/>
        <v>1469.0166687083909</v>
      </c>
      <c r="AD411" s="41">
        <f t="shared" si="252"/>
        <v>0.95</v>
      </c>
      <c r="AE411" s="41">
        <f t="shared" si="253"/>
        <v>0.64068675213909532</v>
      </c>
      <c r="AF411" s="64">
        <f t="shared" si="254"/>
        <v>3.6580566684802633</v>
      </c>
      <c r="AG411" s="64">
        <f>APPLICANTS_PER_YEAR*($H411/Segments!$AH$2)*AE411</f>
        <v>0</v>
      </c>
      <c r="AH411" s="64">
        <f t="shared" si="255"/>
        <v>3.6580566684802633</v>
      </c>
      <c r="AI411" s="40">
        <f t="shared" si="256"/>
        <v>1469.0166687083909</v>
      </c>
      <c r="AJ411" s="65">
        <f t="shared" si="257"/>
        <v>5373.7462210773911</v>
      </c>
      <c r="AK411" s="65">
        <f t="shared" si="258"/>
        <v>21015.332580715192</v>
      </c>
      <c r="AL411" s="65">
        <f t="shared" si="259"/>
        <v>1088.7991691532322</v>
      </c>
      <c r="AM411" s="40">
        <f t="shared" si="260"/>
        <v>1469.0166687083911</v>
      </c>
      <c r="AN411" s="40">
        <f t="shared" si="261"/>
        <v>5283.2971847769413</v>
      </c>
      <c r="AO411" s="40">
        <f t="shared" si="262"/>
        <v>8632.7197731209653</v>
      </c>
      <c r="AP411" s="40">
        <f t="shared" si="263"/>
        <v>3614.1468592592241</v>
      </c>
      <c r="AQ411" s="40">
        <f t="shared" si="264"/>
        <v>1513.0871687696424</v>
      </c>
      <c r="AR411" s="41">
        <f t="shared" si="265"/>
        <v>0.95</v>
      </c>
      <c r="AS411" s="41">
        <f t="shared" si="266"/>
        <v>0.64067159862455436</v>
      </c>
      <c r="AT411" s="64">
        <f t="shared" si="267"/>
        <v>3.6579690689849302</v>
      </c>
      <c r="AU411" s="64">
        <f>APPLICANTS_PER_YEAR*($H411/Segments!$AH$2)*AS411</f>
        <v>0</v>
      </c>
      <c r="AV411" s="64">
        <f t="shared" si="268"/>
        <v>3.6579690689849302</v>
      </c>
      <c r="AW411" s="40">
        <f t="shared" si="269"/>
        <v>1513.0871687696424</v>
      </c>
      <c r="AX411" s="65">
        <f t="shared" si="270"/>
        <v>5534.826062037333</v>
      </c>
      <c r="AY411" s="65">
        <f t="shared" si="271"/>
        <v>21645.274206269518</v>
      </c>
      <c r="AZ411" s="65">
        <f t="shared" si="272"/>
        <v>1119.2415071047544</v>
      </c>
    </row>
    <row r="412" spans="1:52" ht="15" customHeight="1" x14ac:dyDescent="0.35">
      <c r="A412" s="61" t="str">
        <f>Segments!$A$392</f>
        <v>Greek</v>
      </c>
      <c r="B412" s="61" t="str">
        <f>Segments!$B$392</f>
        <v>Off 6+mi</v>
      </c>
      <c r="C412" s="61" t="str">
        <f>Segments!$C$392</f>
        <v>No</v>
      </c>
      <c r="D412" s="61" t="str">
        <f>Segments!$D$392</f>
        <v>1.0-2.0</v>
      </c>
      <c r="E412" s="61" t="str">
        <f>Segments!$E$392</f>
        <v>Junior</v>
      </c>
      <c r="F412" s="61">
        <f>Segments!$F$392</f>
        <v>2</v>
      </c>
      <c r="G412" s="61" t="str">
        <f>Segments!$G$392</f>
        <v>Base</v>
      </c>
      <c r="H412" s="62">
        <f>Segments!$H$392</f>
        <v>4</v>
      </c>
      <c r="I412" s="63">
        <f>Segments!$Y$392</f>
        <v>5953.2367172528511</v>
      </c>
      <c r="J412" s="42">
        <v>2</v>
      </c>
      <c r="K412" s="40">
        <f t="shared" si="234"/>
        <v>1426.2297754450396</v>
      </c>
      <c r="L412" s="40">
        <f t="shared" si="235"/>
        <v>5953.2367172528511</v>
      </c>
      <c r="M412" s="40">
        <f t="shared" si="236"/>
        <v>9722.0936811792344</v>
      </c>
      <c r="N412" s="40">
        <f t="shared" si="237"/>
        <v>3723.6997042946277</v>
      </c>
      <c r="O412" s="40">
        <f t="shared" si="238"/>
        <v>1426.2297754450396</v>
      </c>
      <c r="P412" s="41">
        <f t="shared" si="239"/>
        <v>0.95</v>
      </c>
      <c r="Q412" s="41">
        <f t="shared" si="240"/>
        <v>0.65849291179413094</v>
      </c>
      <c r="R412" s="64">
        <f t="shared" si="241"/>
        <v>0</v>
      </c>
      <c r="S412" s="64">
        <f>APPLICANTS_PER_YEAR*($H412/Segments!$AH$2)*Q412</f>
        <v>3.1607659766118283</v>
      </c>
      <c r="T412" s="64">
        <f t="shared" si="242"/>
        <v>3.1607659766118283</v>
      </c>
      <c r="U412" s="40">
        <f t="shared" si="243"/>
        <v>1426.2297754450396</v>
      </c>
      <c r="V412" s="65">
        <f t="shared" si="244"/>
        <v>4507.9785490574095</v>
      </c>
      <c r="W412" s="65">
        <f t="shared" si="245"/>
        <v>21074.802634602198</v>
      </c>
      <c r="X412" s="65">
        <f t="shared" si="246"/>
        <v>1152.0216639363921</v>
      </c>
      <c r="Y412" s="40">
        <f t="shared" si="247"/>
        <v>1426.2297754450396</v>
      </c>
      <c r="Z412" s="40">
        <f t="shared" si="248"/>
        <v>6131.8338187704367</v>
      </c>
      <c r="AA412" s="40">
        <f t="shared" si="249"/>
        <v>10012.506491614611</v>
      </c>
      <c r="AB412" s="40">
        <f t="shared" si="250"/>
        <v>3835.1713040922737</v>
      </c>
      <c r="AC412" s="40">
        <f t="shared" si="251"/>
        <v>1469.0166687083909</v>
      </c>
      <c r="AD412" s="41">
        <f t="shared" si="252"/>
        <v>0.95</v>
      </c>
      <c r="AE412" s="41">
        <f t="shared" si="253"/>
        <v>0.65848095792476147</v>
      </c>
      <c r="AF412" s="64">
        <f t="shared" si="254"/>
        <v>4.5125000000000002</v>
      </c>
      <c r="AG412" s="64">
        <f>APPLICANTS_PER_YEAR*($H412/Segments!$AH$2)*AE412</f>
        <v>3.160708598038855</v>
      </c>
      <c r="AH412" s="64">
        <f t="shared" si="255"/>
        <v>7.6732085980388547</v>
      </c>
      <c r="AI412" s="40">
        <f t="shared" si="256"/>
        <v>1469.0166687083911</v>
      </c>
      <c r="AJ412" s="65">
        <f t="shared" si="257"/>
        <v>11272.071332995622</v>
      </c>
      <c r="AK412" s="65">
        <f t="shared" si="258"/>
        <v>52696.940777526914</v>
      </c>
      <c r="AL412" s="65">
        <f t="shared" si="259"/>
        <v>2525.413045388636</v>
      </c>
      <c r="AM412" s="40">
        <f t="shared" si="260"/>
        <v>1469.0166687083909</v>
      </c>
      <c r="AN412" s="40">
        <f t="shared" si="261"/>
        <v>6315.7888333335495</v>
      </c>
      <c r="AO412" s="40">
        <f t="shared" si="262"/>
        <v>10311.631686363049</v>
      </c>
      <c r="AP412" s="40">
        <f t="shared" si="263"/>
        <v>3949.9870371577676</v>
      </c>
      <c r="AQ412" s="40">
        <f t="shared" si="264"/>
        <v>1513.0871687696424</v>
      </c>
      <c r="AR412" s="41">
        <f t="shared" si="265"/>
        <v>0.95</v>
      </c>
      <c r="AS412" s="41">
        <f t="shared" si="266"/>
        <v>0.65846935008445096</v>
      </c>
      <c r="AT412" s="64">
        <f t="shared" si="267"/>
        <v>3.4751538350562501</v>
      </c>
      <c r="AU412" s="64">
        <f>APPLICANTS_PER_YEAR*($H412/Segments!$AH$2)*AS412</f>
        <v>3.1606528804053644</v>
      </c>
      <c r="AV412" s="64">
        <f t="shared" si="268"/>
        <v>6.635806715461614</v>
      </c>
      <c r="AW412" s="40">
        <f t="shared" si="269"/>
        <v>1513.0871687696426</v>
      </c>
      <c r="AX412" s="65">
        <f t="shared" si="270"/>
        <v>10040.553995600396</v>
      </c>
      <c r="AY412" s="65">
        <f t="shared" si="271"/>
        <v>46939.596428112913</v>
      </c>
      <c r="AZ412" s="65">
        <f t="shared" si="272"/>
        <v>2276.7791776275067</v>
      </c>
    </row>
    <row r="413" spans="1:52" ht="15" customHeight="1" x14ac:dyDescent="0.35">
      <c r="A413" s="61" t="str">
        <f>Segments!$A$393</f>
        <v>Greek</v>
      </c>
      <c r="B413" s="61" t="str">
        <f>Segments!$B$393</f>
        <v>Off 6+mi</v>
      </c>
      <c r="C413" s="61" t="str">
        <f>Segments!$C$393</f>
        <v>No</v>
      </c>
      <c r="D413" s="61" t="str">
        <f>Segments!$D$393</f>
        <v>1.0-2.0</v>
      </c>
      <c r="E413" s="61" t="str">
        <f>Segments!$E$393</f>
        <v>Senior</v>
      </c>
      <c r="F413" s="61">
        <f>Segments!$F$393</f>
        <v>3</v>
      </c>
      <c r="G413" s="61" t="str">
        <f>Segments!$G$393</f>
        <v>Base</v>
      </c>
      <c r="H413" s="62">
        <f>Segments!$H$393</f>
        <v>0</v>
      </c>
      <c r="I413" s="63">
        <f>Segments!$Y$393</f>
        <v>5564.4156848959838</v>
      </c>
      <c r="J413" s="42">
        <v>3</v>
      </c>
      <c r="K413" s="40">
        <f t="shared" si="234"/>
        <v>1426.2297754450396</v>
      </c>
      <c r="L413" s="40">
        <f t="shared" si="235"/>
        <v>5564.4156848959838</v>
      </c>
      <c r="M413" s="40">
        <f t="shared" si="236"/>
        <v>9089.8403702148116</v>
      </c>
      <c r="N413" s="40">
        <f t="shared" si="237"/>
        <v>3600.5834235638431</v>
      </c>
      <c r="O413" s="40">
        <f t="shared" si="238"/>
        <v>1426.2297754450396</v>
      </c>
      <c r="P413" s="41">
        <f t="shared" si="239"/>
        <v>0.95</v>
      </c>
      <c r="Q413" s="41">
        <f t="shared" si="240"/>
        <v>0.65194462845782875</v>
      </c>
      <c r="R413" s="64">
        <f t="shared" si="241"/>
        <v>3.8</v>
      </c>
      <c r="S413" s="64">
        <f>APPLICANTS_PER_YEAR*($H413/Segments!$AH$2)*Q413</f>
        <v>0</v>
      </c>
      <c r="T413" s="64">
        <f t="shared" si="242"/>
        <v>3.8</v>
      </c>
      <c r="U413" s="40">
        <f t="shared" si="243"/>
        <v>1426.2297754450396</v>
      </c>
      <c r="V413" s="65">
        <f t="shared" si="244"/>
        <v>5419.6731466911506</v>
      </c>
      <c r="W413" s="65">
        <f t="shared" si="245"/>
        <v>23682.153154917305</v>
      </c>
      <c r="X413" s="65">
        <f t="shared" si="246"/>
        <v>1100.3182247246275</v>
      </c>
      <c r="Y413" s="40">
        <f t="shared" si="247"/>
        <v>1426.2297754450396</v>
      </c>
      <c r="Z413" s="40">
        <f t="shared" si="248"/>
        <v>5731.3481554428636</v>
      </c>
      <c r="AA413" s="40">
        <f t="shared" si="249"/>
        <v>9361.2855813212554</v>
      </c>
      <c r="AB413" s="40">
        <f t="shared" si="250"/>
        <v>3708.3533487924856</v>
      </c>
      <c r="AC413" s="40">
        <f t="shared" si="251"/>
        <v>1469.0166687083909</v>
      </c>
      <c r="AD413" s="41">
        <f t="shared" si="252"/>
        <v>0.95</v>
      </c>
      <c r="AE413" s="41">
        <f t="shared" si="253"/>
        <v>0.65193140586417786</v>
      </c>
      <c r="AF413" s="64">
        <f t="shared" si="254"/>
        <v>3.0027276777812366</v>
      </c>
      <c r="AG413" s="64">
        <f>APPLICANTS_PER_YEAR*($H413/Segments!$AH$2)*AE413</f>
        <v>0</v>
      </c>
      <c r="AH413" s="64">
        <f t="shared" si="255"/>
        <v>3.0027276777812366</v>
      </c>
      <c r="AI413" s="40">
        <f t="shared" si="256"/>
        <v>1469.0166687083909</v>
      </c>
      <c r="AJ413" s="65">
        <f t="shared" si="257"/>
        <v>4411.0570102526744</v>
      </c>
      <c r="AK413" s="65">
        <f t="shared" si="258"/>
        <v>19274.839065830573</v>
      </c>
      <c r="AL413" s="65">
        <f t="shared" si="259"/>
        <v>893.74432849338018</v>
      </c>
      <c r="AM413" s="40">
        <f t="shared" si="260"/>
        <v>1469.0166687083911</v>
      </c>
      <c r="AN413" s="40">
        <f t="shared" si="261"/>
        <v>5903.2886001061488</v>
      </c>
      <c r="AO413" s="40">
        <f t="shared" si="262"/>
        <v>9640.8741487608931</v>
      </c>
      <c r="AP413" s="40">
        <f t="shared" si="263"/>
        <v>3819.3563554888483</v>
      </c>
      <c r="AQ413" s="40">
        <f t="shared" si="264"/>
        <v>1513.0871687696424</v>
      </c>
      <c r="AR413" s="41">
        <f t="shared" si="265"/>
        <v>0.95</v>
      </c>
      <c r="AS413" s="41">
        <f t="shared" si="266"/>
        <v>0.65191856586055863</v>
      </c>
      <c r="AT413" s="64">
        <f t="shared" si="267"/>
        <v>7.2895481681369114</v>
      </c>
      <c r="AU413" s="64">
        <f>APPLICANTS_PER_YEAR*($H413/Segments!$AH$2)*AS413</f>
        <v>0</v>
      </c>
      <c r="AV413" s="64">
        <f t="shared" si="268"/>
        <v>7.2895481681369114</v>
      </c>
      <c r="AW413" s="40">
        <f t="shared" si="269"/>
        <v>1513.0871687696424</v>
      </c>
      <c r="AX413" s="65">
        <f t="shared" si="270"/>
        <v>11029.721799336212</v>
      </c>
      <c r="AY413" s="65">
        <f t="shared" si="271"/>
        <v>48196.183392993771</v>
      </c>
      <c r="AZ413" s="65">
        <f t="shared" si="272"/>
        <v>2230.4083834372823</v>
      </c>
    </row>
    <row r="414" spans="1:52" ht="15" customHeight="1" x14ac:dyDescent="0.35">
      <c r="A414" s="61" t="str">
        <f>Segments!$A$394</f>
        <v>Greek</v>
      </c>
      <c r="B414" s="61" t="str">
        <f>Segments!$B$394</f>
        <v>Off 6+mi</v>
      </c>
      <c r="C414" s="61" t="str">
        <f>Segments!$C$394</f>
        <v>No</v>
      </c>
      <c r="D414" s="61" t="str">
        <f>Segments!$D$394</f>
        <v>1.0-2.0</v>
      </c>
      <c r="E414" s="61" t="str">
        <f>Segments!$E$394</f>
        <v>Grad student</v>
      </c>
      <c r="F414" s="61">
        <f>Segments!$F$394</f>
        <v>3</v>
      </c>
      <c r="G414" s="61" t="str">
        <f>Segments!$G$394</f>
        <v>Grad</v>
      </c>
      <c r="H414" s="62">
        <f>Segments!$H$394</f>
        <v>4</v>
      </c>
      <c r="I414" s="63">
        <f>Segments!$Y$394</f>
        <v>6625.4408435651258</v>
      </c>
      <c r="J414" s="42">
        <v>4</v>
      </c>
      <c r="K414" s="40">
        <f t="shared" si="234"/>
        <v>1426.2297754450396</v>
      </c>
      <c r="L414" s="40">
        <f t="shared" si="235"/>
        <v>6625.4408435651258</v>
      </c>
      <c r="M414" s="40">
        <f t="shared" si="236"/>
        <v>10815.149995362379</v>
      </c>
      <c r="N414" s="40">
        <f t="shared" si="237"/>
        <v>3927.4532396058016</v>
      </c>
      <c r="O414" s="40">
        <f t="shared" si="238"/>
        <v>1426.2297754450396</v>
      </c>
      <c r="P414" s="41">
        <f t="shared" si="239"/>
        <v>0.95</v>
      </c>
      <c r="Q414" s="41">
        <f t="shared" si="240"/>
        <v>0.6684281659852187</v>
      </c>
      <c r="R414" s="64">
        <f t="shared" si="241"/>
        <v>1.9</v>
      </c>
      <c r="S414" s="64">
        <f>APPLICANTS_PER_YEAR*($H414/Segments!$AH$2)*Q414</f>
        <v>3.2084551967290498</v>
      </c>
      <c r="T414" s="64">
        <f t="shared" si="242"/>
        <v>5.1084551967290501</v>
      </c>
      <c r="U414" s="40">
        <f t="shared" si="243"/>
        <v>1426.2297754450394</v>
      </c>
      <c r="V414" s="65">
        <f t="shared" si="244"/>
        <v>7285.8309081019179</v>
      </c>
      <c r="W414" s="65">
        <f t="shared" si="245"/>
        <v>37907.259832882912</v>
      </c>
      <c r="X414" s="65">
        <f t="shared" si="246"/>
        <v>1719.5623272005419</v>
      </c>
      <c r="Y414" s="40">
        <f t="shared" si="247"/>
        <v>1426.2297754450394</v>
      </c>
      <c r="Z414" s="40">
        <f t="shared" si="248"/>
        <v>6824.2040688720799</v>
      </c>
      <c r="AA414" s="40">
        <f t="shared" si="249"/>
        <v>11138.35449522325</v>
      </c>
      <c r="AB414" s="40">
        <f t="shared" si="250"/>
        <v>4045.0498656340428</v>
      </c>
      <c r="AC414" s="40">
        <f t="shared" si="251"/>
        <v>1469.0166687083909</v>
      </c>
      <c r="AD414" s="41">
        <f t="shared" si="252"/>
        <v>0.95</v>
      </c>
      <c r="AE414" s="41">
        <f t="shared" si="253"/>
        <v>0.6684179778364574</v>
      </c>
      <c r="AF414" s="64">
        <f t="shared" si="254"/>
        <v>2.4265162184462987</v>
      </c>
      <c r="AG414" s="64">
        <f>APPLICANTS_PER_YEAR*($H414/Segments!$AH$2)*AE414</f>
        <v>3.2084062936149955</v>
      </c>
      <c r="AH414" s="64">
        <f t="shared" si="255"/>
        <v>5.6349225120612942</v>
      </c>
      <c r="AI414" s="40">
        <f t="shared" si="256"/>
        <v>1469.0166687083909</v>
      </c>
      <c r="AJ414" s="65">
        <f t="shared" si="257"/>
        <v>8277.7950970982001</v>
      </c>
      <c r="AK414" s="65">
        <f t="shared" si="258"/>
        <v>43068.32447073808</v>
      </c>
      <c r="AL414" s="65">
        <f t="shared" si="259"/>
        <v>1922.3739623189874</v>
      </c>
      <c r="AM414" s="40">
        <f t="shared" si="260"/>
        <v>1469.0166687083909</v>
      </c>
      <c r="AN414" s="40">
        <f t="shared" si="261"/>
        <v>7028.930190938242</v>
      </c>
      <c r="AO414" s="40">
        <f t="shared" si="262"/>
        <v>11471.255130079948</v>
      </c>
      <c r="AP414" s="40">
        <f t="shared" si="263"/>
        <v>4166.1743778923737</v>
      </c>
      <c r="AQ414" s="40">
        <f t="shared" si="264"/>
        <v>1513.0871687696424</v>
      </c>
      <c r="AR414" s="41">
        <f t="shared" si="265"/>
        <v>0.95</v>
      </c>
      <c r="AS414" s="41">
        <f t="shared" si="266"/>
        <v>0.66840808478891633</v>
      </c>
      <c r="AT414" s="64">
        <f t="shared" si="267"/>
        <v>2.6765881932291147</v>
      </c>
      <c r="AU414" s="64">
        <f>APPLICANTS_PER_YEAR*($H414/Segments!$AH$2)*AS414</f>
        <v>3.2083588069867983</v>
      </c>
      <c r="AV414" s="64">
        <f t="shared" si="268"/>
        <v>5.884947000215913</v>
      </c>
      <c r="AW414" s="40">
        <f t="shared" si="269"/>
        <v>1513.0871687696424</v>
      </c>
      <c r="AX414" s="65">
        <f t="shared" si="270"/>
        <v>8904.4377949160953</v>
      </c>
      <c r="AY414" s="65">
        <f t="shared" si="271"/>
        <v>46328.667438915763</v>
      </c>
      <c r="AZ414" s="65">
        <f t="shared" si="272"/>
        <v>2050.7550824462587</v>
      </c>
    </row>
    <row r="415" spans="1:52" ht="15" customHeight="1" x14ac:dyDescent="0.35">
      <c r="A415" s="59" t="str">
        <f>Segments!$A$395</f>
        <v>Greek</v>
      </c>
      <c r="B415" s="59" t="str">
        <f>Segments!$B$395</f>
        <v>Off 6+mi</v>
      </c>
      <c r="C415" s="59" t="str">
        <f>Segments!$C$395</f>
        <v>No</v>
      </c>
      <c r="D415" s="59" t="str">
        <f>Segments!$D$395</f>
        <v>2.0-3.0</v>
      </c>
      <c r="E415" s="59" t="str">
        <f>Segments!$E$395</f>
        <v>Freshman</v>
      </c>
      <c r="F415" s="59">
        <f>Segments!$F$395</f>
        <v>1</v>
      </c>
      <c r="G415" s="59" t="str">
        <f>Segments!$G$395</f>
        <v>Base</v>
      </c>
      <c r="H415" s="60">
        <f>Segments!$H$395</f>
        <v>4</v>
      </c>
      <c r="I415" s="26">
        <f>Segments!$Y$395</f>
        <v>4944.0587213871131</v>
      </c>
      <c r="J415" s="29">
        <v>0</v>
      </c>
      <c r="K415" s="14">
        <f t="shared" si="234"/>
        <v>8081.0915847367432</v>
      </c>
      <c r="L415" s="14">
        <f t="shared" si="235"/>
        <v>4944.0587213871131</v>
      </c>
      <c r="M415" s="14">
        <f t="shared" si="236"/>
        <v>8081.0915847367432</v>
      </c>
      <c r="N415" s="14">
        <f t="shared" si="237"/>
        <v>3394.9217128307814</v>
      </c>
      <c r="O415" s="14">
        <f t="shared" si="238"/>
        <v>1426.2297754450396</v>
      </c>
      <c r="P415" s="33">
        <f t="shared" si="239"/>
        <v>0.95</v>
      </c>
      <c r="Q415" s="33">
        <f t="shared" si="240"/>
        <v>0.63994658845081154</v>
      </c>
      <c r="R415" s="51">
        <f t="shared" si="241"/>
        <v>0</v>
      </c>
      <c r="S415" s="51">
        <f>APPLICANTS_PER_YEAR*($H415/Segments!$AH$2)*Q415</f>
        <v>3.0717436245638954</v>
      </c>
      <c r="T415" s="51">
        <f t="shared" si="242"/>
        <v>3.0717436245638954</v>
      </c>
      <c r="U415" s="14">
        <f t="shared" si="243"/>
        <v>1426.2297754450396</v>
      </c>
      <c r="V415" s="44">
        <f t="shared" si="244"/>
        <v>4381.0122198864965</v>
      </c>
      <c r="W415" s="44">
        <f t="shared" si="245"/>
        <v>17009.306559717239</v>
      </c>
      <c r="X415" s="44">
        <f t="shared" si="246"/>
        <v>1119.5752003599505</v>
      </c>
      <c r="Y415" s="14">
        <f t="shared" si="247"/>
        <v>8322.2743322788447</v>
      </c>
      <c r="Z415" s="14">
        <f t="shared" si="248"/>
        <v>5092.3804830287263</v>
      </c>
      <c r="AA415" s="14">
        <f t="shared" si="249"/>
        <v>8322.2743322788447</v>
      </c>
      <c r="AB415" s="14">
        <f t="shared" si="250"/>
        <v>3496.5067875926702</v>
      </c>
      <c r="AC415" s="14">
        <f t="shared" si="251"/>
        <v>1469.0166687083909</v>
      </c>
      <c r="AD415" s="33">
        <f t="shared" si="252"/>
        <v>0.95</v>
      </c>
      <c r="AE415" s="33">
        <f t="shared" si="253"/>
        <v>0.63993081410263719</v>
      </c>
      <c r="AF415" s="51">
        <f t="shared" si="254"/>
        <v>0</v>
      </c>
      <c r="AG415" s="51">
        <f>APPLICANTS_PER_YEAR*($H415/Segments!$AH$2)*AE415</f>
        <v>3.0716679076926585</v>
      </c>
      <c r="AH415" s="51">
        <f t="shared" si="255"/>
        <v>3.0716679076926585</v>
      </c>
      <c r="AI415" s="14">
        <f t="shared" si="256"/>
        <v>1469.0166687083906</v>
      </c>
      <c r="AJ415" s="44">
        <f t="shared" si="257"/>
        <v>4512.3313571371418</v>
      </c>
      <c r="AK415" s="44">
        <f t="shared" si="258"/>
        <v>17519.153907897351</v>
      </c>
      <c r="AL415" s="44">
        <f t="shared" si="259"/>
        <v>1148.9872798448896</v>
      </c>
      <c r="AM415" s="14">
        <f t="shared" si="260"/>
        <v>8570.6925622472099</v>
      </c>
      <c r="AN415" s="14">
        <f t="shared" si="261"/>
        <v>5245.1518975195877</v>
      </c>
      <c r="AO415" s="14">
        <f t="shared" si="262"/>
        <v>8570.6925622472099</v>
      </c>
      <c r="AP415" s="14">
        <f t="shared" si="263"/>
        <v>3601.1393951644891</v>
      </c>
      <c r="AQ415" s="14">
        <f t="shared" si="264"/>
        <v>1513.0871687696424</v>
      </c>
      <c r="AR415" s="33">
        <f t="shared" si="265"/>
        <v>0.95</v>
      </c>
      <c r="AS415" s="33">
        <f t="shared" si="266"/>
        <v>0.63991549580094365</v>
      </c>
      <c r="AT415" s="51">
        <f t="shared" si="267"/>
        <v>0</v>
      </c>
      <c r="AU415" s="51">
        <f>APPLICANTS_PER_YEAR*($H415/Segments!$AH$2)*AS415</f>
        <v>3.0715943798445293</v>
      </c>
      <c r="AV415" s="51">
        <f t="shared" si="268"/>
        <v>3.0715943798445293</v>
      </c>
      <c r="AW415" s="14">
        <f t="shared" si="269"/>
        <v>1513.0871687696424</v>
      </c>
      <c r="AX415" s="44">
        <f t="shared" si="270"/>
        <v>4647.5900438077042</v>
      </c>
      <c r="AY415" s="44">
        <f t="shared" si="271"/>
        <v>18044.29658063428</v>
      </c>
      <c r="AZ415" s="44">
        <f t="shared" si="272"/>
        <v>1179.2819169059296</v>
      </c>
    </row>
    <row r="416" spans="1:52" ht="15" customHeight="1" x14ac:dyDescent="0.35">
      <c r="A416" s="59" t="str">
        <f>Segments!$A$396</f>
        <v>Greek</v>
      </c>
      <c r="B416" s="59" t="str">
        <f>Segments!$B$396</f>
        <v>Off 6+mi</v>
      </c>
      <c r="C416" s="59" t="str">
        <f>Segments!$C$396</f>
        <v>No</v>
      </c>
      <c r="D416" s="59" t="str">
        <f>Segments!$D$396</f>
        <v>2.0-3.0</v>
      </c>
      <c r="E416" s="59" t="str">
        <f>Segments!$E$396</f>
        <v>Sophomore</v>
      </c>
      <c r="F416" s="59">
        <f>Segments!$F$396</f>
        <v>1</v>
      </c>
      <c r="G416" s="59" t="str">
        <f>Segments!$G$396</f>
        <v>Sophomore</v>
      </c>
      <c r="H416" s="60">
        <f>Segments!$H$396</f>
        <v>5</v>
      </c>
      <c r="I416" s="26">
        <f>Segments!$Y$396</f>
        <v>4893.7590684715797</v>
      </c>
      <c r="J416" s="29">
        <v>1</v>
      </c>
      <c r="K416" s="14">
        <f t="shared" si="234"/>
        <v>1426.2297754450396</v>
      </c>
      <c r="L416" s="14">
        <f t="shared" si="235"/>
        <v>4893.7590684715797</v>
      </c>
      <c r="M416" s="14">
        <f t="shared" si="236"/>
        <v>7999.300427752677</v>
      </c>
      <c r="N416" s="14">
        <f t="shared" si="237"/>
        <v>3377.6975075916894</v>
      </c>
      <c r="O416" s="14">
        <f t="shared" si="238"/>
        <v>1426.2297754450396</v>
      </c>
      <c r="P416" s="33">
        <f t="shared" si="239"/>
        <v>0.95</v>
      </c>
      <c r="Q416" s="33">
        <f t="shared" si="240"/>
        <v>0.63887544366547688</v>
      </c>
      <c r="R416" s="51">
        <f t="shared" si="241"/>
        <v>3.8</v>
      </c>
      <c r="S416" s="51">
        <f>APPLICANTS_PER_YEAR*($H416/Segments!$AH$2)*Q416</f>
        <v>3.8332526619928613</v>
      </c>
      <c r="T416" s="51">
        <f t="shared" si="242"/>
        <v>7.6332526619928611</v>
      </c>
      <c r="U416" s="14">
        <f t="shared" si="243"/>
        <v>1426.2297754450396</v>
      </c>
      <c r="V416" s="44">
        <f t="shared" si="244"/>
        <v>10886.77223002933</v>
      </c>
      <c r="W416" s="44">
        <f t="shared" si="245"/>
        <v>41837.935368949882</v>
      </c>
      <c r="X416" s="44">
        <f t="shared" si="246"/>
        <v>2497.4447891820587</v>
      </c>
      <c r="Y416" s="14">
        <f t="shared" si="247"/>
        <v>1426.2297754450396</v>
      </c>
      <c r="Z416" s="14">
        <f t="shared" si="248"/>
        <v>5040.5718405257276</v>
      </c>
      <c r="AA416" s="14">
        <f t="shared" si="249"/>
        <v>8238.0294405852583</v>
      </c>
      <c r="AB416" s="14">
        <f t="shared" si="250"/>
        <v>3478.7645171138279</v>
      </c>
      <c r="AC416" s="14">
        <f t="shared" si="251"/>
        <v>1469.0166687083909</v>
      </c>
      <c r="AD416" s="33">
        <f t="shared" si="252"/>
        <v>0.95</v>
      </c>
      <c r="AE416" s="33">
        <f t="shared" si="253"/>
        <v>0.63885942674740637</v>
      </c>
      <c r="AF416" s="51">
        <f t="shared" si="254"/>
        <v>2.9181564433357003</v>
      </c>
      <c r="AG416" s="51">
        <f>APPLICANTS_PER_YEAR*($H416/Segments!$AH$2)*AE416</f>
        <v>3.8331565604844382</v>
      </c>
      <c r="AH416" s="51">
        <f t="shared" si="255"/>
        <v>6.7513130038201385</v>
      </c>
      <c r="AI416" s="14">
        <f t="shared" si="256"/>
        <v>1469.0166687083909</v>
      </c>
      <c r="AJ416" s="44">
        <f t="shared" si="257"/>
        <v>9917.7913382794995</v>
      </c>
      <c r="AK416" s="44">
        <f t="shared" si="258"/>
        <v>38114.135599266672</v>
      </c>
      <c r="AL416" s="44">
        <f t="shared" si="259"/>
        <v>2302.4017178625586</v>
      </c>
      <c r="AM416" s="14">
        <f t="shared" si="260"/>
        <v>1469.0166687083906</v>
      </c>
      <c r="AN416" s="14">
        <f t="shared" si="261"/>
        <v>5191.7889957414991</v>
      </c>
      <c r="AO416" s="14">
        <f t="shared" si="262"/>
        <v>8483.9203238028149</v>
      </c>
      <c r="AP416" s="14">
        <f t="shared" si="263"/>
        <v>3582.8635171898513</v>
      </c>
      <c r="AQ416" s="14">
        <f t="shared" si="264"/>
        <v>1513.0871687696424</v>
      </c>
      <c r="AR416" s="33">
        <f t="shared" si="265"/>
        <v>0.95</v>
      </c>
      <c r="AS416" s="33">
        <f t="shared" si="266"/>
        <v>0.63884387285335353</v>
      </c>
      <c r="AT416" s="51">
        <f t="shared" si="267"/>
        <v>2.9180845123080252</v>
      </c>
      <c r="AU416" s="51">
        <f>APPLICANTS_PER_YEAR*($H416/Segments!$AH$2)*AS416</f>
        <v>3.833063237120121</v>
      </c>
      <c r="AV416" s="51">
        <f t="shared" si="268"/>
        <v>6.7511477494281458</v>
      </c>
      <c r="AW416" s="14">
        <f t="shared" si="269"/>
        <v>1513.0871687696426</v>
      </c>
      <c r="AX416" s="44">
        <f t="shared" si="270"/>
        <v>10215.075034127778</v>
      </c>
      <c r="AY416" s="44">
        <f t="shared" si="271"/>
        <v>39256.598745398762</v>
      </c>
      <c r="AZ416" s="44">
        <f t="shared" si="272"/>
        <v>2364.4902754076338</v>
      </c>
    </row>
    <row r="417" spans="1:52" ht="15" customHeight="1" x14ac:dyDescent="0.35">
      <c r="A417" s="59" t="str">
        <f>Segments!$A$397</f>
        <v>Greek</v>
      </c>
      <c r="B417" s="59" t="str">
        <f>Segments!$B$397</f>
        <v>Off 6+mi</v>
      </c>
      <c r="C417" s="59" t="str">
        <f>Segments!$C$397</f>
        <v>No</v>
      </c>
      <c r="D417" s="59" t="str">
        <f>Segments!$D$397</f>
        <v>2.0-3.0</v>
      </c>
      <c r="E417" s="59" t="str">
        <f>Segments!$E$397</f>
        <v>Junior</v>
      </c>
      <c r="F417" s="59">
        <f>Segments!$F$397</f>
        <v>2</v>
      </c>
      <c r="G417" s="59" t="str">
        <f>Segments!$G$397</f>
        <v>Base</v>
      </c>
      <c r="H417" s="60">
        <f>Segments!$H$397</f>
        <v>8</v>
      </c>
      <c r="I417" s="26">
        <f>Segments!$Y$397</f>
        <v>5850.124987618412</v>
      </c>
      <c r="J417" s="29">
        <v>2</v>
      </c>
      <c r="K417" s="14">
        <f t="shared" si="234"/>
        <v>1426.2297754450396</v>
      </c>
      <c r="L417" s="14">
        <f t="shared" si="235"/>
        <v>5850.124987618412</v>
      </c>
      <c r="M417" s="14">
        <f t="shared" si="236"/>
        <v>9554.4259702391337</v>
      </c>
      <c r="N417" s="14">
        <f t="shared" si="237"/>
        <v>3691.4505016375902</v>
      </c>
      <c r="O417" s="14">
        <f t="shared" si="238"/>
        <v>1426.2297754450396</v>
      </c>
      <c r="P417" s="33">
        <f t="shared" si="239"/>
        <v>0.95</v>
      </c>
      <c r="Q417" s="33">
        <f t="shared" si="240"/>
        <v>0.65681987001961151</v>
      </c>
      <c r="R417" s="51">
        <f t="shared" si="241"/>
        <v>4.75</v>
      </c>
      <c r="S417" s="51">
        <f>APPLICANTS_PER_YEAR*($H417/Segments!$AH$2)*Q417</f>
        <v>6.3054707521882705</v>
      </c>
      <c r="T417" s="51">
        <f t="shared" si="242"/>
        <v>11.05547075218827</v>
      </c>
      <c r="U417" s="14">
        <f t="shared" si="243"/>
        <v>1426.2297754450396</v>
      </c>
      <c r="V417" s="44">
        <f t="shared" si="244"/>
        <v>15767.641568332681</v>
      </c>
      <c r="W417" s="44">
        <f t="shared" si="245"/>
        <v>72436.991980932464</v>
      </c>
      <c r="X417" s="44">
        <f t="shared" si="246"/>
        <v>3673.5871949872549</v>
      </c>
      <c r="Y417" s="14">
        <f t="shared" si="247"/>
        <v>1426.2297754450396</v>
      </c>
      <c r="Z417" s="14">
        <f t="shared" si="248"/>
        <v>6025.6287372469642</v>
      </c>
      <c r="AA417" s="14">
        <f t="shared" si="249"/>
        <v>9839.8087493463081</v>
      </c>
      <c r="AB417" s="14">
        <f t="shared" si="250"/>
        <v>3801.9525338557801</v>
      </c>
      <c r="AC417" s="14">
        <f t="shared" si="251"/>
        <v>1469.0166687083909</v>
      </c>
      <c r="AD417" s="33">
        <f t="shared" si="252"/>
        <v>0.95</v>
      </c>
      <c r="AE417" s="33">
        <f t="shared" si="253"/>
        <v>0.65680760009139616</v>
      </c>
      <c r="AF417" s="51">
        <f t="shared" si="254"/>
        <v>7.2515900288932178</v>
      </c>
      <c r="AG417" s="51">
        <f>APPLICANTS_PER_YEAR*($H417/Segments!$AH$2)*AE417</f>
        <v>6.3053529608774026</v>
      </c>
      <c r="AH417" s="51">
        <f t="shared" si="255"/>
        <v>13.55694298977062</v>
      </c>
      <c r="AI417" s="14">
        <f t="shared" si="256"/>
        <v>1469.0166687083911</v>
      </c>
      <c r="AJ417" s="44">
        <f t="shared" si="257"/>
        <v>19915.375228702411</v>
      </c>
      <c r="AK417" s="44">
        <f t="shared" si="258"/>
        <v>91491.797900586316</v>
      </c>
      <c r="AL417" s="44">
        <f t="shared" si="259"/>
        <v>4516.9720030987583</v>
      </c>
      <c r="AM417" s="14">
        <f t="shared" si="260"/>
        <v>1469.0166687083909</v>
      </c>
      <c r="AN417" s="14">
        <f t="shared" si="261"/>
        <v>6206.3975993643726</v>
      </c>
      <c r="AO417" s="14">
        <f t="shared" si="262"/>
        <v>10133.753011826697</v>
      </c>
      <c r="AP417" s="14">
        <f t="shared" si="263"/>
        <v>3915.769611925055</v>
      </c>
      <c r="AQ417" s="14">
        <f t="shared" si="264"/>
        <v>1513.0871687696424</v>
      </c>
      <c r="AR417" s="33">
        <f t="shared" si="265"/>
        <v>0.95</v>
      </c>
      <c r="AS417" s="33">
        <f t="shared" si="266"/>
        <v>0.65679568530261601</v>
      </c>
      <c r="AT417" s="51">
        <f t="shared" si="267"/>
        <v>6.4137473536291312</v>
      </c>
      <c r="AU417" s="51">
        <f>APPLICANTS_PER_YEAR*($H417/Segments!$AH$2)*AS417</f>
        <v>6.3052385789051133</v>
      </c>
      <c r="AV417" s="51">
        <f t="shared" si="268"/>
        <v>12.718985932534245</v>
      </c>
      <c r="AW417" s="14">
        <f t="shared" si="269"/>
        <v>1513.0871687696424</v>
      </c>
      <c r="AX417" s="44">
        <f t="shared" si="270"/>
        <v>19244.934414279152</v>
      </c>
      <c r="AY417" s="44">
        <f t="shared" si="271"/>
        <v>88411.773808993341</v>
      </c>
      <c r="AZ417" s="44">
        <f t="shared" si="272"/>
        <v>4383.2164330641153</v>
      </c>
    </row>
    <row r="418" spans="1:52" ht="15" customHeight="1" x14ac:dyDescent="0.35">
      <c r="A418" s="59" t="str">
        <f>Segments!$A$398</f>
        <v>Greek</v>
      </c>
      <c r="B418" s="59" t="str">
        <f>Segments!$B$398</f>
        <v>Off 6+mi</v>
      </c>
      <c r="C418" s="59" t="str">
        <f>Segments!$C$398</f>
        <v>No</v>
      </c>
      <c r="D418" s="59" t="str">
        <f>Segments!$D$398</f>
        <v>2.0-3.0</v>
      </c>
      <c r="E418" s="59" t="str">
        <f>Segments!$E$398</f>
        <v>Senior</v>
      </c>
      <c r="F418" s="59">
        <f>Segments!$F$398</f>
        <v>3</v>
      </c>
      <c r="G418" s="59" t="str">
        <f>Segments!$G$398</f>
        <v>Base</v>
      </c>
      <c r="H418" s="60">
        <f>Segments!$H$398</f>
        <v>2</v>
      </c>
      <c r="I418" s="26">
        <f>Segments!$Y$398</f>
        <v>5468.0384445937725</v>
      </c>
      <c r="J418" s="29">
        <v>3</v>
      </c>
      <c r="K418" s="14">
        <f t="shared" si="234"/>
        <v>1426.2297754450396</v>
      </c>
      <c r="L418" s="14">
        <f t="shared" si="235"/>
        <v>5468.0384445937725</v>
      </c>
      <c r="M418" s="14">
        <f t="shared" si="236"/>
        <v>8933.123463947355</v>
      </c>
      <c r="N418" s="14">
        <f t="shared" si="237"/>
        <v>3569.4098492619828</v>
      </c>
      <c r="O418" s="14">
        <f t="shared" si="238"/>
        <v>1426.2297754450396</v>
      </c>
      <c r="P418" s="33">
        <f t="shared" si="239"/>
        <v>0.95</v>
      </c>
      <c r="Q418" s="33">
        <f t="shared" si="240"/>
        <v>0.65021490446944197</v>
      </c>
      <c r="R418" s="51">
        <f t="shared" si="241"/>
        <v>7.6</v>
      </c>
      <c r="S418" s="51">
        <f>APPLICANTS_PER_YEAR*($H418/Segments!$AH$2)*Q418</f>
        <v>1.5605157707266606</v>
      </c>
      <c r="T418" s="51">
        <f t="shared" si="242"/>
        <v>9.1605157707266596</v>
      </c>
      <c r="U418" s="14">
        <f t="shared" si="243"/>
        <v>1426.2297754450399</v>
      </c>
      <c r="V418" s="44">
        <f t="shared" si="244"/>
        <v>13065.00035064423</v>
      </c>
      <c r="W418" s="44">
        <f t="shared" si="245"/>
        <v>56100.858695437841</v>
      </c>
      <c r="X418" s="44">
        <f t="shared" si="246"/>
        <v>2769.4061679586266</v>
      </c>
      <c r="Y418" s="14">
        <f t="shared" si="247"/>
        <v>1426.2297754450396</v>
      </c>
      <c r="Z418" s="14">
        <f t="shared" si="248"/>
        <v>5632.0795979315862</v>
      </c>
      <c r="AA418" s="14">
        <f t="shared" si="249"/>
        <v>9199.8671678657774</v>
      </c>
      <c r="AB418" s="14">
        <f t="shared" si="250"/>
        <v>3676.2424048881599</v>
      </c>
      <c r="AC418" s="14">
        <f t="shared" si="251"/>
        <v>1469.0166687083909</v>
      </c>
      <c r="AD418" s="33">
        <f t="shared" si="252"/>
        <v>0.95</v>
      </c>
      <c r="AE418" s="33">
        <f t="shared" si="253"/>
        <v>0.65020133237744393</v>
      </c>
      <c r="AF418" s="51">
        <f t="shared" si="254"/>
        <v>10.502697214578857</v>
      </c>
      <c r="AG418" s="51">
        <f>APPLICANTS_PER_YEAR*($H418/Segments!$AH$2)*AE418</f>
        <v>1.5604831977058653</v>
      </c>
      <c r="AH418" s="51">
        <f t="shared" si="255"/>
        <v>12.063180412284723</v>
      </c>
      <c r="AI418" s="14">
        <f t="shared" si="256"/>
        <v>1469.0166687083909</v>
      </c>
      <c r="AJ418" s="44">
        <f t="shared" si="257"/>
        <v>17721.013103282818</v>
      </c>
      <c r="AK418" s="44">
        <f t="shared" si="258"/>
        <v>76093.687360540338</v>
      </c>
      <c r="AL418" s="44">
        <f t="shared" si="259"/>
        <v>3709.7803187122186</v>
      </c>
      <c r="AM418" s="14">
        <f t="shared" si="260"/>
        <v>1469.0166687083911</v>
      </c>
      <c r="AN418" s="14">
        <f t="shared" si="261"/>
        <v>5801.0419858695332</v>
      </c>
      <c r="AO418" s="14">
        <f t="shared" si="262"/>
        <v>9474.6131829017486</v>
      </c>
      <c r="AP418" s="14">
        <f t="shared" si="263"/>
        <v>3786.2799204634011</v>
      </c>
      <c r="AQ418" s="14">
        <f t="shared" si="264"/>
        <v>1513.0871687696424</v>
      </c>
      <c r="AR418" s="33">
        <f t="shared" si="265"/>
        <v>0.95</v>
      </c>
      <c r="AS418" s="33">
        <f t="shared" si="266"/>
        <v>0.65018815294241949</v>
      </c>
      <c r="AT418" s="51">
        <f t="shared" si="267"/>
        <v>12.879095840282089</v>
      </c>
      <c r="AU418" s="51">
        <f>APPLICANTS_PER_YEAR*($H418/Segments!$AH$2)*AS418</f>
        <v>1.5604515670618067</v>
      </c>
      <c r="AV418" s="51">
        <f t="shared" si="268"/>
        <v>14.439547407343895</v>
      </c>
      <c r="AW418" s="14">
        <f t="shared" si="269"/>
        <v>1513.0871687696422</v>
      </c>
      <c r="AX418" s="44">
        <f t="shared" si="270"/>
        <v>21848.293904893002</v>
      </c>
      <c r="AY418" s="44">
        <f t="shared" si="271"/>
        <v>93816.151258990154</v>
      </c>
      <c r="AZ418" s="44">
        <f t="shared" si="272"/>
        <v>4539.7682588744692</v>
      </c>
    </row>
    <row r="419" spans="1:52" ht="15" customHeight="1" x14ac:dyDescent="0.35">
      <c r="A419" s="59" t="str">
        <f>Segments!$A$399</f>
        <v>Greek</v>
      </c>
      <c r="B419" s="59" t="str">
        <f>Segments!$B$399</f>
        <v>Off 6+mi</v>
      </c>
      <c r="C419" s="59" t="str">
        <f>Segments!$C$399</f>
        <v>No</v>
      </c>
      <c r="D419" s="59" t="str">
        <f>Segments!$D$399</f>
        <v>2.0-3.0</v>
      </c>
      <c r="E419" s="59" t="str">
        <f>Segments!$E$399</f>
        <v>Grad student</v>
      </c>
      <c r="F419" s="59">
        <f>Segments!$F$399</f>
        <v>3</v>
      </c>
      <c r="G419" s="59" t="str">
        <f>Segments!$G$399</f>
        <v>Grad</v>
      </c>
      <c r="H419" s="60">
        <f>Segments!$H$399</f>
        <v>6</v>
      </c>
      <c r="I419" s="26">
        <f>Segments!$Y$399</f>
        <v>6510.6863499312985</v>
      </c>
      <c r="J419" s="29">
        <v>4</v>
      </c>
      <c r="K419" s="14">
        <f t="shared" si="234"/>
        <v>1426.2297754450396</v>
      </c>
      <c r="L419" s="14">
        <f t="shared" si="235"/>
        <v>6510.6863499312985</v>
      </c>
      <c r="M419" s="14">
        <f t="shared" si="236"/>
        <v>10628.550242493449</v>
      </c>
      <c r="N419" s="14">
        <f t="shared" si="237"/>
        <v>3893.4245627285186</v>
      </c>
      <c r="O419" s="14">
        <f t="shared" si="238"/>
        <v>1426.2297754450396</v>
      </c>
      <c r="P419" s="33">
        <f t="shared" si="239"/>
        <v>0.95</v>
      </c>
      <c r="Q419" s="33">
        <f t="shared" si="240"/>
        <v>0.66684122133786305</v>
      </c>
      <c r="R419" s="51">
        <f t="shared" si="241"/>
        <v>2.8499999999999996</v>
      </c>
      <c r="S419" s="51">
        <f>APPLICANTS_PER_YEAR*($H419/Segments!$AH$2)*Q419</f>
        <v>4.8012567936326134</v>
      </c>
      <c r="T419" s="51">
        <f t="shared" si="242"/>
        <v>7.651256793632613</v>
      </c>
      <c r="U419" s="14">
        <f t="shared" si="243"/>
        <v>1426.2297754450396</v>
      </c>
      <c r="V419" s="44">
        <f t="shared" si="244"/>
        <v>10912.450258654975</v>
      </c>
      <c r="W419" s="44">
        <f t="shared" si="245"/>
        <v>55792.725146057724</v>
      </c>
      <c r="X419" s="44">
        <f t="shared" si="246"/>
        <v>2575.1789935515399</v>
      </c>
      <c r="Y419" s="14">
        <f t="shared" si="247"/>
        <v>1426.2297754450396</v>
      </c>
      <c r="Z419" s="14">
        <f t="shared" si="248"/>
        <v>6706.0069404292381</v>
      </c>
      <c r="AA419" s="14">
        <f t="shared" si="249"/>
        <v>10946.156749768254</v>
      </c>
      <c r="AB419" s="14">
        <f t="shared" si="250"/>
        <v>4009.9983446012075</v>
      </c>
      <c r="AC419" s="14">
        <f t="shared" si="251"/>
        <v>1469.0166687083909</v>
      </c>
      <c r="AD419" s="33">
        <f t="shared" si="252"/>
        <v>0.95</v>
      </c>
      <c r="AE419" s="33">
        <f t="shared" si="253"/>
        <v>0.6668307636976738</v>
      </c>
      <c r="AF419" s="51">
        <f t="shared" si="254"/>
        <v>3.634346976975491</v>
      </c>
      <c r="AG419" s="51">
        <f>APPLICANTS_PER_YEAR*($H419/Segments!$AH$2)*AE419</f>
        <v>4.8011814986232508</v>
      </c>
      <c r="AH419" s="51">
        <f t="shared" si="255"/>
        <v>8.4355284755987423</v>
      </c>
      <c r="AI419" s="14">
        <f t="shared" si="256"/>
        <v>1469.0166687083911</v>
      </c>
      <c r="AJ419" s="44">
        <f t="shared" si="257"/>
        <v>12391.931940018836</v>
      </c>
      <c r="AK419" s="44">
        <f t="shared" si="258"/>
        <v>63356.958003980079</v>
      </c>
      <c r="AL419" s="44">
        <f t="shared" si="259"/>
        <v>2877.6707914251319</v>
      </c>
      <c r="AM419" s="14">
        <f t="shared" si="260"/>
        <v>1469.0166687083911</v>
      </c>
      <c r="AN419" s="14">
        <f t="shared" si="261"/>
        <v>6907.1871486421142</v>
      </c>
      <c r="AO419" s="14">
        <f t="shared" si="262"/>
        <v>11273.291452261301</v>
      </c>
      <c r="AP419" s="14">
        <f t="shared" si="263"/>
        <v>4130.0693270473157</v>
      </c>
      <c r="AQ419" s="14">
        <f t="shared" si="264"/>
        <v>1513.0871687696424</v>
      </c>
      <c r="AR419" s="33">
        <f t="shared" si="265"/>
        <v>0.95</v>
      </c>
      <c r="AS419" s="33">
        <f t="shared" si="266"/>
        <v>0.66682060893498551</v>
      </c>
      <c r="AT419" s="51">
        <f t="shared" si="267"/>
        <v>4.0068760259094027</v>
      </c>
      <c r="AU419" s="51">
        <f>APPLICANTS_PER_YEAR*($H419/Segments!$AH$2)*AS419</f>
        <v>4.8011083843318954</v>
      </c>
      <c r="AV419" s="51">
        <f t="shared" si="268"/>
        <v>8.8079844102412981</v>
      </c>
      <c r="AW419" s="14">
        <f t="shared" si="269"/>
        <v>1513.0871687696426</v>
      </c>
      <c r="AX419" s="44">
        <f t="shared" si="270"/>
        <v>13327.248193859155</v>
      </c>
      <c r="AY419" s="44">
        <f t="shared" si="271"/>
        <v>68139.004330721844</v>
      </c>
      <c r="AZ419" s="44">
        <f t="shared" si="272"/>
        <v>3069.2946486796764</v>
      </c>
    </row>
    <row r="420" spans="1:52" ht="15" customHeight="1" x14ac:dyDescent="0.35">
      <c r="A420" s="61" t="str">
        <f>Segments!$A$400</f>
        <v>Greek</v>
      </c>
      <c r="B420" s="61" t="str">
        <f>Segments!$B$400</f>
        <v>Off 6+mi</v>
      </c>
      <c r="C420" s="61" t="str">
        <f>Segments!$C$400</f>
        <v>No</v>
      </c>
      <c r="D420" s="61" t="str">
        <f>Segments!$D$400</f>
        <v>3.0+</v>
      </c>
      <c r="E420" s="61" t="str">
        <f>Segments!$E$400</f>
        <v>Freshman</v>
      </c>
      <c r="F420" s="61">
        <f>Segments!$F$400</f>
        <v>1</v>
      </c>
      <c r="G420" s="61" t="str">
        <f>Segments!$G$400</f>
        <v>Base</v>
      </c>
      <c r="H420" s="62">
        <f>Segments!$H$400</f>
        <v>3</v>
      </c>
      <c r="I420" s="63">
        <f>Segments!$Y$400</f>
        <v>4333.7028938134563</v>
      </c>
      <c r="J420" s="42">
        <v>0</v>
      </c>
      <c r="K420" s="40">
        <f t="shared" si="234"/>
        <v>7088.6054259744042</v>
      </c>
      <c r="L420" s="40">
        <f t="shared" si="235"/>
        <v>4333.7028938134563</v>
      </c>
      <c r="M420" s="40">
        <f t="shared" si="236"/>
        <v>7088.6054259744042</v>
      </c>
      <c r="N420" s="40">
        <f t="shared" si="237"/>
        <v>3179.6194937297078</v>
      </c>
      <c r="O420" s="40">
        <f t="shared" si="238"/>
        <v>1426.2297754450396</v>
      </c>
      <c r="P420" s="41">
        <f t="shared" si="239"/>
        <v>0.95</v>
      </c>
      <c r="Q420" s="41">
        <f t="shared" si="240"/>
        <v>0.62572319922908981</v>
      </c>
      <c r="R420" s="64">
        <f t="shared" si="241"/>
        <v>0</v>
      </c>
      <c r="S420" s="64">
        <f>APPLICANTS_PER_YEAR*($H420/Segments!$AH$2)*Q420</f>
        <v>2.2526035172247232</v>
      </c>
      <c r="T420" s="64">
        <f t="shared" si="242"/>
        <v>2.2526035172247232</v>
      </c>
      <c r="U420" s="40">
        <f t="shared" si="243"/>
        <v>1426.2297754450396</v>
      </c>
      <c r="V420" s="65">
        <f t="shared" si="244"/>
        <v>3212.7302085381234</v>
      </c>
      <c r="W420" s="65">
        <f t="shared" si="245"/>
        <v>10933.568106956493</v>
      </c>
      <c r="X420" s="65">
        <f t="shared" si="246"/>
        <v>821.01872498765226</v>
      </c>
      <c r="Y420" s="40">
        <f t="shared" si="247"/>
        <v>7300.0135887536362</v>
      </c>
      <c r="Z420" s="40">
        <f t="shared" si="248"/>
        <v>4463.7139806278601</v>
      </c>
      <c r="AA420" s="40">
        <f t="shared" si="249"/>
        <v>7300.0135887536362</v>
      </c>
      <c r="AB420" s="40">
        <f t="shared" si="250"/>
        <v>3274.7277205405721</v>
      </c>
      <c r="AC420" s="40">
        <f t="shared" si="251"/>
        <v>1469.0166687083909</v>
      </c>
      <c r="AD420" s="41">
        <f t="shared" si="252"/>
        <v>0.95</v>
      </c>
      <c r="AE420" s="41">
        <f t="shared" si="253"/>
        <v>0.62570399830586609</v>
      </c>
      <c r="AF420" s="64">
        <f t="shared" si="254"/>
        <v>0</v>
      </c>
      <c r="AG420" s="64">
        <f>APPLICANTS_PER_YEAR*($H420/Segments!$AH$2)*AE420</f>
        <v>2.2525343939011178</v>
      </c>
      <c r="AH420" s="64">
        <f t="shared" si="255"/>
        <v>2.2525343939011178</v>
      </c>
      <c r="AI420" s="40">
        <f t="shared" si="256"/>
        <v>1469.0166687083909</v>
      </c>
      <c r="AJ420" s="65">
        <f t="shared" si="257"/>
        <v>3309.0105714796941</v>
      </c>
      <c r="AK420" s="65">
        <f t="shared" si="258"/>
        <v>11261.229577809707</v>
      </c>
      <c r="AL420" s="65">
        <f t="shared" si="259"/>
        <v>842.58241573700184</v>
      </c>
      <c r="AM420" s="40">
        <f t="shared" si="260"/>
        <v>7517.7639964162445</v>
      </c>
      <c r="AN420" s="40">
        <f t="shared" si="261"/>
        <v>4597.6254000466952</v>
      </c>
      <c r="AO420" s="40">
        <f t="shared" si="262"/>
        <v>7517.7639964162445</v>
      </c>
      <c r="AP420" s="40">
        <f t="shared" si="263"/>
        <v>3372.6891705011612</v>
      </c>
      <c r="AQ420" s="40">
        <f t="shared" si="264"/>
        <v>1513.0871687696424</v>
      </c>
      <c r="AR420" s="41">
        <f t="shared" si="265"/>
        <v>0.95</v>
      </c>
      <c r="AS420" s="41">
        <f t="shared" si="266"/>
        <v>0.6256853519138843</v>
      </c>
      <c r="AT420" s="64">
        <f t="shared" si="267"/>
        <v>0</v>
      </c>
      <c r="AU420" s="64">
        <f>APPLICANTS_PER_YEAR*($H420/Segments!$AH$2)*AS420</f>
        <v>2.2524672668899832</v>
      </c>
      <c r="AV420" s="64">
        <f t="shared" si="268"/>
        <v>2.2524672668899832</v>
      </c>
      <c r="AW420" s="40">
        <f t="shared" si="269"/>
        <v>1513.0871687696424</v>
      </c>
      <c r="AX420" s="65">
        <f t="shared" si="270"/>
        <v>3408.1793196048593</v>
      </c>
      <c r="AY420" s="65">
        <f t="shared" si="271"/>
        <v>11598.720805310402</v>
      </c>
      <c r="AZ420" s="65">
        <f t="shared" si="272"/>
        <v>864.79319460153772</v>
      </c>
    </row>
    <row r="421" spans="1:52" ht="15" customHeight="1" x14ac:dyDescent="0.35">
      <c r="A421" s="61" t="str">
        <f>Segments!$A$401</f>
        <v>Greek</v>
      </c>
      <c r="B421" s="61" t="str">
        <f>Segments!$B$401</f>
        <v>Off 6+mi</v>
      </c>
      <c r="C421" s="61" t="str">
        <f>Segments!$C$401</f>
        <v>No</v>
      </c>
      <c r="D421" s="61" t="str">
        <f>Segments!$D$401</f>
        <v>3.0+</v>
      </c>
      <c r="E421" s="61" t="str">
        <f>Segments!$E$401</f>
        <v>Sophomore</v>
      </c>
      <c r="F421" s="61">
        <f>Segments!$F$401</f>
        <v>1</v>
      </c>
      <c r="G421" s="61" t="str">
        <f>Segments!$G$401</f>
        <v>Sophomore</v>
      </c>
      <c r="H421" s="62">
        <f>Segments!$H$401</f>
        <v>1</v>
      </c>
      <c r="I421" s="63">
        <f>Segments!$Y$401</f>
        <v>4289.612852881115</v>
      </c>
      <c r="J421" s="42">
        <v>1</v>
      </c>
      <c r="K421" s="40">
        <f t="shared" si="234"/>
        <v>1426.2297754450396</v>
      </c>
      <c r="L421" s="40">
        <f t="shared" si="235"/>
        <v>4289.612852881115</v>
      </c>
      <c r="M421" s="40">
        <f t="shared" si="236"/>
        <v>7016.9115821741943</v>
      </c>
      <c r="N421" s="40">
        <f t="shared" si="237"/>
        <v>3163.4993646533262</v>
      </c>
      <c r="O421" s="40">
        <f t="shared" si="238"/>
        <v>1426.2297754450396</v>
      </c>
      <c r="P421" s="41">
        <f t="shared" si="239"/>
        <v>0.95</v>
      </c>
      <c r="Q421" s="41">
        <f t="shared" si="240"/>
        <v>0.62458036006254514</v>
      </c>
      <c r="R421" s="64">
        <f t="shared" si="241"/>
        <v>2.8499999999999996</v>
      </c>
      <c r="S421" s="64">
        <f>APPLICANTS_PER_YEAR*($H421/Segments!$AH$2)*Q421</f>
        <v>0.74949643207505412</v>
      </c>
      <c r="T421" s="64">
        <f t="shared" si="242"/>
        <v>3.5994964320750538</v>
      </c>
      <c r="U421" s="40">
        <f t="shared" si="243"/>
        <v>1426.2297754450396</v>
      </c>
      <c r="V421" s="65">
        <f t="shared" si="244"/>
        <v>5133.7089880336252</v>
      </c>
      <c r="W421" s="65">
        <f t="shared" si="245"/>
        <v>17293.29969800033</v>
      </c>
      <c r="X421" s="65">
        <f t="shared" si="246"/>
        <v>1098.411732662267</v>
      </c>
      <c r="Y421" s="40">
        <f t="shared" si="247"/>
        <v>1426.2297754450396</v>
      </c>
      <c r="Z421" s="40">
        <f t="shared" si="248"/>
        <v>4418.3012384675485</v>
      </c>
      <c r="AA421" s="40">
        <f t="shared" si="249"/>
        <v>7226.1689296394197</v>
      </c>
      <c r="AB421" s="40">
        <f t="shared" si="250"/>
        <v>3258.1225588585485</v>
      </c>
      <c r="AC421" s="40">
        <f t="shared" si="251"/>
        <v>1469.0166687083909</v>
      </c>
      <c r="AD421" s="41">
        <f t="shared" si="252"/>
        <v>0.95</v>
      </c>
      <c r="AE421" s="41">
        <f t="shared" si="253"/>
        <v>0.62456086409115219</v>
      </c>
      <c r="AF421" s="64">
        <f t="shared" si="254"/>
        <v>2.1399733413634867</v>
      </c>
      <c r="AG421" s="64">
        <f>APPLICANTS_PER_YEAR*($H421/Segments!$AH$2)*AE421</f>
        <v>0.74947303690938261</v>
      </c>
      <c r="AH421" s="64">
        <f t="shared" si="255"/>
        <v>2.8894463782728694</v>
      </c>
      <c r="AI421" s="40">
        <f t="shared" si="256"/>
        <v>1469.0166687083909</v>
      </c>
      <c r="AJ421" s="65">
        <f t="shared" si="257"/>
        <v>4244.6448930219358</v>
      </c>
      <c r="AK421" s="65">
        <f t="shared" si="258"/>
        <v>14298.417853001623</v>
      </c>
      <c r="AL421" s="65">
        <f t="shared" si="259"/>
        <v>917.29823170819611</v>
      </c>
      <c r="AM421" s="40">
        <f t="shared" si="260"/>
        <v>1469.0166687083909</v>
      </c>
      <c r="AN421" s="40">
        <f t="shared" si="261"/>
        <v>4550.8502756215748</v>
      </c>
      <c r="AO421" s="40">
        <f t="shared" si="262"/>
        <v>7441.7039975286025</v>
      </c>
      <c r="AP421" s="40">
        <f t="shared" si="263"/>
        <v>3355.5844248718117</v>
      </c>
      <c r="AQ421" s="40">
        <f t="shared" si="264"/>
        <v>1513.0871687696424</v>
      </c>
      <c r="AR421" s="41">
        <f t="shared" si="265"/>
        <v>0.95</v>
      </c>
      <c r="AS421" s="41">
        <f t="shared" si="266"/>
        <v>0.62454193112315382</v>
      </c>
      <c r="AT421" s="64">
        <f t="shared" si="267"/>
        <v>2.1399076742060616</v>
      </c>
      <c r="AU421" s="64">
        <f>APPLICANTS_PER_YEAR*($H421/Segments!$AH$2)*AS421</f>
        <v>0.74945031734778456</v>
      </c>
      <c r="AV421" s="64">
        <f t="shared" si="268"/>
        <v>2.8893579915538461</v>
      </c>
      <c r="AW421" s="40">
        <f t="shared" si="269"/>
        <v>1513.0871687696426</v>
      </c>
      <c r="AX421" s="65">
        <f t="shared" si="270"/>
        <v>4371.8505030021497</v>
      </c>
      <c r="AY421" s="65">
        <f t="shared" si="271"/>
        <v>14726.919885700088</v>
      </c>
      <c r="AZ421" s="65">
        <f t="shared" si="272"/>
        <v>942.49259089050213</v>
      </c>
    </row>
    <row r="422" spans="1:52" ht="15" customHeight="1" x14ac:dyDescent="0.35">
      <c r="A422" s="61" t="str">
        <f>Segments!$A$402</f>
        <v>Greek</v>
      </c>
      <c r="B422" s="61" t="str">
        <f>Segments!$B$402</f>
        <v>Off 6+mi</v>
      </c>
      <c r="C422" s="61" t="str">
        <f>Segments!$C$402</f>
        <v>No</v>
      </c>
      <c r="D422" s="61" t="str">
        <f>Segments!$D$402</f>
        <v>3.0+</v>
      </c>
      <c r="E422" s="61" t="str">
        <f>Segments!$E$402</f>
        <v>Junior</v>
      </c>
      <c r="F422" s="61">
        <f>Segments!$F$402</f>
        <v>2</v>
      </c>
      <c r="G422" s="61" t="str">
        <f>Segments!$G$402</f>
        <v>Base</v>
      </c>
      <c r="H422" s="62">
        <f>Segments!$H$402</f>
        <v>1</v>
      </c>
      <c r="I422" s="63">
        <f>Segments!$Y$402</f>
        <v>5127.9131209225052</v>
      </c>
      <c r="J422" s="42">
        <v>2</v>
      </c>
      <c r="K422" s="40">
        <f t="shared" si="234"/>
        <v>1426.2297754450396</v>
      </c>
      <c r="L422" s="40">
        <f t="shared" si="235"/>
        <v>5127.9131209225052</v>
      </c>
      <c r="M422" s="40">
        <f t="shared" si="236"/>
        <v>8380.0531716061942</v>
      </c>
      <c r="N422" s="40">
        <f t="shared" si="237"/>
        <v>3457.1493102204008</v>
      </c>
      <c r="O422" s="40">
        <f t="shared" si="238"/>
        <v>1426.2297754450396</v>
      </c>
      <c r="P422" s="41">
        <f t="shared" si="239"/>
        <v>0.95</v>
      </c>
      <c r="Q422" s="41">
        <f t="shared" si="240"/>
        <v>0.64372748361942822</v>
      </c>
      <c r="R422" s="64">
        <f t="shared" si="241"/>
        <v>0.95</v>
      </c>
      <c r="S422" s="64">
        <f>APPLICANTS_PER_YEAR*($H422/Segments!$AH$2)*Q422</f>
        <v>0.7724729803433138</v>
      </c>
      <c r="T422" s="64">
        <f t="shared" si="242"/>
        <v>1.7224729803433139</v>
      </c>
      <c r="U422" s="40">
        <f t="shared" si="243"/>
        <v>1426.2297754450394</v>
      </c>
      <c r="V422" s="65">
        <f t="shared" si="244"/>
        <v>2456.6422519651924</v>
      </c>
      <c r="W422" s="65">
        <f t="shared" si="245"/>
        <v>9892.6148118974106</v>
      </c>
      <c r="X422" s="65">
        <f t="shared" si="246"/>
        <v>556.62700852210469</v>
      </c>
      <c r="Y422" s="40">
        <f t="shared" si="247"/>
        <v>1426.2297754450396</v>
      </c>
      <c r="Z422" s="40">
        <f t="shared" si="248"/>
        <v>5281.7505145501809</v>
      </c>
      <c r="AA422" s="40">
        <f t="shared" si="249"/>
        <v>8630.2047667543811</v>
      </c>
      <c r="AB422" s="40">
        <f t="shared" si="250"/>
        <v>3560.6059395457951</v>
      </c>
      <c r="AC422" s="40">
        <f t="shared" si="251"/>
        <v>1469.0166687083909</v>
      </c>
      <c r="AD422" s="41">
        <f t="shared" si="252"/>
        <v>0.95</v>
      </c>
      <c r="AE422" s="41">
        <f t="shared" si="253"/>
        <v>0.64371254589102544</v>
      </c>
      <c r="AF422" s="64">
        <f t="shared" si="254"/>
        <v>3.4195216104713011</v>
      </c>
      <c r="AG422" s="64">
        <f>APPLICANTS_PER_YEAR*($H422/Segments!$AH$2)*AE422</f>
        <v>0.77245505506923051</v>
      </c>
      <c r="AH422" s="64">
        <f t="shared" si="255"/>
        <v>4.1919766655405315</v>
      </c>
      <c r="AI422" s="40">
        <f t="shared" si="256"/>
        <v>1469.0166687083909</v>
      </c>
      <c r="AJ422" s="65">
        <f t="shared" si="257"/>
        <v>6158.0835965156602</v>
      </c>
      <c r="AK422" s="65">
        <f t="shared" si="258"/>
        <v>24797.891899425184</v>
      </c>
      <c r="AL422" s="65">
        <f t="shared" si="259"/>
        <v>1306.7449367393676</v>
      </c>
      <c r="AM422" s="40">
        <f t="shared" si="260"/>
        <v>1469.0166687083909</v>
      </c>
      <c r="AN422" s="40">
        <f t="shared" si="261"/>
        <v>5440.2030299866856</v>
      </c>
      <c r="AO422" s="40">
        <f t="shared" si="262"/>
        <v>8887.8609097570115</v>
      </c>
      <c r="AP422" s="40">
        <f t="shared" si="263"/>
        <v>3667.1662493487552</v>
      </c>
      <c r="AQ422" s="40">
        <f t="shared" si="264"/>
        <v>1513.0871687696424</v>
      </c>
      <c r="AR422" s="41">
        <f t="shared" si="265"/>
        <v>0.95</v>
      </c>
      <c r="AS422" s="41">
        <f t="shared" si="266"/>
        <v>0.64369804013680199</v>
      </c>
      <c r="AT422" s="64">
        <f t="shared" si="267"/>
        <v>2.744974059359226</v>
      </c>
      <c r="AU422" s="64">
        <f>APPLICANTS_PER_YEAR*($H422/Segments!$AH$2)*AS422</f>
        <v>0.77243764816416238</v>
      </c>
      <c r="AV422" s="64">
        <f t="shared" si="268"/>
        <v>3.5174117075233884</v>
      </c>
      <c r="AW422" s="40">
        <f t="shared" si="269"/>
        <v>1513.0871687696424</v>
      </c>
      <c r="AX422" s="65">
        <f t="shared" si="270"/>
        <v>5322.1505219337569</v>
      </c>
      <c r="AY422" s="65">
        <f t="shared" si="271"/>
        <v>21431.685888456905</v>
      </c>
      <c r="AZ422" s="65">
        <f t="shared" si="272"/>
        <v>1136.4524162939647</v>
      </c>
    </row>
    <row r="423" spans="1:52" ht="15" customHeight="1" x14ac:dyDescent="0.35">
      <c r="A423" s="61" t="str">
        <f>Segments!$A$403</f>
        <v>Greek</v>
      </c>
      <c r="B423" s="61" t="str">
        <f>Segments!$B$403</f>
        <v>Off 6+mi</v>
      </c>
      <c r="C423" s="61" t="str">
        <f>Segments!$C$403</f>
        <v>No</v>
      </c>
      <c r="D423" s="61" t="str">
        <f>Segments!$D$403</f>
        <v>3.0+</v>
      </c>
      <c r="E423" s="61" t="str">
        <f>Segments!$E$403</f>
        <v>Senior</v>
      </c>
      <c r="F423" s="61">
        <f>Segments!$F$403</f>
        <v>3</v>
      </c>
      <c r="G423" s="61" t="str">
        <f>Segments!$G$403</f>
        <v>Base</v>
      </c>
      <c r="H423" s="62">
        <f>Segments!$H$403</f>
        <v>1</v>
      </c>
      <c r="I423" s="63">
        <f>Segments!$Y$403</f>
        <v>4792.9960718935063</v>
      </c>
      <c r="J423" s="42">
        <v>3</v>
      </c>
      <c r="K423" s="40">
        <f t="shared" si="234"/>
        <v>1426.2297754450396</v>
      </c>
      <c r="L423" s="40">
        <f t="shared" si="235"/>
        <v>4792.9960718935063</v>
      </c>
      <c r="M423" s="40">
        <f t="shared" si="236"/>
        <v>7835.451939868638</v>
      </c>
      <c r="N423" s="40">
        <f t="shared" si="237"/>
        <v>3342.9260926184484</v>
      </c>
      <c r="O423" s="40">
        <f t="shared" si="238"/>
        <v>1426.2297754450396</v>
      </c>
      <c r="P423" s="41">
        <f t="shared" si="239"/>
        <v>0.95</v>
      </c>
      <c r="Q423" s="41">
        <f t="shared" si="240"/>
        <v>0.63667943353663825</v>
      </c>
      <c r="R423" s="64">
        <f t="shared" si="241"/>
        <v>0.95</v>
      </c>
      <c r="S423" s="64">
        <f>APPLICANTS_PER_YEAR*($H423/Segments!$AH$2)*Q423</f>
        <v>0.7640153202439659</v>
      </c>
      <c r="T423" s="64">
        <f t="shared" si="242"/>
        <v>1.7140153202439659</v>
      </c>
      <c r="U423" s="40">
        <f t="shared" si="243"/>
        <v>1426.2297754450396</v>
      </c>
      <c r="V423" s="65">
        <f t="shared" si="244"/>
        <v>2444.5796853009092</v>
      </c>
      <c r="W423" s="65">
        <f t="shared" si="245"/>
        <v>9201.1009407459733</v>
      </c>
      <c r="X423" s="65">
        <f t="shared" si="246"/>
        <v>553.54439888483455</v>
      </c>
      <c r="Y423" s="40">
        <f t="shared" si="247"/>
        <v>1426.2297754450394</v>
      </c>
      <c r="Z423" s="40">
        <f t="shared" si="248"/>
        <v>4936.7859540503114</v>
      </c>
      <c r="AA423" s="40">
        <f t="shared" si="249"/>
        <v>8069.2654980646976</v>
      </c>
      <c r="AB423" s="40">
        <f t="shared" si="250"/>
        <v>3442.9472143630887</v>
      </c>
      <c r="AC423" s="40">
        <f t="shared" si="251"/>
        <v>1469.0166687083909</v>
      </c>
      <c r="AD423" s="41">
        <f t="shared" si="252"/>
        <v>0.95</v>
      </c>
      <c r="AE423" s="41">
        <f t="shared" si="253"/>
        <v>0.63666291156308874</v>
      </c>
      <c r="AF423" s="64">
        <f t="shared" si="254"/>
        <v>1.6363493313261481</v>
      </c>
      <c r="AG423" s="64">
        <f>APPLICANTS_PER_YEAR*($H423/Segments!$AH$2)*AE423</f>
        <v>0.76399549387570642</v>
      </c>
      <c r="AH423" s="64">
        <f t="shared" si="255"/>
        <v>2.4003448252018544</v>
      </c>
      <c r="AI423" s="40">
        <f t="shared" si="256"/>
        <v>1469.0166687083909</v>
      </c>
      <c r="AJ423" s="65">
        <f t="shared" si="257"/>
        <v>3526.1465588694527</v>
      </c>
      <c r="AK423" s="65">
        <f t="shared" si="258"/>
        <v>13271.98725208593</v>
      </c>
      <c r="AL423" s="65">
        <f t="shared" si="259"/>
        <v>772.82975751350921</v>
      </c>
      <c r="AM423" s="40">
        <f t="shared" si="260"/>
        <v>1469.0166687083909</v>
      </c>
      <c r="AN423" s="40">
        <f t="shared" si="261"/>
        <v>5084.8895326718202</v>
      </c>
      <c r="AO423" s="40">
        <f t="shared" si="262"/>
        <v>8310.0934630066367</v>
      </c>
      <c r="AP423" s="40">
        <f t="shared" si="263"/>
        <v>3545.9689494060472</v>
      </c>
      <c r="AQ423" s="40">
        <f t="shared" si="264"/>
        <v>1513.0871687696424</v>
      </c>
      <c r="AR423" s="41">
        <f t="shared" si="265"/>
        <v>0.95</v>
      </c>
      <c r="AS423" s="41">
        <f t="shared" si="266"/>
        <v>0.63664686713865815</v>
      </c>
      <c r="AT423" s="64">
        <f t="shared" si="267"/>
        <v>3.9823778322635048</v>
      </c>
      <c r="AU423" s="64">
        <f>APPLICANTS_PER_YEAR*($H423/Segments!$AH$2)*AS423</f>
        <v>0.7639762405663898</v>
      </c>
      <c r="AV423" s="64">
        <f t="shared" si="268"/>
        <v>4.7463540728298943</v>
      </c>
      <c r="AW423" s="40">
        <f t="shared" si="269"/>
        <v>1513.0871687696424</v>
      </c>
      <c r="AX423" s="65">
        <f t="shared" si="270"/>
        <v>7181.6474460364461</v>
      </c>
      <c r="AY423" s="65">
        <f t="shared" si="271"/>
        <v>27030.848480481432</v>
      </c>
      <c r="AZ423" s="65">
        <f t="shared" si="272"/>
        <v>1511.8165474112516</v>
      </c>
    </row>
    <row r="424" spans="1:52" ht="15" customHeight="1" x14ac:dyDescent="0.35">
      <c r="A424" s="61" t="str">
        <f>Segments!$A$404</f>
        <v>Greek</v>
      </c>
      <c r="B424" s="61" t="str">
        <f>Segments!$B$404</f>
        <v>Off 6+mi</v>
      </c>
      <c r="C424" s="61" t="str">
        <f>Segments!$C$404</f>
        <v>No</v>
      </c>
      <c r="D424" s="61" t="str">
        <f>Segments!$D$404</f>
        <v>3.0+</v>
      </c>
      <c r="E424" s="61" t="str">
        <f>Segments!$E$404</f>
        <v>Grad student</v>
      </c>
      <c r="F424" s="61">
        <f>Segments!$F$404</f>
        <v>3</v>
      </c>
      <c r="G424" s="61" t="str">
        <f>Segments!$G$404</f>
        <v>Grad</v>
      </c>
      <c r="H424" s="62">
        <f>Segments!$H$404</f>
        <v>0</v>
      </c>
      <c r="I424" s="63">
        <f>Segments!$Y$404</f>
        <v>5706.926609377505</v>
      </c>
      <c r="J424" s="42">
        <v>4</v>
      </c>
      <c r="K424" s="40">
        <f t="shared" si="234"/>
        <v>1426.2297754450396</v>
      </c>
      <c r="L424" s="40">
        <f t="shared" si="235"/>
        <v>5706.926609377505</v>
      </c>
      <c r="M424" s="40">
        <f t="shared" si="236"/>
        <v>9321.5742435237644</v>
      </c>
      <c r="N424" s="40">
        <f t="shared" si="237"/>
        <v>3646.1907163689566</v>
      </c>
      <c r="O424" s="40">
        <f t="shared" si="238"/>
        <v>1426.2297754450396</v>
      </c>
      <c r="P424" s="41">
        <f t="shared" si="239"/>
        <v>0.95</v>
      </c>
      <c r="Q424" s="41">
        <f t="shared" si="240"/>
        <v>0.65442194520404229</v>
      </c>
      <c r="R424" s="64">
        <f t="shared" si="241"/>
        <v>0</v>
      </c>
      <c r="S424" s="64">
        <f>APPLICANTS_PER_YEAR*($H424/Segments!$AH$2)*Q424</f>
        <v>0</v>
      </c>
      <c r="T424" s="64">
        <f t="shared" si="242"/>
        <v>0</v>
      </c>
      <c r="U424" s="40">
        <f t="shared" si="243"/>
        <v>9321.5742435237644</v>
      </c>
      <c r="V424" s="65">
        <f t="shared" si="244"/>
        <v>0</v>
      </c>
      <c r="W424" s="65">
        <f t="shared" si="245"/>
        <v>0</v>
      </c>
      <c r="X424" s="65">
        <f t="shared" si="246"/>
        <v>0</v>
      </c>
      <c r="Y424" s="40">
        <f t="shared" si="247"/>
        <v>9321.5742435237644</v>
      </c>
      <c r="Z424" s="40">
        <f t="shared" si="248"/>
        <v>5878.1344076588302</v>
      </c>
      <c r="AA424" s="40">
        <f t="shared" si="249"/>
        <v>9599.9714708294778</v>
      </c>
      <c r="AB424" s="40">
        <f t="shared" si="250"/>
        <v>3755.3319573339331</v>
      </c>
      <c r="AC424" s="40">
        <f t="shared" si="251"/>
        <v>1469.0166687083909</v>
      </c>
      <c r="AD424" s="41">
        <f t="shared" si="252"/>
        <v>0.95</v>
      </c>
      <c r="AE424" s="41">
        <f t="shared" si="253"/>
        <v>0.65440921263438623</v>
      </c>
      <c r="AF424" s="64">
        <f t="shared" si="254"/>
        <v>0</v>
      </c>
      <c r="AG424" s="64">
        <f>APPLICANTS_PER_YEAR*($H424/Segments!$AH$2)*AE424</f>
        <v>0</v>
      </c>
      <c r="AH424" s="64">
        <f t="shared" si="255"/>
        <v>0</v>
      </c>
      <c r="AI424" s="40">
        <f t="shared" si="256"/>
        <v>9599.9714708294778</v>
      </c>
      <c r="AJ424" s="65">
        <f t="shared" si="257"/>
        <v>0</v>
      </c>
      <c r="AK424" s="65">
        <f t="shared" si="258"/>
        <v>0</v>
      </c>
      <c r="AL424" s="65">
        <f t="shared" si="259"/>
        <v>0</v>
      </c>
      <c r="AM424" s="40">
        <f t="shared" si="260"/>
        <v>9599.9714708294778</v>
      </c>
      <c r="AN424" s="40">
        <f t="shared" si="261"/>
        <v>6054.4784398885949</v>
      </c>
      <c r="AO424" s="40">
        <f t="shared" si="262"/>
        <v>9886.7206149543617</v>
      </c>
      <c r="AP424" s="40">
        <f t="shared" si="263"/>
        <v>3867.7474198424275</v>
      </c>
      <c r="AQ424" s="40">
        <f t="shared" si="264"/>
        <v>1513.0871687696424</v>
      </c>
      <c r="AR424" s="41">
        <f t="shared" si="265"/>
        <v>0.95</v>
      </c>
      <c r="AS424" s="41">
        <f t="shared" si="266"/>
        <v>0.65439684853680469</v>
      </c>
      <c r="AT424" s="64">
        <f t="shared" si="267"/>
        <v>0</v>
      </c>
      <c r="AU424" s="64">
        <f>APPLICANTS_PER_YEAR*($H424/Segments!$AH$2)*AS424</f>
        <v>0</v>
      </c>
      <c r="AV424" s="64">
        <f t="shared" si="268"/>
        <v>0</v>
      </c>
      <c r="AW424" s="40">
        <f t="shared" si="269"/>
        <v>9886.7206149543617</v>
      </c>
      <c r="AX424" s="65">
        <f t="shared" si="270"/>
        <v>0</v>
      </c>
      <c r="AY424" s="65">
        <f t="shared" si="271"/>
        <v>0</v>
      </c>
      <c r="AZ424" s="65">
        <f t="shared" si="27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Z424"/>
  <sheetViews>
    <sheetView showGridLines="0" zoomScaleNormal="100" workbookViewId="0">
      <pane ySplit="24" topLeftCell="A25" activePane="bottomLeft" state="frozen"/>
      <selection pane="bottomLeft" activeCell="B22" sqref="B22"/>
    </sheetView>
  </sheetViews>
  <sheetFormatPr defaultColWidth="8.6328125" defaultRowHeight="14.5" x14ac:dyDescent="0.35"/>
  <cols>
    <col min="1" max="1" width="12" customWidth="1"/>
    <col min="2" max="2" width="26.81640625" customWidth="1"/>
    <col min="3" max="52" width="12" customWidth="1"/>
  </cols>
  <sheetData>
    <row r="2" spans="2:6" ht="17.25" customHeight="1" x14ac:dyDescent="0.4">
      <c r="B2" s="1" t="s">
        <v>283</v>
      </c>
    </row>
    <row r="3" spans="2:6" ht="15" customHeight="1" x14ac:dyDescent="0.35">
      <c r="B3" s="2" t="s">
        <v>248</v>
      </c>
    </row>
    <row r="6" spans="2:6" ht="15" customHeight="1" x14ac:dyDescent="0.35">
      <c r="B6" s="6" t="s">
        <v>249</v>
      </c>
      <c r="C6" s="7"/>
      <c r="D6" s="7"/>
      <c r="E6" s="7"/>
      <c r="F6" s="7"/>
    </row>
    <row r="7" spans="2:6" ht="19.5" customHeight="1" x14ac:dyDescent="0.35">
      <c r="B7" s="17" t="s">
        <v>250</v>
      </c>
      <c r="C7" s="17" t="s">
        <v>251</v>
      </c>
      <c r="D7" s="17" t="s">
        <v>252</v>
      </c>
      <c r="E7" s="17" t="s">
        <v>253</v>
      </c>
      <c r="F7" s="17" t="s">
        <v>254</v>
      </c>
    </row>
    <row r="8" spans="2:6" ht="15" customHeight="1" x14ac:dyDescent="0.35">
      <c r="B8" s="3" t="s">
        <v>255</v>
      </c>
      <c r="C8" s="51">
        <f>SUM(T$25:T$424)</f>
        <v>10672.8484374367</v>
      </c>
      <c r="D8" s="51">
        <f>SUM(AH$25:AH$424)</f>
        <v>11361.870680313192</v>
      </c>
      <c r="E8" s="51">
        <f>SUM(AV$25:AV$424)</f>
        <v>11322.32791894957</v>
      </c>
      <c r="F8" s="52">
        <f>SUM(C8:E8)</f>
        <v>33357.047036699456</v>
      </c>
    </row>
    <row r="9" spans="2:6" ht="15" customHeight="1" x14ac:dyDescent="0.35">
      <c r="B9" s="3" t="s">
        <v>256</v>
      </c>
      <c r="C9" s="51">
        <f>SUM(S$25:S$424)</f>
        <v>4803.1177963111895</v>
      </c>
      <c r="D9" s="51">
        <f>SUM(AG$25:AG$424)</f>
        <v>4806.1718631517388</v>
      </c>
      <c r="E9" s="51">
        <f>SUM(AU$25:AU$424)</f>
        <v>4809.1394321510325</v>
      </c>
      <c r="F9" s="52">
        <f>SUM(C9:E9)</f>
        <v>14418.42909161396</v>
      </c>
    </row>
    <row r="10" spans="2:6" ht="15" customHeight="1" x14ac:dyDescent="0.35">
      <c r="B10" s="23" t="s">
        <v>257</v>
      </c>
      <c r="C10" s="44">
        <f>IFERROR(C11/C8,0)</f>
        <v>1122.2047354098845</v>
      </c>
      <c r="D10" s="44">
        <f>IFERROR(D11/D8,0)</f>
        <v>1008.5076141004258</v>
      </c>
      <c r="E10" s="44">
        <f>IFERROR(E11/E8,0)</f>
        <v>976.68324308586614</v>
      </c>
    </row>
    <row r="11" spans="2:6" ht="15" customHeight="1" x14ac:dyDescent="0.35">
      <c r="B11" s="3" t="s">
        <v>258</v>
      </c>
      <c r="C11" s="44">
        <f>SUM(V$25:V$424)</f>
        <v>11977121.056803452</v>
      </c>
      <c r="D11" s="44">
        <f>SUM(AJ$25:AJ$424)</f>
        <v>11458533.091520239</v>
      </c>
      <c r="E11" s="44">
        <f>SUM(AX$25:AX$424)</f>
        <v>11058327.951161312</v>
      </c>
      <c r="F11" s="53">
        <f>SUM(C11:E11)</f>
        <v>34493982.099485002</v>
      </c>
    </row>
    <row r="12" spans="2:6" ht="15" customHeight="1" x14ac:dyDescent="0.35">
      <c r="B12" s="3" t="s">
        <v>259</v>
      </c>
      <c r="C12" s="44">
        <f>SUM(W$25:W$424)</f>
        <v>8862498.9349047709</v>
      </c>
      <c r="D12" s="44">
        <f>SUM(AK$25:AK$424)</f>
        <v>8463635.9328117613</v>
      </c>
      <c r="E12" s="44">
        <f>SUM(AY$25:AY$424)</f>
        <v>7599858.3734107744</v>
      </c>
      <c r="F12" s="53">
        <f>SUM(C12:E12)</f>
        <v>24925993.241127305</v>
      </c>
    </row>
    <row r="13" spans="2:6" ht="15" customHeight="1" x14ac:dyDescent="0.35">
      <c r="B13" s="3" t="s">
        <v>260</v>
      </c>
      <c r="C13" s="44">
        <f>SUM(X$25:X$424)</f>
        <v>2750111.9428145727</v>
      </c>
      <c r="D13" s="44">
        <f>SUM(AL$25:AL$424)</f>
        <v>2670435.6748718196</v>
      </c>
      <c r="E13" s="44">
        <f>SUM(AZ$25:AZ$424)</f>
        <v>2598694.5025522481</v>
      </c>
      <c r="F13" s="53">
        <f>SUM(C13:E13)</f>
        <v>8019242.1202386413</v>
      </c>
    </row>
    <row r="14" spans="2:6" ht="15" customHeight="1" x14ac:dyDescent="0.35">
      <c r="B14" s="3" t="s">
        <v>261</v>
      </c>
      <c r="C14" s="54">
        <f>C11-C12-C13</f>
        <v>364510.17908410821</v>
      </c>
      <c r="D14" s="54">
        <f>D11-D12-D13</f>
        <v>324461.48383665783</v>
      </c>
      <c r="E14" s="54">
        <f>E11-E12-E13</f>
        <v>859775.07519828947</v>
      </c>
      <c r="F14" s="55">
        <f>SUM(C14:E14)</f>
        <v>1548746.7381190555</v>
      </c>
    </row>
    <row r="15" spans="2:6" ht="15" customHeight="1" x14ac:dyDescent="0.35">
      <c r="B15" s="23" t="s">
        <v>262</v>
      </c>
      <c r="C15" s="33">
        <f>IFERROR(C12/C11,0)</f>
        <v>0.7399523552340268</v>
      </c>
      <c r="D15" s="33">
        <f>IFERROR(D12/D11,0)</f>
        <v>0.73863171360696966</v>
      </c>
      <c r="E15" s="33">
        <f>IFERROR(E12/E11,0)</f>
        <v>0.68725203366867593</v>
      </c>
    </row>
    <row r="16" spans="2:6" ht="15" customHeight="1" x14ac:dyDescent="0.35">
      <c r="B16" s="23" t="s">
        <v>263</v>
      </c>
      <c r="C16" s="33">
        <f>IFERROR(C13/C11,0)</f>
        <v>0.22961377193832458</v>
      </c>
      <c r="D16" s="33">
        <f>IFERROR(D13/D11,0)</f>
        <v>0.23305214145151321</v>
      </c>
      <c r="E16" s="33">
        <f>IFERROR(E13/E11,0)</f>
        <v>0.23499886366449649</v>
      </c>
    </row>
    <row r="17" spans="1:52" ht="15" customHeight="1" x14ac:dyDescent="0.35">
      <c r="B17" s="82" t="s">
        <v>345</v>
      </c>
      <c r="C17" s="56">
        <f>IFERROR((C12+C13)/C11,0)</f>
        <v>0.96956612717235136</v>
      </c>
      <c r="D17" s="56">
        <f>IFERROR((D12+D13)/D11,0)</f>
        <v>0.97168385505848276</v>
      </c>
      <c r="E17" s="56">
        <f>IFERROR((E12+E13)/E11,0)</f>
        <v>0.92225089733317245</v>
      </c>
      <c r="F17" s="57">
        <f>IFERROR((SUM(C12:E12)+SUM(C13:E13))/SUM(C11:E11),0)</f>
        <v>0.95510095837435416</v>
      </c>
    </row>
    <row r="18" spans="1:52" ht="15" customHeight="1" x14ac:dyDescent="0.35">
      <c r="B18" s="23" t="s">
        <v>264</v>
      </c>
      <c r="C18" s="33">
        <f>IFERROR(SUMPRODUCT(T$25:T$424,--(L$25:L$424&gt;2*Segments!$AH$3))/SUM(T$25:T$424),0)</f>
        <v>7.0310501639964301E-2</v>
      </c>
      <c r="D18" s="33">
        <f>IFERROR(SUMPRODUCT(AH$25:AH$424,--(Z$25:Z$424&gt;2*Segments!$AH$3))/SUM(AH$25:AH$424),0)</f>
        <v>4.5553887132974591E-2</v>
      </c>
      <c r="E18" s="33">
        <f>IFERROR(SUMPRODUCT(AV$25:AV$424,--(AN$25:AN$424&gt;2*Segments!$AH$3))/SUM(AV$25:AV$424),0)</f>
        <v>2.3692283686721195E-2</v>
      </c>
    </row>
    <row r="20" spans="1:52" ht="15" customHeight="1" x14ac:dyDescent="0.35">
      <c r="B20" s="2" t="s">
        <v>265</v>
      </c>
    </row>
    <row r="21" spans="1:52" ht="15" customHeight="1" x14ac:dyDescent="0.35">
      <c r="B21" s="2"/>
    </row>
    <row r="23" spans="1:52" ht="15" customHeight="1" x14ac:dyDescent="0.35">
      <c r="K23" s="58" t="s">
        <v>266</v>
      </c>
      <c r="Y23" s="58" t="s">
        <v>267</v>
      </c>
      <c r="AM23" s="58" t="s">
        <v>268</v>
      </c>
    </row>
    <row r="24" spans="1:52" ht="30" customHeight="1" x14ac:dyDescent="0.35">
      <c r="A24" s="17" t="s">
        <v>109</v>
      </c>
      <c r="B24" s="17" t="s">
        <v>151</v>
      </c>
      <c r="C24" s="17" t="s">
        <v>152</v>
      </c>
      <c r="D24" s="17" t="s">
        <v>153</v>
      </c>
      <c r="E24" s="17" t="s">
        <v>149</v>
      </c>
      <c r="F24" s="17" t="s">
        <v>88</v>
      </c>
      <c r="G24" s="17" t="s">
        <v>184</v>
      </c>
      <c r="H24" s="17" t="s">
        <v>269</v>
      </c>
      <c r="I24" s="17" t="s">
        <v>270</v>
      </c>
      <c r="J24" s="17" t="s">
        <v>271</v>
      </c>
      <c r="K24" s="17" t="s">
        <v>272</v>
      </c>
      <c r="L24" s="17" t="s">
        <v>273</v>
      </c>
      <c r="M24" s="17" t="s">
        <v>203</v>
      </c>
      <c r="N24" s="17" t="s">
        <v>274</v>
      </c>
      <c r="O24" s="17" t="s">
        <v>275</v>
      </c>
      <c r="P24" s="17" t="s">
        <v>276</v>
      </c>
      <c r="Q24" s="17" t="s">
        <v>277</v>
      </c>
      <c r="R24" s="17" t="s">
        <v>278</v>
      </c>
      <c r="S24" s="17" t="s">
        <v>279</v>
      </c>
      <c r="T24" s="17" t="s">
        <v>280</v>
      </c>
      <c r="U24" s="17" t="s">
        <v>281</v>
      </c>
      <c r="V24" s="17" t="s">
        <v>258</v>
      </c>
      <c r="W24" s="17" t="s">
        <v>282</v>
      </c>
      <c r="X24" s="17" t="s">
        <v>260</v>
      </c>
      <c r="Y24" s="17" t="s">
        <v>272</v>
      </c>
      <c r="Z24" s="17" t="s">
        <v>273</v>
      </c>
      <c r="AA24" s="17" t="s">
        <v>203</v>
      </c>
      <c r="AB24" s="17" t="s">
        <v>274</v>
      </c>
      <c r="AC24" s="17" t="s">
        <v>275</v>
      </c>
      <c r="AD24" s="17" t="s">
        <v>276</v>
      </c>
      <c r="AE24" s="17" t="s">
        <v>277</v>
      </c>
      <c r="AF24" s="17" t="s">
        <v>278</v>
      </c>
      <c r="AG24" s="17" t="s">
        <v>279</v>
      </c>
      <c r="AH24" s="17" t="s">
        <v>280</v>
      </c>
      <c r="AI24" s="17" t="s">
        <v>281</v>
      </c>
      <c r="AJ24" s="17" t="s">
        <v>258</v>
      </c>
      <c r="AK24" s="17" t="s">
        <v>282</v>
      </c>
      <c r="AL24" s="17" t="s">
        <v>260</v>
      </c>
      <c r="AM24" s="17" t="s">
        <v>272</v>
      </c>
      <c r="AN24" s="17" t="s">
        <v>273</v>
      </c>
      <c r="AO24" s="17" t="s">
        <v>203</v>
      </c>
      <c r="AP24" s="17" t="s">
        <v>274</v>
      </c>
      <c r="AQ24" s="17" t="s">
        <v>275</v>
      </c>
      <c r="AR24" s="17" t="s">
        <v>276</v>
      </c>
      <c r="AS24" s="17" t="s">
        <v>277</v>
      </c>
      <c r="AT24" s="17" t="s">
        <v>278</v>
      </c>
      <c r="AU24" s="17" t="s">
        <v>279</v>
      </c>
      <c r="AV24" s="17" t="s">
        <v>280</v>
      </c>
      <c r="AW24" s="17" t="s">
        <v>281</v>
      </c>
      <c r="AX24" s="17" t="s">
        <v>258</v>
      </c>
      <c r="AY24" s="17" t="s">
        <v>282</v>
      </c>
      <c r="AZ24" s="17" t="s">
        <v>260</v>
      </c>
    </row>
    <row r="25" spans="1:52" ht="15" customHeight="1" x14ac:dyDescent="0.35">
      <c r="A25" s="59" t="str">
        <f>Segments!$A$5</f>
        <v>Non-greek</v>
      </c>
      <c r="B25" s="59" t="str">
        <f>Segments!$B$5</f>
        <v>On campus</v>
      </c>
      <c r="C25" s="59" t="str">
        <f>Segments!$C$5</f>
        <v>Yes</v>
      </c>
      <c r="D25" s="59" t="str">
        <f>Segments!$D$5</f>
        <v>&lt;1.0</v>
      </c>
      <c r="E25" s="59" t="str">
        <f>Segments!$E$5</f>
        <v>Freshman</v>
      </c>
      <c r="F25" s="59">
        <f>Segments!$F$5</f>
        <v>1</v>
      </c>
      <c r="G25" s="59" t="str">
        <f>Segments!$G$5</f>
        <v>Base</v>
      </c>
      <c r="H25" s="60">
        <f>Segments!$H$5</f>
        <v>61</v>
      </c>
      <c r="I25" s="26">
        <f>Segments!$Y$5</f>
        <v>321.9684036137204</v>
      </c>
      <c r="J25" s="29">
        <v>0</v>
      </c>
      <c r="K25" s="14">
        <f t="shared" ref="K25:K88" si="0">IF($J25=0,M25,CURRENT_FLAT)</f>
        <v>565.21239148709719</v>
      </c>
      <c r="L25" s="14">
        <f t="shared" ref="L25:L88" si="1">$I25*(1+LOSS_TREND)^0</f>
        <v>321.9684036137204</v>
      </c>
      <c r="M25" s="14">
        <f t="shared" ref="M25:M88" si="2">L25*GROSS_MULT+POLICY_FEE</f>
        <v>565.21239148709719</v>
      </c>
      <c r="N25" s="14">
        <f t="shared" ref="N25:N88" si="3">M25^MARKET_RISK_WEIGHT*(CURRENT_FLAT*(1+LOSS_TREND)^0)^(1-MARKET_RISK_WEIGHT)</f>
        <v>897.84338399823196</v>
      </c>
      <c r="O25" s="14">
        <f t="shared" ref="O25:O88" si="4">MEDIAN(K25*(1-CAP_DOWN),M25,K25*(1+CAP_UP))</f>
        <v>565.21239148709719</v>
      </c>
      <c r="P25" s="33">
        <f t="shared" ref="P25:P88" si="5">MEDIAN(RET_FLOOR,BASE_RETENTION-ELAST_MARKET*(O25/N25-1)-ELAST_INCREASE*MAX(O25/K25-1,0),RET_CEIL)</f>
        <v>0.95</v>
      </c>
      <c r="Q25" s="33">
        <f t="shared" ref="Q25:Q88" si="6">MEDIAN(CONV_FLOOR,BASE_CONVERSION-ELAST_MARKET*(M25/N25-1),CONV_CEIL)</f>
        <v>0.53523887263604863</v>
      </c>
      <c r="R25" s="51">
        <f t="shared" ref="R25:R88" si="7">IF($J25=0,0,IF($J25=4,$H25*GRAD_CONTINUE,$H24)*P25)</f>
        <v>0</v>
      </c>
      <c r="S25" s="51">
        <f>APPLICANTS_PER_YEAR*($H25/Segments!$AH$2)*Q25</f>
        <v>39.17948547695876</v>
      </c>
      <c r="T25" s="51">
        <f t="shared" ref="T25:T88" si="8">R25+S25</f>
        <v>39.17948547695876</v>
      </c>
      <c r="U25" s="14">
        <f t="shared" ref="U25:U88" si="9">IFERROR((R25*O25+S25*M25)/T25,M25)</f>
        <v>565.21239148709719</v>
      </c>
      <c r="V25" s="44">
        <f t="shared" ref="V25:V88" si="10">R25*O25+S25*M25</f>
        <v>22144.730683665854</v>
      </c>
      <c r="W25" s="44">
        <f t="shared" ref="W25:W88" si="11">T25*L25*(1+LAE_RATIO)</f>
        <v>14128.303160634157</v>
      </c>
      <c r="X25" s="44">
        <f t="shared" ref="X25:X88" si="12">R25*O25*(PREMIUM_TAX+OTHER_VARIABLE+COMMISSION_RN)+S25*M25*(PREMIUM_TAX+OTHER_VARIABLE+COMMISSION_NB)+T25*FIXED_PER_POLICY+S25*NB_ACQUISITION</f>
        <v>6723.4965196042949</v>
      </c>
      <c r="Y25" s="14">
        <f t="shared" ref="Y25:Y88" si="13">IF($J25=0,AA25,IF($J25=4,U25,U24))</f>
        <v>580.91876323171016</v>
      </c>
      <c r="Z25" s="14">
        <f t="shared" ref="Z25:Z88" si="14">$I25*(1+LOSS_TREND)^1</f>
        <v>331.62745572213203</v>
      </c>
      <c r="AA25" s="14">
        <f t="shared" ref="AA25:AA88" si="15">Z25*GROSS_MULT+POLICY_FEE</f>
        <v>580.91876323171016</v>
      </c>
      <c r="AB25" s="14">
        <f t="shared" ref="AB25:AB88" si="16">AA25^MARKET_RISK_WEIGHT*(CURRENT_FLAT*(1+LOSS_TREND)^1)^(1-MARKET_RISK_WEIGHT)</f>
        <v>923.78533564505403</v>
      </c>
      <c r="AC25" s="14">
        <f t="shared" ref="AC25:AC88" si="17">MEDIAN(Y25*(1-CAP_DOWN),AA25,Y25*(1+CAP_UP))</f>
        <v>580.91876323171016</v>
      </c>
      <c r="AD25" s="33">
        <f t="shared" ref="AD25:AD88" si="18">MEDIAN(RET_FLOOR,BASE_RETENTION-ELAST_MARKET*(AC25/AB25-1)-ELAST_INCREASE*MAX(AC25/Y25-1,0),RET_CEIL)</f>
        <v>0.95</v>
      </c>
      <c r="AE25" s="33">
        <f t="shared" ref="AE25:AE88" si="19">MEDIAN(CONV_FLOOR,BASE_CONVERSION-ELAST_MARKET*(AA25/AB25-1),CONV_CEIL)</f>
        <v>0.53557697290893314</v>
      </c>
      <c r="AF25" s="51">
        <f t="shared" ref="AF25:AF88" si="20">IF($J25=0,0,IF($J25=4,T25*GRAD_CONTINUE,T24)*AD25)</f>
        <v>0</v>
      </c>
      <c r="AG25" s="51">
        <f>APPLICANTS_PER_YEAR*($H25/Segments!$AH$2)*AE25</f>
        <v>39.204234416933907</v>
      </c>
      <c r="AH25" s="51">
        <f t="shared" ref="AH25:AH88" si="21">AF25+AG25</f>
        <v>39.204234416933907</v>
      </c>
      <c r="AI25" s="14">
        <f t="shared" ref="AI25:AI88" si="22">IFERROR((AF25*AC25+AG25*AA25)/AH25,AA25)</f>
        <v>580.91876323171016</v>
      </c>
      <c r="AJ25" s="44">
        <f t="shared" ref="AJ25:AJ88" si="23">AF25*AC25+AG25*AA25</f>
        <v>22774.47537093129</v>
      </c>
      <c r="AK25" s="44">
        <f t="shared" ref="AK25:AK88" si="24">AH25*Z25*(1+LAE_RATIO)</f>
        <v>14561.344574808456</v>
      </c>
      <c r="AL25" s="44">
        <f t="shared" ref="AL25:AL88" si="25">AF25*AC25*(PREMIUM_TAX+OTHER_VARIABLE+COMMISSION_RN)+AG25*AA25*(PREMIUM_TAX+OTHER_VARIABLE+COMMISSION_NB)+AH25*FIXED_PER_POLICY+AG25*NB_ACQUISITION</f>
        <v>6865.6730318506352</v>
      </c>
      <c r="AM25" s="14">
        <f t="shared" ref="AM25:AM88" si="26">IF($J25=0,AO25,IF($J25=4,AI25,AI24))</f>
        <v>597.09632612866142</v>
      </c>
      <c r="AN25" s="14">
        <f t="shared" ref="AN25:AN88" si="27">$I25*(1+LOSS_TREND)^2</f>
        <v>341.57627939379597</v>
      </c>
      <c r="AO25" s="14">
        <f t="shared" ref="AO25:AO88" si="28">AN25*GROSS_MULT+POLICY_FEE</f>
        <v>597.09632612866142</v>
      </c>
      <c r="AP25" s="14">
        <f t="shared" ref="AP25:AP88" si="29">AO25^MARKET_RISK_WEIGHT*(CURRENT_FLAT*(1+LOSS_TREND)^2)^(1-MARKET_RISK_WEIGHT)</f>
        <v>950.50449214339403</v>
      </c>
      <c r="AQ25" s="14">
        <f t="shared" ref="AQ25:AQ88" si="30">MEDIAN(AM25*(1-CAP_DOWN),AO25,AM25*(1+CAP_UP))</f>
        <v>597.09632612866142</v>
      </c>
      <c r="AR25" s="33">
        <f t="shared" ref="AR25:AR88" si="31">MEDIAN(RET_FLOOR,BASE_RETENTION-ELAST_MARKET*(AQ25/AP25-1)-ELAST_INCREASE*MAX(AQ25/AM25-1,0),RET_CEIL)</f>
        <v>0.95</v>
      </c>
      <c r="AS25" s="33">
        <f t="shared" ref="AS25:AS88" si="32">MEDIAN(CONV_FLOOR,BASE_CONVERSION-ELAST_MARKET*(AO25/AP25-1),CONV_CEIL)</f>
        <v>0.5359055737957612</v>
      </c>
      <c r="AT25" s="51">
        <f t="shared" ref="AT25:AT88" si="33">IF($J25=0,0,IF($J25=4,AH25*GRAD_CONTINUE,AH24)*AR25)</f>
        <v>0</v>
      </c>
      <c r="AU25" s="51">
        <f>APPLICANTS_PER_YEAR*($H25/Segments!$AH$2)*AS25</f>
        <v>39.22828800184972</v>
      </c>
      <c r="AV25" s="51">
        <f t="shared" ref="AV25:AV88" si="34">AT25+AU25</f>
        <v>39.22828800184972</v>
      </c>
      <c r="AW25" s="14">
        <f t="shared" ref="AW25:AW88" si="35">IFERROR((AT25*AQ25+AU25*AO25)/AV25,AO25)</f>
        <v>597.09632612866142</v>
      </c>
      <c r="AX25" s="44">
        <f t="shared" ref="AX25:AX88" si="36">AT25*AQ25+AU25*AO25</f>
        <v>23423.066646221516</v>
      </c>
      <c r="AY25" s="44">
        <f t="shared" ref="AY25:AY88" si="37">AV25*AN25*(1+LAE_RATIO)</f>
        <v>15007.386982179331</v>
      </c>
      <c r="AZ25" s="44">
        <f t="shared" ref="AZ25:AZ88" si="38">AT25*AQ25*(PREMIUM_TAX+OTHER_VARIABLE+COMMISSION_RN)+AU25*AO25*(PREMIUM_TAX+OTHER_VARIABLE+COMMISSION_NB)+AV25*FIXED_PER_POLICY+AU25*NB_ACQUISITION</f>
        <v>7012.0398888368572</v>
      </c>
    </row>
    <row r="26" spans="1:52" ht="15" customHeight="1" x14ac:dyDescent="0.35">
      <c r="A26" s="59" t="str">
        <f>Segments!$A$6</f>
        <v>Non-greek</v>
      </c>
      <c r="B26" s="59" t="str">
        <f>Segments!$B$6</f>
        <v>On campus</v>
      </c>
      <c r="C26" s="59" t="str">
        <f>Segments!$C$6</f>
        <v>Yes</v>
      </c>
      <c r="D26" s="59" t="str">
        <f>Segments!$D$6</f>
        <v>&lt;1.0</v>
      </c>
      <c r="E26" s="59" t="str">
        <f>Segments!$E$6</f>
        <v>Sophomore</v>
      </c>
      <c r="F26" s="59">
        <f>Segments!$F$6</f>
        <v>1</v>
      </c>
      <c r="G26" s="59" t="str">
        <f>Segments!$G$6</f>
        <v>Sophomore</v>
      </c>
      <c r="H26" s="60">
        <f>Segments!$H$6</f>
        <v>79</v>
      </c>
      <c r="I26" s="26">
        <f>Segments!$Y$6</f>
        <v>318.69277525569095</v>
      </c>
      <c r="J26" s="29">
        <v>1</v>
      </c>
      <c r="K26" s="14">
        <f t="shared" si="0"/>
        <v>1426.2297754450396</v>
      </c>
      <c r="L26" s="14">
        <f t="shared" si="1"/>
        <v>318.69277525569095</v>
      </c>
      <c r="M26" s="14">
        <f t="shared" si="2"/>
        <v>559.88596441009634</v>
      </c>
      <c r="N26" s="14">
        <f t="shared" si="3"/>
        <v>893.60283867915348</v>
      </c>
      <c r="O26" s="14">
        <f t="shared" si="4"/>
        <v>1069.6723315837799</v>
      </c>
      <c r="P26" s="33">
        <f t="shared" si="5"/>
        <v>0.75148336303134555</v>
      </c>
      <c r="Q26" s="33">
        <f t="shared" si="6"/>
        <v>0.53672550031417121</v>
      </c>
      <c r="R26" s="51">
        <f t="shared" si="7"/>
        <v>45.84048514491208</v>
      </c>
      <c r="S26" s="51">
        <f>APPLICANTS_PER_YEAR*($H26/Segments!$AH$2)*Q26</f>
        <v>50.881577429783434</v>
      </c>
      <c r="T26" s="51">
        <f t="shared" si="8"/>
        <v>96.722062574695514</v>
      </c>
      <c r="U26" s="14">
        <f t="shared" si="9"/>
        <v>801.49427764738766</v>
      </c>
      <c r="V26" s="44">
        <f t="shared" si="10"/>
        <v>77522.179675871012</v>
      </c>
      <c r="W26" s="44">
        <f t="shared" si="11"/>
        <v>34523.577256430435</v>
      </c>
      <c r="X26" s="44">
        <f t="shared" si="12"/>
        <v>18855.248482727464</v>
      </c>
      <c r="Y26" s="14">
        <f t="shared" si="13"/>
        <v>565.21239148709719</v>
      </c>
      <c r="Z26" s="14">
        <f t="shared" si="14"/>
        <v>328.25355851336167</v>
      </c>
      <c r="AA26" s="14">
        <f t="shared" si="15"/>
        <v>575.43254334239919</v>
      </c>
      <c r="AB26" s="14">
        <f t="shared" si="16"/>
        <v>919.41285497171941</v>
      </c>
      <c r="AC26" s="14">
        <f t="shared" si="17"/>
        <v>575.43254334239919</v>
      </c>
      <c r="AD26" s="33">
        <f t="shared" si="18"/>
        <v>0.95</v>
      </c>
      <c r="AE26" s="33">
        <f t="shared" si="19"/>
        <v>0.53706520676171143</v>
      </c>
      <c r="AF26" s="51">
        <f t="shared" si="20"/>
        <v>37.220511203110817</v>
      </c>
      <c r="AG26" s="51">
        <f>APPLICANTS_PER_YEAR*($H26/Segments!$AH$2)*AE26</f>
        <v>50.91378160101025</v>
      </c>
      <c r="AH26" s="51">
        <f t="shared" si="21"/>
        <v>88.13429280412106</v>
      </c>
      <c r="AI26" s="14">
        <f t="shared" si="22"/>
        <v>575.43254334239919</v>
      </c>
      <c r="AJ26" s="44">
        <f t="shared" si="23"/>
        <v>50715.340263959093</v>
      </c>
      <c r="AK26" s="44">
        <f t="shared" si="24"/>
        <v>32402.042668812661</v>
      </c>
      <c r="AL26" s="44">
        <f t="shared" si="25"/>
        <v>13646.140345320655</v>
      </c>
      <c r="AM26" s="14">
        <f t="shared" si="26"/>
        <v>580.91876323171016</v>
      </c>
      <c r="AN26" s="14">
        <f t="shared" si="27"/>
        <v>338.10116526876249</v>
      </c>
      <c r="AO26" s="14">
        <f t="shared" si="28"/>
        <v>591.44551964267112</v>
      </c>
      <c r="AP26" s="14">
        <f t="shared" si="29"/>
        <v>945.99610295054561</v>
      </c>
      <c r="AQ26" s="14">
        <f t="shared" si="30"/>
        <v>591.44551964267112</v>
      </c>
      <c r="AR26" s="33">
        <f t="shared" si="31"/>
        <v>0.95</v>
      </c>
      <c r="AS26" s="33">
        <f t="shared" si="32"/>
        <v>0.53739537203273735</v>
      </c>
      <c r="AT26" s="51">
        <f t="shared" si="33"/>
        <v>37.244022696087214</v>
      </c>
      <c r="AU26" s="51">
        <f>APPLICANTS_PER_YEAR*($H26/Segments!$AH$2)*AS26</f>
        <v>50.945081268703504</v>
      </c>
      <c r="AV26" s="51">
        <f t="shared" si="34"/>
        <v>88.189103964790718</v>
      </c>
      <c r="AW26" s="14">
        <f t="shared" si="35"/>
        <v>591.44551964267112</v>
      </c>
      <c r="AX26" s="44">
        <f t="shared" si="36"/>
        <v>52159.050421277192</v>
      </c>
      <c r="AY26" s="44">
        <f t="shared" si="37"/>
        <v>33394.859472244243</v>
      </c>
      <c r="AZ26" s="44">
        <f t="shared" si="38"/>
        <v>13950.063042882017</v>
      </c>
    </row>
    <row r="27" spans="1:52" ht="15" customHeight="1" x14ac:dyDescent="0.35">
      <c r="A27" s="59" t="str">
        <f>Segments!$A$7</f>
        <v>Non-greek</v>
      </c>
      <c r="B27" s="59" t="str">
        <f>Segments!$B$7</f>
        <v>On campus</v>
      </c>
      <c r="C27" s="59" t="str">
        <f>Segments!$C$7</f>
        <v>Yes</v>
      </c>
      <c r="D27" s="59" t="str">
        <f>Segments!$D$7</f>
        <v>&lt;1.0</v>
      </c>
      <c r="E27" s="59" t="str">
        <f>Segments!$E$7</f>
        <v>Junior</v>
      </c>
      <c r="F27" s="59">
        <f>Segments!$F$7</f>
        <v>2</v>
      </c>
      <c r="G27" s="59" t="str">
        <f>Segments!$G$7</f>
        <v>Base</v>
      </c>
      <c r="H27" s="60">
        <f>Segments!$H$7</f>
        <v>79</v>
      </c>
      <c r="I27" s="26">
        <f>Segments!$Y$7</f>
        <v>380.97350969079559</v>
      </c>
      <c r="J27" s="29">
        <v>2</v>
      </c>
      <c r="K27" s="14">
        <f t="shared" si="0"/>
        <v>1426.2297754450396</v>
      </c>
      <c r="L27" s="14">
        <f t="shared" si="1"/>
        <v>380.97350969079559</v>
      </c>
      <c r="M27" s="14">
        <f t="shared" si="2"/>
        <v>661.15929398592459</v>
      </c>
      <c r="N27" s="14">
        <f t="shared" si="3"/>
        <v>971.06388636121471</v>
      </c>
      <c r="O27" s="14">
        <f t="shared" si="4"/>
        <v>1069.6723315837799</v>
      </c>
      <c r="P27" s="33">
        <f t="shared" si="5"/>
        <v>0.79922659229349358</v>
      </c>
      <c r="Q27" s="33">
        <f t="shared" si="6"/>
        <v>0.50956962087045032</v>
      </c>
      <c r="R27" s="51">
        <f t="shared" si="7"/>
        <v>63.138900791185989</v>
      </c>
      <c r="S27" s="51">
        <f>APPLICANTS_PER_YEAR*($H27/Segments!$AH$2)*Q27</f>
        <v>48.307200058518696</v>
      </c>
      <c r="T27" s="51">
        <f t="shared" si="8"/>
        <v>111.44610084970469</v>
      </c>
      <c r="U27" s="14">
        <f t="shared" si="9"/>
        <v>892.59910171487638</v>
      </c>
      <c r="V27" s="44">
        <f t="shared" si="10"/>
        <v>99476.689508071926</v>
      </c>
      <c r="W27" s="44">
        <f t="shared" si="11"/>
        <v>47552.973643914323</v>
      </c>
      <c r="X27" s="44">
        <f t="shared" si="12"/>
        <v>23355.552735462101</v>
      </c>
      <c r="Y27" s="14">
        <f t="shared" si="13"/>
        <v>801.49427764738766</v>
      </c>
      <c r="Z27" s="14">
        <f t="shared" si="14"/>
        <v>392.40271498151947</v>
      </c>
      <c r="AA27" s="14">
        <f t="shared" si="15"/>
        <v>679.74407280550236</v>
      </c>
      <c r="AB27" s="14">
        <f t="shared" si="16"/>
        <v>999.27742564665834</v>
      </c>
      <c r="AC27" s="14">
        <f t="shared" si="17"/>
        <v>679.74407280550236</v>
      </c>
      <c r="AD27" s="33">
        <f t="shared" si="18"/>
        <v>0.95</v>
      </c>
      <c r="AE27" s="33">
        <f t="shared" si="19"/>
        <v>0.5098822032001662</v>
      </c>
      <c r="AF27" s="51">
        <f t="shared" si="20"/>
        <v>91.885959445960737</v>
      </c>
      <c r="AG27" s="51">
        <f>APPLICANTS_PER_YEAR*($H27/Segments!$AH$2)*AE27</f>
        <v>48.336832863375761</v>
      </c>
      <c r="AH27" s="51">
        <f t="shared" si="21"/>
        <v>140.22279230933651</v>
      </c>
      <c r="AI27" s="14">
        <f t="shared" si="22"/>
        <v>679.74407280550224</v>
      </c>
      <c r="AJ27" s="44">
        <f t="shared" si="23"/>
        <v>95315.611944508462</v>
      </c>
      <c r="AK27" s="44">
        <f t="shared" si="24"/>
        <v>61626.660933010186</v>
      </c>
      <c r="AL27" s="44">
        <f t="shared" si="25"/>
        <v>23177.510972580669</v>
      </c>
      <c r="AM27" s="14">
        <f t="shared" si="26"/>
        <v>575.43254334239919</v>
      </c>
      <c r="AN27" s="14">
        <f t="shared" si="27"/>
        <v>404.17479643096505</v>
      </c>
      <c r="AO27" s="14">
        <f t="shared" si="28"/>
        <v>698.88639498966745</v>
      </c>
      <c r="AP27" s="14">
        <f t="shared" si="29"/>
        <v>1028.3365386324353</v>
      </c>
      <c r="AQ27" s="14">
        <f t="shared" si="30"/>
        <v>698.88639498966745</v>
      </c>
      <c r="AR27" s="33">
        <f t="shared" si="31"/>
        <v>0.94582366756159819</v>
      </c>
      <c r="AS27" s="33">
        <f t="shared" si="32"/>
        <v>0.51018595628280261</v>
      </c>
      <c r="AT27" s="51">
        <f t="shared" si="33"/>
        <v>83.35950005794156</v>
      </c>
      <c r="AU27" s="51">
        <f>APPLICANTS_PER_YEAR*($H27/Segments!$AH$2)*AS27</f>
        <v>48.36562865560969</v>
      </c>
      <c r="AV27" s="51">
        <f t="shared" si="34"/>
        <v>131.72512871355124</v>
      </c>
      <c r="AW27" s="14">
        <f t="shared" si="35"/>
        <v>698.88639498966745</v>
      </c>
      <c r="AX27" s="44">
        <f t="shared" si="36"/>
        <v>92060.900336163759</v>
      </c>
      <c r="AY27" s="44">
        <f t="shared" si="37"/>
        <v>59628.774332559311</v>
      </c>
      <c r="AZ27" s="44">
        <f t="shared" si="38"/>
        <v>22426.226249034698</v>
      </c>
    </row>
    <row r="28" spans="1:52" ht="15" customHeight="1" x14ac:dyDescent="0.35">
      <c r="A28" s="59" t="str">
        <f>Segments!$A$8</f>
        <v>Non-greek</v>
      </c>
      <c r="B28" s="59" t="str">
        <f>Segments!$B$8</f>
        <v>On campus</v>
      </c>
      <c r="C28" s="59" t="str">
        <f>Segments!$C$8</f>
        <v>Yes</v>
      </c>
      <c r="D28" s="59" t="str">
        <f>Segments!$D$8</f>
        <v>&lt;1.0</v>
      </c>
      <c r="E28" s="59" t="str">
        <f>Segments!$E$8</f>
        <v>Senior</v>
      </c>
      <c r="F28" s="59">
        <f>Segments!$F$8</f>
        <v>3</v>
      </c>
      <c r="G28" s="59" t="str">
        <f>Segments!$G$8</f>
        <v>Base</v>
      </c>
      <c r="H28" s="60">
        <f>Segments!$H$8</f>
        <v>58</v>
      </c>
      <c r="I28" s="26">
        <f>Segments!$Y$8</f>
        <v>356.09116074785794</v>
      </c>
      <c r="J28" s="29">
        <v>3</v>
      </c>
      <c r="K28" s="14">
        <f t="shared" si="0"/>
        <v>1426.2297754450396</v>
      </c>
      <c r="L28" s="14">
        <f t="shared" si="1"/>
        <v>356.09116074785794</v>
      </c>
      <c r="M28" s="14">
        <f t="shared" si="2"/>
        <v>620.69865478545728</v>
      </c>
      <c r="N28" s="14">
        <f t="shared" si="3"/>
        <v>940.8819814587273</v>
      </c>
      <c r="O28" s="14">
        <f t="shared" si="4"/>
        <v>1069.6723315837799</v>
      </c>
      <c r="P28" s="33">
        <f t="shared" si="5"/>
        <v>0.78155871157965096</v>
      </c>
      <c r="Q28" s="33">
        <f t="shared" si="6"/>
        <v>0.52015063152599827</v>
      </c>
      <c r="R28" s="51">
        <f t="shared" si="7"/>
        <v>61.743138214792424</v>
      </c>
      <c r="S28" s="51">
        <f>APPLICANTS_PER_YEAR*($H28/Segments!$AH$2)*Q28</f>
        <v>36.202483954209477</v>
      </c>
      <c r="T28" s="51">
        <f t="shared" si="8"/>
        <v>97.945622169001894</v>
      </c>
      <c r="U28" s="14">
        <f t="shared" si="9"/>
        <v>903.72349211336405</v>
      </c>
      <c r="V28" s="44">
        <f t="shared" si="10"/>
        <v>88515.75970378652</v>
      </c>
      <c r="W28" s="44">
        <f t="shared" si="11"/>
        <v>39062.878722930742</v>
      </c>
      <c r="X28" s="44">
        <f t="shared" si="12"/>
        <v>20379.932284410374</v>
      </c>
      <c r="Y28" s="14">
        <f t="shared" si="13"/>
        <v>892.59910171487638</v>
      </c>
      <c r="Z28" s="14">
        <f t="shared" si="14"/>
        <v>366.77389557029369</v>
      </c>
      <c r="AA28" s="14">
        <f t="shared" si="15"/>
        <v>638.06961442902104</v>
      </c>
      <c r="AB28" s="14">
        <f t="shared" si="16"/>
        <v>968.16057521083133</v>
      </c>
      <c r="AC28" s="14">
        <f t="shared" si="17"/>
        <v>669.44932628615732</v>
      </c>
      <c r="AD28" s="33">
        <f t="shared" si="18"/>
        <v>0.95</v>
      </c>
      <c r="AE28" s="33">
        <f t="shared" si="19"/>
        <v>0.52047325063299965</v>
      </c>
      <c r="AF28" s="51">
        <f t="shared" si="20"/>
        <v>105.87379580721945</v>
      </c>
      <c r="AG28" s="51">
        <f>APPLICANTS_PER_YEAR*($H28/Segments!$AH$2)*AE28</f>
        <v>36.224938244056773</v>
      </c>
      <c r="AH28" s="51">
        <f t="shared" si="21"/>
        <v>142.09873405127621</v>
      </c>
      <c r="AI28" s="14">
        <f t="shared" si="22"/>
        <v>661.44976083097981</v>
      </c>
      <c r="AJ28" s="44">
        <f t="shared" si="23"/>
        <v>93991.173652601661</v>
      </c>
      <c r="AK28" s="44">
        <f t="shared" si="24"/>
        <v>58372.278992824969</v>
      </c>
      <c r="AL28" s="44">
        <f t="shared" si="25"/>
        <v>22320.92109070217</v>
      </c>
      <c r="AM28" s="14">
        <f t="shared" si="26"/>
        <v>679.74407280550224</v>
      </c>
      <c r="AN28" s="14">
        <f t="shared" si="27"/>
        <v>377.77711243740248</v>
      </c>
      <c r="AO28" s="14">
        <f t="shared" si="28"/>
        <v>655.96170286189169</v>
      </c>
      <c r="AP28" s="14">
        <f t="shared" si="29"/>
        <v>996.25661142328852</v>
      </c>
      <c r="AQ28" s="14">
        <f t="shared" si="30"/>
        <v>655.96170286189169</v>
      </c>
      <c r="AR28" s="33">
        <f t="shared" si="31"/>
        <v>0.95</v>
      </c>
      <c r="AS28" s="33">
        <f t="shared" si="32"/>
        <v>0.52078677554532815</v>
      </c>
      <c r="AT28" s="51">
        <f t="shared" si="33"/>
        <v>133.21165269386967</v>
      </c>
      <c r="AU28" s="51">
        <f>APPLICANTS_PER_YEAR*($H28/Segments!$AH$2)*AS28</f>
        <v>36.246759577954833</v>
      </c>
      <c r="AV28" s="51">
        <f t="shared" si="34"/>
        <v>169.4584122718245</v>
      </c>
      <c r="AW28" s="14">
        <f t="shared" si="35"/>
        <v>655.96170286189158</v>
      </c>
      <c r="AX28" s="44">
        <f t="shared" si="36"/>
        <v>111158.22867809847</v>
      </c>
      <c r="AY28" s="44">
        <f t="shared" si="37"/>
        <v>71699.610826229968</v>
      </c>
      <c r="AZ28" s="44">
        <f t="shared" si="38"/>
        <v>26136.4194698053</v>
      </c>
    </row>
    <row r="29" spans="1:52" ht="15" customHeight="1" x14ac:dyDescent="0.35">
      <c r="A29" s="59" t="str">
        <f>Segments!$A$9</f>
        <v>Non-greek</v>
      </c>
      <c r="B29" s="59" t="str">
        <f>Segments!$B$9</f>
        <v>On campus</v>
      </c>
      <c r="C29" s="59" t="str">
        <f>Segments!$C$9</f>
        <v>Yes</v>
      </c>
      <c r="D29" s="59" t="str">
        <f>Segments!$D$9</f>
        <v>&lt;1.0</v>
      </c>
      <c r="E29" s="59" t="str">
        <f>Segments!$E$9</f>
        <v>Grad student</v>
      </c>
      <c r="F29" s="59">
        <f>Segments!$F$9</f>
        <v>3</v>
      </c>
      <c r="G29" s="59" t="str">
        <f>Segments!$G$9</f>
        <v>Grad</v>
      </c>
      <c r="H29" s="60">
        <f>Segments!$H$9</f>
        <v>48</v>
      </c>
      <c r="I29" s="26">
        <f>Segments!$Y$9</f>
        <v>423.99077532171731</v>
      </c>
      <c r="J29" s="29">
        <v>4</v>
      </c>
      <c r="K29" s="14">
        <f t="shared" si="0"/>
        <v>1426.2297754450396</v>
      </c>
      <c r="L29" s="14">
        <f t="shared" si="1"/>
        <v>423.99077532171731</v>
      </c>
      <c r="M29" s="14">
        <f t="shared" si="2"/>
        <v>731.10872151283786</v>
      </c>
      <c r="N29" s="14">
        <f t="shared" si="3"/>
        <v>1021.1410420256179</v>
      </c>
      <c r="O29" s="14">
        <f t="shared" si="4"/>
        <v>1069.6723315837799</v>
      </c>
      <c r="P29" s="33">
        <f t="shared" si="5"/>
        <v>0.82623673539656606</v>
      </c>
      <c r="Q29" s="33">
        <f t="shared" si="6"/>
        <v>0.49201383970300933</v>
      </c>
      <c r="R29" s="51">
        <f t="shared" si="7"/>
        <v>19.829681649517585</v>
      </c>
      <c r="S29" s="51">
        <f>APPLICANTS_PER_YEAR*($H29/Segments!$AH$2)*Q29</f>
        <v>28.339997166893333</v>
      </c>
      <c r="T29" s="51">
        <f t="shared" si="8"/>
        <v>48.169678816410922</v>
      </c>
      <c r="U29" s="14">
        <f t="shared" si="9"/>
        <v>870.48288324237228</v>
      </c>
      <c r="V29" s="44">
        <f t="shared" si="10"/>
        <v>41930.880900968405</v>
      </c>
      <c r="W29" s="44">
        <f t="shared" si="11"/>
        <v>22874.31940457235</v>
      </c>
      <c r="X29" s="44">
        <f t="shared" si="12"/>
        <v>10322.016664156348</v>
      </c>
      <c r="Y29" s="14">
        <f t="shared" si="13"/>
        <v>870.48288324237228</v>
      </c>
      <c r="Z29" s="14">
        <f t="shared" si="14"/>
        <v>436.71049858136882</v>
      </c>
      <c r="AA29" s="14">
        <f t="shared" si="15"/>
        <v>751.79198315822305</v>
      </c>
      <c r="AB29" s="14">
        <f t="shared" si="16"/>
        <v>1050.9019719558848</v>
      </c>
      <c r="AC29" s="14">
        <f t="shared" si="17"/>
        <v>751.79198315822305</v>
      </c>
      <c r="AD29" s="33">
        <f t="shared" si="18"/>
        <v>0.95</v>
      </c>
      <c r="AE29" s="33">
        <f t="shared" si="19"/>
        <v>0.49231107980555672</v>
      </c>
      <c r="AF29" s="51">
        <f t="shared" si="20"/>
        <v>22.880597437795188</v>
      </c>
      <c r="AG29" s="51">
        <f>APPLICANTS_PER_YEAR*($H29/Segments!$AH$2)*AE29</f>
        <v>28.357118196800066</v>
      </c>
      <c r="AH29" s="51">
        <f t="shared" si="21"/>
        <v>51.237715634595254</v>
      </c>
      <c r="AI29" s="14">
        <f t="shared" si="22"/>
        <v>751.79198315822305</v>
      </c>
      <c r="AJ29" s="44">
        <f t="shared" si="23"/>
        <v>38520.103849429455</v>
      </c>
      <c r="AK29" s="44">
        <f t="shared" si="24"/>
        <v>25061.174141869033</v>
      </c>
      <c r="AL29" s="44">
        <f t="shared" si="25"/>
        <v>9760.1347895579293</v>
      </c>
      <c r="AM29" s="14">
        <f t="shared" si="26"/>
        <v>751.79198315822305</v>
      </c>
      <c r="AN29" s="14">
        <f t="shared" si="27"/>
        <v>449.81181353880987</v>
      </c>
      <c r="AO29" s="14">
        <f t="shared" si="28"/>
        <v>773.09574265296965</v>
      </c>
      <c r="AP29" s="14">
        <f t="shared" si="29"/>
        <v>1081.5550140601476</v>
      </c>
      <c r="AQ29" s="14">
        <f t="shared" si="30"/>
        <v>773.09574265296965</v>
      </c>
      <c r="AR29" s="33">
        <f t="shared" si="31"/>
        <v>0.95</v>
      </c>
      <c r="AS29" s="33">
        <f t="shared" si="32"/>
        <v>0.49259989894051931</v>
      </c>
      <c r="AT29" s="51">
        <f t="shared" si="33"/>
        <v>24.337914926432745</v>
      </c>
      <c r="AU29" s="51">
        <f>APPLICANTS_PER_YEAR*($H29/Segments!$AH$2)*AS29</f>
        <v>28.373754178973911</v>
      </c>
      <c r="AV29" s="51">
        <f t="shared" si="34"/>
        <v>52.711669105406656</v>
      </c>
      <c r="AW29" s="14">
        <f t="shared" si="35"/>
        <v>773.09574265296965</v>
      </c>
      <c r="AX29" s="44">
        <f t="shared" si="36"/>
        <v>40751.166973521955</v>
      </c>
      <c r="AY29" s="44">
        <f t="shared" si="37"/>
        <v>26555.571251955902</v>
      </c>
      <c r="AZ29" s="44">
        <f t="shared" si="38"/>
        <v>10233.294794137762</v>
      </c>
    </row>
    <row r="30" spans="1:52" ht="15" customHeight="1" x14ac:dyDescent="0.35">
      <c r="A30" s="61" t="str">
        <f>Segments!$A$10</f>
        <v>Non-greek</v>
      </c>
      <c r="B30" s="61" t="str">
        <f>Segments!$B$10</f>
        <v>On campus</v>
      </c>
      <c r="C30" s="61" t="str">
        <f>Segments!$C$10</f>
        <v>Yes</v>
      </c>
      <c r="D30" s="61" t="str">
        <f>Segments!$D$10</f>
        <v>1.0-2.0</v>
      </c>
      <c r="E30" s="61" t="str">
        <f>Segments!$E$10</f>
        <v>Freshman</v>
      </c>
      <c r="F30" s="61">
        <f>Segments!$F$10</f>
        <v>1</v>
      </c>
      <c r="G30" s="61" t="str">
        <f>Segments!$G$10</f>
        <v>Base</v>
      </c>
      <c r="H30" s="62">
        <f>Segments!$H$10</f>
        <v>188</v>
      </c>
      <c r="I30" s="63">
        <f>Segments!$Y$10</f>
        <v>292.16091738219143</v>
      </c>
      <c r="J30" s="42">
        <v>0</v>
      </c>
      <c r="K30" s="40">
        <f t="shared" si="0"/>
        <v>516.74309509339412</v>
      </c>
      <c r="L30" s="40">
        <f t="shared" si="1"/>
        <v>292.16091738219143</v>
      </c>
      <c r="M30" s="40">
        <f t="shared" si="2"/>
        <v>516.74309509339412</v>
      </c>
      <c r="N30" s="40">
        <f t="shared" si="3"/>
        <v>858.48377298457217</v>
      </c>
      <c r="O30" s="40">
        <f t="shared" si="4"/>
        <v>516.74309509339412</v>
      </c>
      <c r="P30" s="41">
        <f t="shared" si="5"/>
        <v>0.95</v>
      </c>
      <c r="Q30" s="41">
        <f t="shared" si="6"/>
        <v>0.54903735437135603</v>
      </c>
      <c r="R30" s="64">
        <f t="shared" si="7"/>
        <v>0</v>
      </c>
      <c r="S30" s="64">
        <f>APPLICANTS_PER_YEAR*($H30/Segments!$AH$2)*Q30</f>
        <v>123.86282714617793</v>
      </c>
      <c r="T30" s="64">
        <f t="shared" si="8"/>
        <v>123.86282714617793</v>
      </c>
      <c r="U30" s="40">
        <f t="shared" si="9"/>
        <v>516.74309509339412</v>
      </c>
      <c r="V30" s="65">
        <f t="shared" si="10"/>
        <v>64005.260666534065</v>
      </c>
      <c r="W30" s="65">
        <f t="shared" si="11"/>
        <v>40530.422473608654</v>
      </c>
      <c r="X30" s="65">
        <f t="shared" si="12"/>
        <v>19911.005610881635</v>
      </c>
      <c r="Y30" s="40">
        <f t="shared" si="13"/>
        <v>530.99538794619605</v>
      </c>
      <c r="Z30" s="40">
        <f t="shared" si="14"/>
        <v>300.92574490365718</v>
      </c>
      <c r="AA30" s="40">
        <f t="shared" si="15"/>
        <v>530.99538794619605</v>
      </c>
      <c r="AB30" s="40">
        <f t="shared" si="16"/>
        <v>883.19934097588657</v>
      </c>
      <c r="AC30" s="40">
        <f t="shared" si="17"/>
        <v>530.99538794619605</v>
      </c>
      <c r="AD30" s="41">
        <f t="shared" si="18"/>
        <v>0.95</v>
      </c>
      <c r="AE30" s="41">
        <f t="shared" si="19"/>
        <v>0.54939097363938505</v>
      </c>
      <c r="AF30" s="64">
        <f t="shared" si="20"/>
        <v>0</v>
      </c>
      <c r="AG30" s="64">
        <f>APPLICANTS_PER_YEAR*($H30/Segments!$AH$2)*AE30</f>
        <v>123.94260365304528</v>
      </c>
      <c r="AH30" s="64">
        <f t="shared" si="21"/>
        <v>123.94260365304528</v>
      </c>
      <c r="AI30" s="40">
        <f t="shared" si="22"/>
        <v>530.99538794619605</v>
      </c>
      <c r="AJ30" s="65">
        <f t="shared" si="23"/>
        <v>65812.950909810388</v>
      </c>
      <c r="AK30" s="65">
        <f t="shared" si="24"/>
        <v>41773.222769142361</v>
      </c>
      <c r="AL30" s="65">
        <f t="shared" si="25"/>
        <v>20319.518168184564</v>
      </c>
      <c r="AM30" s="40">
        <f t="shared" si="26"/>
        <v>545.67524958458182</v>
      </c>
      <c r="AN30" s="40">
        <f t="shared" si="27"/>
        <v>309.95351725076688</v>
      </c>
      <c r="AO30" s="40">
        <f t="shared" si="28"/>
        <v>545.67524958458182</v>
      </c>
      <c r="AP30" s="40">
        <f t="shared" si="29"/>
        <v>908.65517027176111</v>
      </c>
      <c r="AQ30" s="40">
        <f t="shared" si="30"/>
        <v>545.67524958458182</v>
      </c>
      <c r="AR30" s="41">
        <f t="shared" si="31"/>
        <v>0.95</v>
      </c>
      <c r="AS30" s="41">
        <f t="shared" si="32"/>
        <v>0.54973469175254852</v>
      </c>
      <c r="AT30" s="64">
        <f t="shared" si="33"/>
        <v>0</v>
      </c>
      <c r="AU30" s="64">
        <f>APPLICANTS_PER_YEAR*($H30/Segments!$AH$2)*AS30</f>
        <v>124.02014645937496</v>
      </c>
      <c r="AV30" s="64">
        <f t="shared" si="34"/>
        <v>124.02014645937496</v>
      </c>
      <c r="AW30" s="40">
        <f t="shared" si="35"/>
        <v>545.67524958458182</v>
      </c>
      <c r="AX30" s="65">
        <f t="shared" si="36"/>
        <v>67674.724372735815</v>
      </c>
      <c r="AY30" s="65">
        <f t="shared" si="37"/>
        <v>43053.338277643132</v>
      </c>
      <c r="AZ30" s="65">
        <f t="shared" si="38"/>
        <v>20740.044850164697</v>
      </c>
    </row>
    <row r="31" spans="1:52" ht="15" customHeight="1" x14ac:dyDescent="0.35">
      <c r="A31" s="61" t="str">
        <f>Segments!$A$11</f>
        <v>Non-greek</v>
      </c>
      <c r="B31" s="61" t="str">
        <f>Segments!$B$11</f>
        <v>On campus</v>
      </c>
      <c r="C31" s="61" t="str">
        <f>Segments!$C$11</f>
        <v>Yes</v>
      </c>
      <c r="D31" s="61" t="str">
        <f>Segments!$D$11</f>
        <v>1.0-2.0</v>
      </c>
      <c r="E31" s="61" t="str">
        <f>Segments!$E$11</f>
        <v>Sophomore</v>
      </c>
      <c r="F31" s="61">
        <f>Segments!$F$11</f>
        <v>1</v>
      </c>
      <c r="G31" s="61" t="str">
        <f>Segments!$G$11</f>
        <v>Sophomore</v>
      </c>
      <c r="H31" s="62">
        <f>Segments!$H$11</f>
        <v>216</v>
      </c>
      <c r="I31" s="63">
        <f>Segments!$Y$11</f>
        <v>289.18854315123065</v>
      </c>
      <c r="J31" s="42">
        <v>1</v>
      </c>
      <c r="K31" s="40">
        <f t="shared" si="0"/>
        <v>1426.2297754450396</v>
      </c>
      <c r="L31" s="40">
        <f t="shared" si="1"/>
        <v>289.18854315123065</v>
      </c>
      <c r="M31" s="40">
        <f t="shared" si="2"/>
        <v>511.90978286859297</v>
      </c>
      <c r="N31" s="40">
        <f t="shared" si="3"/>
        <v>854.45946344387357</v>
      </c>
      <c r="O31" s="40">
        <f t="shared" si="4"/>
        <v>1069.6723315837799</v>
      </c>
      <c r="P31" s="41">
        <f t="shared" si="5"/>
        <v>0.72406490456990358</v>
      </c>
      <c r="Q31" s="41">
        <f t="shared" si="6"/>
        <v>0.55044817526781453</v>
      </c>
      <c r="R31" s="64">
        <f t="shared" si="7"/>
        <v>136.12420205914188</v>
      </c>
      <c r="S31" s="64">
        <f>APPLICANTS_PER_YEAR*($H31/Segments!$AH$2)*Q31</f>
        <v>142.67616702941751</v>
      </c>
      <c r="T31" s="64">
        <f t="shared" si="8"/>
        <v>278.80036908855936</v>
      </c>
      <c r="U31" s="40">
        <f t="shared" si="9"/>
        <v>784.23719093673276</v>
      </c>
      <c r="V31" s="65">
        <f t="shared" si="10"/>
        <v>218645.6182861361</v>
      </c>
      <c r="W31" s="65">
        <f t="shared" si="11"/>
        <v>90300.977274755394</v>
      </c>
      <c r="X31" s="65">
        <f t="shared" si="12"/>
        <v>53023.239812545675</v>
      </c>
      <c r="Y31" s="40">
        <f t="shared" si="13"/>
        <v>516.74309509339412</v>
      </c>
      <c r="Z31" s="40">
        <f t="shared" si="14"/>
        <v>297.86419944576755</v>
      </c>
      <c r="AA31" s="40">
        <f t="shared" si="15"/>
        <v>526.01707635465073</v>
      </c>
      <c r="AB31" s="40">
        <f t="shared" si="16"/>
        <v>879.04940315674867</v>
      </c>
      <c r="AC31" s="40">
        <f t="shared" si="17"/>
        <v>526.01707635465073</v>
      </c>
      <c r="AD31" s="41">
        <f t="shared" si="18"/>
        <v>0.95</v>
      </c>
      <c r="AE31" s="41">
        <f t="shared" si="19"/>
        <v>0.5508034619751323</v>
      </c>
      <c r="AF31" s="64">
        <f t="shared" si="20"/>
        <v>117.66968578886903</v>
      </c>
      <c r="AG31" s="64">
        <f>APPLICANTS_PER_YEAR*($H31/Segments!$AH$2)*AE31</f>
        <v>142.76825734395428</v>
      </c>
      <c r="AH31" s="64">
        <f t="shared" si="21"/>
        <v>260.43794313282331</v>
      </c>
      <c r="AI31" s="40">
        <f t="shared" si="22"/>
        <v>526.01707635465061</v>
      </c>
      <c r="AJ31" s="65">
        <f t="shared" si="23"/>
        <v>136994.80541854649</v>
      </c>
      <c r="AK31" s="65">
        <f t="shared" si="24"/>
        <v>86884.156168948059</v>
      </c>
      <c r="AL31" s="65">
        <f t="shared" si="25"/>
        <v>37298.432466711638</v>
      </c>
      <c r="AM31" s="40">
        <f t="shared" si="26"/>
        <v>530.99538794619605</v>
      </c>
      <c r="AN31" s="40">
        <f t="shared" si="27"/>
        <v>306.80012542914056</v>
      </c>
      <c r="AO31" s="40">
        <f t="shared" si="28"/>
        <v>540.54758864529015</v>
      </c>
      <c r="AP31" s="40">
        <f t="shared" si="29"/>
        <v>904.37581816884051</v>
      </c>
      <c r="AQ31" s="40">
        <f t="shared" si="30"/>
        <v>540.54758864529015</v>
      </c>
      <c r="AR31" s="41">
        <f t="shared" si="31"/>
        <v>0.95</v>
      </c>
      <c r="AS31" s="41">
        <f t="shared" si="32"/>
        <v>0.55114880463092297</v>
      </c>
      <c r="AT31" s="64">
        <f t="shared" si="33"/>
        <v>117.74547347039301</v>
      </c>
      <c r="AU31" s="64">
        <f>APPLICANTS_PER_YEAR*($H31/Segments!$AH$2)*AS31</f>
        <v>142.85777016033524</v>
      </c>
      <c r="AV31" s="64">
        <f t="shared" si="34"/>
        <v>260.60324363072823</v>
      </c>
      <c r="AW31" s="40">
        <f t="shared" si="35"/>
        <v>540.54758864529015</v>
      </c>
      <c r="AX31" s="65">
        <f t="shared" si="36"/>
        <v>140868.45493773121</v>
      </c>
      <c r="AY31" s="65">
        <f t="shared" si="37"/>
        <v>89547.48077312611</v>
      </c>
      <c r="AZ31" s="65">
        <f t="shared" si="38"/>
        <v>38110.396921133579</v>
      </c>
    </row>
    <row r="32" spans="1:52" ht="15" customHeight="1" x14ac:dyDescent="0.35">
      <c r="A32" s="61" t="str">
        <f>Segments!$A$12</f>
        <v>Non-greek</v>
      </c>
      <c r="B32" s="61" t="str">
        <f>Segments!$B$12</f>
        <v>On campus</v>
      </c>
      <c r="C32" s="61" t="str">
        <f>Segments!$C$12</f>
        <v>Yes</v>
      </c>
      <c r="D32" s="61" t="str">
        <f>Segments!$D$12</f>
        <v>1.0-2.0</v>
      </c>
      <c r="E32" s="61" t="str">
        <f>Segments!$E$12</f>
        <v>Junior</v>
      </c>
      <c r="F32" s="61">
        <f>Segments!$F$12</f>
        <v>2</v>
      </c>
      <c r="G32" s="61" t="str">
        <f>Segments!$G$12</f>
        <v>Base</v>
      </c>
      <c r="H32" s="62">
        <f>Segments!$H$12</f>
        <v>194</v>
      </c>
      <c r="I32" s="63">
        <f>Segments!$Y$12</f>
        <v>345.70339461978443</v>
      </c>
      <c r="J32" s="42">
        <v>2</v>
      </c>
      <c r="K32" s="40">
        <f t="shared" si="0"/>
        <v>1426.2297754450396</v>
      </c>
      <c r="L32" s="40">
        <f t="shared" si="1"/>
        <v>345.70339461978443</v>
      </c>
      <c r="M32" s="40">
        <f t="shared" si="2"/>
        <v>603.8073372345832</v>
      </c>
      <c r="N32" s="40">
        <f t="shared" si="3"/>
        <v>927.99138088462166</v>
      </c>
      <c r="O32" s="40">
        <f t="shared" si="4"/>
        <v>1069.6723315837799</v>
      </c>
      <c r="P32" s="41">
        <f t="shared" si="5"/>
        <v>0.77366257186349152</v>
      </c>
      <c r="Q32" s="41">
        <f t="shared" si="6"/>
        <v>0.52466974927127286</v>
      </c>
      <c r="R32" s="64">
        <f t="shared" si="7"/>
        <v>167.11111552251418</v>
      </c>
      <c r="S32" s="64">
        <f>APPLICANTS_PER_YEAR*($H32/Segments!$AH$2)*Q32</f>
        <v>122.14311763035232</v>
      </c>
      <c r="T32" s="64">
        <f t="shared" si="8"/>
        <v>289.2542331528665</v>
      </c>
      <c r="U32" s="40">
        <f t="shared" si="9"/>
        <v>872.95195109211261</v>
      </c>
      <c r="V32" s="65">
        <f t="shared" si="10"/>
        <v>252505.04719244764</v>
      </c>
      <c r="W32" s="65">
        <f t="shared" si="11"/>
        <v>111995.71074617917</v>
      </c>
      <c r="X32" s="65">
        <f t="shared" si="12"/>
        <v>59143.398394815711</v>
      </c>
      <c r="Y32" s="40">
        <f t="shared" si="13"/>
        <v>784.23719093673276</v>
      </c>
      <c r="Z32" s="40">
        <f t="shared" si="14"/>
        <v>356.07449645837795</v>
      </c>
      <c r="AA32" s="40">
        <f t="shared" si="15"/>
        <v>620.67155735162066</v>
      </c>
      <c r="AB32" s="40">
        <f t="shared" si="16"/>
        <v>954.87007678674627</v>
      </c>
      <c r="AC32" s="40">
        <f t="shared" si="17"/>
        <v>620.67155735162066</v>
      </c>
      <c r="AD32" s="41">
        <f t="shared" si="18"/>
        <v>0.95</v>
      </c>
      <c r="AE32" s="41">
        <f t="shared" si="19"/>
        <v>0.52499685431537668</v>
      </c>
      <c r="AF32" s="64">
        <f t="shared" si="20"/>
        <v>264.86035063413141</v>
      </c>
      <c r="AG32" s="64">
        <f>APPLICANTS_PER_YEAR*($H32/Segments!$AH$2)*AE32</f>
        <v>122.21926768461969</v>
      </c>
      <c r="AH32" s="64">
        <f t="shared" si="21"/>
        <v>387.0796183187511</v>
      </c>
      <c r="AI32" s="40">
        <f t="shared" si="22"/>
        <v>620.67155735162066</v>
      </c>
      <c r="AJ32" s="65">
        <f t="shared" si="23"/>
        <v>240249.30952097016</v>
      </c>
      <c r="AK32" s="65">
        <f t="shared" si="24"/>
        <v>154368.68180400849</v>
      </c>
      <c r="AL32" s="65">
        <f t="shared" si="25"/>
        <v>58859.224370380442</v>
      </c>
      <c r="AM32" s="40">
        <f t="shared" si="26"/>
        <v>526.01707635465061</v>
      </c>
      <c r="AN32" s="40">
        <f t="shared" si="27"/>
        <v>366.75673135212929</v>
      </c>
      <c r="AO32" s="40">
        <f t="shared" si="28"/>
        <v>638.0417040721693</v>
      </c>
      <c r="AP32" s="40">
        <f t="shared" si="29"/>
        <v>982.55417945857664</v>
      </c>
      <c r="AQ32" s="40">
        <f t="shared" si="30"/>
        <v>638.0417040721693</v>
      </c>
      <c r="AR32" s="41">
        <f t="shared" si="31"/>
        <v>0.95</v>
      </c>
      <c r="AS32" s="41">
        <f t="shared" si="32"/>
        <v>0.5253147473130928</v>
      </c>
      <c r="AT32" s="64">
        <f t="shared" si="33"/>
        <v>247.41604597618212</v>
      </c>
      <c r="AU32" s="64">
        <f>APPLICANTS_PER_YEAR*($H32/Segments!$AH$2)*AS32</f>
        <v>122.29327317448801</v>
      </c>
      <c r="AV32" s="64">
        <f t="shared" si="34"/>
        <v>369.70931915067013</v>
      </c>
      <c r="AW32" s="40">
        <f t="shared" si="35"/>
        <v>638.0417040721693</v>
      </c>
      <c r="AX32" s="65">
        <f t="shared" si="36"/>
        <v>235889.96400225506</v>
      </c>
      <c r="AY32" s="65">
        <f t="shared" si="37"/>
        <v>151864.58721517547</v>
      </c>
      <c r="AZ32" s="65">
        <f t="shared" si="38"/>
        <v>57765.708703250282</v>
      </c>
    </row>
    <row r="33" spans="1:52" ht="15" customHeight="1" x14ac:dyDescent="0.35">
      <c r="A33" s="61" t="str">
        <f>Segments!$A$13</f>
        <v>Non-greek</v>
      </c>
      <c r="B33" s="61" t="str">
        <f>Segments!$B$13</f>
        <v>On campus</v>
      </c>
      <c r="C33" s="61" t="str">
        <f>Segments!$C$13</f>
        <v>Yes</v>
      </c>
      <c r="D33" s="61" t="str">
        <f>Segments!$D$13</f>
        <v>1.0-2.0</v>
      </c>
      <c r="E33" s="61" t="str">
        <f>Segments!$E$13</f>
        <v>Senior</v>
      </c>
      <c r="F33" s="61">
        <f>Segments!$F$13</f>
        <v>3</v>
      </c>
      <c r="G33" s="61" t="str">
        <f>Segments!$G$13</f>
        <v>Base</v>
      </c>
      <c r="H33" s="62">
        <f>Segments!$H$13</f>
        <v>209</v>
      </c>
      <c r="I33" s="63">
        <f>Segments!$Y$13</f>
        <v>323.12462660342288</v>
      </c>
      <c r="J33" s="42">
        <v>3</v>
      </c>
      <c r="K33" s="40">
        <f t="shared" si="0"/>
        <v>1426.2297754450396</v>
      </c>
      <c r="L33" s="40">
        <f t="shared" si="1"/>
        <v>323.12462660342288</v>
      </c>
      <c r="M33" s="40">
        <f t="shared" si="2"/>
        <v>567.09250020709476</v>
      </c>
      <c r="N33" s="40">
        <f t="shared" si="3"/>
        <v>899.33542642716509</v>
      </c>
      <c r="O33" s="40">
        <f t="shared" si="4"/>
        <v>1069.6723315837799</v>
      </c>
      <c r="P33" s="41">
        <f t="shared" si="5"/>
        <v>0.75529845697654729</v>
      </c>
      <c r="Q33" s="41">
        <f t="shared" si="6"/>
        <v>0.53471580038828692</v>
      </c>
      <c r="R33" s="64">
        <f t="shared" si="7"/>
        <v>146.52790065345019</v>
      </c>
      <c r="S33" s="64">
        <f>APPLICANTS_PER_YEAR*($H33/Segments!$AH$2)*Q33</f>
        <v>134.10672273738234</v>
      </c>
      <c r="T33" s="64">
        <f t="shared" si="8"/>
        <v>280.63462339083253</v>
      </c>
      <c r="U33" s="40">
        <f t="shared" si="9"/>
        <v>829.50476677846291</v>
      </c>
      <c r="V33" s="65">
        <f t="shared" si="10"/>
        <v>232787.75782577432</v>
      </c>
      <c r="W33" s="65">
        <f t="shared" si="11"/>
        <v>101561.55284257357</v>
      </c>
      <c r="X33" s="65">
        <f t="shared" si="12"/>
        <v>55624.02884953282</v>
      </c>
      <c r="Y33" s="40">
        <f t="shared" si="13"/>
        <v>872.95195109211261</v>
      </c>
      <c r="Z33" s="40">
        <f t="shared" si="14"/>
        <v>332.81836540152557</v>
      </c>
      <c r="AA33" s="40">
        <f t="shared" si="15"/>
        <v>582.85527521330755</v>
      </c>
      <c r="AB33" s="40">
        <f t="shared" si="16"/>
        <v>925.32378913165587</v>
      </c>
      <c r="AC33" s="40">
        <f t="shared" si="17"/>
        <v>654.71396331908443</v>
      </c>
      <c r="AD33" s="41">
        <f t="shared" si="18"/>
        <v>0.95</v>
      </c>
      <c r="AE33" s="41">
        <f t="shared" si="19"/>
        <v>0.5350533391342549</v>
      </c>
      <c r="AF33" s="64">
        <f t="shared" si="20"/>
        <v>274.79152149522315</v>
      </c>
      <c r="AG33" s="64">
        <f>APPLICANTS_PER_YEAR*($H33/Segments!$AH$2)*AE33</f>
        <v>134.19137745487112</v>
      </c>
      <c r="AH33" s="64">
        <f t="shared" si="21"/>
        <v>408.9828989500943</v>
      </c>
      <c r="AI33" s="40">
        <f t="shared" si="22"/>
        <v>631.13640943170083</v>
      </c>
      <c r="AJ33" s="65">
        <f t="shared" si="23"/>
        <v>258123.99836233066</v>
      </c>
      <c r="AK33" s="65">
        <f t="shared" si="24"/>
        <v>152451.06229443743</v>
      </c>
      <c r="AL33" s="65">
        <f t="shared" si="25"/>
        <v>63057.373434174064</v>
      </c>
      <c r="AM33" s="40">
        <f t="shared" si="26"/>
        <v>620.67155735162066</v>
      </c>
      <c r="AN33" s="40">
        <f t="shared" si="27"/>
        <v>342.80291636357134</v>
      </c>
      <c r="AO33" s="40">
        <f t="shared" si="28"/>
        <v>599.09093346970678</v>
      </c>
      <c r="AP33" s="40">
        <f t="shared" si="29"/>
        <v>952.09075426623122</v>
      </c>
      <c r="AQ33" s="40">
        <f t="shared" si="30"/>
        <v>599.09093346970678</v>
      </c>
      <c r="AR33" s="41">
        <f t="shared" si="31"/>
        <v>0.95</v>
      </c>
      <c r="AS33" s="41">
        <f t="shared" si="32"/>
        <v>0.53538139311550115</v>
      </c>
      <c r="AT33" s="64">
        <f t="shared" si="33"/>
        <v>367.7256374028135</v>
      </c>
      <c r="AU33" s="64">
        <f>APPLICANTS_PER_YEAR*($H33/Segments!$AH$2)*AS33</f>
        <v>134.27365339336768</v>
      </c>
      <c r="AV33" s="64">
        <f t="shared" si="34"/>
        <v>501.99929079618119</v>
      </c>
      <c r="AW33" s="40">
        <f t="shared" si="35"/>
        <v>599.09093346970667</v>
      </c>
      <c r="AX33" s="65">
        <f t="shared" si="36"/>
        <v>300743.22372421494</v>
      </c>
      <c r="AY33" s="65">
        <f t="shared" si="37"/>
        <v>192737.23940506051</v>
      </c>
      <c r="AZ33" s="65">
        <f t="shared" si="38"/>
        <v>73052.770926948157</v>
      </c>
    </row>
    <row r="34" spans="1:52" ht="15" customHeight="1" x14ac:dyDescent="0.35">
      <c r="A34" s="61" t="str">
        <f>Segments!$A$14</f>
        <v>Non-greek</v>
      </c>
      <c r="B34" s="61" t="str">
        <f>Segments!$B$14</f>
        <v>On campus</v>
      </c>
      <c r="C34" s="61" t="str">
        <f>Segments!$C$14</f>
        <v>Yes</v>
      </c>
      <c r="D34" s="61" t="str">
        <f>Segments!$D$14</f>
        <v>1.0-2.0</v>
      </c>
      <c r="E34" s="61" t="str">
        <f>Segments!$E$14</f>
        <v>Grad student</v>
      </c>
      <c r="F34" s="61">
        <f>Segments!$F$14</f>
        <v>3</v>
      </c>
      <c r="G34" s="61" t="str">
        <f>Segments!$G$14</f>
        <v>Grad</v>
      </c>
      <c r="H34" s="62">
        <f>Segments!$H$14</f>
        <v>113</v>
      </c>
      <c r="I34" s="63">
        <f>Segments!$Y$14</f>
        <v>384.73816837069523</v>
      </c>
      <c r="J34" s="42">
        <v>4</v>
      </c>
      <c r="K34" s="40">
        <f t="shared" si="0"/>
        <v>1426.2297754450396</v>
      </c>
      <c r="L34" s="40">
        <f t="shared" si="1"/>
        <v>384.73816837069523</v>
      </c>
      <c r="M34" s="40">
        <f t="shared" si="2"/>
        <v>667.28092249091992</v>
      </c>
      <c r="N34" s="40">
        <f t="shared" si="3"/>
        <v>975.54903528371335</v>
      </c>
      <c r="O34" s="40">
        <f t="shared" si="4"/>
        <v>1069.6723315837799</v>
      </c>
      <c r="P34" s="41">
        <f t="shared" si="5"/>
        <v>0.80175880817067635</v>
      </c>
      <c r="Q34" s="41">
        <f t="shared" si="6"/>
        <v>0.50799724137041535</v>
      </c>
      <c r="R34" s="64">
        <f t="shared" si="7"/>
        <v>45.299372661643211</v>
      </c>
      <c r="S34" s="64">
        <f>APPLICANTS_PER_YEAR*($H34/Segments!$AH$2)*Q34</f>
        <v>68.884425929828325</v>
      </c>
      <c r="T34" s="64">
        <f t="shared" si="8"/>
        <v>114.18379859147154</v>
      </c>
      <c r="U34" s="40">
        <f t="shared" si="9"/>
        <v>826.91896765315755</v>
      </c>
      <c r="V34" s="65">
        <f t="shared" si="10"/>
        <v>94420.748853975718</v>
      </c>
      <c r="W34" s="65">
        <f t="shared" si="11"/>
        <v>49202.569391014069</v>
      </c>
      <c r="X34" s="65">
        <f t="shared" si="12"/>
        <v>23460.092368266516</v>
      </c>
      <c r="Y34" s="40">
        <f t="shared" si="13"/>
        <v>826.91896765315755</v>
      </c>
      <c r="Z34" s="40">
        <f t="shared" si="14"/>
        <v>396.28031342181612</v>
      </c>
      <c r="AA34" s="40">
        <f t="shared" si="15"/>
        <v>686.04935016564752</v>
      </c>
      <c r="AB34" s="40">
        <f t="shared" si="16"/>
        <v>1003.9013551887933</v>
      </c>
      <c r="AC34" s="40">
        <f t="shared" si="17"/>
        <v>686.04935016564752</v>
      </c>
      <c r="AD34" s="41">
        <f t="shared" si="18"/>
        <v>0.95</v>
      </c>
      <c r="AE34" s="41">
        <f t="shared" si="19"/>
        <v>0.50830838527126532</v>
      </c>
      <c r="AF34" s="64">
        <f t="shared" si="20"/>
        <v>54.23730433094898</v>
      </c>
      <c r="AG34" s="64">
        <f>APPLICANTS_PER_YEAR*($H34/Segments!$AH$2)*AE34</f>
        <v>68.926617042783576</v>
      </c>
      <c r="AH34" s="64">
        <f t="shared" si="21"/>
        <v>123.16392137373256</v>
      </c>
      <c r="AI34" s="40">
        <f t="shared" si="22"/>
        <v>686.04935016564741</v>
      </c>
      <c r="AJ34" s="65">
        <f t="shared" si="23"/>
        <v>84496.52822230212</v>
      </c>
      <c r="AK34" s="65">
        <f t="shared" si="24"/>
        <v>54664.329847951783</v>
      </c>
      <c r="AL34" s="65">
        <f t="shared" si="25"/>
        <v>21811.334816655475</v>
      </c>
      <c r="AM34" s="40">
        <f t="shared" si="26"/>
        <v>686.04935016564741</v>
      </c>
      <c r="AN34" s="40">
        <f t="shared" si="27"/>
        <v>408.16872282447054</v>
      </c>
      <c r="AO34" s="40">
        <f t="shared" si="28"/>
        <v>705.38083067061689</v>
      </c>
      <c r="AP34" s="40">
        <f t="shared" si="29"/>
        <v>1033.103423662792</v>
      </c>
      <c r="AQ34" s="40">
        <f t="shared" si="30"/>
        <v>705.38083067061689</v>
      </c>
      <c r="AR34" s="41">
        <f t="shared" si="31"/>
        <v>0.95</v>
      </c>
      <c r="AS34" s="41">
        <f t="shared" si="32"/>
        <v>0.50861073803736834</v>
      </c>
      <c r="AT34" s="64">
        <f t="shared" si="33"/>
        <v>58.502862652522964</v>
      </c>
      <c r="AU34" s="64">
        <f>APPLICANTS_PER_YEAR*($H34/Segments!$AH$2)*AS34</f>
        <v>68.967616077867149</v>
      </c>
      <c r="AV34" s="64">
        <f t="shared" si="34"/>
        <v>127.47047873039011</v>
      </c>
      <c r="AW34" s="40">
        <f t="shared" si="35"/>
        <v>705.38083067061689</v>
      </c>
      <c r="AX34" s="65">
        <f t="shared" si="36"/>
        <v>89915.232172823773</v>
      </c>
      <c r="AY34" s="65">
        <f t="shared" si="37"/>
        <v>58272.998001352033</v>
      </c>
      <c r="AZ34" s="65">
        <f t="shared" si="38"/>
        <v>22970.27405836141</v>
      </c>
    </row>
    <row r="35" spans="1:52" ht="15" customHeight="1" x14ac:dyDescent="0.35">
      <c r="A35" s="59" t="str">
        <f>Segments!$A$15</f>
        <v>Non-greek</v>
      </c>
      <c r="B35" s="59" t="str">
        <f>Segments!$B$15</f>
        <v>On campus</v>
      </c>
      <c r="C35" s="59" t="str">
        <f>Segments!$C$15</f>
        <v>Yes</v>
      </c>
      <c r="D35" s="59" t="str">
        <f>Segments!$D$15</f>
        <v>2.0-3.0</v>
      </c>
      <c r="E35" s="59" t="str">
        <f>Segments!$E$15</f>
        <v>Freshman</v>
      </c>
      <c r="F35" s="59">
        <f>Segments!$F$15</f>
        <v>1</v>
      </c>
      <c r="G35" s="59" t="str">
        <f>Segments!$G$15</f>
        <v>Base</v>
      </c>
      <c r="H35" s="60">
        <f>Segments!$H$15</f>
        <v>348</v>
      </c>
      <c r="I35" s="26">
        <f>Segments!$Y$15</f>
        <v>287.10060835138182</v>
      </c>
      <c r="J35" s="29">
        <v>0</v>
      </c>
      <c r="K35" s="14">
        <f t="shared" si="0"/>
        <v>508.51463810936951</v>
      </c>
      <c r="L35" s="14">
        <f t="shared" si="1"/>
        <v>287.10060835138182</v>
      </c>
      <c r="M35" s="14">
        <f t="shared" si="2"/>
        <v>508.51463810936951</v>
      </c>
      <c r="N35" s="14">
        <f t="shared" si="3"/>
        <v>851.62122925702226</v>
      </c>
      <c r="O35" s="14">
        <f t="shared" si="4"/>
        <v>508.51463810936951</v>
      </c>
      <c r="P35" s="33">
        <f t="shared" si="5"/>
        <v>0.95</v>
      </c>
      <c r="Q35" s="33">
        <f t="shared" si="6"/>
        <v>0.55144318821583882</v>
      </c>
      <c r="R35" s="51">
        <f t="shared" si="7"/>
        <v>0</v>
      </c>
      <c r="S35" s="51">
        <f>APPLICANTS_PER_YEAR*($H35/Segments!$AH$2)*Q35</f>
        <v>230.28267539893426</v>
      </c>
      <c r="T35" s="51">
        <f t="shared" si="8"/>
        <v>230.28267539893426</v>
      </c>
      <c r="U35" s="14">
        <f t="shared" si="9"/>
        <v>508.51463810936951</v>
      </c>
      <c r="V35" s="44">
        <f t="shared" si="10"/>
        <v>117102.11134334646</v>
      </c>
      <c r="W35" s="44">
        <f t="shared" si="11"/>
        <v>74048.011743795971</v>
      </c>
      <c r="X35" s="44">
        <f t="shared" si="12"/>
        <v>36593.593333861652</v>
      </c>
      <c r="Y35" s="14">
        <f t="shared" si="13"/>
        <v>522.52007725265059</v>
      </c>
      <c r="Z35" s="14">
        <f t="shared" si="14"/>
        <v>295.71362660192329</v>
      </c>
      <c r="AA35" s="14">
        <f t="shared" si="15"/>
        <v>522.52007725265059</v>
      </c>
      <c r="AB35" s="14">
        <f t="shared" si="16"/>
        <v>876.122538928739</v>
      </c>
      <c r="AC35" s="14">
        <f t="shared" si="17"/>
        <v>522.52007725265059</v>
      </c>
      <c r="AD35" s="33">
        <f t="shared" si="18"/>
        <v>0.95</v>
      </c>
      <c r="AE35" s="33">
        <f t="shared" si="19"/>
        <v>0.55179966041533901</v>
      </c>
      <c r="AF35" s="51">
        <f t="shared" si="20"/>
        <v>0</v>
      </c>
      <c r="AG35" s="51">
        <f>APPLICANTS_PER_YEAR*($H35/Segments!$AH$2)*AE35</f>
        <v>230.43153818944555</v>
      </c>
      <c r="AH35" s="51">
        <f t="shared" si="21"/>
        <v>230.43153818944555</v>
      </c>
      <c r="AI35" s="14">
        <f t="shared" si="22"/>
        <v>522.52007725265059</v>
      </c>
      <c r="AJ35" s="44">
        <f t="shared" si="23"/>
        <v>120405.10513619619</v>
      </c>
      <c r="AK35" s="44">
        <f t="shared" si="24"/>
        <v>76318.755342435805</v>
      </c>
      <c r="AL35" s="44">
        <f t="shared" si="25"/>
        <v>37340.162769032991</v>
      </c>
      <c r="AM35" s="14">
        <f t="shared" si="26"/>
        <v>536.94567957023003</v>
      </c>
      <c r="AN35" s="14">
        <f t="shared" si="27"/>
        <v>304.58503539998094</v>
      </c>
      <c r="AO35" s="14">
        <f t="shared" si="28"/>
        <v>536.94567957023003</v>
      </c>
      <c r="AP35" s="14">
        <f t="shared" si="29"/>
        <v>901.35765270175136</v>
      </c>
      <c r="AQ35" s="14">
        <f t="shared" si="30"/>
        <v>536.94567957023003</v>
      </c>
      <c r="AR35" s="33">
        <f t="shared" si="31"/>
        <v>0.95</v>
      </c>
      <c r="AS35" s="33">
        <f t="shared" si="32"/>
        <v>0.55214615809785605</v>
      </c>
      <c r="AT35" s="51">
        <f t="shared" si="33"/>
        <v>0</v>
      </c>
      <c r="AU35" s="51">
        <f>APPLICANTS_PER_YEAR*($H35/Segments!$AH$2)*AS35</f>
        <v>230.57623562166467</v>
      </c>
      <c r="AV35" s="51">
        <f t="shared" si="34"/>
        <v>230.57623562166467</v>
      </c>
      <c r="AW35" s="14">
        <f t="shared" si="35"/>
        <v>536.94567957023003</v>
      </c>
      <c r="AX35" s="44">
        <f t="shared" si="36"/>
        <v>123806.91352862021</v>
      </c>
      <c r="AY35" s="44">
        <f t="shared" si="37"/>
        <v>78657.67939592537</v>
      </c>
      <c r="AZ35" s="44">
        <f t="shared" si="38"/>
        <v>38108.679233385832</v>
      </c>
    </row>
    <row r="36" spans="1:52" ht="15" customHeight="1" x14ac:dyDescent="0.35">
      <c r="A36" s="59" t="str">
        <f>Segments!$A$16</f>
        <v>Non-greek</v>
      </c>
      <c r="B36" s="59" t="str">
        <f>Segments!$B$16</f>
        <v>On campus</v>
      </c>
      <c r="C36" s="59" t="str">
        <f>Segments!$C$16</f>
        <v>Yes</v>
      </c>
      <c r="D36" s="59" t="str">
        <f>Segments!$D$16</f>
        <v>2.0-3.0</v>
      </c>
      <c r="E36" s="59" t="str">
        <f>Segments!$E$16</f>
        <v>Sophomore</v>
      </c>
      <c r="F36" s="59">
        <f>Segments!$F$16</f>
        <v>1</v>
      </c>
      <c r="G36" s="59" t="str">
        <f>Segments!$G$16</f>
        <v>Sophomore</v>
      </c>
      <c r="H36" s="60">
        <f>Segments!$H$16</f>
        <v>328</v>
      </c>
      <c r="I36" s="26">
        <f>Segments!$Y$16</f>
        <v>284.17971647575672</v>
      </c>
      <c r="J36" s="29">
        <v>1</v>
      </c>
      <c r="K36" s="14">
        <f t="shared" si="0"/>
        <v>1426.2297754450396</v>
      </c>
      <c r="L36" s="14">
        <f t="shared" si="1"/>
        <v>284.17971647575672</v>
      </c>
      <c r="M36" s="14">
        <f t="shared" si="2"/>
        <v>503.76504020789059</v>
      </c>
      <c r="N36" s="14">
        <f t="shared" si="3"/>
        <v>847.63476814767409</v>
      </c>
      <c r="O36" s="14">
        <f t="shared" si="4"/>
        <v>1069.6723315837799</v>
      </c>
      <c r="P36" s="33">
        <f t="shared" si="5"/>
        <v>0.71902521476241366</v>
      </c>
      <c r="Q36" s="33">
        <f t="shared" si="6"/>
        <v>0.55284074041183906</v>
      </c>
      <c r="R36" s="51">
        <f t="shared" si="7"/>
        <v>250.22077473731994</v>
      </c>
      <c r="S36" s="51">
        <f>APPLICANTS_PER_YEAR*($H36/Segments!$AH$2)*Q36</f>
        <v>217.59811542609987</v>
      </c>
      <c r="T36" s="51">
        <f t="shared" si="8"/>
        <v>467.81889016341984</v>
      </c>
      <c r="U36" s="14">
        <f t="shared" si="9"/>
        <v>806.45004043972926</v>
      </c>
      <c r="V36" s="44">
        <f t="shared" si="10"/>
        <v>377272.5628907592</v>
      </c>
      <c r="W36" s="44">
        <f t="shared" si="11"/>
        <v>148897.99631688109</v>
      </c>
      <c r="X36" s="44">
        <f t="shared" si="12"/>
        <v>89937.486393112034</v>
      </c>
      <c r="Y36" s="14">
        <f t="shared" si="13"/>
        <v>508.51463810936951</v>
      </c>
      <c r="Z36" s="14">
        <f t="shared" si="14"/>
        <v>292.70510797002942</v>
      </c>
      <c r="AA36" s="14">
        <f t="shared" si="15"/>
        <v>517.62799141412734</v>
      </c>
      <c r="AB36" s="14">
        <f t="shared" si="16"/>
        <v>872.01155243345079</v>
      </c>
      <c r="AC36" s="14">
        <f t="shared" si="17"/>
        <v>517.62799141412734</v>
      </c>
      <c r="AD36" s="33">
        <f t="shared" si="18"/>
        <v>0.95</v>
      </c>
      <c r="AE36" s="33">
        <f t="shared" si="19"/>
        <v>0.55319889113302134</v>
      </c>
      <c r="AF36" s="51">
        <f t="shared" si="20"/>
        <v>218.76854162898755</v>
      </c>
      <c r="AG36" s="51">
        <f>APPLICANTS_PER_YEAR*($H36/Segments!$AH$2)*AE36</f>
        <v>217.7390835499572</v>
      </c>
      <c r="AH36" s="51">
        <f t="shared" si="21"/>
        <v>436.50762517894475</v>
      </c>
      <c r="AI36" s="14">
        <f t="shared" si="22"/>
        <v>517.62799141412734</v>
      </c>
      <c r="AJ36" s="44">
        <f t="shared" si="23"/>
        <v>225948.56525832793</v>
      </c>
      <c r="AK36" s="44">
        <f t="shared" si="24"/>
        <v>143100.17294467348</v>
      </c>
      <c r="AL36" s="44">
        <f t="shared" si="25"/>
        <v>60822.682982612911</v>
      </c>
      <c r="AM36" s="14">
        <f t="shared" si="26"/>
        <v>522.52007725265059</v>
      </c>
      <c r="AN36" s="14">
        <f t="shared" si="27"/>
        <v>301.4862612091303</v>
      </c>
      <c r="AO36" s="14">
        <f t="shared" si="28"/>
        <v>531.90683115655111</v>
      </c>
      <c r="AP36" s="14">
        <f t="shared" si="29"/>
        <v>897.11838750741151</v>
      </c>
      <c r="AQ36" s="14">
        <f t="shared" si="30"/>
        <v>531.90683115655111</v>
      </c>
      <c r="AR36" s="33">
        <f t="shared" si="31"/>
        <v>0.95</v>
      </c>
      <c r="AS36" s="33">
        <f t="shared" si="32"/>
        <v>0.55354702424814761</v>
      </c>
      <c r="AT36" s="51">
        <f t="shared" si="33"/>
        <v>218.90996127997326</v>
      </c>
      <c r="AU36" s="51">
        <f>APPLICANTS_PER_YEAR*($H36/Segments!$AH$2)*AS36</f>
        <v>217.8761087440709</v>
      </c>
      <c r="AV36" s="51">
        <f t="shared" si="34"/>
        <v>436.78607002404419</v>
      </c>
      <c r="AW36" s="14">
        <f t="shared" si="35"/>
        <v>531.90683115655111</v>
      </c>
      <c r="AX36" s="44">
        <f t="shared" si="36"/>
        <v>232329.49439981277</v>
      </c>
      <c r="AY36" s="44">
        <f t="shared" si="37"/>
        <v>147487.19910375192</v>
      </c>
      <c r="AZ36" s="44">
        <f t="shared" si="38"/>
        <v>62149.041231184528</v>
      </c>
    </row>
    <row r="37" spans="1:52" ht="15" customHeight="1" x14ac:dyDescent="0.35">
      <c r="A37" s="59" t="str">
        <f>Segments!$A$17</f>
        <v>Non-greek</v>
      </c>
      <c r="B37" s="59" t="str">
        <f>Segments!$B$17</f>
        <v>On campus</v>
      </c>
      <c r="C37" s="59" t="str">
        <f>Segments!$C$17</f>
        <v>Yes</v>
      </c>
      <c r="D37" s="59" t="str">
        <f>Segments!$D$17</f>
        <v>2.0-3.0</v>
      </c>
      <c r="E37" s="59" t="str">
        <f>Segments!$E$17</f>
        <v>Junior</v>
      </c>
      <c r="F37" s="59">
        <f>Segments!$F$17</f>
        <v>2</v>
      </c>
      <c r="G37" s="59" t="str">
        <f>Segments!$G$17</f>
        <v>Base</v>
      </c>
      <c r="H37" s="60">
        <f>Segments!$H$17</f>
        <v>358</v>
      </c>
      <c r="I37" s="26">
        <f>Segments!$Y$17</f>
        <v>339.71571486627516</v>
      </c>
      <c r="J37" s="29">
        <v>2</v>
      </c>
      <c r="K37" s="14">
        <f t="shared" si="0"/>
        <v>1426.2297754450396</v>
      </c>
      <c r="L37" s="14">
        <f t="shared" si="1"/>
        <v>339.71571486627516</v>
      </c>
      <c r="M37" s="14">
        <f t="shared" si="2"/>
        <v>594.07090315795062</v>
      </c>
      <c r="N37" s="14">
        <f t="shared" si="3"/>
        <v>920.47901160721528</v>
      </c>
      <c r="O37" s="14">
        <f t="shared" si="4"/>
        <v>1069.6723315837799</v>
      </c>
      <c r="P37" s="33">
        <f t="shared" si="5"/>
        <v>0.76895886918917167</v>
      </c>
      <c r="Q37" s="33">
        <f t="shared" si="6"/>
        <v>0.5273033954784776</v>
      </c>
      <c r="R37" s="51">
        <f t="shared" si="7"/>
        <v>252.2185090940483</v>
      </c>
      <c r="S37" s="51">
        <f>APPLICANTS_PER_YEAR*($H37/Segments!$AH$2)*Q37</f>
        <v>226.52953869755396</v>
      </c>
      <c r="T37" s="51">
        <f t="shared" si="8"/>
        <v>478.74804779160229</v>
      </c>
      <c r="U37" s="14">
        <f t="shared" si="9"/>
        <v>844.63168090712406</v>
      </c>
      <c r="V37" s="44">
        <f t="shared" si="10"/>
        <v>404365.76833722519</v>
      </c>
      <c r="W37" s="44">
        <f t="shared" si="11"/>
        <v>182154.82353192079</v>
      </c>
      <c r="X37" s="44">
        <f t="shared" si="12"/>
        <v>96373.440906616801</v>
      </c>
      <c r="Y37" s="14">
        <f t="shared" si="13"/>
        <v>806.45004043972926</v>
      </c>
      <c r="Z37" s="14">
        <f t="shared" si="14"/>
        <v>349.90718631226343</v>
      </c>
      <c r="AA37" s="14">
        <f t="shared" si="15"/>
        <v>610.64303025268907</v>
      </c>
      <c r="AB37" s="14">
        <f t="shared" si="16"/>
        <v>947.12448499223285</v>
      </c>
      <c r="AC37" s="14">
        <f t="shared" si="17"/>
        <v>610.64303025268907</v>
      </c>
      <c r="AD37" s="33">
        <f t="shared" si="18"/>
        <v>0.95</v>
      </c>
      <c r="AE37" s="33">
        <f t="shared" si="19"/>
        <v>0.52763317286761047</v>
      </c>
      <c r="AF37" s="51">
        <f t="shared" si="20"/>
        <v>444.42794565524883</v>
      </c>
      <c r="AG37" s="51">
        <f>APPLICANTS_PER_YEAR*($H37/Segments!$AH$2)*AE37</f>
        <v>226.67121106392543</v>
      </c>
      <c r="AH37" s="51">
        <f t="shared" si="21"/>
        <v>671.09915671917429</v>
      </c>
      <c r="AI37" s="14">
        <f t="shared" si="22"/>
        <v>610.64303025268907</v>
      </c>
      <c r="AJ37" s="44">
        <f t="shared" si="23"/>
        <v>409802.02265902085</v>
      </c>
      <c r="AK37" s="44">
        <f t="shared" si="24"/>
        <v>263001.10778383573</v>
      </c>
      <c r="AL37" s="44">
        <f t="shared" si="25"/>
        <v>101385.87752536584</v>
      </c>
      <c r="AM37" s="14">
        <f t="shared" si="26"/>
        <v>517.62799141412734</v>
      </c>
      <c r="AN37" s="14">
        <f t="shared" si="27"/>
        <v>360.40440190163133</v>
      </c>
      <c r="AO37" s="14">
        <f t="shared" si="28"/>
        <v>627.71232116026977</v>
      </c>
      <c r="AP37" s="14">
        <f t="shared" si="29"/>
        <v>974.56834487182743</v>
      </c>
      <c r="AQ37" s="14">
        <f t="shared" si="30"/>
        <v>627.71232116026977</v>
      </c>
      <c r="AR37" s="33">
        <f t="shared" si="31"/>
        <v>0.95</v>
      </c>
      <c r="AS37" s="33">
        <f t="shared" si="32"/>
        <v>0.52795366817356215</v>
      </c>
      <c r="AT37" s="51">
        <f t="shared" si="33"/>
        <v>414.68224391999752</v>
      </c>
      <c r="AU37" s="51">
        <f>APPLICANTS_PER_YEAR*($H37/Segments!$AH$2)*AS37</f>
        <v>226.80889584736229</v>
      </c>
      <c r="AV37" s="51">
        <f t="shared" si="34"/>
        <v>641.49113976735975</v>
      </c>
      <c r="AW37" s="14">
        <f t="shared" si="35"/>
        <v>627.71232116026988</v>
      </c>
      <c r="AX37" s="44">
        <f t="shared" si="36"/>
        <v>402671.89234711649</v>
      </c>
      <c r="AY37" s="44">
        <f t="shared" si="37"/>
        <v>258939.77821941723</v>
      </c>
      <c r="AZ37" s="44">
        <f t="shared" si="38"/>
        <v>99588.008691661351</v>
      </c>
    </row>
    <row r="38" spans="1:52" ht="15" customHeight="1" x14ac:dyDescent="0.35">
      <c r="A38" s="59" t="str">
        <f>Segments!$A$18</f>
        <v>Non-greek</v>
      </c>
      <c r="B38" s="59" t="str">
        <f>Segments!$B$18</f>
        <v>On campus</v>
      </c>
      <c r="C38" s="59" t="str">
        <f>Segments!$C$18</f>
        <v>Yes</v>
      </c>
      <c r="D38" s="59" t="str">
        <f>Segments!$D$18</f>
        <v>2.0-3.0</v>
      </c>
      <c r="E38" s="59" t="str">
        <f>Segments!$E$18</f>
        <v>Senior</v>
      </c>
      <c r="F38" s="59">
        <f>Segments!$F$18</f>
        <v>3</v>
      </c>
      <c r="G38" s="59" t="str">
        <f>Segments!$G$18</f>
        <v>Base</v>
      </c>
      <c r="H38" s="60">
        <f>Segments!$H$18</f>
        <v>343</v>
      </c>
      <c r="I38" s="26">
        <f>Segments!$Y$18</f>
        <v>317.52801744457599</v>
      </c>
      <c r="J38" s="29">
        <v>3</v>
      </c>
      <c r="K38" s="14">
        <f t="shared" si="0"/>
        <v>1426.2297754450396</v>
      </c>
      <c r="L38" s="14">
        <f t="shared" si="1"/>
        <v>317.52801744457599</v>
      </c>
      <c r="M38" s="14">
        <f t="shared" si="2"/>
        <v>557.99197740511045</v>
      </c>
      <c r="N38" s="14">
        <f t="shared" si="3"/>
        <v>892.09011463787908</v>
      </c>
      <c r="O38" s="14">
        <f t="shared" si="4"/>
        <v>1069.6723315837799</v>
      </c>
      <c r="P38" s="33">
        <f t="shared" si="5"/>
        <v>0.75046845378508331</v>
      </c>
      <c r="Q38" s="33">
        <f t="shared" si="6"/>
        <v>0.53725582301087771</v>
      </c>
      <c r="R38" s="51">
        <f t="shared" si="7"/>
        <v>268.66770645505983</v>
      </c>
      <c r="S38" s="51">
        <f>APPLICANTS_PER_YEAR*($H38/Segments!$AH$2)*Q38</f>
        <v>221.13449675127725</v>
      </c>
      <c r="T38" s="51">
        <f t="shared" si="8"/>
        <v>489.80220320633708</v>
      </c>
      <c r="U38" s="14">
        <f t="shared" si="9"/>
        <v>838.66034985296471</v>
      </c>
      <c r="V38" s="44">
        <f t="shared" si="10"/>
        <v>410777.68709977955</v>
      </c>
      <c r="W38" s="44">
        <f t="shared" si="11"/>
        <v>174189.03322698481</v>
      </c>
      <c r="X38" s="44">
        <f t="shared" si="12"/>
        <v>97280.083973782515</v>
      </c>
      <c r="Y38" s="14">
        <f t="shared" si="13"/>
        <v>844.63168090712406</v>
      </c>
      <c r="Z38" s="14">
        <f t="shared" si="14"/>
        <v>327.0538579679133</v>
      </c>
      <c r="AA38" s="14">
        <f t="shared" si="15"/>
        <v>573.48173672726375</v>
      </c>
      <c r="AB38" s="14">
        <f t="shared" si="16"/>
        <v>917.85305493427836</v>
      </c>
      <c r="AC38" s="14">
        <f t="shared" si="17"/>
        <v>633.47376068034305</v>
      </c>
      <c r="AD38" s="33">
        <f t="shared" si="18"/>
        <v>0.95</v>
      </c>
      <c r="AE38" s="33">
        <f t="shared" si="19"/>
        <v>0.53759610612816056</v>
      </c>
      <c r="AF38" s="51">
        <f t="shared" si="20"/>
        <v>454.81064540202215</v>
      </c>
      <c r="AG38" s="51">
        <f>APPLICANTS_PER_YEAR*($H38/Segments!$AH$2)*AE38</f>
        <v>221.27455728235086</v>
      </c>
      <c r="AH38" s="51">
        <f t="shared" si="21"/>
        <v>676.08520268437303</v>
      </c>
      <c r="AI38" s="14">
        <f t="shared" si="22"/>
        <v>613.83909261190581</v>
      </c>
      <c r="AJ38" s="44">
        <f t="shared" si="23"/>
        <v>415007.52734411194</v>
      </c>
      <c r="AK38" s="44">
        <f t="shared" si="24"/>
        <v>247650.22671529595</v>
      </c>
      <c r="AL38" s="44">
        <f t="shared" si="25"/>
        <v>101931.38276291774</v>
      </c>
      <c r="AM38" s="14">
        <f t="shared" si="26"/>
        <v>610.64303025268907</v>
      </c>
      <c r="AN38" s="14">
        <f t="shared" si="27"/>
        <v>336.86547370695064</v>
      </c>
      <c r="AO38" s="14">
        <f t="shared" si="28"/>
        <v>589.43618882908163</v>
      </c>
      <c r="AP38" s="14">
        <f t="shared" si="29"/>
        <v>944.38780917892177</v>
      </c>
      <c r="AQ38" s="14">
        <f t="shared" si="30"/>
        <v>589.43618882908163</v>
      </c>
      <c r="AR38" s="33">
        <f t="shared" si="31"/>
        <v>0.95</v>
      </c>
      <c r="AS38" s="33">
        <f t="shared" si="32"/>
        <v>0.53792683307636369</v>
      </c>
      <c r="AT38" s="51">
        <f t="shared" si="33"/>
        <v>637.54419888321559</v>
      </c>
      <c r="AU38" s="51">
        <f>APPLICANTS_PER_YEAR*($H38/Segments!$AH$2)*AS38</f>
        <v>221.41068449423128</v>
      </c>
      <c r="AV38" s="51">
        <f t="shared" si="34"/>
        <v>858.95488337744689</v>
      </c>
      <c r="AW38" s="14">
        <f t="shared" si="35"/>
        <v>589.43618882908163</v>
      </c>
      <c r="AX38" s="44">
        <f t="shared" si="36"/>
        <v>506299.09283413057</v>
      </c>
      <c r="AY38" s="44">
        <f t="shared" si="37"/>
        <v>324074.51292366325</v>
      </c>
      <c r="AZ38" s="44">
        <f t="shared" si="38"/>
        <v>122972.65477675652</v>
      </c>
    </row>
    <row r="39" spans="1:52" ht="15" customHeight="1" x14ac:dyDescent="0.35">
      <c r="A39" s="59" t="str">
        <f>Segments!$A$19</f>
        <v>Non-greek</v>
      </c>
      <c r="B39" s="59" t="str">
        <f>Segments!$B$19</f>
        <v>On campus</v>
      </c>
      <c r="C39" s="59" t="str">
        <f>Segments!$C$19</f>
        <v>Yes</v>
      </c>
      <c r="D39" s="59" t="str">
        <f>Segments!$D$19</f>
        <v>2.0-3.0</v>
      </c>
      <c r="E39" s="59" t="str">
        <f>Segments!$E$19</f>
        <v>Grad student</v>
      </c>
      <c r="F39" s="59">
        <f>Segments!$F$19</f>
        <v>3</v>
      </c>
      <c r="G39" s="59" t="str">
        <f>Segments!$G$19</f>
        <v>Grad</v>
      </c>
      <c r="H39" s="60">
        <f>Segments!$H$19</f>
        <v>146</v>
      </c>
      <c r="I39" s="26">
        <f>Segments!$Y$19</f>
        <v>378.0743953878204</v>
      </c>
      <c r="J39" s="29">
        <v>4</v>
      </c>
      <c r="K39" s="14">
        <f t="shared" si="0"/>
        <v>1426.2297754450396</v>
      </c>
      <c r="L39" s="14">
        <f t="shared" si="1"/>
        <v>378.0743953878204</v>
      </c>
      <c r="M39" s="14">
        <f t="shared" si="2"/>
        <v>656.44510811534633</v>
      </c>
      <c r="N39" s="14">
        <f t="shared" si="3"/>
        <v>967.5957622578477</v>
      </c>
      <c r="O39" s="14">
        <f t="shared" si="4"/>
        <v>1069.6723315837799</v>
      </c>
      <c r="P39" s="33">
        <f t="shared" si="5"/>
        <v>0.79725247189604243</v>
      </c>
      <c r="Q39" s="33">
        <f t="shared" si="6"/>
        <v>0.51078545725357616</v>
      </c>
      <c r="R39" s="51">
        <f t="shared" si="7"/>
        <v>58.1994304484111</v>
      </c>
      <c r="S39" s="51">
        <f>APPLICANTS_PER_YEAR*($H39/Segments!$AH$2)*Q39</f>
        <v>89.489612110826542</v>
      </c>
      <c r="T39" s="51">
        <f t="shared" si="8"/>
        <v>147.68904255923763</v>
      </c>
      <c r="U39" s="14">
        <f t="shared" si="9"/>
        <v>819.28446731828058</v>
      </c>
      <c r="V39" s="44">
        <f t="shared" si="10"/>
        <v>120999.33856189187</v>
      </c>
      <c r="W39" s="44">
        <f t="shared" si="11"/>
        <v>62537.938927508629</v>
      </c>
      <c r="X39" s="44">
        <f t="shared" si="12"/>
        <v>30115.971775558199</v>
      </c>
      <c r="Y39" s="14">
        <f t="shared" si="13"/>
        <v>819.28446731828058</v>
      </c>
      <c r="Z39" s="14">
        <f t="shared" si="14"/>
        <v>389.41662724945502</v>
      </c>
      <c r="AA39" s="14">
        <f t="shared" si="15"/>
        <v>674.88846135880681</v>
      </c>
      <c r="AB39" s="14">
        <f t="shared" si="16"/>
        <v>995.70196306678326</v>
      </c>
      <c r="AC39" s="14">
        <f t="shared" si="17"/>
        <v>674.88846135880681</v>
      </c>
      <c r="AD39" s="33">
        <f t="shared" si="18"/>
        <v>0.95</v>
      </c>
      <c r="AE39" s="33">
        <f t="shared" si="19"/>
        <v>0.51109916099786723</v>
      </c>
      <c r="AF39" s="51">
        <f t="shared" si="20"/>
        <v>70.152295215637878</v>
      </c>
      <c r="AG39" s="51">
        <f>APPLICANTS_PER_YEAR*($H39/Segments!$AH$2)*AE39</f>
        <v>89.544573006826326</v>
      </c>
      <c r="AH39" s="51">
        <f t="shared" si="21"/>
        <v>159.69686822246422</v>
      </c>
      <c r="AI39" s="14">
        <f t="shared" si="22"/>
        <v>674.88846135880681</v>
      </c>
      <c r="AJ39" s="44">
        <f t="shared" si="23"/>
        <v>107777.57367847901</v>
      </c>
      <c r="AK39" s="44">
        <f t="shared" si="24"/>
        <v>69651.249702151821</v>
      </c>
      <c r="AL39" s="44">
        <f t="shared" si="25"/>
        <v>27917.654083338763</v>
      </c>
      <c r="AM39" s="14">
        <f t="shared" si="26"/>
        <v>674.88846135880681</v>
      </c>
      <c r="AN39" s="14">
        <f t="shared" si="27"/>
        <v>401.09912606693865</v>
      </c>
      <c r="AO39" s="14">
        <f t="shared" si="28"/>
        <v>693.88511519957092</v>
      </c>
      <c r="AP39" s="14">
        <f t="shared" si="29"/>
        <v>1024.6505084216355</v>
      </c>
      <c r="AQ39" s="14">
        <f t="shared" si="30"/>
        <v>693.88511519957092</v>
      </c>
      <c r="AR39" s="33">
        <f t="shared" si="31"/>
        <v>0.95</v>
      </c>
      <c r="AS39" s="33">
        <f t="shared" si="32"/>
        <v>0.51140400580661072</v>
      </c>
      <c r="AT39" s="51">
        <f t="shared" si="33"/>
        <v>75.856012405670498</v>
      </c>
      <c r="AU39" s="51">
        <f>APPLICANTS_PER_YEAR*($H39/Segments!$AH$2)*AS39</f>
        <v>89.597981817318185</v>
      </c>
      <c r="AV39" s="51">
        <f t="shared" si="34"/>
        <v>165.45399422298868</v>
      </c>
      <c r="AW39" s="14">
        <f t="shared" si="35"/>
        <v>693.88511519957092</v>
      </c>
      <c r="AX39" s="44">
        <f t="shared" si="36"/>
        <v>114806.06384164764</v>
      </c>
      <c r="AY39" s="44">
        <f t="shared" si="37"/>
        <v>74327.066785580086</v>
      </c>
      <c r="AZ39" s="44">
        <f t="shared" si="38"/>
        <v>29423.350203687693</v>
      </c>
    </row>
    <row r="40" spans="1:52" ht="15" customHeight="1" x14ac:dyDescent="0.35">
      <c r="A40" s="61" t="str">
        <f>Segments!$A$20</f>
        <v>Non-greek</v>
      </c>
      <c r="B40" s="61" t="str">
        <f>Segments!$B$20</f>
        <v>On campus</v>
      </c>
      <c r="C40" s="61" t="str">
        <f>Segments!$C$20</f>
        <v>Yes</v>
      </c>
      <c r="D40" s="61" t="str">
        <f>Segments!$D$20</f>
        <v>3.0+</v>
      </c>
      <c r="E40" s="61" t="str">
        <f>Segments!$E$20</f>
        <v>Freshman</v>
      </c>
      <c r="F40" s="61">
        <f>Segments!$F$20</f>
        <v>1</v>
      </c>
      <c r="G40" s="61" t="str">
        <f>Segments!$G$20</f>
        <v>Base</v>
      </c>
      <c r="H40" s="62">
        <f>Segments!$H$20</f>
        <v>217</v>
      </c>
      <c r="I40" s="63">
        <f>Segments!$Y$20</f>
        <v>251.65735427974647</v>
      </c>
      <c r="J40" s="42">
        <v>0</v>
      </c>
      <c r="K40" s="40">
        <f t="shared" si="0"/>
        <v>450.88114384515706</v>
      </c>
      <c r="L40" s="40">
        <f t="shared" si="1"/>
        <v>251.65735427974647</v>
      </c>
      <c r="M40" s="40">
        <f t="shared" si="2"/>
        <v>450.88114384515706</v>
      </c>
      <c r="N40" s="40">
        <f t="shared" si="3"/>
        <v>801.91028958274444</v>
      </c>
      <c r="O40" s="40">
        <f t="shared" si="4"/>
        <v>450.88114384515706</v>
      </c>
      <c r="P40" s="41">
        <f t="shared" si="5"/>
        <v>0.95</v>
      </c>
      <c r="Q40" s="41">
        <f t="shared" si="6"/>
        <v>0.56887058334183327</v>
      </c>
      <c r="R40" s="64">
        <f t="shared" si="7"/>
        <v>0</v>
      </c>
      <c r="S40" s="64">
        <f>APPLICANTS_PER_YEAR*($H40/Segments!$AH$2)*Q40</f>
        <v>148.13389990221341</v>
      </c>
      <c r="T40" s="64">
        <f t="shared" si="8"/>
        <v>148.13389990221341</v>
      </c>
      <c r="U40" s="40">
        <f t="shared" si="9"/>
        <v>450.88114384515706</v>
      </c>
      <c r="V40" s="65">
        <f t="shared" si="10"/>
        <v>66790.782230153985</v>
      </c>
      <c r="W40" s="65">
        <f t="shared" si="11"/>
        <v>41752.463567955645</v>
      </c>
      <c r="X40" s="65">
        <f t="shared" si="12"/>
        <v>21627.160715154099</v>
      </c>
      <c r="Y40" s="40">
        <f t="shared" si="13"/>
        <v>463.15757816051172</v>
      </c>
      <c r="Z40" s="40">
        <f t="shared" si="14"/>
        <v>259.20707490813885</v>
      </c>
      <c r="AA40" s="40">
        <f t="shared" si="15"/>
        <v>463.15757816051172</v>
      </c>
      <c r="AB40" s="40">
        <f t="shared" si="16"/>
        <v>824.85526158011567</v>
      </c>
      <c r="AC40" s="40">
        <f t="shared" si="17"/>
        <v>463.15757816051172</v>
      </c>
      <c r="AD40" s="41">
        <f t="shared" si="18"/>
        <v>0.95</v>
      </c>
      <c r="AE40" s="41">
        <f t="shared" si="19"/>
        <v>0.56924918241215172</v>
      </c>
      <c r="AF40" s="64">
        <f t="shared" si="20"/>
        <v>0</v>
      </c>
      <c r="AG40" s="64">
        <f>APPLICANTS_PER_YEAR*($H40/Segments!$AH$2)*AE40</f>
        <v>148.23248710012433</v>
      </c>
      <c r="AH40" s="64">
        <f t="shared" si="21"/>
        <v>148.23248710012433</v>
      </c>
      <c r="AI40" s="40">
        <f t="shared" si="22"/>
        <v>463.15757816051172</v>
      </c>
      <c r="AJ40" s="65">
        <f t="shared" si="23"/>
        <v>68654.999730002877</v>
      </c>
      <c r="AK40" s="65">
        <f t="shared" si="24"/>
        <v>43033.658514091454</v>
      </c>
      <c r="AL40" s="65">
        <f t="shared" si="25"/>
        <v>22049.181859026237</v>
      </c>
      <c r="AM40" s="40">
        <f t="shared" si="26"/>
        <v>475.80230550532713</v>
      </c>
      <c r="AN40" s="40">
        <f t="shared" si="27"/>
        <v>266.98328715538304</v>
      </c>
      <c r="AO40" s="40">
        <f t="shared" si="28"/>
        <v>475.80230550532713</v>
      </c>
      <c r="AP40" s="40">
        <f t="shared" si="29"/>
        <v>848.48710263098519</v>
      </c>
      <c r="AQ40" s="40">
        <f t="shared" si="30"/>
        <v>475.80230550532713</v>
      </c>
      <c r="AR40" s="41">
        <f t="shared" si="31"/>
        <v>0.95</v>
      </c>
      <c r="AS40" s="41">
        <f t="shared" si="32"/>
        <v>0.56961724342658748</v>
      </c>
      <c r="AT40" s="64">
        <f t="shared" si="33"/>
        <v>0</v>
      </c>
      <c r="AU40" s="64">
        <f>APPLICANTS_PER_YEAR*($H40/Segments!$AH$2)*AS40</f>
        <v>148.32833018828339</v>
      </c>
      <c r="AV40" s="64">
        <f t="shared" si="34"/>
        <v>148.32833018828339</v>
      </c>
      <c r="AW40" s="40">
        <f t="shared" si="35"/>
        <v>475.80230550532713</v>
      </c>
      <c r="AX40" s="65">
        <f t="shared" si="36"/>
        <v>70574.961475340649</v>
      </c>
      <c r="AY40" s="65">
        <f t="shared" si="37"/>
        <v>44353.327392569372</v>
      </c>
      <c r="AZ40" s="65">
        <f t="shared" si="38"/>
        <v>22483.566228949057</v>
      </c>
    </row>
    <row r="41" spans="1:52" ht="15" customHeight="1" x14ac:dyDescent="0.35">
      <c r="A41" s="61" t="str">
        <f>Segments!$A$21</f>
        <v>Non-greek</v>
      </c>
      <c r="B41" s="61" t="str">
        <f>Segments!$B$21</f>
        <v>On campus</v>
      </c>
      <c r="C41" s="61" t="str">
        <f>Segments!$C$21</f>
        <v>Yes</v>
      </c>
      <c r="D41" s="61" t="str">
        <f>Segments!$D$21</f>
        <v>3.0+</v>
      </c>
      <c r="E41" s="61" t="str">
        <f>Segments!$E$21</f>
        <v>Sophomore</v>
      </c>
      <c r="F41" s="61">
        <f>Segments!$F$21</f>
        <v>1</v>
      </c>
      <c r="G41" s="61" t="str">
        <f>Segments!$G$21</f>
        <v>Sophomore</v>
      </c>
      <c r="H41" s="62">
        <f>Segments!$H$21</f>
        <v>216</v>
      </c>
      <c r="I41" s="63">
        <f>Segments!$Y$21</f>
        <v>249.0970534647187</v>
      </c>
      <c r="J41" s="42">
        <v>1</v>
      </c>
      <c r="K41" s="40">
        <f t="shared" si="0"/>
        <v>1426.2297754450396</v>
      </c>
      <c r="L41" s="40">
        <f t="shared" si="1"/>
        <v>249.0970534647187</v>
      </c>
      <c r="M41" s="40">
        <f t="shared" si="2"/>
        <v>446.71789511976277</v>
      </c>
      <c r="N41" s="40">
        <f t="shared" si="3"/>
        <v>798.19945079155502</v>
      </c>
      <c r="O41" s="40">
        <f t="shared" si="4"/>
        <v>1069.6723315837799</v>
      </c>
      <c r="P41" s="41">
        <f t="shared" si="5"/>
        <v>0.67994671286542996</v>
      </c>
      <c r="Q41" s="41">
        <f t="shared" si="6"/>
        <v>0.57017150934095262</v>
      </c>
      <c r="R41" s="64">
        <f t="shared" si="7"/>
        <v>147.54843669179832</v>
      </c>
      <c r="S41" s="64">
        <f>APPLICANTS_PER_YEAR*($H41/Segments!$AH$2)*Q41</f>
        <v>147.7884552211749</v>
      </c>
      <c r="T41" s="64">
        <f t="shared" si="8"/>
        <v>295.33689191297321</v>
      </c>
      <c r="U41" s="40">
        <f t="shared" si="9"/>
        <v>757.9419776755268</v>
      </c>
      <c r="V41" s="65">
        <f t="shared" si="10"/>
        <v>223848.22793706221</v>
      </c>
      <c r="W41" s="65">
        <f t="shared" si="11"/>
        <v>82395.655501543719</v>
      </c>
      <c r="X41" s="65">
        <f t="shared" si="12"/>
        <v>54219.455466272746</v>
      </c>
      <c r="Y41" s="40">
        <f t="shared" si="13"/>
        <v>450.88114384515706</v>
      </c>
      <c r="Z41" s="40">
        <f t="shared" si="14"/>
        <v>256.56996506866028</v>
      </c>
      <c r="AA41" s="40">
        <f t="shared" si="15"/>
        <v>458.86943197335569</v>
      </c>
      <c r="AB41" s="40">
        <f t="shared" si="16"/>
        <v>821.02791933624917</v>
      </c>
      <c r="AC41" s="40">
        <f t="shared" si="17"/>
        <v>458.86943197335569</v>
      </c>
      <c r="AD41" s="41">
        <f t="shared" si="18"/>
        <v>0.95</v>
      </c>
      <c r="AE41" s="41">
        <f t="shared" si="19"/>
        <v>0.57055187091303572</v>
      </c>
      <c r="AF41" s="64">
        <f t="shared" si="20"/>
        <v>140.72720490710273</v>
      </c>
      <c r="AG41" s="64">
        <f>APPLICANTS_PER_YEAR*($H41/Segments!$AH$2)*AE41</f>
        <v>147.88704494065885</v>
      </c>
      <c r="AH41" s="64">
        <f t="shared" si="21"/>
        <v>288.61424984776158</v>
      </c>
      <c r="AI41" s="40">
        <f t="shared" si="22"/>
        <v>458.86943197335569</v>
      </c>
      <c r="AJ41" s="65">
        <f t="shared" si="23"/>
        <v>132436.25688705852</v>
      </c>
      <c r="AK41" s="65">
        <f t="shared" si="24"/>
        <v>82935.717761968714</v>
      </c>
      <c r="AL41" s="65">
        <f t="shared" si="25"/>
        <v>36875.043222910608</v>
      </c>
      <c r="AM41" s="40">
        <f t="shared" si="26"/>
        <v>463.15757816051172</v>
      </c>
      <c r="AN41" s="40">
        <f t="shared" si="27"/>
        <v>264.26706402072006</v>
      </c>
      <c r="AO41" s="40">
        <f t="shared" si="28"/>
        <v>471.3855149325563</v>
      </c>
      <c r="AP41" s="40">
        <f t="shared" si="29"/>
        <v>844.53974103550729</v>
      </c>
      <c r="AQ41" s="40">
        <f t="shared" si="30"/>
        <v>471.3855149325563</v>
      </c>
      <c r="AR41" s="41">
        <f t="shared" si="31"/>
        <v>0.95</v>
      </c>
      <c r="AS41" s="41">
        <f t="shared" si="32"/>
        <v>0.57092164996606254</v>
      </c>
      <c r="AT41" s="64">
        <f t="shared" si="33"/>
        <v>140.82086274511812</v>
      </c>
      <c r="AU41" s="64">
        <f>APPLICANTS_PER_YEAR*($H41/Segments!$AH$2)*AS41</f>
        <v>147.98289167120339</v>
      </c>
      <c r="AV41" s="64">
        <f t="shared" si="34"/>
        <v>288.80375441632151</v>
      </c>
      <c r="AW41" s="40">
        <f t="shared" si="35"/>
        <v>471.38551493255636</v>
      </c>
      <c r="AX41" s="65">
        <f t="shared" si="36"/>
        <v>136137.90648999327</v>
      </c>
      <c r="AY41" s="65">
        <f t="shared" si="37"/>
        <v>85479.878688693832</v>
      </c>
      <c r="AZ41" s="65">
        <f t="shared" si="38"/>
        <v>37647.206412422602</v>
      </c>
    </row>
    <row r="42" spans="1:52" ht="15" customHeight="1" x14ac:dyDescent="0.35">
      <c r="A42" s="61" t="str">
        <f>Segments!$A$22</f>
        <v>Non-greek</v>
      </c>
      <c r="B42" s="61" t="str">
        <f>Segments!$B$22</f>
        <v>On campus</v>
      </c>
      <c r="C42" s="61" t="str">
        <f>Segments!$C$22</f>
        <v>Yes</v>
      </c>
      <c r="D42" s="61" t="str">
        <f>Segments!$D$22</f>
        <v>3.0+</v>
      </c>
      <c r="E42" s="61" t="str">
        <f>Segments!$E$22</f>
        <v>Junior</v>
      </c>
      <c r="F42" s="61">
        <f>Segments!$F$22</f>
        <v>2</v>
      </c>
      <c r="G42" s="61" t="str">
        <f>Segments!$G$22</f>
        <v>Base</v>
      </c>
      <c r="H42" s="62">
        <f>Segments!$H$22</f>
        <v>207</v>
      </c>
      <c r="I42" s="63">
        <f>Segments!$Y$22</f>
        <v>297.77700054841449</v>
      </c>
      <c r="J42" s="42">
        <v>2</v>
      </c>
      <c r="K42" s="40">
        <f t="shared" si="0"/>
        <v>1426.2297754450396</v>
      </c>
      <c r="L42" s="40">
        <f t="shared" si="1"/>
        <v>297.77700054841449</v>
      </c>
      <c r="M42" s="40">
        <f t="shared" si="2"/>
        <v>525.87528414955898</v>
      </c>
      <c r="N42" s="40">
        <f t="shared" si="3"/>
        <v>866.03636668717445</v>
      </c>
      <c r="O42" s="40">
        <f t="shared" si="4"/>
        <v>1069.6723315837799</v>
      </c>
      <c r="P42" s="41">
        <f t="shared" si="5"/>
        <v>0.73243220912560025</v>
      </c>
      <c r="Q42" s="41">
        <f t="shared" si="6"/>
        <v>0.5463896065004894</v>
      </c>
      <c r="R42" s="64">
        <f t="shared" si="7"/>
        <v>158.20535717112966</v>
      </c>
      <c r="S42" s="64">
        <f>APPLICANTS_PER_YEAR*($H42/Segments!$AH$2)*Q42</f>
        <v>135.72317825472157</v>
      </c>
      <c r="T42" s="64">
        <f t="shared" si="8"/>
        <v>293.92853542585124</v>
      </c>
      <c r="U42" s="40">
        <f t="shared" si="9"/>
        <v>818.5709422737076</v>
      </c>
      <c r="V42" s="65">
        <f t="shared" si="10"/>
        <v>240601.3582046699</v>
      </c>
      <c r="W42" s="65">
        <f t="shared" si="11"/>
        <v>98028.176573262186</v>
      </c>
      <c r="X42" s="65">
        <f t="shared" si="12"/>
        <v>57243.378138131084</v>
      </c>
      <c r="Y42" s="40">
        <f t="shared" si="13"/>
        <v>757.9419776755268</v>
      </c>
      <c r="Z42" s="40">
        <f t="shared" si="14"/>
        <v>306.71031056486692</v>
      </c>
      <c r="AA42" s="40">
        <f t="shared" si="15"/>
        <v>540.40154267404569</v>
      </c>
      <c r="AB42" s="40">
        <f t="shared" si="16"/>
        <v>890.98758351836852</v>
      </c>
      <c r="AC42" s="40">
        <f t="shared" si="17"/>
        <v>568.45648325664513</v>
      </c>
      <c r="AD42" s="41">
        <f t="shared" si="18"/>
        <v>0.95</v>
      </c>
      <c r="AE42" s="41">
        <f t="shared" si="19"/>
        <v>0.54674013831927604</v>
      </c>
      <c r="AF42" s="64">
        <f t="shared" si="20"/>
        <v>280.57004731732457</v>
      </c>
      <c r="AG42" s="64">
        <f>APPLICANTS_PER_YEAR*($H42/Segments!$AH$2)*AE42</f>
        <v>135.81025035850817</v>
      </c>
      <c r="AH42" s="64">
        <f t="shared" si="21"/>
        <v>416.38029767583271</v>
      </c>
      <c r="AI42" s="40">
        <f t="shared" si="22"/>
        <v>559.3058377395937</v>
      </c>
      <c r="AJ42" s="65">
        <f t="shared" si="23"/>
        <v>232883.93120984302</v>
      </c>
      <c r="AK42" s="65">
        <f t="shared" si="24"/>
        <v>143033.10606283596</v>
      </c>
      <c r="AL42" s="65">
        <f t="shared" si="25"/>
        <v>58306.647619303709</v>
      </c>
      <c r="AM42" s="40">
        <f t="shared" si="26"/>
        <v>458.86943197335569</v>
      </c>
      <c r="AN42" s="40">
        <f t="shared" si="27"/>
        <v>315.9116198818129</v>
      </c>
      <c r="AO42" s="40">
        <f t="shared" si="28"/>
        <v>555.36358895426702</v>
      </c>
      <c r="AP42" s="40">
        <f t="shared" si="29"/>
        <v>916.68616246159161</v>
      </c>
      <c r="AQ42" s="40">
        <f t="shared" si="30"/>
        <v>555.36358895426702</v>
      </c>
      <c r="AR42" s="41">
        <f t="shared" si="31"/>
        <v>0.95</v>
      </c>
      <c r="AS42" s="41">
        <f t="shared" si="32"/>
        <v>0.54708084855184214</v>
      </c>
      <c r="AT42" s="64">
        <f t="shared" si="33"/>
        <v>274.18353735537352</v>
      </c>
      <c r="AU42" s="64">
        <f>APPLICANTS_PER_YEAR*($H42/Segments!$AH$2)*AS42</f>
        <v>135.89488278027758</v>
      </c>
      <c r="AV42" s="64">
        <f t="shared" si="34"/>
        <v>410.07842013565107</v>
      </c>
      <c r="AW42" s="40">
        <f t="shared" si="35"/>
        <v>555.36358895426702</v>
      </c>
      <c r="AX42" s="65">
        <f t="shared" si="36"/>
        <v>227742.62315923095</v>
      </c>
      <c r="AY42" s="65">
        <f t="shared" si="37"/>
        <v>145094.36254166355</v>
      </c>
      <c r="AZ42" s="65">
        <f t="shared" si="38"/>
        <v>57283.783693062716</v>
      </c>
    </row>
    <row r="43" spans="1:52" ht="15" customHeight="1" x14ac:dyDescent="0.35">
      <c r="A43" s="61" t="str">
        <f>Segments!$A$23</f>
        <v>Non-greek</v>
      </c>
      <c r="B43" s="61" t="str">
        <f>Segments!$B$23</f>
        <v>On campus</v>
      </c>
      <c r="C43" s="61" t="str">
        <f>Segments!$C$23</f>
        <v>Yes</v>
      </c>
      <c r="D43" s="61" t="str">
        <f>Segments!$D$23</f>
        <v>3.0+</v>
      </c>
      <c r="E43" s="61" t="str">
        <f>Segments!$E$23</f>
        <v>Senior</v>
      </c>
      <c r="F43" s="61">
        <f>Segments!$F$23</f>
        <v>3</v>
      </c>
      <c r="G43" s="61" t="str">
        <f>Segments!$G$23</f>
        <v>Base</v>
      </c>
      <c r="H43" s="62">
        <f>Segments!$H$23</f>
        <v>197</v>
      </c>
      <c r="I43" s="63">
        <f>Segments!$Y$23</f>
        <v>278.32842723201634</v>
      </c>
      <c r="J43" s="42">
        <v>3</v>
      </c>
      <c r="K43" s="40">
        <f t="shared" si="0"/>
        <v>1426.2297754450396</v>
      </c>
      <c r="L43" s="40">
        <f t="shared" si="1"/>
        <v>278.32842723201634</v>
      </c>
      <c r="M43" s="40">
        <f t="shared" si="2"/>
        <v>494.25038773309882</v>
      </c>
      <c r="N43" s="40">
        <f t="shared" si="3"/>
        <v>839.59193630608513</v>
      </c>
      <c r="O43" s="40">
        <f t="shared" si="4"/>
        <v>1069.6723315837799</v>
      </c>
      <c r="P43" s="41">
        <f t="shared" si="5"/>
        <v>0.71298082120108897</v>
      </c>
      <c r="Q43" s="41">
        <f t="shared" si="6"/>
        <v>0.55566035334520358</v>
      </c>
      <c r="R43" s="64">
        <f t="shared" si="7"/>
        <v>147.5870299886254</v>
      </c>
      <c r="S43" s="64">
        <f>APPLICANTS_PER_YEAR*($H43/Segments!$AH$2)*Q43</f>
        <v>131.35810753080611</v>
      </c>
      <c r="T43" s="64">
        <f t="shared" si="8"/>
        <v>278.94513751943151</v>
      </c>
      <c r="U43" s="40">
        <f t="shared" si="9"/>
        <v>798.7002750421675</v>
      </c>
      <c r="V43" s="65">
        <f t="shared" si="10"/>
        <v>222793.5580584452</v>
      </c>
      <c r="W43" s="65">
        <f t="shared" si="11"/>
        <v>86954.964778978116</v>
      </c>
      <c r="X43" s="65">
        <f t="shared" si="12"/>
        <v>53243.170756969477</v>
      </c>
      <c r="Y43" s="40">
        <f t="shared" si="13"/>
        <v>818.5709422737076</v>
      </c>
      <c r="Z43" s="40">
        <f t="shared" si="14"/>
        <v>286.67828004897683</v>
      </c>
      <c r="AA43" s="40">
        <f t="shared" si="15"/>
        <v>507.82789936509175</v>
      </c>
      <c r="AB43" s="40">
        <f t="shared" si="16"/>
        <v>863.7173432335876</v>
      </c>
      <c r="AC43" s="40">
        <f t="shared" si="17"/>
        <v>613.92820670528067</v>
      </c>
      <c r="AD43" s="41">
        <f t="shared" si="18"/>
        <v>0.95</v>
      </c>
      <c r="AE43" s="41">
        <f t="shared" si="19"/>
        <v>0.55602193915437415</v>
      </c>
      <c r="AF43" s="64">
        <f t="shared" si="20"/>
        <v>279.23210865455866</v>
      </c>
      <c r="AG43" s="64">
        <f>APPLICANTS_PER_YEAR*($H43/Segments!$AH$2)*AE43</f>
        <v>131.44358641609404</v>
      </c>
      <c r="AH43" s="64">
        <f t="shared" si="21"/>
        <v>410.67569507065269</v>
      </c>
      <c r="AI43" s="40">
        <f t="shared" si="22"/>
        <v>579.96903871934728</v>
      </c>
      <c r="AJ43" s="65">
        <f t="shared" si="23"/>
        <v>238179.18809552625</v>
      </c>
      <c r="AK43" s="65">
        <f t="shared" si="24"/>
        <v>131859.61815126555</v>
      </c>
      <c r="AL43" s="65">
        <f t="shared" si="25"/>
        <v>58851.745324984331</v>
      </c>
      <c r="AM43" s="40">
        <f t="shared" si="26"/>
        <v>559.3058377395937</v>
      </c>
      <c r="AN43" s="40">
        <f t="shared" si="27"/>
        <v>295.27862845044609</v>
      </c>
      <c r="AO43" s="40">
        <f t="shared" si="28"/>
        <v>521.8127363460444</v>
      </c>
      <c r="AP43" s="40">
        <f t="shared" si="29"/>
        <v>888.56522319173405</v>
      </c>
      <c r="AQ43" s="40">
        <f t="shared" si="30"/>
        <v>521.8127363460444</v>
      </c>
      <c r="AR43" s="41">
        <f t="shared" si="31"/>
        <v>0.95</v>
      </c>
      <c r="AS43" s="41">
        <f t="shared" si="32"/>
        <v>0.55637341934692852</v>
      </c>
      <c r="AT43" s="64">
        <f t="shared" si="33"/>
        <v>395.56128279204103</v>
      </c>
      <c r="AU43" s="64">
        <f>APPLICANTS_PER_YEAR*($H43/Segments!$AH$2)*AS43</f>
        <v>131.52667633361389</v>
      </c>
      <c r="AV43" s="64">
        <f t="shared" si="34"/>
        <v>527.08795912565495</v>
      </c>
      <c r="AW43" s="40">
        <f t="shared" si="35"/>
        <v>521.8127363460444</v>
      </c>
      <c r="AX43" s="65">
        <f t="shared" si="36"/>
        <v>275041.21024640999</v>
      </c>
      <c r="AY43" s="65">
        <f t="shared" si="37"/>
        <v>174314.34680057238</v>
      </c>
      <c r="AZ43" s="65">
        <f t="shared" si="38"/>
        <v>68214.845148229972</v>
      </c>
    </row>
    <row r="44" spans="1:52" ht="15" customHeight="1" x14ac:dyDescent="0.35">
      <c r="A44" s="61" t="str">
        <f>Segments!$A$24</f>
        <v>Non-greek</v>
      </c>
      <c r="B44" s="61" t="str">
        <f>Segments!$B$24</f>
        <v>On campus</v>
      </c>
      <c r="C44" s="61" t="str">
        <f>Segments!$C$24</f>
        <v>Yes</v>
      </c>
      <c r="D44" s="61" t="str">
        <f>Segments!$D$24</f>
        <v>3.0+</v>
      </c>
      <c r="E44" s="61" t="str">
        <f>Segments!$E$24</f>
        <v>Grad student</v>
      </c>
      <c r="F44" s="61">
        <f>Segments!$F$24</f>
        <v>3</v>
      </c>
      <c r="G44" s="61" t="str">
        <f>Segments!$G$24</f>
        <v>Grad</v>
      </c>
      <c r="H44" s="62">
        <f>Segments!$H$24</f>
        <v>86</v>
      </c>
      <c r="I44" s="63">
        <f>Segments!$Y$24</f>
        <v>331.40021057623693</v>
      </c>
      <c r="J44" s="42">
        <v>4</v>
      </c>
      <c r="K44" s="40">
        <f t="shared" si="0"/>
        <v>1426.2297754450396</v>
      </c>
      <c r="L44" s="40">
        <f t="shared" si="1"/>
        <v>331.40021057623693</v>
      </c>
      <c r="M44" s="40">
        <f t="shared" si="2"/>
        <v>580.54924490853239</v>
      </c>
      <c r="N44" s="40">
        <f t="shared" si="3"/>
        <v>909.94319559007829</v>
      </c>
      <c r="O44" s="40">
        <f t="shared" si="4"/>
        <v>1069.6723315837799</v>
      </c>
      <c r="P44" s="41">
        <f t="shared" si="5"/>
        <v>0.76223125972708616</v>
      </c>
      <c r="Q44" s="41">
        <f t="shared" si="6"/>
        <v>0.5309969854590435</v>
      </c>
      <c r="R44" s="64">
        <f t="shared" si="7"/>
        <v>32.775944168264708</v>
      </c>
      <c r="S44" s="64">
        <f>APPLICANTS_PER_YEAR*($H44/Segments!$AH$2)*Q44</f>
        <v>54.798888899373289</v>
      </c>
      <c r="T44" s="64">
        <f t="shared" si="8"/>
        <v>87.574833067637996</v>
      </c>
      <c r="U44" s="40">
        <f t="shared" si="9"/>
        <v>763.60949656662444</v>
      </c>
      <c r="V44" s="65">
        <f t="shared" si="10"/>
        <v>66872.974190685229</v>
      </c>
      <c r="W44" s="65">
        <f t="shared" si="11"/>
        <v>32504.996294169316</v>
      </c>
      <c r="X44" s="65">
        <f t="shared" si="12"/>
        <v>16873.93188090912</v>
      </c>
      <c r="Y44" s="40">
        <f t="shared" si="13"/>
        <v>763.60949656662444</v>
      </c>
      <c r="Z44" s="40">
        <f t="shared" si="14"/>
        <v>341.34221689352404</v>
      </c>
      <c r="AA44" s="40">
        <f t="shared" si="15"/>
        <v>596.71572225578836</v>
      </c>
      <c r="AB44" s="40">
        <f t="shared" si="16"/>
        <v>936.26136440318817</v>
      </c>
      <c r="AC44" s="40">
        <f t="shared" si="17"/>
        <v>596.71572225578836</v>
      </c>
      <c r="AD44" s="41">
        <f t="shared" si="18"/>
        <v>0.95</v>
      </c>
      <c r="AE44" s="41">
        <f t="shared" si="19"/>
        <v>0.53133058516402643</v>
      </c>
      <c r="AF44" s="64">
        <f t="shared" si="20"/>
        <v>41.598045707128044</v>
      </c>
      <c r="AG44" s="64">
        <f>APPLICANTS_PER_YEAR*($H44/Segments!$AH$2)*AE44</f>
        <v>54.833316388927528</v>
      </c>
      <c r="AH44" s="64">
        <f t="shared" si="21"/>
        <v>96.43136209605558</v>
      </c>
      <c r="AI44" s="40">
        <f t="shared" si="22"/>
        <v>596.71572225578836</v>
      </c>
      <c r="AJ44" s="65">
        <f t="shared" si="23"/>
        <v>57542.10988125726</v>
      </c>
      <c r="AK44" s="65">
        <f t="shared" si="24"/>
        <v>36866.026305841333</v>
      </c>
      <c r="AL44" s="65">
        <f t="shared" si="25"/>
        <v>15320.115488946387</v>
      </c>
      <c r="AM44" s="40">
        <f t="shared" si="26"/>
        <v>596.71572225578836</v>
      </c>
      <c r="AN44" s="40">
        <f t="shared" si="27"/>
        <v>351.58248340032975</v>
      </c>
      <c r="AO44" s="40">
        <f t="shared" si="28"/>
        <v>613.36719392346197</v>
      </c>
      <c r="AP44" s="40">
        <f t="shared" si="29"/>
        <v>963.36806614597276</v>
      </c>
      <c r="AQ44" s="40">
        <f t="shared" si="30"/>
        <v>613.36719392346197</v>
      </c>
      <c r="AR44" s="41">
        <f t="shared" si="31"/>
        <v>0.95</v>
      </c>
      <c r="AS44" s="41">
        <f t="shared" si="32"/>
        <v>0.53165480283289646</v>
      </c>
      <c r="AT44" s="64">
        <f t="shared" si="33"/>
        <v>45.8048969956264</v>
      </c>
      <c r="AU44" s="64">
        <f>APPLICANTS_PER_YEAR*($H44/Segments!$AH$2)*AS44</f>
        <v>54.866775652354917</v>
      </c>
      <c r="AV44" s="64">
        <f t="shared" si="34"/>
        <v>100.67167264798132</v>
      </c>
      <c r="AW44" s="40">
        <f t="shared" si="35"/>
        <v>613.36719392346185</v>
      </c>
      <c r="AX44" s="65">
        <f t="shared" si="36"/>
        <v>61748.701359673636</v>
      </c>
      <c r="AY44" s="65">
        <f t="shared" si="37"/>
        <v>39641.724278959409</v>
      </c>
      <c r="AZ44" s="65">
        <f t="shared" si="38"/>
        <v>16233.479208999775</v>
      </c>
    </row>
    <row r="45" spans="1:52" ht="15" customHeight="1" x14ac:dyDescent="0.35">
      <c r="A45" s="59" t="str">
        <f>Segments!$A$25</f>
        <v>Non-greek</v>
      </c>
      <c r="B45" s="59" t="str">
        <f>Segments!$B$25</f>
        <v>On campus</v>
      </c>
      <c r="C45" s="59" t="str">
        <f>Segments!$C$25</f>
        <v>No</v>
      </c>
      <c r="D45" s="59" t="str">
        <f>Segments!$D$25</f>
        <v>&lt;1.0</v>
      </c>
      <c r="E45" s="59" t="str">
        <f>Segments!$E$25</f>
        <v>Freshman</v>
      </c>
      <c r="F45" s="59">
        <f>Segments!$F$25</f>
        <v>1</v>
      </c>
      <c r="G45" s="59" t="str">
        <f>Segments!$G$25</f>
        <v>Base</v>
      </c>
      <c r="H45" s="60">
        <f>Segments!$H$25</f>
        <v>24</v>
      </c>
      <c r="I45" s="26">
        <f>Segments!$Y$25</f>
        <v>495.85541037793126</v>
      </c>
      <c r="J45" s="29">
        <v>0</v>
      </c>
      <c r="K45" s="14">
        <f t="shared" si="0"/>
        <v>847.96622065614179</v>
      </c>
      <c r="L45" s="14">
        <f t="shared" si="1"/>
        <v>495.85541037793126</v>
      </c>
      <c r="M45" s="14">
        <f t="shared" si="2"/>
        <v>847.96622065614179</v>
      </c>
      <c r="N45" s="14">
        <f t="shared" si="3"/>
        <v>1099.7248167025186</v>
      </c>
      <c r="O45" s="14">
        <f t="shared" si="4"/>
        <v>847.96622065614179</v>
      </c>
      <c r="P45" s="33">
        <f t="shared" si="5"/>
        <v>0.95</v>
      </c>
      <c r="Q45" s="33">
        <f t="shared" si="6"/>
        <v>0.4644643606394484</v>
      </c>
      <c r="R45" s="51">
        <f t="shared" si="7"/>
        <v>0</v>
      </c>
      <c r="S45" s="51">
        <f>APPLICANTS_PER_YEAR*($H45/Segments!$AH$2)*Q45</f>
        <v>13.376573586416113</v>
      </c>
      <c r="T45" s="51">
        <f t="shared" si="8"/>
        <v>13.376573586416113</v>
      </c>
      <c r="U45" s="14">
        <f t="shared" si="9"/>
        <v>847.96622065614179</v>
      </c>
      <c r="V45" s="44">
        <f t="shared" si="10"/>
        <v>11342.882549402044</v>
      </c>
      <c r="W45" s="44">
        <f t="shared" si="11"/>
        <v>7428.7879513601129</v>
      </c>
      <c r="X45" s="44">
        <f t="shared" si="12"/>
        <v>3142.7515024547829</v>
      </c>
      <c r="Y45" s="14">
        <f t="shared" si="13"/>
        <v>872.15520727582611</v>
      </c>
      <c r="Z45" s="14">
        <f t="shared" si="14"/>
        <v>510.73107268926924</v>
      </c>
      <c r="AA45" s="14">
        <f t="shared" si="15"/>
        <v>872.15520727582611</v>
      </c>
      <c r="AB45" s="14">
        <f t="shared" si="16"/>
        <v>1131.9057103791861</v>
      </c>
      <c r="AC45" s="14">
        <f t="shared" si="17"/>
        <v>872.15520727582611</v>
      </c>
      <c r="AD45" s="33">
        <f t="shared" si="18"/>
        <v>0.95</v>
      </c>
      <c r="AE45" s="33">
        <f t="shared" si="19"/>
        <v>0.464740344854495</v>
      </c>
      <c r="AF45" s="51">
        <f t="shared" si="20"/>
        <v>0</v>
      </c>
      <c r="AG45" s="51">
        <f>APPLICANTS_PER_YEAR*($H45/Segments!$AH$2)*AE45</f>
        <v>13.384521931809454</v>
      </c>
      <c r="AH45" s="51">
        <f t="shared" si="21"/>
        <v>13.384521931809454</v>
      </c>
      <c r="AI45" s="14">
        <f t="shared" si="22"/>
        <v>872.15520727582611</v>
      </c>
      <c r="AJ45" s="44">
        <f t="shared" si="23"/>
        <v>11673.380499725115</v>
      </c>
      <c r="AK45" s="44">
        <f t="shared" si="24"/>
        <v>7656.1981929060239</v>
      </c>
      <c r="AL45" s="44">
        <f t="shared" si="25"/>
        <v>3217.1407188698508</v>
      </c>
      <c r="AM45" s="14">
        <f t="shared" si="26"/>
        <v>897.06986349410079</v>
      </c>
      <c r="AN45" s="14">
        <f t="shared" si="27"/>
        <v>526.05300486994724</v>
      </c>
      <c r="AO45" s="14">
        <f t="shared" si="28"/>
        <v>897.06986349410079</v>
      </c>
      <c r="AP45" s="14">
        <f t="shared" si="29"/>
        <v>1165.0514580664919</v>
      </c>
      <c r="AQ45" s="14">
        <f t="shared" si="30"/>
        <v>897.06986349410079</v>
      </c>
      <c r="AR45" s="33">
        <f t="shared" si="31"/>
        <v>0.95</v>
      </c>
      <c r="AS45" s="33">
        <f t="shared" si="32"/>
        <v>0.46500847997612516</v>
      </c>
      <c r="AT45" s="51">
        <f t="shared" si="33"/>
        <v>0</v>
      </c>
      <c r="AU45" s="51">
        <f>APPLICANTS_PER_YEAR*($H45/Segments!$AH$2)*AS45</f>
        <v>13.392244223312403</v>
      </c>
      <c r="AV45" s="51">
        <f t="shared" si="34"/>
        <v>13.392244223312403</v>
      </c>
      <c r="AW45" s="14">
        <f t="shared" si="35"/>
        <v>897.06986349410079</v>
      </c>
      <c r="AX45" s="44">
        <f t="shared" si="36"/>
        <v>12013.778697286518</v>
      </c>
      <c r="AY45" s="44">
        <f t="shared" si="37"/>
        <v>7890.4339535007648</v>
      </c>
      <c r="AZ45" s="44">
        <f t="shared" si="38"/>
        <v>3293.7374182412382</v>
      </c>
    </row>
    <row r="46" spans="1:52" ht="15" customHeight="1" x14ac:dyDescent="0.35">
      <c r="A46" s="59" t="str">
        <f>Segments!$A$26</f>
        <v>Non-greek</v>
      </c>
      <c r="B46" s="59" t="str">
        <f>Segments!$B$26</f>
        <v>On campus</v>
      </c>
      <c r="C46" s="59" t="str">
        <f>Segments!$C$26</f>
        <v>No</v>
      </c>
      <c r="D46" s="59" t="str">
        <f>Segments!$D$26</f>
        <v>&lt;1.0</v>
      </c>
      <c r="E46" s="59" t="str">
        <f>Segments!$E$26</f>
        <v>Sophomore</v>
      </c>
      <c r="F46" s="59">
        <f>Segments!$F$26</f>
        <v>1</v>
      </c>
      <c r="G46" s="59" t="str">
        <f>Segments!$G$26</f>
        <v>Sophomore</v>
      </c>
      <c r="H46" s="60">
        <f>Segments!$H$26</f>
        <v>19</v>
      </c>
      <c r="I46" s="26">
        <f>Segments!$Y$26</f>
        <v>490.81069783630886</v>
      </c>
      <c r="J46" s="29">
        <v>1</v>
      </c>
      <c r="K46" s="14">
        <f t="shared" si="0"/>
        <v>1426.2297754450396</v>
      </c>
      <c r="L46" s="14">
        <f t="shared" si="1"/>
        <v>490.81069783630886</v>
      </c>
      <c r="M46" s="14">
        <f t="shared" si="2"/>
        <v>839.76312477943247</v>
      </c>
      <c r="N46" s="14">
        <f t="shared" si="3"/>
        <v>1094.3926045442718</v>
      </c>
      <c r="O46" s="14">
        <f t="shared" si="4"/>
        <v>1069.6723315837799</v>
      </c>
      <c r="P46" s="33">
        <f t="shared" si="5"/>
        <v>0.86129406067705738</v>
      </c>
      <c r="Q46" s="33">
        <f t="shared" si="6"/>
        <v>0.46633369903430238</v>
      </c>
      <c r="R46" s="51">
        <f t="shared" si="7"/>
        <v>20.671057456249379</v>
      </c>
      <c r="S46" s="51">
        <f>APPLICANTS_PER_YEAR*($H46/Segments!$AH$2)*Q46</f>
        <v>10.632408337982096</v>
      </c>
      <c r="T46" s="51">
        <f t="shared" si="8"/>
        <v>31.303465794231474</v>
      </c>
      <c r="U46" s="14">
        <f t="shared" si="9"/>
        <v>991.58230208117243</v>
      </c>
      <c r="V46" s="44">
        <f t="shared" si="10"/>
        <v>31039.962675363284</v>
      </c>
      <c r="W46" s="44">
        <f t="shared" si="11"/>
        <v>17207.764998101189</v>
      </c>
      <c r="X46" s="44">
        <f t="shared" si="12"/>
        <v>7070.9371257220591</v>
      </c>
      <c r="Y46" s="14">
        <f t="shared" si="13"/>
        <v>847.96622065614179</v>
      </c>
      <c r="Z46" s="14">
        <f t="shared" si="14"/>
        <v>505.53501877139814</v>
      </c>
      <c r="AA46" s="14">
        <f t="shared" si="15"/>
        <v>863.70601852281538</v>
      </c>
      <c r="AB46" s="14">
        <f t="shared" si="16"/>
        <v>1126.4095782945801</v>
      </c>
      <c r="AC46" s="14">
        <f t="shared" si="17"/>
        <v>863.70601852281538</v>
      </c>
      <c r="AD46" s="33">
        <f t="shared" si="18"/>
        <v>0.95</v>
      </c>
      <c r="AE46" s="33">
        <f t="shared" si="19"/>
        <v>0.46661102889834538</v>
      </c>
      <c r="AF46" s="51">
        <f t="shared" si="20"/>
        <v>12.707744907095307</v>
      </c>
      <c r="AG46" s="51">
        <f>APPLICANTS_PER_YEAR*($H46/Segments!$AH$2)*AE46</f>
        <v>10.638731458882274</v>
      </c>
      <c r="AH46" s="51">
        <f t="shared" si="21"/>
        <v>23.34647636597758</v>
      </c>
      <c r="AI46" s="14">
        <f t="shared" si="22"/>
        <v>863.7060185228155</v>
      </c>
      <c r="AJ46" s="44">
        <f t="shared" si="23"/>
        <v>20164.492148595506</v>
      </c>
      <c r="AK46" s="44">
        <f t="shared" si="24"/>
        <v>13218.756732070939</v>
      </c>
      <c r="AL46" s="44">
        <f t="shared" si="25"/>
        <v>4865.5926035431212</v>
      </c>
      <c r="AM46" s="14">
        <f t="shared" si="26"/>
        <v>872.15520727582611</v>
      </c>
      <c r="AN46" s="14">
        <f t="shared" si="27"/>
        <v>520.70106933454008</v>
      </c>
      <c r="AO46" s="14">
        <f t="shared" si="28"/>
        <v>888.36719907849988</v>
      </c>
      <c r="AP46" s="14">
        <f t="shared" si="29"/>
        <v>1159.3864800322215</v>
      </c>
      <c r="AQ46" s="14">
        <f t="shared" si="30"/>
        <v>888.36719907849988</v>
      </c>
      <c r="AR46" s="33">
        <f t="shared" si="31"/>
        <v>0.95</v>
      </c>
      <c r="AS46" s="33">
        <f t="shared" si="32"/>
        <v>0.46688047325952492</v>
      </c>
      <c r="AT46" s="51">
        <f t="shared" si="33"/>
        <v>12.715295835218981</v>
      </c>
      <c r="AU46" s="51">
        <f>APPLICANTS_PER_YEAR*($H46/Segments!$AH$2)*AS46</f>
        <v>10.644874790317168</v>
      </c>
      <c r="AV46" s="51">
        <f t="shared" si="34"/>
        <v>23.360170625536149</v>
      </c>
      <c r="AW46" s="14">
        <f t="shared" si="35"/>
        <v>888.36719907849988</v>
      </c>
      <c r="AX46" s="44">
        <f t="shared" si="36"/>
        <v>20752.409348603396</v>
      </c>
      <c r="AY46" s="44">
        <f t="shared" si="37"/>
        <v>13623.305723500465</v>
      </c>
      <c r="AZ46" s="44">
        <f t="shared" si="38"/>
        <v>4986.5101652252324</v>
      </c>
    </row>
    <row r="47" spans="1:52" ht="15" customHeight="1" x14ac:dyDescent="0.35">
      <c r="A47" s="59" t="str">
        <f>Segments!$A$27</f>
        <v>Non-greek</v>
      </c>
      <c r="B47" s="59" t="str">
        <f>Segments!$B$27</f>
        <v>On campus</v>
      </c>
      <c r="C47" s="59" t="str">
        <f>Segments!$C$27</f>
        <v>No</v>
      </c>
      <c r="D47" s="59" t="str">
        <f>Segments!$D$27</f>
        <v>&lt;1.0</v>
      </c>
      <c r="E47" s="59" t="str">
        <f>Segments!$E$27</f>
        <v>Junior</v>
      </c>
      <c r="F47" s="59">
        <f>Segments!$F$27</f>
        <v>2</v>
      </c>
      <c r="G47" s="59" t="str">
        <f>Segments!$G$27</f>
        <v>Base</v>
      </c>
      <c r="H47" s="60">
        <f>Segments!$H$27</f>
        <v>31</v>
      </c>
      <c r="I47" s="26">
        <f>Segments!$Y$27</f>
        <v>586.72768467520541</v>
      </c>
      <c r="J47" s="29">
        <v>2</v>
      </c>
      <c r="K47" s="14">
        <f t="shared" si="0"/>
        <v>1426.2297754450396</v>
      </c>
      <c r="L47" s="14">
        <f t="shared" si="1"/>
        <v>586.72768467520541</v>
      </c>
      <c r="M47" s="14">
        <f t="shared" si="2"/>
        <v>995.73162303433958</v>
      </c>
      <c r="N47" s="14">
        <f t="shared" si="3"/>
        <v>1191.6971465619069</v>
      </c>
      <c r="O47" s="14">
        <f t="shared" si="4"/>
        <v>1069.6723315837799</v>
      </c>
      <c r="P47" s="33">
        <f t="shared" si="5"/>
        <v>0.90119791355134704</v>
      </c>
      <c r="Q47" s="33">
        <f t="shared" si="6"/>
        <v>0.43222119356958083</v>
      </c>
      <c r="R47" s="51">
        <f t="shared" si="7"/>
        <v>17.122760357475595</v>
      </c>
      <c r="S47" s="51">
        <f>APPLICANTS_PER_YEAR*($H47/Segments!$AH$2)*Q47</f>
        <v>16.078628400788403</v>
      </c>
      <c r="T47" s="51">
        <f t="shared" si="8"/>
        <v>33.201388758264002</v>
      </c>
      <c r="U47" s="14">
        <f t="shared" si="9"/>
        <v>1033.8646373600996</v>
      </c>
      <c r="V47" s="44">
        <f t="shared" si="10"/>
        <v>34325.741748414301</v>
      </c>
      <c r="W47" s="44">
        <f t="shared" si="11"/>
        <v>21817.794828634149</v>
      </c>
      <c r="X47" s="44">
        <f t="shared" si="12"/>
        <v>8113.9086320142014</v>
      </c>
      <c r="Y47" s="14">
        <f t="shared" si="13"/>
        <v>991.58230208117243</v>
      </c>
      <c r="Z47" s="14">
        <f t="shared" si="14"/>
        <v>604.32951521546158</v>
      </c>
      <c r="AA47" s="14">
        <f t="shared" si="15"/>
        <v>1024.3535717253699</v>
      </c>
      <c r="AB47" s="14">
        <f t="shared" si="16"/>
        <v>1226.6998294267203</v>
      </c>
      <c r="AC47" s="14">
        <f t="shared" si="17"/>
        <v>1024.3535717253699</v>
      </c>
      <c r="AD47" s="33">
        <f t="shared" si="18"/>
        <v>0.9225610234184386</v>
      </c>
      <c r="AE47" s="33">
        <f t="shared" si="19"/>
        <v>0.4324758644484013</v>
      </c>
      <c r="AF47" s="51">
        <f t="shared" si="20"/>
        <v>28.879357439670276</v>
      </c>
      <c r="AG47" s="51">
        <f>APPLICANTS_PER_YEAR*($H47/Segments!$AH$2)*AE47</f>
        <v>16.088102157480527</v>
      </c>
      <c r="AH47" s="51">
        <f t="shared" si="21"/>
        <v>44.967459597150807</v>
      </c>
      <c r="AI47" s="14">
        <f t="shared" si="22"/>
        <v>1024.3535717253699</v>
      </c>
      <c r="AJ47" s="44">
        <f t="shared" si="23"/>
        <v>46062.57784975769</v>
      </c>
      <c r="AK47" s="44">
        <f t="shared" si="24"/>
        <v>30436.182625875044</v>
      </c>
      <c r="AL47" s="44">
        <f t="shared" si="25"/>
        <v>10584.175631239656</v>
      </c>
      <c r="AM47" s="14">
        <f t="shared" si="26"/>
        <v>863.7060185228155</v>
      </c>
      <c r="AN47" s="14">
        <f t="shared" si="27"/>
        <v>622.45940067192544</v>
      </c>
      <c r="AO47" s="14">
        <f t="shared" si="28"/>
        <v>1053.8341788771309</v>
      </c>
      <c r="AP47" s="14">
        <f t="shared" si="29"/>
        <v>1262.7521427698623</v>
      </c>
      <c r="AQ47" s="14">
        <f t="shared" si="30"/>
        <v>1053.8341788771309</v>
      </c>
      <c r="AR47" s="33">
        <f t="shared" si="31"/>
        <v>0.86668407383475399</v>
      </c>
      <c r="AS47" s="33">
        <f t="shared" si="32"/>
        <v>0.43272326643392872</v>
      </c>
      <c r="AT47" s="51">
        <f t="shared" si="33"/>
        <v>20.234019246552251</v>
      </c>
      <c r="AU47" s="51">
        <f>APPLICANTS_PER_YEAR*($H47/Segments!$AH$2)*AS47</f>
        <v>16.097305511342146</v>
      </c>
      <c r="AV47" s="51">
        <f t="shared" si="34"/>
        <v>36.331324757894393</v>
      </c>
      <c r="AW47" s="14">
        <f t="shared" si="35"/>
        <v>1053.8341788771309</v>
      </c>
      <c r="AX47" s="44">
        <f t="shared" si="36"/>
        <v>38287.191793754013</v>
      </c>
      <c r="AY47" s="44">
        <f t="shared" si="37"/>
        <v>25328.547590545957</v>
      </c>
      <c r="AZ47" s="44">
        <f t="shared" si="38"/>
        <v>8959.0745577097332</v>
      </c>
    </row>
    <row r="48" spans="1:52" ht="15" customHeight="1" x14ac:dyDescent="0.35">
      <c r="A48" s="59" t="str">
        <f>Segments!$A$28</f>
        <v>Non-greek</v>
      </c>
      <c r="B48" s="59" t="str">
        <f>Segments!$B$28</f>
        <v>On campus</v>
      </c>
      <c r="C48" s="59" t="str">
        <f>Segments!$C$28</f>
        <v>No</v>
      </c>
      <c r="D48" s="59" t="str">
        <f>Segments!$D$28</f>
        <v>&lt;1.0</v>
      </c>
      <c r="E48" s="59" t="str">
        <f>Segments!$E$28</f>
        <v>Senior</v>
      </c>
      <c r="F48" s="59">
        <f>Segments!$F$28</f>
        <v>3</v>
      </c>
      <c r="G48" s="59" t="str">
        <f>Segments!$G$28</f>
        <v>Base</v>
      </c>
      <c r="H48" s="60">
        <f>Segments!$H$28</f>
        <v>29</v>
      </c>
      <c r="I48" s="26">
        <f>Segments!$Y$28</f>
        <v>548.40700721807923</v>
      </c>
      <c r="J48" s="29">
        <v>3</v>
      </c>
      <c r="K48" s="14">
        <f t="shared" si="0"/>
        <v>1426.2297754450396</v>
      </c>
      <c r="L48" s="14">
        <f t="shared" si="1"/>
        <v>548.40700721807923</v>
      </c>
      <c r="M48" s="14">
        <f t="shared" si="2"/>
        <v>933.41921402239484</v>
      </c>
      <c r="N48" s="14">
        <f t="shared" si="3"/>
        <v>1153.8068625256333</v>
      </c>
      <c r="O48" s="14">
        <f t="shared" si="4"/>
        <v>1069.6723315837799</v>
      </c>
      <c r="P48" s="33">
        <f t="shared" si="5"/>
        <v>0.88645953827908708</v>
      </c>
      <c r="Q48" s="33">
        <f t="shared" si="6"/>
        <v>0.44550456651853299</v>
      </c>
      <c r="R48" s="51">
        <f t="shared" si="7"/>
        <v>27.480245686651699</v>
      </c>
      <c r="S48" s="51">
        <f>APPLICANTS_PER_YEAR*($H48/Segments!$AH$2)*Q48</f>
        <v>15.503558914844946</v>
      </c>
      <c r="T48" s="51">
        <f t="shared" si="8"/>
        <v>42.983804601496644</v>
      </c>
      <c r="U48" s="14">
        <f t="shared" si="9"/>
        <v>1020.528049102776</v>
      </c>
      <c r="V48" s="44">
        <f t="shared" si="10"/>
        <v>43866.178252980295</v>
      </c>
      <c r="W48" s="44">
        <f t="shared" si="11"/>
        <v>26401.333997195896</v>
      </c>
      <c r="X48" s="44">
        <f t="shared" si="12"/>
        <v>10044.468946903889</v>
      </c>
      <c r="Y48" s="14">
        <f t="shared" si="13"/>
        <v>1033.8646373600996</v>
      </c>
      <c r="Z48" s="14">
        <f t="shared" si="14"/>
        <v>564.85921743462166</v>
      </c>
      <c r="AA48" s="14">
        <f t="shared" si="15"/>
        <v>960.1717904430667</v>
      </c>
      <c r="AB48" s="14">
        <f t="shared" si="16"/>
        <v>1187.6482496869369</v>
      </c>
      <c r="AC48" s="14">
        <f t="shared" si="17"/>
        <v>960.1717904430667</v>
      </c>
      <c r="AD48" s="33">
        <f t="shared" si="18"/>
        <v>0.94576760598259324</v>
      </c>
      <c r="AE48" s="33">
        <f t="shared" si="19"/>
        <v>0.44576760598259324</v>
      </c>
      <c r="AF48" s="51">
        <f t="shared" si="20"/>
        <v>31.40079796120073</v>
      </c>
      <c r="AG48" s="51">
        <f>APPLICANTS_PER_YEAR*($H48/Segments!$AH$2)*AE48</f>
        <v>15.512712688194243</v>
      </c>
      <c r="AH48" s="51">
        <f t="shared" si="21"/>
        <v>46.913510649394972</v>
      </c>
      <c r="AI48" s="14">
        <f t="shared" si="22"/>
        <v>960.17179044306658</v>
      </c>
      <c r="AJ48" s="44">
        <f t="shared" si="23"/>
        <v>45045.029516199444</v>
      </c>
      <c r="AK48" s="44">
        <f t="shared" si="24"/>
        <v>29679.472382031399</v>
      </c>
      <c r="AL48" s="44">
        <f t="shared" si="25"/>
        <v>10360.919027830283</v>
      </c>
      <c r="AM48" s="14">
        <f t="shared" si="26"/>
        <v>1024.3535717253699</v>
      </c>
      <c r="AN48" s="14">
        <f t="shared" si="27"/>
        <v>581.80499395766026</v>
      </c>
      <c r="AO48" s="14">
        <f t="shared" si="28"/>
        <v>987.72694415635863</v>
      </c>
      <c r="AP48" s="14">
        <f t="shared" si="29"/>
        <v>1222.5043825897048</v>
      </c>
      <c r="AQ48" s="14">
        <f t="shared" si="30"/>
        <v>987.72694415635863</v>
      </c>
      <c r="AR48" s="33">
        <f t="shared" si="31"/>
        <v>0.94602314796450993</v>
      </c>
      <c r="AS48" s="33">
        <f t="shared" si="32"/>
        <v>0.44602314796450993</v>
      </c>
      <c r="AT48" s="51">
        <f t="shared" si="33"/>
        <v>42.540257684063519</v>
      </c>
      <c r="AU48" s="51">
        <f>APPLICANTS_PER_YEAR*($H48/Segments!$AH$2)*AS48</f>
        <v>15.521605549164944</v>
      </c>
      <c r="AV48" s="51">
        <f t="shared" si="34"/>
        <v>58.061863233228465</v>
      </c>
      <c r="AW48" s="14">
        <f t="shared" si="35"/>
        <v>987.72694415635851</v>
      </c>
      <c r="AX48" s="44">
        <f t="shared" si="36"/>
        <v>57349.26674338118</v>
      </c>
      <c r="AY48" s="44">
        <f t="shared" si="37"/>
        <v>37834.363826088462</v>
      </c>
      <c r="AZ48" s="44">
        <f t="shared" si="38"/>
        <v>12924.877598504434</v>
      </c>
    </row>
    <row r="49" spans="1:52" ht="15" customHeight="1" x14ac:dyDescent="0.35">
      <c r="A49" s="59" t="str">
        <f>Segments!$A$29</f>
        <v>Non-greek</v>
      </c>
      <c r="B49" s="59" t="str">
        <f>Segments!$B$29</f>
        <v>On campus</v>
      </c>
      <c r="C49" s="59" t="str">
        <f>Segments!$C$29</f>
        <v>No</v>
      </c>
      <c r="D49" s="59" t="str">
        <f>Segments!$D$29</f>
        <v>&lt;1.0</v>
      </c>
      <c r="E49" s="59" t="str">
        <f>Segments!$E$29</f>
        <v>Grad student</v>
      </c>
      <c r="F49" s="59">
        <f>Segments!$F$29</f>
        <v>3</v>
      </c>
      <c r="G49" s="59" t="str">
        <f>Segments!$G$29</f>
        <v>Grad</v>
      </c>
      <c r="H49" s="60">
        <f>Segments!$H$29</f>
        <v>17</v>
      </c>
      <c r="I49" s="26">
        <f>Segments!$Y$29</f>
        <v>652.97748951117342</v>
      </c>
      <c r="J49" s="29">
        <v>4</v>
      </c>
      <c r="K49" s="14">
        <f t="shared" si="0"/>
        <v>1426.2297754450396</v>
      </c>
      <c r="L49" s="14">
        <f t="shared" si="1"/>
        <v>652.97748951117342</v>
      </c>
      <c r="M49" s="14">
        <f t="shared" si="2"/>
        <v>1103.4589705093167</v>
      </c>
      <c r="N49" s="14">
        <f t="shared" si="3"/>
        <v>1254.5062932175022</v>
      </c>
      <c r="O49" s="14">
        <f t="shared" si="4"/>
        <v>1103.4589705093167</v>
      </c>
      <c r="P49" s="33">
        <f t="shared" si="5"/>
        <v>0.9102018991553984</v>
      </c>
      <c r="Q49" s="33">
        <f t="shared" si="6"/>
        <v>0.4102018991553984</v>
      </c>
      <c r="R49" s="51">
        <f t="shared" si="7"/>
        <v>7.7367161428208862</v>
      </c>
      <c r="S49" s="51">
        <f>APPLICANTS_PER_YEAR*($H49/Segments!$AH$2)*Q49</f>
        <v>8.3681187427701271</v>
      </c>
      <c r="T49" s="51">
        <f t="shared" si="8"/>
        <v>16.104834885591014</v>
      </c>
      <c r="U49" s="14">
        <f t="shared" si="9"/>
        <v>1103.4589705093167</v>
      </c>
      <c r="V49" s="44">
        <f t="shared" si="10"/>
        <v>17771.024523076791</v>
      </c>
      <c r="W49" s="44">
        <f t="shared" si="11"/>
        <v>11778.02601089541</v>
      </c>
      <c r="X49" s="44">
        <f t="shared" si="12"/>
        <v>4213.2089503974767</v>
      </c>
      <c r="Y49" s="14">
        <f t="shared" si="13"/>
        <v>1103.4589705093167</v>
      </c>
      <c r="Z49" s="14">
        <f t="shared" si="14"/>
        <v>672.56681419650863</v>
      </c>
      <c r="AA49" s="14">
        <f t="shared" si="15"/>
        <v>1135.3127396245964</v>
      </c>
      <c r="AB49" s="14">
        <f t="shared" si="16"/>
        <v>1291.4307332201449</v>
      </c>
      <c r="AC49" s="14">
        <f t="shared" si="17"/>
        <v>1135.3127396245964</v>
      </c>
      <c r="AD49" s="33">
        <f t="shared" si="18"/>
        <v>0.90178365272572181</v>
      </c>
      <c r="AE49" s="33">
        <f t="shared" si="19"/>
        <v>0.41044381226946369</v>
      </c>
      <c r="AF49" s="51">
        <f t="shared" si="20"/>
        <v>7.2615384148364486</v>
      </c>
      <c r="AG49" s="51">
        <f>APPLICANTS_PER_YEAR*($H49/Segments!$AH$2)*AE49</f>
        <v>8.3730537702970587</v>
      </c>
      <c r="AH49" s="51">
        <f t="shared" si="21"/>
        <v>15.634592185133506</v>
      </c>
      <c r="AI49" s="14">
        <f t="shared" si="22"/>
        <v>1135.3127396245966</v>
      </c>
      <c r="AJ49" s="44">
        <f t="shared" si="23"/>
        <v>17750.151686617228</v>
      </c>
      <c r="AK49" s="44">
        <f t="shared" si="24"/>
        <v>11777.144800082899</v>
      </c>
      <c r="AL49" s="44">
        <f t="shared" si="25"/>
        <v>4209.5080682550533</v>
      </c>
      <c r="AM49" s="14">
        <f t="shared" si="26"/>
        <v>1135.3127396245966</v>
      </c>
      <c r="AN49" s="14">
        <f t="shared" si="27"/>
        <v>692.74381862240386</v>
      </c>
      <c r="AO49" s="14">
        <f t="shared" si="28"/>
        <v>1168.1221218133342</v>
      </c>
      <c r="AP49" s="14">
        <f t="shared" si="29"/>
        <v>1329.4625207472852</v>
      </c>
      <c r="AQ49" s="14">
        <f t="shared" si="30"/>
        <v>1168.1221218133342</v>
      </c>
      <c r="AR49" s="33">
        <f t="shared" si="31"/>
        <v>0.90200911227998404</v>
      </c>
      <c r="AS49" s="33">
        <f t="shared" si="32"/>
        <v>0.41067880681708208</v>
      </c>
      <c r="AT49" s="51">
        <f t="shared" si="33"/>
        <v>7.0512723088859248</v>
      </c>
      <c r="AU49" s="51">
        <f>APPLICANTS_PER_YEAR*($H49/Segments!$AH$2)*AS49</f>
        <v>8.3778476590684736</v>
      </c>
      <c r="AV49" s="51">
        <f t="shared" si="34"/>
        <v>15.429119967954399</v>
      </c>
      <c r="AW49" s="14">
        <f t="shared" si="35"/>
        <v>1168.1221218133339</v>
      </c>
      <c r="AX49" s="44">
        <f t="shared" si="36"/>
        <v>18023.096354679372</v>
      </c>
      <c r="AY49" s="44">
        <f t="shared" si="37"/>
        <v>11971.038782733982</v>
      </c>
      <c r="AZ49" s="44">
        <f t="shared" si="38"/>
        <v>4266.9160233010998</v>
      </c>
    </row>
    <row r="50" spans="1:52" ht="15" customHeight="1" x14ac:dyDescent="0.35">
      <c r="A50" s="61" t="str">
        <f>Segments!$A$30</f>
        <v>Non-greek</v>
      </c>
      <c r="B50" s="61" t="str">
        <f>Segments!$B$30</f>
        <v>On campus</v>
      </c>
      <c r="C50" s="61" t="str">
        <f>Segments!$C$30</f>
        <v>No</v>
      </c>
      <c r="D50" s="61" t="str">
        <f>Segments!$D$30</f>
        <v>1.0-2.0</v>
      </c>
      <c r="E50" s="61" t="str">
        <f>Segments!$E$30</f>
        <v>Freshman</v>
      </c>
      <c r="F50" s="61">
        <f>Segments!$F$30</f>
        <v>1</v>
      </c>
      <c r="G50" s="61" t="str">
        <f>Segments!$G$30</f>
        <v>Base</v>
      </c>
      <c r="H50" s="62">
        <f>Segments!$H$30</f>
        <v>80</v>
      </c>
      <c r="I50" s="63">
        <f>Segments!$Y$30</f>
        <v>449.94965331674518</v>
      </c>
      <c r="J50" s="42">
        <v>0</v>
      </c>
      <c r="K50" s="40">
        <f t="shared" si="0"/>
        <v>773.31988087783361</v>
      </c>
      <c r="L50" s="40">
        <f t="shared" si="1"/>
        <v>449.94965331674518</v>
      </c>
      <c r="M50" s="40">
        <f t="shared" si="2"/>
        <v>773.31988087783361</v>
      </c>
      <c r="N50" s="40">
        <f t="shared" si="3"/>
        <v>1050.2056179870576</v>
      </c>
      <c r="O50" s="40">
        <f t="shared" si="4"/>
        <v>773.31988087783361</v>
      </c>
      <c r="P50" s="41">
        <f t="shared" si="5"/>
        <v>0.95</v>
      </c>
      <c r="Q50" s="41">
        <f t="shared" si="6"/>
        <v>0.48182453624649924</v>
      </c>
      <c r="R50" s="64">
        <f t="shared" si="7"/>
        <v>0</v>
      </c>
      <c r="S50" s="64">
        <f>APPLICANTS_PER_YEAR*($H50/Segments!$AH$2)*Q50</f>
        <v>46.255155479663927</v>
      </c>
      <c r="T50" s="64">
        <f t="shared" si="8"/>
        <v>46.255155479663927</v>
      </c>
      <c r="U50" s="40">
        <f t="shared" si="9"/>
        <v>773.31988087783373</v>
      </c>
      <c r="V50" s="65">
        <f t="shared" si="10"/>
        <v>35770.031325519383</v>
      </c>
      <c r="W50" s="65">
        <f t="shared" si="11"/>
        <v>23309.990112849362</v>
      </c>
      <c r="X50" s="65">
        <f t="shared" si="12"/>
        <v>10093.969013501221</v>
      </c>
      <c r="Y50" s="40">
        <f t="shared" si="13"/>
        <v>795.26947730416862</v>
      </c>
      <c r="Z50" s="40">
        <f t="shared" si="14"/>
        <v>463.44814291624755</v>
      </c>
      <c r="AA50" s="40">
        <f t="shared" si="15"/>
        <v>795.26947730416862</v>
      </c>
      <c r="AB50" s="40">
        <f t="shared" si="16"/>
        <v>1080.8626731804707</v>
      </c>
      <c r="AC50" s="40">
        <f t="shared" si="17"/>
        <v>795.26947730416862</v>
      </c>
      <c r="AD50" s="41">
        <f t="shared" si="18"/>
        <v>0.95</v>
      </c>
      <c r="AE50" s="41">
        <f t="shared" si="19"/>
        <v>0.48211354363636943</v>
      </c>
      <c r="AF50" s="64">
        <f t="shared" si="20"/>
        <v>0</v>
      </c>
      <c r="AG50" s="64">
        <f>APPLICANTS_PER_YEAR*($H50/Segments!$AH$2)*AE50</f>
        <v>46.282900189091464</v>
      </c>
      <c r="AH50" s="64">
        <f t="shared" si="21"/>
        <v>46.282900189091464</v>
      </c>
      <c r="AI50" s="40">
        <f t="shared" si="22"/>
        <v>795.2694773041685</v>
      </c>
      <c r="AJ50" s="65">
        <f t="shared" si="23"/>
        <v>36807.377841499772</v>
      </c>
      <c r="AK50" s="65">
        <f t="shared" si="24"/>
        <v>24023.691038381981</v>
      </c>
      <c r="AL50" s="65">
        <f t="shared" si="25"/>
        <v>10327.583145005065</v>
      </c>
      <c r="AM50" s="40">
        <f t="shared" si="26"/>
        <v>817.87756162329356</v>
      </c>
      <c r="AN50" s="40">
        <f t="shared" si="27"/>
        <v>477.35158720373494</v>
      </c>
      <c r="AO50" s="40">
        <f t="shared" si="28"/>
        <v>817.87756162329356</v>
      </c>
      <c r="AP50" s="40">
        <f t="shared" si="29"/>
        <v>1112.438782188399</v>
      </c>
      <c r="AQ50" s="40">
        <f t="shared" si="30"/>
        <v>817.87756162329356</v>
      </c>
      <c r="AR50" s="41">
        <f t="shared" si="31"/>
        <v>0.95</v>
      </c>
      <c r="AS50" s="41">
        <f t="shared" si="32"/>
        <v>0.48239435071907599</v>
      </c>
      <c r="AT50" s="64">
        <f t="shared" si="33"/>
        <v>0</v>
      </c>
      <c r="AU50" s="64">
        <f>APPLICANTS_PER_YEAR*($H50/Segments!$AH$2)*AS50</f>
        <v>46.309857669031295</v>
      </c>
      <c r="AV50" s="64">
        <f t="shared" si="34"/>
        <v>46.309857669031295</v>
      </c>
      <c r="AW50" s="40">
        <f t="shared" si="35"/>
        <v>817.87756162329356</v>
      </c>
      <c r="AX50" s="65">
        <f t="shared" si="36"/>
        <v>37875.793469469099</v>
      </c>
      <c r="AY50" s="65">
        <f t="shared" si="37"/>
        <v>24758.814148870086</v>
      </c>
      <c r="AZ50" s="65">
        <f t="shared" si="38"/>
        <v>10568.121332267488</v>
      </c>
    </row>
    <row r="51" spans="1:52" ht="15" customHeight="1" x14ac:dyDescent="0.35">
      <c r="A51" s="61" t="str">
        <f>Segments!$A$31</f>
        <v>Non-greek</v>
      </c>
      <c r="B51" s="61" t="str">
        <f>Segments!$B$31</f>
        <v>On campus</v>
      </c>
      <c r="C51" s="61" t="str">
        <f>Segments!$C$31</f>
        <v>No</v>
      </c>
      <c r="D51" s="61" t="str">
        <f>Segments!$D$31</f>
        <v>1.0-2.0</v>
      </c>
      <c r="E51" s="61" t="str">
        <f>Segments!$E$31</f>
        <v>Sophomore</v>
      </c>
      <c r="F51" s="61">
        <f>Segments!$F$31</f>
        <v>1</v>
      </c>
      <c r="G51" s="61" t="str">
        <f>Segments!$G$31</f>
        <v>Sophomore</v>
      </c>
      <c r="H51" s="62">
        <f>Segments!$H$31</f>
        <v>84</v>
      </c>
      <c r="I51" s="63">
        <f>Segments!$Y$31</f>
        <v>445.37197480063179</v>
      </c>
      <c r="J51" s="42">
        <v>1</v>
      </c>
      <c r="K51" s="40">
        <f t="shared" si="0"/>
        <v>1426.2297754450396</v>
      </c>
      <c r="L51" s="40">
        <f t="shared" si="1"/>
        <v>445.37197480063179</v>
      </c>
      <c r="M51" s="40">
        <f t="shared" si="2"/>
        <v>765.8762187364116</v>
      </c>
      <c r="N51" s="40">
        <f t="shared" si="3"/>
        <v>1045.1389704087817</v>
      </c>
      <c r="O51" s="40">
        <f t="shared" si="4"/>
        <v>1069.6723315837799</v>
      </c>
      <c r="P51" s="41">
        <f t="shared" si="5"/>
        <v>0.83826311051945435</v>
      </c>
      <c r="Q51" s="41">
        <f t="shared" si="6"/>
        <v>0.48360077443248667</v>
      </c>
      <c r="R51" s="64">
        <f t="shared" si="7"/>
        <v>67.061048841556342</v>
      </c>
      <c r="S51" s="64">
        <f>APPLICANTS_PER_YEAR*($H51/Segments!$AH$2)*Q51</f>
        <v>48.746958062794654</v>
      </c>
      <c r="T51" s="64">
        <f t="shared" si="8"/>
        <v>115.808006904351</v>
      </c>
      <c r="U51" s="40">
        <f t="shared" si="9"/>
        <v>941.79571261353919</v>
      </c>
      <c r="V51" s="65">
        <f t="shared" si="10"/>
        <v>109067.48438883692</v>
      </c>
      <c r="W51" s="65">
        <f t="shared" si="11"/>
        <v>57766.95762064193</v>
      </c>
      <c r="X51" s="65">
        <f t="shared" si="12"/>
        <v>25455.28339620831</v>
      </c>
      <c r="Y51" s="40">
        <f t="shared" si="13"/>
        <v>773.31988087783373</v>
      </c>
      <c r="Z51" s="40">
        <f t="shared" si="14"/>
        <v>458.73313404465074</v>
      </c>
      <c r="AA51" s="40">
        <f t="shared" si="15"/>
        <v>787.60250529850396</v>
      </c>
      <c r="AB51" s="40">
        <f t="shared" si="16"/>
        <v>1075.6399065672447</v>
      </c>
      <c r="AC51" s="40">
        <f t="shared" si="17"/>
        <v>787.60250529850396</v>
      </c>
      <c r="AD51" s="41">
        <f t="shared" si="18"/>
        <v>0.95</v>
      </c>
      <c r="AE51" s="41">
        <f t="shared" si="19"/>
        <v>0.48389118398738662</v>
      </c>
      <c r="AF51" s="64">
        <f t="shared" si="20"/>
        <v>43.942397705680726</v>
      </c>
      <c r="AG51" s="64">
        <f>APPLICANTS_PER_YEAR*($H51/Segments!$AH$2)*AE51</f>
        <v>48.776231345928572</v>
      </c>
      <c r="AH51" s="64">
        <f t="shared" si="21"/>
        <v>92.718629051609298</v>
      </c>
      <c r="AI51" s="40">
        <f t="shared" si="22"/>
        <v>787.60250529850407</v>
      </c>
      <c r="AJ51" s="65">
        <f t="shared" si="23"/>
        <v>73025.424528890144</v>
      </c>
      <c r="AK51" s="65">
        <f t="shared" si="24"/>
        <v>47637.080163868319</v>
      </c>
      <c r="AL51" s="65">
        <f t="shared" si="25"/>
        <v>18220.153470888181</v>
      </c>
      <c r="AM51" s="40">
        <f t="shared" si="26"/>
        <v>795.2694773041685</v>
      </c>
      <c r="AN51" s="40">
        <f t="shared" si="27"/>
        <v>472.49512806599023</v>
      </c>
      <c r="AO51" s="40">
        <f t="shared" si="28"/>
        <v>809.98058045745904</v>
      </c>
      <c r="AP51" s="40">
        <f t="shared" si="29"/>
        <v>1107.0552033402707</v>
      </c>
      <c r="AQ51" s="40">
        <f t="shared" si="30"/>
        <v>809.98058045745904</v>
      </c>
      <c r="AR51" s="41">
        <f t="shared" si="31"/>
        <v>0.95</v>
      </c>
      <c r="AS51" s="41">
        <f t="shared" si="32"/>
        <v>0.48417335557723812</v>
      </c>
      <c r="AT51" s="64">
        <f t="shared" si="33"/>
        <v>43.968755179636887</v>
      </c>
      <c r="AU51" s="64">
        <f>APPLICANTS_PER_YEAR*($H51/Segments!$AH$2)*AS51</f>
        <v>48.804674242185598</v>
      </c>
      <c r="AV51" s="64">
        <f t="shared" si="34"/>
        <v>92.773429421822485</v>
      </c>
      <c r="AW51" s="40">
        <f t="shared" si="35"/>
        <v>809.98058045745904</v>
      </c>
      <c r="AX51" s="65">
        <f t="shared" si="36"/>
        <v>75144.676214116887</v>
      </c>
      <c r="AY51" s="65">
        <f t="shared" si="37"/>
        <v>49095.192625679345</v>
      </c>
      <c r="AZ51" s="65">
        <f t="shared" si="38"/>
        <v>18661.508591969476</v>
      </c>
    </row>
    <row r="52" spans="1:52" ht="15" customHeight="1" x14ac:dyDescent="0.35">
      <c r="A52" s="61" t="str">
        <f>Segments!$A$32</f>
        <v>Non-greek</v>
      </c>
      <c r="B52" s="61" t="str">
        <f>Segments!$B$32</f>
        <v>On campus</v>
      </c>
      <c r="C52" s="61" t="str">
        <f>Segments!$C$32</f>
        <v>No</v>
      </c>
      <c r="D52" s="61" t="str">
        <f>Segments!$D$32</f>
        <v>1.0-2.0</v>
      </c>
      <c r="E52" s="61" t="str">
        <f>Segments!$E$32</f>
        <v>Junior</v>
      </c>
      <c r="F52" s="61">
        <f>Segments!$F$32</f>
        <v>2</v>
      </c>
      <c r="G52" s="61" t="str">
        <f>Segments!$G$32</f>
        <v>Base</v>
      </c>
      <c r="H52" s="62">
        <f>Segments!$H$32</f>
        <v>76</v>
      </c>
      <c r="I52" s="63">
        <f>Segments!$Y$32</f>
        <v>532.40907084129879</v>
      </c>
      <c r="J52" s="42">
        <v>2</v>
      </c>
      <c r="K52" s="40">
        <f t="shared" si="0"/>
        <v>1426.2297754450396</v>
      </c>
      <c r="L52" s="40">
        <f t="shared" si="1"/>
        <v>532.40907084129879</v>
      </c>
      <c r="M52" s="40">
        <f t="shared" si="2"/>
        <v>907.40532228020606</v>
      </c>
      <c r="N52" s="40">
        <f t="shared" si="3"/>
        <v>1137.6152640648472</v>
      </c>
      <c r="O52" s="40">
        <f t="shared" si="4"/>
        <v>1069.6723315837799</v>
      </c>
      <c r="P52" s="41">
        <f t="shared" si="5"/>
        <v>0.87986199931877596</v>
      </c>
      <c r="Q52" s="41">
        <f t="shared" si="6"/>
        <v>0.45118093043252211</v>
      </c>
      <c r="R52" s="64">
        <f t="shared" si="7"/>
        <v>73.908407942777174</v>
      </c>
      <c r="S52" s="64">
        <f>APPLICANTS_PER_YEAR*($H52/Segments!$AH$2)*Q52</f>
        <v>41.147700855446018</v>
      </c>
      <c r="T52" s="64">
        <f t="shared" si="8"/>
        <v>115.05610879822319</v>
      </c>
      <c r="U52" s="40">
        <f t="shared" si="9"/>
        <v>1011.6405206067476</v>
      </c>
      <c r="V52" s="65">
        <f t="shared" si="10"/>
        <v>116395.42180362111</v>
      </c>
      <c r="W52" s="65">
        <f t="shared" si="11"/>
        <v>68607.745897462679</v>
      </c>
      <c r="X52" s="65">
        <f t="shared" si="12"/>
        <v>26635.366914688901</v>
      </c>
      <c r="Y52" s="40">
        <f t="shared" si="13"/>
        <v>941.79571261353919</v>
      </c>
      <c r="Z52" s="40">
        <f t="shared" si="14"/>
        <v>548.38134296653777</v>
      </c>
      <c r="AA52" s="40">
        <f t="shared" si="15"/>
        <v>933.37748194861229</v>
      </c>
      <c r="AB52" s="40">
        <f t="shared" si="16"/>
        <v>1170.9598964864581</v>
      </c>
      <c r="AC52" s="40">
        <f t="shared" si="17"/>
        <v>933.37748194861229</v>
      </c>
      <c r="AD52" s="41">
        <f t="shared" si="18"/>
        <v>0.95</v>
      </c>
      <c r="AE52" s="41">
        <f t="shared" si="19"/>
        <v>0.45144771620733015</v>
      </c>
      <c r="AF52" s="64">
        <f t="shared" si="20"/>
        <v>110.01760655913345</v>
      </c>
      <c r="AG52" s="64">
        <f>APPLICANTS_PER_YEAR*($H52/Segments!$AH$2)*AE52</f>
        <v>41.172031718108514</v>
      </c>
      <c r="AH52" s="64">
        <f t="shared" si="21"/>
        <v>151.18963827724195</v>
      </c>
      <c r="AI52" s="40">
        <f t="shared" si="22"/>
        <v>933.37748194861229</v>
      </c>
      <c r="AJ52" s="65">
        <f t="shared" si="23"/>
        <v>141117.00387193362</v>
      </c>
      <c r="AK52" s="65">
        <f t="shared" si="24"/>
        <v>92858.726106830902</v>
      </c>
      <c r="AL52" s="65">
        <f t="shared" si="25"/>
        <v>32069.223945504484</v>
      </c>
      <c r="AM52" s="40">
        <f t="shared" si="26"/>
        <v>787.60250529850407</v>
      </c>
      <c r="AN52" s="40">
        <f t="shared" si="27"/>
        <v>564.83278325553385</v>
      </c>
      <c r="AO52" s="40">
        <f t="shared" si="28"/>
        <v>960.12880640707056</v>
      </c>
      <c r="AP52" s="40">
        <f t="shared" si="29"/>
        <v>1205.3043505026649</v>
      </c>
      <c r="AQ52" s="40">
        <f t="shared" si="30"/>
        <v>960.12880640707056</v>
      </c>
      <c r="AR52" s="41">
        <f t="shared" si="31"/>
        <v>0.88599115122704597</v>
      </c>
      <c r="AS52" s="41">
        <f t="shared" si="32"/>
        <v>0.45170690249037321</v>
      </c>
      <c r="AT52" s="64">
        <f t="shared" si="33"/>
        <v>82.147884893628756</v>
      </c>
      <c r="AU52" s="64">
        <f>APPLICANTS_PER_YEAR*($H52/Segments!$AH$2)*AS52</f>
        <v>41.195669507122041</v>
      </c>
      <c r="AV52" s="64">
        <f t="shared" si="34"/>
        <v>123.3435544007508</v>
      </c>
      <c r="AW52" s="40">
        <f t="shared" si="35"/>
        <v>960.12880640707044</v>
      </c>
      <c r="AX52" s="65">
        <f t="shared" si="36"/>
        <v>118425.69966479843</v>
      </c>
      <c r="AY52" s="65">
        <f t="shared" si="37"/>
        <v>78028.701104263208</v>
      </c>
      <c r="AZ52" s="65">
        <f t="shared" si="38"/>
        <v>27263.58027709544</v>
      </c>
    </row>
    <row r="53" spans="1:52" ht="15" customHeight="1" x14ac:dyDescent="0.35">
      <c r="A53" s="61" t="str">
        <f>Segments!$A$33</f>
        <v>Non-greek</v>
      </c>
      <c r="B53" s="61" t="str">
        <f>Segments!$B$33</f>
        <v>On campus</v>
      </c>
      <c r="C53" s="61" t="str">
        <f>Segments!$C$33</f>
        <v>No</v>
      </c>
      <c r="D53" s="61" t="str">
        <f>Segments!$D$33</f>
        <v>1.0-2.0</v>
      </c>
      <c r="E53" s="61" t="str">
        <f>Segments!$E$33</f>
        <v>Senior</v>
      </c>
      <c r="F53" s="61">
        <f>Segments!$F$33</f>
        <v>3</v>
      </c>
      <c r="G53" s="61" t="str">
        <f>Segments!$G$33</f>
        <v>Base</v>
      </c>
      <c r="H53" s="62">
        <f>Segments!$H$33</f>
        <v>90</v>
      </c>
      <c r="I53" s="63">
        <f>Segments!$Y$33</f>
        <v>497.63608021575544</v>
      </c>
      <c r="J53" s="42">
        <v>3</v>
      </c>
      <c r="K53" s="40">
        <f t="shared" si="0"/>
        <v>1426.2297754450396</v>
      </c>
      <c r="L53" s="40">
        <f t="shared" si="1"/>
        <v>497.63608021575544</v>
      </c>
      <c r="M53" s="40">
        <f t="shared" si="2"/>
        <v>850.86172863284378</v>
      </c>
      <c r="N53" s="40">
        <f t="shared" si="3"/>
        <v>1101.6008043582754</v>
      </c>
      <c r="O53" s="40">
        <f t="shared" si="4"/>
        <v>1069.6723315837799</v>
      </c>
      <c r="P53" s="41">
        <f t="shared" si="5"/>
        <v>0.86449185251507465</v>
      </c>
      <c r="Q53" s="41">
        <f t="shared" si="6"/>
        <v>0.46380668692934401</v>
      </c>
      <c r="R53" s="64">
        <f t="shared" si="7"/>
        <v>65.701380791145681</v>
      </c>
      <c r="S53" s="64">
        <f>APPLICANTS_PER_YEAR*($H53/Segments!$AH$2)*Q53</f>
        <v>50.091122188369148</v>
      </c>
      <c r="T53" s="64">
        <f t="shared" si="8"/>
        <v>115.79250297951484</v>
      </c>
      <c r="U53" s="40">
        <f t="shared" si="9"/>
        <v>975.0162151125337</v>
      </c>
      <c r="V53" s="65">
        <f t="shared" si="10"/>
        <v>112899.56799349334</v>
      </c>
      <c r="W53" s="65">
        <f t="shared" si="11"/>
        <v>64537.230577228584</v>
      </c>
      <c r="X53" s="65">
        <f t="shared" si="12"/>
        <v>26397.868123572185</v>
      </c>
      <c r="Y53" s="40">
        <f t="shared" si="13"/>
        <v>1011.6405206067476</v>
      </c>
      <c r="Z53" s="40">
        <f t="shared" si="14"/>
        <v>512.56516262222817</v>
      </c>
      <c r="AA53" s="40">
        <f t="shared" si="15"/>
        <v>875.13758049182923</v>
      </c>
      <c r="AB53" s="40">
        <f t="shared" si="16"/>
        <v>1133.8393595018777</v>
      </c>
      <c r="AC53" s="40">
        <f t="shared" si="17"/>
        <v>875.13758049182923</v>
      </c>
      <c r="AD53" s="41">
        <f t="shared" si="18"/>
        <v>0.95</v>
      </c>
      <c r="AE53" s="41">
        <f t="shared" si="19"/>
        <v>0.46408220081709906</v>
      </c>
      <c r="AF53" s="64">
        <f t="shared" si="20"/>
        <v>109.30330335831202</v>
      </c>
      <c r="AG53" s="64">
        <f>APPLICANTS_PER_YEAR*($H53/Segments!$AH$2)*AE53</f>
        <v>50.120877688246694</v>
      </c>
      <c r="AH53" s="64">
        <f t="shared" si="21"/>
        <v>159.42418104655872</v>
      </c>
      <c r="AI53" s="40">
        <f t="shared" si="22"/>
        <v>875.13758049182934</v>
      </c>
      <c r="AJ53" s="65">
        <f t="shared" si="23"/>
        <v>139518.09207297675</v>
      </c>
      <c r="AK53" s="65">
        <f t="shared" si="24"/>
        <v>91521.115038130316</v>
      </c>
      <c r="AL53" s="65">
        <f t="shared" si="25"/>
        <v>32345.618192057616</v>
      </c>
      <c r="AM53" s="40">
        <f t="shared" si="26"/>
        <v>933.37748194861229</v>
      </c>
      <c r="AN53" s="40">
        <f t="shared" si="27"/>
        <v>527.94211750089494</v>
      </c>
      <c r="AO53" s="40">
        <f t="shared" si="28"/>
        <v>900.14170790658397</v>
      </c>
      <c r="AP53" s="40">
        <f t="shared" si="29"/>
        <v>1167.04450142565</v>
      </c>
      <c r="AQ53" s="40">
        <f t="shared" si="30"/>
        <v>900.14170790658397</v>
      </c>
      <c r="AR53" s="41">
        <f t="shared" si="31"/>
        <v>0.95</v>
      </c>
      <c r="AS53" s="41">
        <f t="shared" si="32"/>
        <v>0.46434987834355079</v>
      </c>
      <c r="AT53" s="64">
        <f t="shared" si="33"/>
        <v>143.63015636337985</v>
      </c>
      <c r="AU53" s="64">
        <f>APPLICANTS_PER_YEAR*($H53/Segments!$AH$2)*AS53</f>
        <v>50.149786861103479</v>
      </c>
      <c r="AV53" s="64">
        <f t="shared" si="34"/>
        <v>193.77994322448333</v>
      </c>
      <c r="AW53" s="40">
        <f t="shared" si="35"/>
        <v>900.14170790658397</v>
      </c>
      <c r="AX53" s="65">
        <f t="shared" si="36"/>
        <v>174429.4090521273</v>
      </c>
      <c r="AY53" s="65">
        <f t="shared" si="37"/>
        <v>114581.14478175338</v>
      </c>
      <c r="AZ53" s="65">
        <f t="shared" si="38"/>
        <v>39676.468864739982</v>
      </c>
    </row>
    <row r="54" spans="1:52" ht="15" customHeight="1" x14ac:dyDescent="0.35">
      <c r="A54" s="61" t="str">
        <f>Segments!$A$34</f>
        <v>Non-greek</v>
      </c>
      <c r="B54" s="61" t="str">
        <f>Segments!$B$34</f>
        <v>On campus</v>
      </c>
      <c r="C54" s="61" t="str">
        <f>Segments!$C$34</f>
        <v>No</v>
      </c>
      <c r="D54" s="61" t="str">
        <f>Segments!$D$34</f>
        <v>1.0-2.0</v>
      </c>
      <c r="E54" s="61" t="str">
        <f>Segments!$E$34</f>
        <v>Grad student</v>
      </c>
      <c r="F54" s="61">
        <f>Segments!$F$34</f>
        <v>3</v>
      </c>
      <c r="G54" s="61" t="str">
        <f>Segments!$G$34</f>
        <v>Grad</v>
      </c>
      <c r="H54" s="62">
        <f>Segments!$H$34</f>
        <v>40</v>
      </c>
      <c r="I54" s="63">
        <f>Segments!$Y$34</f>
        <v>592.52554047006799</v>
      </c>
      <c r="J54" s="42">
        <v>4</v>
      </c>
      <c r="K54" s="40">
        <f t="shared" si="0"/>
        <v>1426.2297754450396</v>
      </c>
      <c r="L54" s="40">
        <f t="shared" si="1"/>
        <v>592.52554047006799</v>
      </c>
      <c r="M54" s="40">
        <f t="shared" si="2"/>
        <v>1005.1593885556031</v>
      </c>
      <c r="N54" s="40">
        <f t="shared" si="3"/>
        <v>1197.3254566015587</v>
      </c>
      <c r="O54" s="40">
        <f t="shared" si="4"/>
        <v>1069.6723315837799</v>
      </c>
      <c r="P54" s="41">
        <f t="shared" si="5"/>
        <v>0.9033076133619109</v>
      </c>
      <c r="Q54" s="41">
        <f t="shared" si="6"/>
        <v>0.4302480507644898</v>
      </c>
      <c r="R54" s="64">
        <f t="shared" si="7"/>
        <v>18.066152267238216</v>
      </c>
      <c r="S54" s="64">
        <f>APPLICANTS_PER_YEAR*($H54/Segments!$AH$2)*Q54</f>
        <v>20.651906436695512</v>
      </c>
      <c r="T54" s="64">
        <f t="shared" si="8"/>
        <v>38.718058703933728</v>
      </c>
      <c r="U54" s="40">
        <f t="shared" si="9"/>
        <v>1035.2616377635752</v>
      </c>
      <c r="V54" s="65">
        <f t="shared" si="10"/>
        <v>40083.320864860681</v>
      </c>
      <c r="W54" s="65">
        <f t="shared" si="11"/>
        <v>25694.411298640174</v>
      </c>
      <c r="X54" s="65">
        <f t="shared" si="12"/>
        <v>9592.9524960793042</v>
      </c>
      <c r="Y54" s="40">
        <f t="shared" si="13"/>
        <v>1035.2616377635752</v>
      </c>
      <c r="Z54" s="40">
        <f t="shared" si="14"/>
        <v>610.30130668417007</v>
      </c>
      <c r="AA54" s="40">
        <f t="shared" si="15"/>
        <v>1034.0641702122712</v>
      </c>
      <c r="AB54" s="40">
        <f t="shared" si="16"/>
        <v>1232.500508136178</v>
      </c>
      <c r="AC54" s="40">
        <f t="shared" si="17"/>
        <v>1034.0641702122712</v>
      </c>
      <c r="AD54" s="41">
        <f t="shared" si="18"/>
        <v>0.93050152377786355</v>
      </c>
      <c r="AE54" s="41">
        <f t="shared" si="19"/>
        <v>0.43050152377786355</v>
      </c>
      <c r="AF54" s="64">
        <f t="shared" si="20"/>
        <v>18.013606310865555</v>
      </c>
      <c r="AG54" s="64">
        <f>APPLICANTS_PER_YEAR*($H54/Segments!$AH$2)*AE54</f>
        <v>20.66407314133745</v>
      </c>
      <c r="AH54" s="64">
        <f t="shared" si="21"/>
        <v>38.677679452203009</v>
      </c>
      <c r="AI54" s="40">
        <f t="shared" si="22"/>
        <v>1034.0641702122712</v>
      </c>
      <c r="AJ54" s="65">
        <f t="shared" si="23"/>
        <v>39995.202508478513</v>
      </c>
      <c r="AK54" s="65">
        <f t="shared" si="24"/>
        <v>26437.642906293891</v>
      </c>
      <c r="AL54" s="65">
        <f t="shared" si="25"/>
        <v>9597.1279092935329</v>
      </c>
      <c r="AM54" s="40">
        <f t="shared" si="26"/>
        <v>1034.0641702122712</v>
      </c>
      <c r="AN54" s="40">
        <f t="shared" si="27"/>
        <v>628.61034588469511</v>
      </c>
      <c r="AO54" s="40">
        <f t="shared" si="28"/>
        <v>1063.8360953186393</v>
      </c>
      <c r="AP54" s="40">
        <f t="shared" si="29"/>
        <v>1268.7303675330829</v>
      </c>
      <c r="AQ54" s="40">
        <f t="shared" si="30"/>
        <v>1063.8360953186393</v>
      </c>
      <c r="AR54" s="41">
        <f t="shared" si="31"/>
        <v>0.92211040743723804</v>
      </c>
      <c r="AS54" s="41">
        <f t="shared" si="32"/>
        <v>0.43074776069750725</v>
      </c>
      <c r="AT54" s="64">
        <f t="shared" si="33"/>
        <v>17.832545379198905</v>
      </c>
      <c r="AU54" s="64">
        <f>APPLICANTS_PER_YEAR*($H54/Segments!$AH$2)*AS54</f>
        <v>20.675892513480349</v>
      </c>
      <c r="AV54" s="64">
        <f t="shared" si="34"/>
        <v>38.508437892679254</v>
      </c>
      <c r="AW54" s="40">
        <f t="shared" si="35"/>
        <v>1063.8360953186393</v>
      </c>
      <c r="AX54" s="65">
        <f t="shared" si="36"/>
        <v>40966.666204568231</v>
      </c>
      <c r="AY54" s="65">
        <f t="shared" si="37"/>
        <v>27111.618758779976</v>
      </c>
      <c r="AZ54" s="65">
        <f t="shared" si="38"/>
        <v>9799.617609910898</v>
      </c>
    </row>
    <row r="55" spans="1:52" ht="15" customHeight="1" x14ac:dyDescent="0.35">
      <c r="A55" s="59" t="str">
        <f>Segments!$A$35</f>
        <v>Non-greek</v>
      </c>
      <c r="B55" s="59" t="str">
        <f>Segments!$B$35</f>
        <v>On campus</v>
      </c>
      <c r="C55" s="59" t="str">
        <f>Segments!$C$35</f>
        <v>No</v>
      </c>
      <c r="D55" s="59" t="str">
        <f>Segments!$D$35</f>
        <v>2.0-3.0</v>
      </c>
      <c r="E55" s="59" t="str">
        <f>Segments!$E$35</f>
        <v>Freshman</v>
      </c>
      <c r="F55" s="59">
        <f>Segments!$F$35</f>
        <v>1</v>
      </c>
      <c r="G55" s="59" t="str">
        <f>Segments!$G$35</f>
        <v>Base</v>
      </c>
      <c r="H55" s="60">
        <f>Segments!$H$35</f>
        <v>143</v>
      </c>
      <c r="I55" s="26">
        <f>Segments!$Y$35</f>
        <v>442.15639912487848</v>
      </c>
      <c r="J55" s="29">
        <v>0</v>
      </c>
      <c r="K55" s="14">
        <f t="shared" si="0"/>
        <v>760.64744200247787</v>
      </c>
      <c r="L55" s="14">
        <f t="shared" si="1"/>
        <v>442.15639912487848</v>
      </c>
      <c r="M55" s="14">
        <f t="shared" si="2"/>
        <v>760.64744200247787</v>
      </c>
      <c r="N55" s="14">
        <f t="shared" si="3"/>
        <v>1041.565182981861</v>
      </c>
      <c r="O55" s="14">
        <f t="shared" si="4"/>
        <v>760.64744200247787</v>
      </c>
      <c r="P55" s="33">
        <f t="shared" si="5"/>
        <v>0.95</v>
      </c>
      <c r="Q55" s="33">
        <f t="shared" si="6"/>
        <v>0.48485365369796318</v>
      </c>
      <c r="R55" s="51">
        <f t="shared" si="7"/>
        <v>0</v>
      </c>
      <c r="S55" s="51">
        <f>APPLICANTS_PER_YEAR*($H55/Segments!$AH$2)*Q55</f>
        <v>83.20088697457048</v>
      </c>
      <c r="T55" s="51">
        <f t="shared" si="8"/>
        <v>83.20088697457048</v>
      </c>
      <c r="U55" s="14">
        <f t="shared" si="9"/>
        <v>760.64744200247787</v>
      </c>
      <c r="V55" s="44">
        <f t="shared" si="10"/>
        <v>63286.541849544315</v>
      </c>
      <c r="W55" s="44">
        <f t="shared" si="11"/>
        <v>41202.341139312739</v>
      </c>
      <c r="X55" s="44">
        <f t="shared" si="12"/>
        <v>17920.225288153601</v>
      </c>
      <c r="Y55" s="14">
        <f t="shared" si="13"/>
        <v>782.21686526255223</v>
      </c>
      <c r="Z55" s="14">
        <f t="shared" si="14"/>
        <v>455.42109109862486</v>
      </c>
      <c r="AA55" s="14">
        <f t="shared" si="15"/>
        <v>782.21686526255223</v>
      </c>
      <c r="AB55" s="14">
        <f t="shared" si="16"/>
        <v>1071.9559755957864</v>
      </c>
      <c r="AC55" s="14">
        <f t="shared" si="17"/>
        <v>782.21686526255223</v>
      </c>
      <c r="AD55" s="33">
        <f t="shared" si="18"/>
        <v>0.95</v>
      </c>
      <c r="AE55" s="33">
        <f t="shared" si="19"/>
        <v>0.4851450604919661</v>
      </c>
      <c r="AF55" s="51">
        <f t="shared" si="20"/>
        <v>0</v>
      </c>
      <c r="AG55" s="51">
        <f>APPLICANTS_PER_YEAR*($H55/Segments!$AH$2)*AE55</f>
        <v>83.250892380421377</v>
      </c>
      <c r="AH55" s="51">
        <f t="shared" si="21"/>
        <v>83.250892380421377</v>
      </c>
      <c r="AI55" s="14">
        <f t="shared" si="22"/>
        <v>782.21686526255223</v>
      </c>
      <c r="AJ55" s="44">
        <f t="shared" si="23"/>
        <v>65120.252068123307</v>
      </c>
      <c r="AK55" s="44">
        <f t="shared" si="24"/>
        <v>42463.917711964787</v>
      </c>
      <c r="AL55" s="44">
        <f t="shared" si="25"/>
        <v>18333.226620378584</v>
      </c>
      <c r="AM55" s="14">
        <f t="shared" si="26"/>
        <v>804.43337122042874</v>
      </c>
      <c r="AN55" s="14">
        <f t="shared" si="27"/>
        <v>469.08372383158354</v>
      </c>
      <c r="AO55" s="14">
        <f t="shared" si="28"/>
        <v>804.43337122042874</v>
      </c>
      <c r="AP55" s="14">
        <f t="shared" si="29"/>
        <v>1103.2578176127906</v>
      </c>
      <c r="AQ55" s="14">
        <f t="shared" si="30"/>
        <v>804.43337122042874</v>
      </c>
      <c r="AR55" s="33">
        <f t="shared" si="31"/>
        <v>0.95</v>
      </c>
      <c r="AS55" s="33">
        <f t="shared" si="32"/>
        <v>0.48542820255692942</v>
      </c>
      <c r="AT55" s="51">
        <f t="shared" si="33"/>
        <v>0</v>
      </c>
      <c r="AU55" s="51">
        <f>APPLICANTS_PER_YEAR*($H55/Segments!$AH$2)*AS55</f>
        <v>83.299479558769093</v>
      </c>
      <c r="AV55" s="51">
        <f t="shared" si="34"/>
        <v>83.299479558769093</v>
      </c>
      <c r="AW55" s="14">
        <f t="shared" si="35"/>
        <v>804.43337122042885</v>
      </c>
      <c r="AX55" s="44">
        <f t="shared" si="36"/>
        <v>67008.881162367819</v>
      </c>
      <c r="AY55" s="44">
        <f t="shared" si="37"/>
        <v>43763.361672419516</v>
      </c>
      <c r="AZ55" s="44">
        <f t="shared" si="38"/>
        <v>18758.465960515001</v>
      </c>
    </row>
    <row r="56" spans="1:52" ht="15" customHeight="1" x14ac:dyDescent="0.35">
      <c r="A56" s="59" t="str">
        <f>Segments!$A$36</f>
        <v>Non-greek</v>
      </c>
      <c r="B56" s="59" t="str">
        <f>Segments!$B$36</f>
        <v>On campus</v>
      </c>
      <c r="C56" s="59" t="str">
        <f>Segments!$C$36</f>
        <v>No</v>
      </c>
      <c r="D56" s="59" t="str">
        <f>Segments!$D$36</f>
        <v>2.0-3.0</v>
      </c>
      <c r="E56" s="59" t="str">
        <f>Segments!$E$36</f>
        <v>Sophomore</v>
      </c>
      <c r="F56" s="59">
        <f>Segments!$F$36</f>
        <v>1</v>
      </c>
      <c r="G56" s="59" t="str">
        <f>Segments!$G$36</f>
        <v>Sophomore</v>
      </c>
      <c r="H56" s="60">
        <f>Segments!$H$36</f>
        <v>131</v>
      </c>
      <c r="I56" s="26">
        <f>Segments!$Y$36</f>
        <v>437.65800728455594</v>
      </c>
      <c r="J56" s="29">
        <v>1</v>
      </c>
      <c r="K56" s="14">
        <f t="shared" si="0"/>
        <v>1426.2297754450396</v>
      </c>
      <c r="L56" s="14">
        <f t="shared" si="1"/>
        <v>437.65800728455594</v>
      </c>
      <c r="M56" s="14">
        <f t="shared" si="2"/>
        <v>753.33270617705352</v>
      </c>
      <c r="N56" s="14">
        <f t="shared" si="3"/>
        <v>1036.5449996822633</v>
      </c>
      <c r="O56" s="14">
        <f t="shared" si="4"/>
        <v>1069.6723315837799</v>
      </c>
      <c r="P56" s="33">
        <f t="shared" si="5"/>
        <v>0.83402031175121616</v>
      </c>
      <c r="Q56" s="33">
        <f t="shared" si="6"/>
        <v>0.48661360268585735</v>
      </c>
      <c r="R56" s="51">
        <f t="shared" si="7"/>
        <v>119.26490458042392</v>
      </c>
      <c r="S56" s="51">
        <f>APPLICANTS_PER_YEAR*($H56/Segments!$AH$2)*Q56</f>
        <v>76.495658342216785</v>
      </c>
      <c r="T56" s="51">
        <f t="shared" si="8"/>
        <v>195.7605629226407</v>
      </c>
      <c r="U56" s="14">
        <f t="shared" si="9"/>
        <v>946.0590381607301</v>
      </c>
      <c r="V56" s="44">
        <f t="shared" si="10"/>
        <v>185201.04986839654</v>
      </c>
      <c r="W56" s="44">
        <f t="shared" si="11"/>
        <v>95957.319218460965</v>
      </c>
      <c r="X56" s="44">
        <f t="shared" si="12"/>
        <v>42847.534987975996</v>
      </c>
      <c r="Y56" s="14">
        <f t="shared" si="13"/>
        <v>760.64744200247787</v>
      </c>
      <c r="Z56" s="14">
        <f t="shared" si="14"/>
        <v>450.78774750309265</v>
      </c>
      <c r="AA56" s="14">
        <f t="shared" si="15"/>
        <v>774.68268736236519</v>
      </c>
      <c r="AB56" s="14">
        <f t="shared" si="16"/>
        <v>1066.7810369026652</v>
      </c>
      <c r="AC56" s="14">
        <f t="shared" si="17"/>
        <v>774.68268736236519</v>
      </c>
      <c r="AD56" s="33">
        <f t="shared" si="18"/>
        <v>0.95</v>
      </c>
      <c r="AE56" s="33">
        <f t="shared" si="19"/>
        <v>0.48690642195346384</v>
      </c>
      <c r="AF56" s="51">
        <f t="shared" si="20"/>
        <v>79.040842625841947</v>
      </c>
      <c r="AG56" s="51">
        <f>APPLICANTS_PER_YEAR*($H56/Segments!$AH$2)*AE56</f>
        <v>76.541689531084529</v>
      </c>
      <c r="AH56" s="51">
        <f t="shared" si="21"/>
        <v>155.58253215692648</v>
      </c>
      <c r="AI56" s="14">
        <f t="shared" si="22"/>
        <v>774.68268736236507</v>
      </c>
      <c r="AJ56" s="44">
        <f t="shared" si="23"/>
        <v>120527.09411796939</v>
      </c>
      <c r="AK56" s="44">
        <f t="shared" si="24"/>
        <v>78550.86312847017</v>
      </c>
      <c r="AL56" s="44">
        <f t="shared" si="25"/>
        <v>29880.156930653735</v>
      </c>
      <c r="AM56" s="14">
        <f t="shared" si="26"/>
        <v>782.21686526255223</v>
      </c>
      <c r="AN56" s="14">
        <f t="shared" si="27"/>
        <v>464.31137992818537</v>
      </c>
      <c r="AO56" s="14">
        <f t="shared" si="28"/>
        <v>796.673167983236</v>
      </c>
      <c r="AP56" s="14">
        <f t="shared" si="29"/>
        <v>1097.9234710026453</v>
      </c>
      <c r="AQ56" s="14">
        <f t="shared" si="30"/>
        <v>796.673167983236</v>
      </c>
      <c r="AR56" s="33">
        <f t="shared" si="31"/>
        <v>0.95</v>
      </c>
      <c r="AS56" s="33">
        <f t="shared" si="32"/>
        <v>0.48719093861082213</v>
      </c>
      <c r="AT56" s="51">
        <f t="shared" si="33"/>
        <v>79.0883477614003</v>
      </c>
      <c r="AU56" s="51">
        <f>APPLICANTS_PER_YEAR*($H56/Segments!$AH$2)*AS56</f>
        <v>76.58641554962125</v>
      </c>
      <c r="AV56" s="51">
        <f t="shared" si="34"/>
        <v>155.67476331102154</v>
      </c>
      <c r="AW56" s="14">
        <f t="shared" si="35"/>
        <v>796.67316798323611</v>
      </c>
      <c r="AX56" s="44">
        <f t="shared" si="36"/>
        <v>124021.90686203197</v>
      </c>
      <c r="AY56" s="44">
        <f t="shared" si="37"/>
        <v>80955.351873686144</v>
      </c>
      <c r="AZ56" s="44">
        <f t="shared" si="38"/>
        <v>30603.798032398914</v>
      </c>
    </row>
    <row r="57" spans="1:52" ht="15" customHeight="1" x14ac:dyDescent="0.35">
      <c r="A57" s="59" t="str">
        <f>Segments!$A$37</f>
        <v>Non-greek</v>
      </c>
      <c r="B57" s="59" t="str">
        <f>Segments!$B$37</f>
        <v>On campus</v>
      </c>
      <c r="C57" s="59" t="str">
        <f>Segments!$C$37</f>
        <v>No</v>
      </c>
      <c r="D57" s="59" t="str">
        <f>Segments!$D$37</f>
        <v>2.0-3.0</v>
      </c>
      <c r="E57" s="59" t="str">
        <f>Segments!$E$37</f>
        <v>Junior</v>
      </c>
      <c r="F57" s="59">
        <f>Segments!$F$37</f>
        <v>2</v>
      </c>
      <c r="G57" s="59" t="str">
        <f>Segments!$G$37</f>
        <v>Base</v>
      </c>
      <c r="H57" s="60">
        <f>Segments!$H$37</f>
        <v>129</v>
      </c>
      <c r="I57" s="26">
        <f>Segments!$Y$37</f>
        <v>523.18759641068971</v>
      </c>
      <c r="J57" s="29">
        <v>2</v>
      </c>
      <c r="K57" s="14">
        <f t="shared" si="0"/>
        <v>1426.2297754450396</v>
      </c>
      <c r="L57" s="14">
        <f t="shared" si="1"/>
        <v>523.18759641068971</v>
      </c>
      <c r="M57" s="14">
        <f t="shared" si="2"/>
        <v>892.41048595310338</v>
      </c>
      <c r="N57" s="14">
        <f t="shared" si="3"/>
        <v>1128.1765850192483</v>
      </c>
      <c r="O57" s="14">
        <f t="shared" si="4"/>
        <v>1069.6723315837799</v>
      </c>
      <c r="P57" s="33">
        <f t="shared" si="5"/>
        <v>0.87592867739515712</v>
      </c>
      <c r="Q57" s="33">
        <f t="shared" si="6"/>
        <v>0.45448989200663226</v>
      </c>
      <c r="R57" s="51">
        <f t="shared" si="7"/>
        <v>114.74665673876558</v>
      </c>
      <c r="S57" s="51">
        <f>APPLICANTS_PER_YEAR*($H57/Segments!$AH$2)*Q57</f>
        <v>70.355035282626673</v>
      </c>
      <c r="T57" s="51">
        <f t="shared" si="8"/>
        <v>185.10169202139224</v>
      </c>
      <c r="U57" s="14">
        <f t="shared" si="9"/>
        <v>1002.2971322140818</v>
      </c>
      <c r="V57" s="44">
        <f t="shared" si="10"/>
        <v>185526.89508101562</v>
      </c>
      <c r="W57" s="44">
        <f t="shared" si="11"/>
        <v>108464.05846105084</v>
      </c>
      <c r="X57" s="44">
        <f t="shared" si="12"/>
        <v>42722.987885709044</v>
      </c>
      <c r="Y57" s="14">
        <f t="shared" si="13"/>
        <v>946.0590381607301</v>
      </c>
      <c r="Z57" s="14">
        <f t="shared" si="14"/>
        <v>538.88322430301037</v>
      </c>
      <c r="AA57" s="14">
        <f t="shared" si="15"/>
        <v>917.93280053169633</v>
      </c>
      <c r="AB57" s="14">
        <f t="shared" si="16"/>
        <v>1161.2314948946382</v>
      </c>
      <c r="AC57" s="14">
        <f t="shared" si="17"/>
        <v>917.93280053169633</v>
      </c>
      <c r="AD57" s="33">
        <f t="shared" si="18"/>
        <v>0.95</v>
      </c>
      <c r="AE57" s="33">
        <f t="shared" si="19"/>
        <v>0.45475891130778234</v>
      </c>
      <c r="AF57" s="51">
        <f t="shared" si="20"/>
        <v>185.97253477650867</v>
      </c>
      <c r="AG57" s="51">
        <f>APPLICANTS_PER_YEAR*($H57/Segments!$AH$2)*AE57</f>
        <v>70.39667947044471</v>
      </c>
      <c r="AH57" s="51">
        <f t="shared" si="21"/>
        <v>256.36921424695339</v>
      </c>
      <c r="AI57" s="14">
        <f t="shared" si="22"/>
        <v>917.93280053169633</v>
      </c>
      <c r="AJ57" s="44">
        <f t="shared" si="23"/>
        <v>235329.71080381639</v>
      </c>
      <c r="AK57" s="44">
        <f t="shared" si="24"/>
        <v>154731.43703967883</v>
      </c>
      <c r="AL57" s="44">
        <f t="shared" si="25"/>
        <v>53626.29635332679</v>
      </c>
      <c r="AM57" s="14">
        <f t="shared" si="26"/>
        <v>774.68268736236507</v>
      </c>
      <c r="AN57" s="14">
        <f t="shared" si="27"/>
        <v>555.04972103210071</v>
      </c>
      <c r="AO57" s="14">
        <f t="shared" si="28"/>
        <v>944.22078454764733</v>
      </c>
      <c r="AP57" s="14">
        <f t="shared" si="29"/>
        <v>1195.2775215759102</v>
      </c>
      <c r="AQ57" s="14">
        <f t="shared" si="30"/>
        <v>944.22078454764733</v>
      </c>
      <c r="AR57" s="33">
        <f t="shared" si="31"/>
        <v>0.88936573856597079</v>
      </c>
      <c r="AS57" s="33">
        <f t="shared" si="32"/>
        <v>0.45502027039597376</v>
      </c>
      <c r="AT57" s="51">
        <f t="shared" si="33"/>
        <v>138.36977361970881</v>
      </c>
      <c r="AU57" s="51">
        <f>APPLICANTS_PER_YEAR*($H57/Segments!$AH$2)*AS57</f>
        <v>70.437137857296747</v>
      </c>
      <c r="AV57" s="51">
        <f t="shared" si="34"/>
        <v>208.80691147700554</v>
      </c>
      <c r="AW57" s="14">
        <f t="shared" si="35"/>
        <v>944.22078454764733</v>
      </c>
      <c r="AX57" s="44">
        <f t="shared" si="36"/>
        <v>197159.82577378931</v>
      </c>
      <c r="AY57" s="44">
        <f t="shared" si="37"/>
        <v>129806.00412067286</v>
      </c>
      <c r="AZ57" s="44">
        <f t="shared" si="38"/>
        <v>45528.061082130473</v>
      </c>
    </row>
    <row r="58" spans="1:52" ht="15" customHeight="1" x14ac:dyDescent="0.35">
      <c r="A58" s="59" t="str">
        <f>Segments!$A$38</f>
        <v>Non-greek</v>
      </c>
      <c r="B58" s="59" t="str">
        <f>Segments!$B$38</f>
        <v>On campus</v>
      </c>
      <c r="C58" s="59" t="str">
        <f>Segments!$C$38</f>
        <v>No</v>
      </c>
      <c r="D58" s="59" t="str">
        <f>Segments!$D$38</f>
        <v>2.0-3.0</v>
      </c>
      <c r="E58" s="59" t="str">
        <f>Segments!$E$38</f>
        <v>Senior</v>
      </c>
      <c r="F58" s="59">
        <f>Segments!$F$38</f>
        <v>3</v>
      </c>
      <c r="G58" s="59" t="str">
        <f>Segments!$G$38</f>
        <v>Base</v>
      </c>
      <c r="H58" s="60">
        <f>Segments!$H$38</f>
        <v>152</v>
      </c>
      <c r="I58" s="26">
        <f>Segments!$Y$38</f>
        <v>489.01688373548728</v>
      </c>
      <c r="J58" s="29">
        <v>3</v>
      </c>
      <c r="K58" s="14">
        <f t="shared" si="0"/>
        <v>1426.2297754450396</v>
      </c>
      <c r="L58" s="14">
        <f t="shared" si="1"/>
        <v>489.01688373548728</v>
      </c>
      <c r="M58" s="14">
        <f t="shared" si="2"/>
        <v>836.84624320637454</v>
      </c>
      <c r="N58" s="14">
        <f t="shared" si="3"/>
        <v>1092.4902880713644</v>
      </c>
      <c r="O58" s="14">
        <f t="shared" si="4"/>
        <v>1069.6723315837799</v>
      </c>
      <c r="P58" s="33">
        <f t="shared" si="5"/>
        <v>0.86044309351612924</v>
      </c>
      <c r="Q58" s="33">
        <f t="shared" si="6"/>
        <v>0.46700060296018414</v>
      </c>
      <c r="R58" s="51">
        <f t="shared" si="7"/>
        <v>110.99715906358067</v>
      </c>
      <c r="S58" s="51">
        <f>APPLICANTS_PER_YEAR*($H58/Segments!$AH$2)*Q58</f>
        <v>85.180909979937596</v>
      </c>
      <c r="T58" s="51">
        <f t="shared" si="8"/>
        <v>196.17806904351826</v>
      </c>
      <c r="U58" s="14">
        <f t="shared" si="9"/>
        <v>968.57877830460404</v>
      </c>
      <c r="V58" s="44">
        <f t="shared" si="10"/>
        <v>190013.91444432718</v>
      </c>
      <c r="W58" s="44">
        <f t="shared" si="11"/>
        <v>107446.51453861537</v>
      </c>
      <c r="X58" s="44">
        <f t="shared" si="12"/>
        <v>44460.63031818303</v>
      </c>
      <c r="Y58" s="14">
        <f t="shared" si="13"/>
        <v>1002.2971322140818</v>
      </c>
      <c r="Z58" s="14">
        <f t="shared" si="14"/>
        <v>503.68739024755189</v>
      </c>
      <c r="AA58" s="14">
        <f t="shared" si="15"/>
        <v>860.70163050256565</v>
      </c>
      <c r="AB58" s="14">
        <f t="shared" si="16"/>
        <v>1124.4487725071156</v>
      </c>
      <c r="AC58" s="14">
        <f t="shared" si="17"/>
        <v>860.70163050256565</v>
      </c>
      <c r="AD58" s="33">
        <f t="shared" si="18"/>
        <v>0.95</v>
      </c>
      <c r="AE58" s="33">
        <f t="shared" si="19"/>
        <v>0.46727841607959109</v>
      </c>
      <c r="AF58" s="51">
        <f t="shared" si="20"/>
        <v>175.84660742032261</v>
      </c>
      <c r="AG58" s="51">
        <f>APPLICANTS_PER_YEAR*($H58/Segments!$AH$2)*AE58</f>
        <v>85.231583092917418</v>
      </c>
      <c r="AH58" s="51">
        <f t="shared" si="21"/>
        <v>261.07819051324003</v>
      </c>
      <c r="AI58" s="14">
        <f t="shared" si="22"/>
        <v>860.70163050256576</v>
      </c>
      <c r="AJ58" s="44">
        <f t="shared" si="23"/>
        <v>224710.42426340518</v>
      </c>
      <c r="AK58" s="44">
        <f t="shared" si="24"/>
        <v>147282.00752178708</v>
      </c>
      <c r="AL58" s="44">
        <f t="shared" si="25"/>
        <v>52390.187262214924</v>
      </c>
      <c r="AM58" s="14">
        <f t="shared" si="26"/>
        <v>917.93280053169633</v>
      </c>
      <c r="AN58" s="14">
        <f t="shared" si="27"/>
        <v>518.79801195497839</v>
      </c>
      <c r="AO58" s="14">
        <f t="shared" si="28"/>
        <v>885.27267941764262</v>
      </c>
      <c r="AP58" s="14">
        <f t="shared" si="29"/>
        <v>1157.3654272048896</v>
      </c>
      <c r="AQ58" s="14">
        <f t="shared" si="30"/>
        <v>885.27267941764262</v>
      </c>
      <c r="AR58" s="33">
        <f t="shared" si="31"/>
        <v>0.95</v>
      </c>
      <c r="AS58" s="33">
        <f t="shared" si="32"/>
        <v>0.46754833062724538</v>
      </c>
      <c r="AT58" s="51">
        <f t="shared" si="33"/>
        <v>243.55075353460572</v>
      </c>
      <c r="AU58" s="51">
        <f>APPLICANTS_PER_YEAR*($H58/Segments!$AH$2)*AS58</f>
        <v>85.280815506409553</v>
      </c>
      <c r="AV58" s="51">
        <f t="shared" si="34"/>
        <v>328.83156904101526</v>
      </c>
      <c r="AW58" s="14">
        <f t="shared" si="35"/>
        <v>885.27267941764262</v>
      </c>
      <c r="AX58" s="44">
        <f t="shared" si="36"/>
        <v>291105.60420204711</v>
      </c>
      <c r="AY58" s="44">
        <f t="shared" si="37"/>
        <v>191068.82400089677</v>
      </c>
      <c r="AZ58" s="44">
        <f t="shared" si="38"/>
        <v>66369.998124287289</v>
      </c>
    </row>
    <row r="59" spans="1:52" ht="15" customHeight="1" x14ac:dyDescent="0.35">
      <c r="A59" s="59" t="str">
        <f>Segments!$A$39</f>
        <v>Non-greek</v>
      </c>
      <c r="B59" s="59" t="str">
        <f>Segments!$B$39</f>
        <v>On campus</v>
      </c>
      <c r="C59" s="59" t="str">
        <f>Segments!$C$39</f>
        <v>No</v>
      </c>
      <c r="D59" s="59" t="str">
        <f>Segments!$D$39</f>
        <v>2.0-3.0</v>
      </c>
      <c r="E59" s="59" t="str">
        <f>Segments!$E$39</f>
        <v>Grad student</v>
      </c>
      <c r="F59" s="59">
        <f>Segments!$F$39</f>
        <v>3</v>
      </c>
      <c r="G59" s="59" t="str">
        <f>Segments!$G$39</f>
        <v>Grad</v>
      </c>
      <c r="H59" s="60">
        <f>Segments!$H$39</f>
        <v>61</v>
      </c>
      <c r="I59" s="26">
        <f>Segments!$Y$39</f>
        <v>582.26283192475046</v>
      </c>
      <c r="J59" s="29">
        <v>4</v>
      </c>
      <c r="K59" s="14">
        <f t="shared" si="0"/>
        <v>1426.2297754450396</v>
      </c>
      <c r="L59" s="14">
        <f t="shared" si="1"/>
        <v>582.26283192475046</v>
      </c>
      <c r="M59" s="14">
        <f t="shared" si="2"/>
        <v>988.47142438373567</v>
      </c>
      <c r="N59" s="14">
        <f t="shared" si="3"/>
        <v>1187.3446751607783</v>
      </c>
      <c r="O59" s="14">
        <f t="shared" si="4"/>
        <v>1069.6723315837799</v>
      </c>
      <c r="P59" s="33">
        <f t="shared" si="5"/>
        <v>0.89955273141771763</v>
      </c>
      <c r="Q59" s="33">
        <f t="shared" si="6"/>
        <v>0.43374705969440303</v>
      </c>
      <c r="R59" s="51">
        <f t="shared" si="7"/>
        <v>27.436358308240386</v>
      </c>
      <c r="S59" s="51">
        <f>APPLICANTS_PER_YEAR*($H59/Segments!$AH$2)*Q59</f>
        <v>31.750284769630301</v>
      </c>
      <c r="T59" s="51">
        <f t="shared" si="8"/>
        <v>59.186643077870684</v>
      </c>
      <c r="U59" s="14">
        <f t="shared" si="9"/>
        <v>1026.112639851277</v>
      </c>
      <c r="V59" s="44">
        <f t="shared" si="10"/>
        <v>60732.162572569199</v>
      </c>
      <c r="W59" s="44">
        <f t="shared" si="11"/>
        <v>38597.644299917272</v>
      </c>
      <c r="X59" s="44">
        <f t="shared" si="12"/>
        <v>14554.31742939265</v>
      </c>
      <c r="Y59" s="14">
        <f t="shared" si="13"/>
        <v>1026.112639851277</v>
      </c>
      <c r="Z59" s="14">
        <f t="shared" si="14"/>
        <v>599.73071688249297</v>
      </c>
      <c r="AA59" s="14">
        <f t="shared" si="15"/>
        <v>1016.8755671152477</v>
      </c>
      <c r="AB59" s="14">
        <f t="shared" si="16"/>
        <v>1222.2140393951449</v>
      </c>
      <c r="AC59" s="14">
        <f t="shared" si="17"/>
        <v>1016.8755671152477</v>
      </c>
      <c r="AD59" s="33">
        <f t="shared" si="18"/>
        <v>0.93400266469755011</v>
      </c>
      <c r="AE59" s="33">
        <f t="shared" si="19"/>
        <v>0.43400266469755006</v>
      </c>
      <c r="AF59" s="51">
        <f t="shared" si="20"/>
        <v>27.640241174617014</v>
      </c>
      <c r="AG59" s="51">
        <f>APPLICANTS_PER_YEAR*($H59/Segments!$AH$2)*AE59</f>
        <v>31.768995055860664</v>
      </c>
      <c r="AH59" s="51">
        <f t="shared" si="21"/>
        <v>59.409236230477674</v>
      </c>
      <c r="AI59" s="14">
        <f t="shared" si="22"/>
        <v>1016.8755671152477</v>
      </c>
      <c r="AJ59" s="44">
        <f t="shared" si="23"/>
        <v>60411.800783750703</v>
      </c>
      <c r="AK59" s="44">
        <f t="shared" si="24"/>
        <v>39905.08909401924</v>
      </c>
      <c r="AL59" s="44">
        <f t="shared" si="25"/>
        <v>14530.918969378798</v>
      </c>
      <c r="AM59" s="14">
        <f t="shared" si="26"/>
        <v>1016.8755671152477</v>
      </c>
      <c r="AN59" s="14">
        <f t="shared" si="27"/>
        <v>617.72263838896777</v>
      </c>
      <c r="AO59" s="14">
        <f t="shared" si="28"/>
        <v>1046.1318341287053</v>
      </c>
      <c r="AP59" s="14">
        <f t="shared" si="29"/>
        <v>1258.1290295758999</v>
      </c>
      <c r="AQ59" s="14">
        <f t="shared" si="30"/>
        <v>1046.1318341287053</v>
      </c>
      <c r="AR59" s="33">
        <f t="shared" si="31"/>
        <v>0.92561975192755053</v>
      </c>
      <c r="AS59" s="33">
        <f t="shared" si="32"/>
        <v>0.43425097524323725</v>
      </c>
      <c r="AT59" s="51">
        <f t="shared" si="33"/>
        <v>27.495181250929996</v>
      </c>
      <c r="AU59" s="51">
        <f>APPLICANTS_PER_YEAR*($H59/Segments!$AH$2)*AS59</f>
        <v>31.787171387804968</v>
      </c>
      <c r="AV59" s="51">
        <f t="shared" si="34"/>
        <v>59.282352638734963</v>
      </c>
      <c r="AW59" s="14">
        <f t="shared" si="35"/>
        <v>1046.1318341287053</v>
      </c>
      <c r="AX59" s="44">
        <f t="shared" si="36"/>
        <v>62017.156297424503</v>
      </c>
      <c r="AY59" s="44">
        <f t="shared" si="37"/>
        <v>41014.457435733093</v>
      </c>
      <c r="AZ59" s="44">
        <f t="shared" si="38"/>
        <v>14865.443894382131</v>
      </c>
    </row>
    <row r="60" spans="1:52" ht="15" customHeight="1" x14ac:dyDescent="0.35">
      <c r="A60" s="61" t="str">
        <f>Segments!$A$40</f>
        <v>Non-greek</v>
      </c>
      <c r="B60" s="61" t="str">
        <f>Segments!$B$40</f>
        <v>On campus</v>
      </c>
      <c r="C60" s="61" t="str">
        <f>Segments!$C$40</f>
        <v>No</v>
      </c>
      <c r="D60" s="61" t="str">
        <f>Segments!$D$40</f>
        <v>3.0+</v>
      </c>
      <c r="E60" s="61" t="str">
        <f>Segments!$E$40</f>
        <v>Freshman</v>
      </c>
      <c r="F60" s="61">
        <f>Segments!$F$40</f>
        <v>1</v>
      </c>
      <c r="G60" s="61" t="str">
        <f>Segments!$G$40</f>
        <v>Base</v>
      </c>
      <c r="H60" s="62">
        <f>Segments!$H$40</f>
        <v>85</v>
      </c>
      <c r="I60" s="63">
        <f>Segments!$Y$40</f>
        <v>387.57113828696976</v>
      </c>
      <c r="J60" s="42">
        <v>0</v>
      </c>
      <c r="K60" s="40">
        <f t="shared" si="0"/>
        <v>671.8875524321295</v>
      </c>
      <c r="L60" s="40">
        <f t="shared" si="1"/>
        <v>387.57113828696976</v>
      </c>
      <c r="M60" s="40">
        <f t="shared" si="2"/>
        <v>671.8875524321295</v>
      </c>
      <c r="N60" s="40">
        <f t="shared" si="3"/>
        <v>978.91063587520262</v>
      </c>
      <c r="O60" s="40">
        <f t="shared" si="4"/>
        <v>671.8875524321295</v>
      </c>
      <c r="P60" s="41">
        <f t="shared" si="5"/>
        <v>0.95</v>
      </c>
      <c r="Q60" s="41">
        <f t="shared" si="6"/>
        <v>0.50681874942985816</v>
      </c>
      <c r="R60" s="64">
        <f t="shared" si="7"/>
        <v>0</v>
      </c>
      <c r="S60" s="64">
        <f>APPLICANTS_PER_YEAR*($H60/Segments!$AH$2)*Q60</f>
        <v>51.695512441845537</v>
      </c>
      <c r="T60" s="64">
        <f t="shared" si="8"/>
        <v>51.695512441845537</v>
      </c>
      <c r="U60" s="40">
        <f t="shared" si="9"/>
        <v>671.8875524321295</v>
      </c>
      <c r="V60" s="65">
        <f t="shared" si="10"/>
        <v>34733.571326276295</v>
      </c>
      <c r="W60" s="65">
        <f t="shared" si="11"/>
        <v>22439.971233584001</v>
      </c>
      <c r="X60" s="65">
        <f t="shared" si="12"/>
        <v>10106.618036968941</v>
      </c>
      <c r="Y60" s="40">
        <f t="shared" si="13"/>
        <v>690.79417900509338</v>
      </c>
      <c r="Z60" s="40">
        <f t="shared" si="14"/>
        <v>399.19827243557887</v>
      </c>
      <c r="AA60" s="40">
        <f t="shared" si="15"/>
        <v>690.79417900509338</v>
      </c>
      <c r="AB60" s="40">
        <f t="shared" si="16"/>
        <v>1007.3669458569752</v>
      </c>
      <c r="AC60" s="40">
        <f t="shared" si="17"/>
        <v>690.79417900509338</v>
      </c>
      <c r="AD60" s="41">
        <f t="shared" si="18"/>
        <v>0.95</v>
      </c>
      <c r="AE60" s="41">
        <f t="shared" si="19"/>
        <v>0.50712882388778935</v>
      </c>
      <c r="AF60" s="64">
        <f t="shared" si="20"/>
        <v>0</v>
      </c>
      <c r="AG60" s="64">
        <f>APPLICANTS_PER_YEAR*($H60/Segments!$AH$2)*AE60</f>
        <v>51.727140036554523</v>
      </c>
      <c r="AH60" s="64">
        <f t="shared" si="21"/>
        <v>51.727140036554523</v>
      </c>
      <c r="AI60" s="40">
        <f t="shared" si="22"/>
        <v>690.79417900509338</v>
      </c>
      <c r="AJ60" s="65">
        <f t="shared" si="23"/>
        <v>35732.807233833177</v>
      </c>
      <c r="AK60" s="65">
        <f t="shared" si="24"/>
        <v>23127.311133500931</v>
      </c>
      <c r="AL60" s="65">
        <f t="shared" si="25"/>
        <v>10331.870122023585</v>
      </c>
      <c r="AM60" s="40">
        <f t="shared" si="26"/>
        <v>710.26800437524616</v>
      </c>
      <c r="AN60" s="40">
        <f t="shared" si="27"/>
        <v>411.17422060864618</v>
      </c>
      <c r="AO60" s="40">
        <f t="shared" si="28"/>
        <v>710.26800437524616</v>
      </c>
      <c r="AP60" s="40">
        <f t="shared" si="29"/>
        <v>1036.6761325543312</v>
      </c>
      <c r="AQ60" s="40">
        <f t="shared" si="30"/>
        <v>710.26800437524616</v>
      </c>
      <c r="AR60" s="41">
        <f t="shared" si="31"/>
        <v>0.95</v>
      </c>
      <c r="AS60" s="41">
        <f t="shared" si="32"/>
        <v>0.50743013556935446</v>
      </c>
      <c r="AT60" s="64">
        <f t="shared" si="33"/>
        <v>0</v>
      </c>
      <c r="AU60" s="64">
        <f>APPLICANTS_PER_YEAR*($H60/Segments!$AH$2)*AS60</f>
        <v>51.75787382807416</v>
      </c>
      <c r="AV60" s="64">
        <f t="shared" si="34"/>
        <v>51.75787382807416</v>
      </c>
      <c r="AW60" s="40">
        <f t="shared" si="35"/>
        <v>710.26800437524616</v>
      </c>
      <c r="AX60" s="65">
        <f t="shared" si="36"/>
        <v>36761.961754572018</v>
      </c>
      <c r="AY60" s="65">
        <f t="shared" si="37"/>
        <v>23835.283843413326</v>
      </c>
      <c r="AZ60" s="65">
        <f t="shared" si="38"/>
        <v>10563.783755287468</v>
      </c>
    </row>
    <row r="61" spans="1:52" ht="15" customHeight="1" x14ac:dyDescent="0.35">
      <c r="A61" s="61" t="str">
        <f>Segments!$A$41</f>
        <v>Non-greek</v>
      </c>
      <c r="B61" s="61" t="str">
        <f>Segments!$B$41</f>
        <v>On campus</v>
      </c>
      <c r="C61" s="61" t="str">
        <f>Segments!$C$41</f>
        <v>No</v>
      </c>
      <c r="D61" s="61" t="str">
        <f>Segments!$D$41</f>
        <v>3.0+</v>
      </c>
      <c r="E61" s="61" t="str">
        <f>Segments!$E$41</f>
        <v>Sophomore</v>
      </c>
      <c r="F61" s="61">
        <f>Segments!$F$41</f>
        <v>1</v>
      </c>
      <c r="G61" s="61" t="str">
        <f>Segments!$G$41</f>
        <v>Sophomore</v>
      </c>
      <c r="H61" s="62">
        <f>Segments!$H$41</f>
        <v>93</v>
      </c>
      <c r="I61" s="63">
        <f>Segments!$Y$41</f>
        <v>383.62808363602431</v>
      </c>
      <c r="J61" s="42">
        <v>1</v>
      </c>
      <c r="K61" s="40">
        <f t="shared" si="0"/>
        <v>1426.2297754450396</v>
      </c>
      <c r="L61" s="40">
        <f t="shared" si="1"/>
        <v>383.62808363602431</v>
      </c>
      <c r="M61" s="40">
        <f t="shared" si="2"/>
        <v>665.475838170526</v>
      </c>
      <c r="N61" s="40">
        <f t="shared" si="3"/>
        <v>974.22864628281638</v>
      </c>
      <c r="O61" s="40">
        <f t="shared" si="4"/>
        <v>1069.6723315837799</v>
      </c>
      <c r="P61" s="41">
        <f t="shared" si="5"/>
        <v>0.80101576736368296</v>
      </c>
      <c r="Q61" s="41">
        <f t="shared" si="6"/>
        <v>0.50846013627824493</v>
      </c>
      <c r="R61" s="64">
        <f t="shared" si="7"/>
        <v>68.086340225913048</v>
      </c>
      <c r="S61" s="64">
        <f>APPLICANTS_PER_YEAR*($H61/Segments!$AH$2)*Q61</f>
        <v>56.744151208652134</v>
      </c>
      <c r="T61" s="64">
        <f t="shared" si="8"/>
        <v>124.83049143456518</v>
      </c>
      <c r="U61" s="40">
        <f t="shared" si="9"/>
        <v>885.93687819680565</v>
      </c>
      <c r="V61" s="65">
        <f t="shared" si="10"/>
        <v>110591.93588531176</v>
      </c>
      <c r="W61" s="65">
        <f t="shared" si="11"/>
        <v>53635.100073391637</v>
      </c>
      <c r="X61" s="65">
        <f t="shared" si="12"/>
        <v>26138.754646771384</v>
      </c>
      <c r="Y61" s="40">
        <f t="shared" si="13"/>
        <v>671.8875524321295</v>
      </c>
      <c r="Z61" s="40">
        <f t="shared" si="14"/>
        <v>395.13692614510506</v>
      </c>
      <c r="AA61" s="40">
        <f t="shared" si="15"/>
        <v>684.19011331564184</v>
      </c>
      <c r="AB61" s="40">
        <f t="shared" si="16"/>
        <v>1002.5401144224408</v>
      </c>
      <c r="AC61" s="40">
        <f t="shared" si="17"/>
        <v>684.19011331564184</v>
      </c>
      <c r="AD61" s="41">
        <f t="shared" si="18"/>
        <v>0.95</v>
      </c>
      <c r="AE61" s="41">
        <f t="shared" si="19"/>
        <v>0.50877170226260671</v>
      </c>
      <c r="AF61" s="64">
        <f t="shared" si="20"/>
        <v>49.110736819753257</v>
      </c>
      <c r="AG61" s="64">
        <f>APPLICANTS_PER_YEAR*($H61/Segments!$AH$2)*AE61</f>
        <v>56.778921972506907</v>
      </c>
      <c r="AH61" s="64">
        <f t="shared" si="21"/>
        <v>105.88965879226016</v>
      </c>
      <c r="AI61" s="40">
        <f t="shared" si="22"/>
        <v>684.19011331564184</v>
      </c>
      <c r="AJ61" s="65">
        <f t="shared" si="23"/>
        <v>72448.657648031134</v>
      </c>
      <c r="AK61" s="65">
        <f t="shared" si="24"/>
        <v>46861.824000015011</v>
      </c>
      <c r="AL61" s="65">
        <f t="shared" si="25"/>
        <v>18589.727717676593</v>
      </c>
      <c r="AM61" s="40">
        <f t="shared" si="26"/>
        <v>690.79417900509338</v>
      </c>
      <c r="AN61" s="40">
        <f t="shared" si="27"/>
        <v>406.99103392945818</v>
      </c>
      <c r="AO61" s="40">
        <f t="shared" si="28"/>
        <v>703.46581671511103</v>
      </c>
      <c r="AP61" s="40">
        <f t="shared" si="29"/>
        <v>1031.7001022291756</v>
      </c>
      <c r="AQ61" s="40">
        <f t="shared" si="30"/>
        <v>703.46581671511103</v>
      </c>
      <c r="AR61" s="41">
        <f t="shared" si="31"/>
        <v>0.95</v>
      </c>
      <c r="AS61" s="41">
        <f t="shared" si="32"/>
        <v>0.50907446592515337</v>
      </c>
      <c r="AT61" s="64">
        <f t="shared" si="33"/>
        <v>49.140783034726795</v>
      </c>
      <c r="AU61" s="64">
        <f>APPLICANTS_PER_YEAR*($H61/Segments!$AH$2)*AS61</f>
        <v>56.812710397247116</v>
      </c>
      <c r="AV61" s="64">
        <f t="shared" si="34"/>
        <v>105.95349343197391</v>
      </c>
      <c r="AW61" s="40">
        <f t="shared" si="35"/>
        <v>703.46581671511092</v>
      </c>
      <c r="AX61" s="65">
        <f t="shared" si="36"/>
        <v>74534.660790942668</v>
      </c>
      <c r="AY61" s="65">
        <f t="shared" si="37"/>
        <v>48296.776461155176</v>
      </c>
      <c r="AZ61" s="65">
        <f t="shared" si="38"/>
        <v>19025.24150823777</v>
      </c>
    </row>
    <row r="62" spans="1:52" ht="15" customHeight="1" x14ac:dyDescent="0.35">
      <c r="A62" s="61" t="str">
        <f>Segments!$A$42</f>
        <v>Non-greek</v>
      </c>
      <c r="B62" s="61" t="str">
        <f>Segments!$B$42</f>
        <v>On campus</v>
      </c>
      <c r="C62" s="61" t="str">
        <f>Segments!$C$42</f>
        <v>No</v>
      </c>
      <c r="D62" s="61" t="str">
        <f>Segments!$D$42</f>
        <v>3.0+</v>
      </c>
      <c r="E62" s="61" t="str">
        <f>Segments!$E$42</f>
        <v>Junior</v>
      </c>
      <c r="F62" s="61">
        <f>Segments!$F$42</f>
        <v>2</v>
      </c>
      <c r="G62" s="61" t="str">
        <f>Segments!$G$42</f>
        <v>Base</v>
      </c>
      <c r="H62" s="62">
        <f>Segments!$H$42</f>
        <v>90</v>
      </c>
      <c r="I62" s="63">
        <f>Segments!$Y$42</f>
        <v>458.59884122415599</v>
      </c>
      <c r="J62" s="42">
        <v>2</v>
      </c>
      <c r="K62" s="40">
        <f t="shared" si="0"/>
        <v>1426.2297754450396</v>
      </c>
      <c r="L62" s="40">
        <f t="shared" si="1"/>
        <v>458.59884122415599</v>
      </c>
      <c r="M62" s="40">
        <f t="shared" si="2"/>
        <v>787.38413470295802</v>
      </c>
      <c r="N62" s="40">
        <f t="shared" si="3"/>
        <v>1059.712554245908</v>
      </c>
      <c r="O62" s="40">
        <f t="shared" si="4"/>
        <v>1069.6723315837799</v>
      </c>
      <c r="P62" s="41">
        <f t="shared" si="5"/>
        <v>0.84530071749269819</v>
      </c>
      <c r="Q62" s="41">
        <f t="shared" si="6"/>
        <v>0.47849164542395128</v>
      </c>
      <c r="R62" s="64">
        <f t="shared" si="7"/>
        <v>78.612966726820929</v>
      </c>
      <c r="S62" s="64">
        <f>APPLICANTS_PER_YEAR*($H62/Segments!$AH$2)*Q62</f>
        <v>51.677097705786728</v>
      </c>
      <c r="T62" s="64">
        <f t="shared" si="8"/>
        <v>130.29006443260766</v>
      </c>
      <c r="U62" s="40">
        <f t="shared" si="9"/>
        <v>957.70804025482641</v>
      </c>
      <c r="V62" s="65">
        <f t="shared" si="10"/>
        <v>124779.84227242775</v>
      </c>
      <c r="W62" s="65">
        <f t="shared" si="11"/>
        <v>66920.977280432242</v>
      </c>
      <c r="X62" s="65">
        <f t="shared" si="12"/>
        <v>28905.259360921755</v>
      </c>
      <c r="Y62" s="40">
        <f t="shared" si="13"/>
        <v>885.93687819680565</v>
      </c>
      <c r="Z62" s="40">
        <f t="shared" si="14"/>
        <v>472.3568064608807</v>
      </c>
      <c r="AA62" s="40">
        <f t="shared" si="15"/>
        <v>809.75565874404685</v>
      </c>
      <c r="AB62" s="40">
        <f t="shared" si="16"/>
        <v>1090.662441031114</v>
      </c>
      <c r="AC62" s="40">
        <f t="shared" si="17"/>
        <v>809.75565874404685</v>
      </c>
      <c r="AD62" s="41">
        <f t="shared" si="18"/>
        <v>0.95</v>
      </c>
      <c r="AE62" s="41">
        <f t="shared" si="19"/>
        <v>0.47877805804951779</v>
      </c>
      <c r="AF62" s="64">
        <f t="shared" si="20"/>
        <v>118.58896686283691</v>
      </c>
      <c r="AG62" s="64">
        <f>APPLICANTS_PER_YEAR*($H62/Segments!$AH$2)*AE62</f>
        <v>51.708030269347915</v>
      </c>
      <c r="AH62" s="64">
        <f t="shared" si="21"/>
        <v>170.29699713218483</v>
      </c>
      <c r="AI62" s="40">
        <f t="shared" si="22"/>
        <v>809.75565874404685</v>
      </c>
      <c r="AJ62" s="65">
        <f t="shared" si="23"/>
        <v>137898.95709490537</v>
      </c>
      <c r="AK62" s="65">
        <f t="shared" si="24"/>
        <v>90093.859201064974</v>
      </c>
      <c r="AL62" s="65">
        <f t="shared" si="25"/>
        <v>32227.024044273468</v>
      </c>
      <c r="AM62" s="40">
        <f t="shared" si="26"/>
        <v>684.19011331564184</v>
      </c>
      <c r="AN62" s="40">
        <f t="shared" si="27"/>
        <v>486.52751065470704</v>
      </c>
      <c r="AO62" s="40">
        <f t="shared" si="28"/>
        <v>832.79832850636808</v>
      </c>
      <c r="AP62" s="40">
        <f t="shared" si="29"/>
        <v>1122.5401841519042</v>
      </c>
      <c r="AQ62" s="40">
        <f t="shared" si="30"/>
        <v>832.79832850636808</v>
      </c>
      <c r="AR62" s="41">
        <f t="shared" si="31"/>
        <v>0.9138954094396422</v>
      </c>
      <c r="AS62" s="41">
        <f t="shared" si="32"/>
        <v>0.47905634013647375</v>
      </c>
      <c r="AT62" s="64">
        <f t="shared" si="33"/>
        <v>96.772073077376618</v>
      </c>
      <c r="AU62" s="64">
        <f>APPLICANTS_PER_YEAR*($H62/Segments!$AH$2)*AS62</f>
        <v>51.738084734739161</v>
      </c>
      <c r="AV62" s="64">
        <f t="shared" si="34"/>
        <v>148.51015781211578</v>
      </c>
      <c r="AW62" s="40">
        <f t="shared" si="35"/>
        <v>832.79832850636808</v>
      </c>
      <c r="AX62" s="65">
        <f t="shared" si="36"/>
        <v>123679.01119214697</v>
      </c>
      <c r="AY62" s="65">
        <f t="shared" si="37"/>
        <v>80924.79067373836</v>
      </c>
      <c r="AZ62" s="65">
        <f t="shared" si="38"/>
        <v>29147.047056978976</v>
      </c>
    </row>
    <row r="63" spans="1:52" ht="15" customHeight="1" x14ac:dyDescent="0.35">
      <c r="A63" s="61" t="str">
        <f>Segments!$A$43</f>
        <v>Non-greek</v>
      </c>
      <c r="B63" s="61" t="str">
        <f>Segments!$B$43</f>
        <v>On campus</v>
      </c>
      <c r="C63" s="61" t="str">
        <f>Segments!$C$43</f>
        <v>No</v>
      </c>
      <c r="D63" s="61" t="str">
        <f>Segments!$D$43</f>
        <v>3.0+</v>
      </c>
      <c r="E63" s="61" t="str">
        <f>Segments!$E$43</f>
        <v>Senior</v>
      </c>
      <c r="F63" s="61">
        <f>Segments!$F$43</f>
        <v>3</v>
      </c>
      <c r="G63" s="61" t="str">
        <f>Segments!$G$43</f>
        <v>Base</v>
      </c>
      <c r="H63" s="62">
        <f>Segments!$H$43</f>
        <v>93</v>
      </c>
      <c r="I63" s="63">
        <f>Segments!$Y$43</f>
        <v>428.64658443489083</v>
      </c>
      <c r="J63" s="42">
        <v>3</v>
      </c>
      <c r="K63" s="40">
        <f t="shared" si="0"/>
        <v>1426.2297754450396</v>
      </c>
      <c r="L63" s="40">
        <f t="shared" si="1"/>
        <v>428.64658443489083</v>
      </c>
      <c r="M63" s="40">
        <f t="shared" si="2"/>
        <v>738.67943009611372</v>
      </c>
      <c r="N63" s="40">
        <f t="shared" si="3"/>
        <v>1026.414437599087</v>
      </c>
      <c r="O63" s="40">
        <f t="shared" si="4"/>
        <v>1069.6723315837799</v>
      </c>
      <c r="P63" s="41">
        <f t="shared" si="5"/>
        <v>0.82892766683705343</v>
      </c>
      <c r="Q63" s="41">
        <f t="shared" si="6"/>
        <v>0.4901651209115987</v>
      </c>
      <c r="R63" s="64">
        <f t="shared" si="7"/>
        <v>74.603490015334813</v>
      </c>
      <c r="S63" s="64">
        <f>APPLICANTS_PER_YEAR*($H63/Segments!$AH$2)*Q63</f>
        <v>54.702427493734412</v>
      </c>
      <c r="T63" s="64">
        <f t="shared" si="8"/>
        <v>129.30591750906922</v>
      </c>
      <c r="U63" s="40">
        <f t="shared" si="9"/>
        <v>929.64691323198701</v>
      </c>
      <c r="V63" s="65">
        <f t="shared" si="10"/>
        <v>120208.84707493614</v>
      </c>
      <c r="W63" s="65">
        <f t="shared" si="11"/>
        <v>62077.724673980141</v>
      </c>
      <c r="X63" s="65">
        <f t="shared" si="12"/>
        <v>28087.415663495776</v>
      </c>
      <c r="Y63" s="40">
        <f t="shared" si="13"/>
        <v>957.70804025482641</v>
      </c>
      <c r="Z63" s="40">
        <f t="shared" si="14"/>
        <v>441.50598196793754</v>
      </c>
      <c r="AA63" s="40">
        <f t="shared" si="15"/>
        <v>759.5898129989971</v>
      </c>
      <c r="AB63" s="40">
        <f t="shared" si="16"/>
        <v>1056.3380598447716</v>
      </c>
      <c r="AC63" s="40">
        <f t="shared" si="17"/>
        <v>759.5898129989971</v>
      </c>
      <c r="AD63" s="41">
        <f t="shared" si="18"/>
        <v>0.95</v>
      </c>
      <c r="AE63" s="41">
        <f t="shared" si="19"/>
        <v>0.49046083262842077</v>
      </c>
      <c r="AF63" s="64">
        <f t="shared" si="20"/>
        <v>123.77556121097727</v>
      </c>
      <c r="AG63" s="64">
        <f>APPLICANTS_PER_YEAR*($H63/Segments!$AH$2)*AE63</f>
        <v>54.735428921331753</v>
      </c>
      <c r="AH63" s="64">
        <f t="shared" si="21"/>
        <v>178.51099013230902</v>
      </c>
      <c r="AI63" s="40">
        <f t="shared" si="22"/>
        <v>759.58981299899722</v>
      </c>
      <c r="AJ63" s="65">
        <f t="shared" si="23"/>
        <v>135595.12961286644</v>
      </c>
      <c r="AK63" s="65">
        <f t="shared" si="24"/>
        <v>88271.31038928598</v>
      </c>
      <c r="AL63" s="65">
        <f t="shared" si="25"/>
        <v>32021.26162016833</v>
      </c>
      <c r="AM63" s="40">
        <f t="shared" si="26"/>
        <v>809.75565874404685</v>
      </c>
      <c r="AN63" s="40">
        <f t="shared" si="27"/>
        <v>454.75116142697567</v>
      </c>
      <c r="AO63" s="40">
        <f t="shared" si="28"/>
        <v>781.12750738896705</v>
      </c>
      <c r="AP63" s="40">
        <f t="shared" si="29"/>
        <v>1087.1586860266814</v>
      </c>
      <c r="AQ63" s="40">
        <f t="shared" si="30"/>
        <v>781.12750738896705</v>
      </c>
      <c r="AR63" s="41">
        <f t="shared" si="31"/>
        <v>0.95</v>
      </c>
      <c r="AS63" s="41">
        <f t="shared" si="32"/>
        <v>0.49074816426118478</v>
      </c>
      <c r="AT63" s="64">
        <f t="shared" si="33"/>
        <v>161.78214727557557</v>
      </c>
      <c r="AU63" s="64">
        <f>APPLICANTS_PER_YEAR*($H63/Segments!$AH$2)*AS63</f>
        <v>54.767495131548216</v>
      </c>
      <c r="AV63" s="64">
        <f t="shared" si="34"/>
        <v>216.54964240712377</v>
      </c>
      <c r="AW63" s="40">
        <f t="shared" si="35"/>
        <v>781.12750738896705</v>
      </c>
      <c r="AX63" s="65">
        <f t="shared" si="36"/>
        <v>169152.88239944875</v>
      </c>
      <c r="AY63" s="65">
        <f t="shared" si="37"/>
        <v>110293.3455581841</v>
      </c>
      <c r="AZ63" s="65">
        <f t="shared" si="38"/>
        <v>39167.388893458519</v>
      </c>
    </row>
    <row r="64" spans="1:52" ht="15" customHeight="1" x14ac:dyDescent="0.35">
      <c r="A64" s="61" t="str">
        <f>Segments!$A$44</f>
        <v>Non-greek</v>
      </c>
      <c r="B64" s="61" t="str">
        <f>Segments!$B$44</f>
        <v>On campus</v>
      </c>
      <c r="C64" s="61" t="str">
        <f>Segments!$C$44</f>
        <v>No</v>
      </c>
      <c r="D64" s="61" t="str">
        <f>Segments!$D$44</f>
        <v>3.0+</v>
      </c>
      <c r="E64" s="61" t="str">
        <f>Segments!$E$44</f>
        <v>Grad student</v>
      </c>
      <c r="F64" s="61">
        <f>Segments!$F$44</f>
        <v>3</v>
      </c>
      <c r="G64" s="61" t="str">
        <f>Segments!$G$44</f>
        <v>Grad</v>
      </c>
      <c r="H64" s="62">
        <f>Segments!$H$44</f>
        <v>38</v>
      </c>
      <c r="I64" s="63">
        <f>Segments!$Y$44</f>
        <v>510.38109817683414</v>
      </c>
      <c r="J64" s="42">
        <v>4</v>
      </c>
      <c r="K64" s="40">
        <f t="shared" si="0"/>
        <v>1426.2297754450396</v>
      </c>
      <c r="L64" s="40">
        <f t="shared" si="1"/>
        <v>510.38109817683414</v>
      </c>
      <c r="M64" s="40">
        <f t="shared" si="2"/>
        <v>871.58612143471566</v>
      </c>
      <c r="N64" s="40">
        <f t="shared" si="3"/>
        <v>1114.9359076892481</v>
      </c>
      <c r="O64" s="40">
        <f t="shared" si="4"/>
        <v>1069.6723315837799</v>
      </c>
      <c r="P64" s="41">
        <f t="shared" si="5"/>
        <v>0.8702987345699893</v>
      </c>
      <c r="Q64" s="41">
        <f t="shared" si="6"/>
        <v>0.45913173778701105</v>
      </c>
      <c r="R64" s="64">
        <f t="shared" si="7"/>
        <v>16.535675956829795</v>
      </c>
      <c r="S64" s="64">
        <f>APPLICANTS_PER_YEAR*($H64/Segments!$AH$2)*Q64</f>
        <v>20.936407243087704</v>
      </c>
      <c r="T64" s="64">
        <f t="shared" si="8"/>
        <v>37.472083199917499</v>
      </c>
      <c r="U64" s="40">
        <f t="shared" si="9"/>
        <v>958.99757825355152</v>
      </c>
      <c r="V64" s="65">
        <f t="shared" si="10"/>
        <v>35935.637040836475</v>
      </c>
      <c r="W64" s="65">
        <f t="shared" si="11"/>
        <v>21420.048131493306</v>
      </c>
      <c r="X64" s="65">
        <f t="shared" si="12"/>
        <v>8703.3631152959533</v>
      </c>
      <c r="Y64" s="40">
        <f t="shared" si="13"/>
        <v>958.99757825355152</v>
      </c>
      <c r="Z64" s="40">
        <f t="shared" si="14"/>
        <v>525.69253112213914</v>
      </c>
      <c r="AA64" s="40">
        <f t="shared" si="15"/>
        <v>896.48370507775712</v>
      </c>
      <c r="AB64" s="40">
        <f t="shared" si="16"/>
        <v>1147.5842043112489</v>
      </c>
      <c r="AC64" s="40">
        <f t="shared" si="17"/>
        <v>896.48370507775712</v>
      </c>
      <c r="AD64" s="41">
        <f t="shared" si="18"/>
        <v>0.95</v>
      </c>
      <c r="AE64" s="41">
        <f t="shared" si="19"/>
        <v>0.45940395410208523</v>
      </c>
      <c r="AF64" s="64">
        <f t="shared" si="20"/>
        <v>17.79923951996081</v>
      </c>
      <c r="AG64" s="64">
        <f>APPLICANTS_PER_YEAR*($H64/Segments!$AH$2)*AE64</f>
        <v>20.948820307055087</v>
      </c>
      <c r="AH64" s="64">
        <f t="shared" si="21"/>
        <v>38.748059827015894</v>
      </c>
      <c r="AI64" s="40">
        <f t="shared" si="22"/>
        <v>896.48370507775712</v>
      </c>
      <c r="AJ64" s="65">
        <f t="shared" si="23"/>
        <v>34737.004238297806</v>
      </c>
      <c r="AK64" s="65">
        <f t="shared" si="24"/>
        <v>22813.913524120391</v>
      </c>
      <c r="AL64" s="65">
        <f t="shared" si="25"/>
        <v>8521.2851668606709</v>
      </c>
      <c r="AM64" s="40">
        <f t="shared" si="26"/>
        <v>896.48370507775712</v>
      </c>
      <c r="AN64" s="40">
        <f t="shared" si="27"/>
        <v>541.46330705580328</v>
      </c>
      <c r="AO64" s="40">
        <f t="shared" si="28"/>
        <v>922.12821623008972</v>
      </c>
      <c r="AP64" s="40">
        <f t="shared" si="29"/>
        <v>1181.2114001897321</v>
      </c>
      <c r="AQ64" s="40">
        <f t="shared" si="30"/>
        <v>922.12821623008972</v>
      </c>
      <c r="AR64" s="41">
        <f t="shared" si="31"/>
        <v>0.95</v>
      </c>
      <c r="AS64" s="41">
        <f t="shared" si="32"/>
        <v>0.45966842341600628</v>
      </c>
      <c r="AT64" s="64">
        <f t="shared" si="33"/>
        <v>18.40532841783255</v>
      </c>
      <c r="AU64" s="64">
        <f>APPLICANTS_PER_YEAR*($H64/Segments!$AH$2)*AS64</f>
        <v>20.960880107769889</v>
      </c>
      <c r="AV64" s="64">
        <f t="shared" si="34"/>
        <v>39.366208525602438</v>
      </c>
      <c r="AW64" s="40">
        <f t="shared" si="35"/>
        <v>922.12821623008972</v>
      </c>
      <c r="AX64" s="65">
        <f t="shared" si="36"/>
        <v>36300.691647455526</v>
      </c>
      <c r="AY64" s="65">
        <f t="shared" si="37"/>
        <v>23873.200349063583</v>
      </c>
      <c r="AZ64" s="65">
        <f t="shared" si="38"/>
        <v>8848.6785590290619</v>
      </c>
    </row>
    <row r="65" spans="1:52" ht="15" customHeight="1" x14ac:dyDescent="0.35">
      <c r="A65" s="59" t="str">
        <f>Segments!$A$45</f>
        <v>Non-greek</v>
      </c>
      <c r="B65" s="59" t="str">
        <f>Segments!$B$45</f>
        <v>Off 0-1mi</v>
      </c>
      <c r="C65" s="59" t="str">
        <f>Segments!$C$45</f>
        <v>Yes</v>
      </c>
      <c r="D65" s="59" t="str">
        <f>Segments!$D$45</f>
        <v>&lt;1.0</v>
      </c>
      <c r="E65" s="59" t="str">
        <f>Segments!$E$45</f>
        <v>Freshman</v>
      </c>
      <c r="F65" s="59">
        <f>Segments!$F$45</f>
        <v>1</v>
      </c>
      <c r="G65" s="59" t="str">
        <f>Segments!$G$45</f>
        <v>Base</v>
      </c>
      <c r="H65" s="60">
        <f>Segments!$H$45</f>
        <v>8</v>
      </c>
      <c r="I65" s="26">
        <f>Segments!$Y$45</f>
        <v>734.72809969405421</v>
      </c>
      <c r="J65" s="29">
        <v>0</v>
      </c>
      <c r="K65" s="14">
        <f t="shared" si="0"/>
        <v>1236.391835915756</v>
      </c>
      <c r="L65" s="14">
        <f t="shared" si="1"/>
        <v>734.72809969405421</v>
      </c>
      <c r="M65" s="14">
        <f t="shared" si="2"/>
        <v>1236.391835915756</v>
      </c>
      <c r="N65" s="14">
        <f t="shared" si="3"/>
        <v>1327.9227577311149</v>
      </c>
      <c r="O65" s="14">
        <f t="shared" si="4"/>
        <v>1236.391835915756</v>
      </c>
      <c r="P65" s="33">
        <f t="shared" si="5"/>
        <v>0.88446394802802697</v>
      </c>
      <c r="Q65" s="33">
        <f t="shared" si="6"/>
        <v>0.38446394802802697</v>
      </c>
      <c r="R65" s="51">
        <f t="shared" si="7"/>
        <v>0</v>
      </c>
      <c r="S65" s="51">
        <f>APPLICANTS_PER_YEAR*($H65/Segments!$AH$2)*Q65</f>
        <v>3.6908539010690586</v>
      </c>
      <c r="T65" s="51">
        <f t="shared" si="8"/>
        <v>3.6908539010690586</v>
      </c>
      <c r="U65" s="14">
        <f t="shared" si="9"/>
        <v>1236.391835915756</v>
      </c>
      <c r="V65" s="44">
        <f t="shared" si="10"/>
        <v>4563.3416308396036</v>
      </c>
      <c r="W65" s="44">
        <f t="shared" si="11"/>
        <v>3037.1869617385591</v>
      </c>
      <c r="X65" s="44">
        <f t="shared" si="12"/>
        <v>1188.2769508561789</v>
      </c>
      <c r="Y65" s="14">
        <f t="shared" si="13"/>
        <v>1272.2335909932287</v>
      </c>
      <c r="Z65" s="14">
        <f t="shared" si="14"/>
        <v>756.7699426848759</v>
      </c>
      <c r="AA65" s="14">
        <f t="shared" si="15"/>
        <v>1272.2335909932287</v>
      </c>
      <c r="AB65" s="14">
        <f t="shared" si="16"/>
        <v>1367.0890064877949</v>
      </c>
      <c r="AC65" s="14">
        <f t="shared" si="17"/>
        <v>1272.2335909932287</v>
      </c>
      <c r="AD65" s="33">
        <f t="shared" si="18"/>
        <v>0.88469247980358656</v>
      </c>
      <c r="AE65" s="33">
        <f t="shared" si="19"/>
        <v>0.38469247980358656</v>
      </c>
      <c r="AF65" s="51">
        <f t="shared" si="20"/>
        <v>0</v>
      </c>
      <c r="AG65" s="51">
        <f>APPLICANTS_PER_YEAR*($H65/Segments!$AH$2)*AE65</f>
        <v>3.6930478061144307</v>
      </c>
      <c r="AH65" s="51">
        <f t="shared" si="21"/>
        <v>3.6930478061144307</v>
      </c>
      <c r="AI65" s="14">
        <f t="shared" si="22"/>
        <v>1272.2335909932287</v>
      </c>
      <c r="AJ65" s="44">
        <f t="shared" si="23"/>
        <v>4698.4194720826272</v>
      </c>
      <c r="AK65" s="44">
        <f t="shared" si="24"/>
        <v>3130.1620857536118</v>
      </c>
      <c r="AL65" s="44">
        <f t="shared" si="25"/>
        <v>1218.6331130216579</v>
      </c>
      <c r="AM65" s="14">
        <f t="shared" si="26"/>
        <v>1309.1505987230257</v>
      </c>
      <c r="AN65" s="14">
        <f t="shared" si="27"/>
        <v>779.47304096542211</v>
      </c>
      <c r="AO65" s="14">
        <f t="shared" si="28"/>
        <v>1309.1505987230257</v>
      </c>
      <c r="AP65" s="14">
        <f t="shared" si="29"/>
        <v>1407.4299175855633</v>
      </c>
      <c r="AQ65" s="14">
        <f t="shared" si="30"/>
        <v>1309.1505987230257</v>
      </c>
      <c r="AR65" s="33">
        <f t="shared" si="31"/>
        <v>0.88491446275034957</v>
      </c>
      <c r="AS65" s="33">
        <f t="shared" si="32"/>
        <v>0.38491446275034963</v>
      </c>
      <c r="AT65" s="51">
        <f t="shared" si="33"/>
        <v>0</v>
      </c>
      <c r="AU65" s="51">
        <f>APPLICANTS_PER_YEAR*($H65/Segments!$AH$2)*AS65</f>
        <v>3.6951788424033563</v>
      </c>
      <c r="AV65" s="51">
        <f t="shared" si="34"/>
        <v>3.6951788424033563</v>
      </c>
      <c r="AW65" s="14">
        <f t="shared" si="35"/>
        <v>1309.1505987230257</v>
      </c>
      <c r="AX65" s="44">
        <f t="shared" si="36"/>
        <v>4837.5455939210105</v>
      </c>
      <c r="AY65" s="44">
        <f t="shared" si="37"/>
        <v>3225.9273639031408</v>
      </c>
      <c r="AZ65" s="44">
        <f t="shared" si="38"/>
        <v>1249.8932609464575</v>
      </c>
    </row>
    <row r="66" spans="1:52" ht="15" customHeight="1" x14ac:dyDescent="0.35">
      <c r="A66" s="59" t="str">
        <f>Segments!$A$46</f>
        <v>Non-greek</v>
      </c>
      <c r="B66" s="59" t="str">
        <f>Segments!$B$46</f>
        <v>Off 0-1mi</v>
      </c>
      <c r="C66" s="59" t="str">
        <f>Segments!$C$46</f>
        <v>Yes</v>
      </c>
      <c r="D66" s="59" t="str">
        <f>Segments!$D$46</f>
        <v>&lt;1.0</v>
      </c>
      <c r="E66" s="59" t="str">
        <f>Segments!$E$46</f>
        <v>Sophomore</v>
      </c>
      <c r="F66" s="59">
        <f>Segments!$F$46</f>
        <v>1</v>
      </c>
      <c r="G66" s="59" t="str">
        <f>Segments!$G$46</f>
        <v>Sophomore</v>
      </c>
      <c r="H66" s="60">
        <f>Segments!$H$46</f>
        <v>3</v>
      </c>
      <c r="I66" s="26">
        <f>Segments!$Y$46</f>
        <v>727.2531544143726</v>
      </c>
      <c r="J66" s="29">
        <v>1</v>
      </c>
      <c r="K66" s="14">
        <f t="shared" si="0"/>
        <v>1426.2297754450396</v>
      </c>
      <c r="L66" s="14">
        <f t="shared" si="1"/>
        <v>727.2531544143726</v>
      </c>
      <c r="M66" s="14">
        <f t="shared" si="2"/>
        <v>1224.2369921468653</v>
      </c>
      <c r="N66" s="14">
        <f t="shared" si="3"/>
        <v>1321.3792984609431</v>
      </c>
      <c r="O66" s="14">
        <f t="shared" si="4"/>
        <v>1224.2369921468653</v>
      </c>
      <c r="P66" s="33">
        <f t="shared" si="5"/>
        <v>0.88675791895151634</v>
      </c>
      <c r="Q66" s="33">
        <f t="shared" si="6"/>
        <v>0.38675791895151634</v>
      </c>
      <c r="R66" s="51">
        <f t="shared" si="7"/>
        <v>7.0940633516121308</v>
      </c>
      <c r="S66" s="51">
        <f>APPLICANTS_PER_YEAR*($H66/Segments!$AH$2)*Q66</f>
        <v>1.3923285082254586</v>
      </c>
      <c r="T66" s="51">
        <f t="shared" si="8"/>
        <v>8.4863918598375889</v>
      </c>
      <c r="U66" s="14">
        <f t="shared" si="9"/>
        <v>1224.2369921468653</v>
      </c>
      <c r="V66" s="44">
        <f t="shared" si="10"/>
        <v>10389.354844667212</v>
      </c>
      <c r="W66" s="44">
        <f t="shared" si="11"/>
        <v>6912.365879622942</v>
      </c>
      <c r="X66" s="44">
        <f t="shared" si="12"/>
        <v>2227.7830178191507</v>
      </c>
      <c r="Y66" s="14">
        <f t="shared" si="13"/>
        <v>1236.391835915756</v>
      </c>
      <c r="Z66" s="14">
        <f t="shared" si="14"/>
        <v>749.07074904680383</v>
      </c>
      <c r="AA66" s="14">
        <f t="shared" si="15"/>
        <v>1259.7141019112712</v>
      </c>
      <c r="AB66" s="14">
        <f t="shared" si="16"/>
        <v>1360.3459168588986</v>
      </c>
      <c r="AC66" s="14">
        <f t="shared" si="17"/>
        <v>1259.7141019112712</v>
      </c>
      <c r="AD66" s="33">
        <f t="shared" si="18"/>
        <v>0.88132863279751417</v>
      </c>
      <c r="AE66" s="33">
        <f t="shared" si="19"/>
        <v>0.38698758297448005</v>
      </c>
      <c r="AF66" s="51">
        <f t="shared" si="20"/>
        <v>3.2528552224845653</v>
      </c>
      <c r="AG66" s="51">
        <f>APPLICANTS_PER_YEAR*($H66/Segments!$AH$2)*AE66</f>
        <v>1.3931552987081279</v>
      </c>
      <c r="AH66" s="51">
        <f t="shared" si="21"/>
        <v>4.646010521192693</v>
      </c>
      <c r="AI66" s="14">
        <f t="shared" si="22"/>
        <v>1259.7141019112714</v>
      </c>
      <c r="AJ66" s="44">
        <f t="shared" si="23"/>
        <v>5852.6449711745709</v>
      </c>
      <c r="AK66" s="44">
        <f t="shared" si="24"/>
        <v>3897.8134509318393</v>
      </c>
      <c r="AL66" s="44">
        <f t="shared" si="25"/>
        <v>1295.3232006012772</v>
      </c>
      <c r="AM66" s="14">
        <f t="shared" si="26"/>
        <v>1272.2335909932287</v>
      </c>
      <c r="AN66" s="14">
        <f t="shared" si="27"/>
        <v>771.5428715182079</v>
      </c>
      <c r="AO66" s="14">
        <f t="shared" si="28"/>
        <v>1296.2555249686093</v>
      </c>
      <c r="AP66" s="14">
        <f t="shared" si="29"/>
        <v>1400.4812038284413</v>
      </c>
      <c r="AQ66" s="14">
        <f t="shared" si="30"/>
        <v>1296.2555249686093</v>
      </c>
      <c r="AR66" s="33">
        <f t="shared" si="31"/>
        <v>0.88154615656497315</v>
      </c>
      <c r="AS66" s="33">
        <f t="shared" si="32"/>
        <v>0.38721066679613914</v>
      </c>
      <c r="AT66" s="51">
        <f t="shared" si="33"/>
        <v>3.2555920994908827</v>
      </c>
      <c r="AU66" s="51">
        <f>APPLICANTS_PER_YEAR*($H66/Segments!$AH$2)*AS66</f>
        <v>1.3939584004661008</v>
      </c>
      <c r="AV66" s="51">
        <f t="shared" si="34"/>
        <v>4.6495504999569839</v>
      </c>
      <c r="AW66" s="14">
        <f t="shared" si="35"/>
        <v>1296.2555249686091</v>
      </c>
      <c r="AX66" s="44">
        <f t="shared" si="36"/>
        <v>6027.005524189799</v>
      </c>
      <c r="AY66" s="44">
        <f t="shared" si="37"/>
        <v>4017.8068492864186</v>
      </c>
      <c r="AZ66" s="44">
        <f t="shared" si="38"/>
        <v>1330.1864338189848</v>
      </c>
    </row>
    <row r="67" spans="1:52" ht="15" customHeight="1" x14ac:dyDescent="0.35">
      <c r="A67" s="59" t="str">
        <f>Segments!$A$47</f>
        <v>Non-greek</v>
      </c>
      <c r="B67" s="59" t="str">
        <f>Segments!$B$47</f>
        <v>Off 0-1mi</v>
      </c>
      <c r="C67" s="59" t="str">
        <f>Segments!$C$47</f>
        <v>Yes</v>
      </c>
      <c r="D67" s="59" t="str">
        <f>Segments!$D$47</f>
        <v>&lt;1.0</v>
      </c>
      <c r="E67" s="59" t="str">
        <f>Segments!$E$47</f>
        <v>Junior</v>
      </c>
      <c r="F67" s="59">
        <f>Segments!$F$47</f>
        <v>2</v>
      </c>
      <c r="G67" s="59" t="str">
        <f>Segments!$G$47</f>
        <v>Base</v>
      </c>
      <c r="H67" s="60">
        <f>Segments!$H$47</f>
        <v>8</v>
      </c>
      <c r="I67" s="26">
        <f>Segments!$Y$47</f>
        <v>869.37705584525372</v>
      </c>
      <c r="J67" s="29">
        <v>2</v>
      </c>
      <c r="K67" s="14">
        <f t="shared" si="0"/>
        <v>1426.2297754450396</v>
      </c>
      <c r="L67" s="14">
        <f t="shared" si="1"/>
        <v>869.37705584525372</v>
      </c>
      <c r="M67" s="14">
        <f t="shared" si="2"/>
        <v>1455.3415358032951</v>
      </c>
      <c r="N67" s="14">
        <f t="shared" si="3"/>
        <v>1440.7121266250842</v>
      </c>
      <c r="O67" s="14">
        <f t="shared" si="4"/>
        <v>1455.3415358032951</v>
      </c>
      <c r="P67" s="33">
        <f t="shared" si="5"/>
        <v>0.83879934778215226</v>
      </c>
      <c r="Q67" s="33">
        <f t="shared" si="6"/>
        <v>0.34492285484801155</v>
      </c>
      <c r="R67" s="51">
        <f t="shared" si="7"/>
        <v>2.5163980433464568</v>
      </c>
      <c r="S67" s="51">
        <f>APPLICANTS_PER_YEAR*($H67/Segments!$AH$2)*Q67</f>
        <v>3.3112594065409109</v>
      </c>
      <c r="T67" s="51">
        <f t="shared" si="8"/>
        <v>5.8276574498873677</v>
      </c>
      <c r="U67" s="14">
        <f t="shared" si="9"/>
        <v>1455.3415358032951</v>
      </c>
      <c r="V67" s="44">
        <f t="shared" si="10"/>
        <v>8481.2319432545955</v>
      </c>
      <c r="W67" s="44">
        <f t="shared" si="11"/>
        <v>5674.4034774086686</v>
      </c>
      <c r="X67" s="44">
        <f t="shared" si="12"/>
        <v>1970.9529386919312</v>
      </c>
      <c r="Y67" s="14">
        <f t="shared" si="13"/>
        <v>1224.2369921468653</v>
      </c>
      <c r="Z67" s="14">
        <f t="shared" si="14"/>
        <v>895.45836752061132</v>
      </c>
      <c r="AA67" s="14">
        <f t="shared" si="15"/>
        <v>1497.751781877394</v>
      </c>
      <c r="AB67" s="14">
        <f t="shared" si="16"/>
        <v>1483.3146440204739</v>
      </c>
      <c r="AC67" s="14">
        <f t="shared" si="17"/>
        <v>1497.751781877394</v>
      </c>
      <c r="AD67" s="33">
        <f t="shared" si="18"/>
        <v>0.77810852650411266</v>
      </c>
      <c r="AE67" s="33">
        <f t="shared" si="19"/>
        <v>0.3451334877211929</v>
      </c>
      <c r="AF67" s="51">
        <f t="shared" si="20"/>
        <v>6.6033338653947222</v>
      </c>
      <c r="AG67" s="51">
        <f>APPLICANTS_PER_YEAR*($H67/Segments!$AH$2)*AE67</f>
        <v>3.3132814821234517</v>
      </c>
      <c r="AH67" s="51">
        <f t="shared" si="21"/>
        <v>9.9166153475181744</v>
      </c>
      <c r="AI67" s="14">
        <f t="shared" si="22"/>
        <v>1497.7517818773938</v>
      </c>
      <c r="AJ67" s="44">
        <f t="shared" si="23"/>
        <v>14852.628306938057</v>
      </c>
      <c r="AK67" s="44">
        <f t="shared" si="24"/>
        <v>9945.5061332686801</v>
      </c>
      <c r="AL67" s="44">
        <f t="shared" si="25"/>
        <v>3261.9976575446549</v>
      </c>
      <c r="AM67" s="14">
        <f t="shared" si="26"/>
        <v>1259.7141019112714</v>
      </c>
      <c r="AN67" s="14">
        <f t="shared" si="27"/>
        <v>922.3221185462296</v>
      </c>
      <c r="AO67" s="14">
        <f t="shared" si="28"/>
        <v>1541.4343353337156</v>
      </c>
      <c r="AP67" s="14">
        <f t="shared" si="29"/>
        <v>1527.1949824087321</v>
      </c>
      <c r="AQ67" s="14">
        <f t="shared" si="30"/>
        <v>1541.4343353337156</v>
      </c>
      <c r="AR67" s="33">
        <f t="shared" si="31"/>
        <v>0.77824660044041838</v>
      </c>
      <c r="AS67" s="33">
        <f t="shared" si="32"/>
        <v>0.34533806976548442</v>
      </c>
      <c r="AT67" s="51">
        <f t="shared" si="33"/>
        <v>3.6157418937286296</v>
      </c>
      <c r="AU67" s="51">
        <f>APPLICANTS_PER_YEAR*($H67/Segments!$AH$2)*AS67</f>
        <v>3.3152454697486502</v>
      </c>
      <c r="AV67" s="51">
        <f t="shared" si="34"/>
        <v>6.9309873634772803</v>
      </c>
      <c r="AW67" s="14">
        <f t="shared" si="35"/>
        <v>1541.4343353337154</v>
      </c>
      <c r="AX67" s="44">
        <f t="shared" si="36"/>
        <v>10683.661899827981</v>
      </c>
      <c r="AY67" s="44">
        <f t="shared" si="37"/>
        <v>7159.7153025434536</v>
      </c>
      <c r="AZ67" s="44">
        <f t="shared" si="38"/>
        <v>2419.5711449803048</v>
      </c>
    </row>
    <row r="68" spans="1:52" ht="15" customHeight="1" x14ac:dyDescent="0.35">
      <c r="A68" s="59" t="str">
        <f>Segments!$A$48</f>
        <v>Non-greek</v>
      </c>
      <c r="B68" s="59" t="str">
        <f>Segments!$B$48</f>
        <v>Off 0-1mi</v>
      </c>
      <c r="C68" s="59" t="str">
        <f>Segments!$C$48</f>
        <v>Yes</v>
      </c>
      <c r="D68" s="59" t="str">
        <f>Segments!$D$48</f>
        <v>&lt;1.0</v>
      </c>
      <c r="E68" s="59" t="str">
        <f>Segments!$E$48</f>
        <v>Senior</v>
      </c>
      <c r="F68" s="59">
        <f>Segments!$F$48</f>
        <v>3</v>
      </c>
      <c r="G68" s="59" t="str">
        <f>Segments!$G$48</f>
        <v>Base</v>
      </c>
      <c r="H68" s="60">
        <f>Segments!$H$48</f>
        <v>6</v>
      </c>
      <c r="I68" s="26">
        <f>Segments!$Y$48</f>
        <v>812.59582902430645</v>
      </c>
      <c r="J68" s="29">
        <v>3</v>
      </c>
      <c r="K68" s="14">
        <f t="shared" si="0"/>
        <v>1426.2297754450396</v>
      </c>
      <c r="L68" s="14">
        <f t="shared" si="1"/>
        <v>812.59582902430645</v>
      </c>
      <c r="M68" s="14">
        <f t="shared" si="2"/>
        <v>1363.0108343477834</v>
      </c>
      <c r="N68" s="14">
        <f t="shared" si="3"/>
        <v>1394.2620400057497</v>
      </c>
      <c r="O68" s="14">
        <f t="shared" si="4"/>
        <v>1363.0108343477834</v>
      </c>
      <c r="P68" s="33">
        <f t="shared" si="5"/>
        <v>0.86120707756550452</v>
      </c>
      <c r="Q68" s="33">
        <f t="shared" si="6"/>
        <v>0.36120707756550458</v>
      </c>
      <c r="R68" s="51">
        <f t="shared" si="7"/>
        <v>6.8896566205240362</v>
      </c>
      <c r="S68" s="51">
        <f>APPLICANTS_PER_YEAR*($H68/Segments!$AH$2)*Q68</f>
        <v>2.6006909584716329</v>
      </c>
      <c r="T68" s="51">
        <f t="shared" si="8"/>
        <v>9.4903475789956691</v>
      </c>
      <c r="U68" s="14">
        <f t="shared" si="9"/>
        <v>1363.0108343477834</v>
      </c>
      <c r="V68" s="44">
        <f t="shared" si="10"/>
        <v>12935.446571897353</v>
      </c>
      <c r="W68" s="44">
        <f t="shared" si="11"/>
        <v>8637.2348817247421</v>
      </c>
      <c r="X68" s="44">
        <f t="shared" si="12"/>
        <v>2823.6905759918545</v>
      </c>
      <c r="Y68" s="14">
        <f t="shared" si="13"/>
        <v>1455.3415358032951</v>
      </c>
      <c r="Z68" s="14">
        <f t="shared" si="14"/>
        <v>836.97370389503567</v>
      </c>
      <c r="AA68" s="14">
        <f t="shared" si="15"/>
        <v>1402.651159378217</v>
      </c>
      <c r="AB68" s="14">
        <f t="shared" si="16"/>
        <v>1435.4504287887305</v>
      </c>
      <c r="AC68" s="14">
        <f t="shared" si="17"/>
        <v>1402.651159378217</v>
      </c>
      <c r="AD68" s="33">
        <f t="shared" si="18"/>
        <v>0.86142473078578907</v>
      </c>
      <c r="AE68" s="33">
        <f t="shared" si="19"/>
        <v>0.36142473078578907</v>
      </c>
      <c r="AF68" s="51">
        <f t="shared" si="20"/>
        <v>5.0200882498810238</v>
      </c>
      <c r="AG68" s="51">
        <f>APPLICANTS_PER_YEAR*($H68/Segments!$AH$2)*AE68</f>
        <v>2.6022580616576811</v>
      </c>
      <c r="AH68" s="51">
        <f t="shared" si="21"/>
        <v>7.6223463115387045</v>
      </c>
      <c r="AI68" s="14">
        <f t="shared" si="22"/>
        <v>1402.651159378217</v>
      </c>
      <c r="AJ68" s="44">
        <f t="shared" si="23"/>
        <v>10691.49289106204</v>
      </c>
      <c r="AK68" s="44">
        <f t="shared" si="24"/>
        <v>7145.2678357079194</v>
      </c>
      <c r="AL68" s="44">
        <f t="shared" si="25"/>
        <v>2365.9476442344326</v>
      </c>
      <c r="AM68" s="14">
        <f t="shared" si="26"/>
        <v>1497.7517818773938</v>
      </c>
      <c r="AN68" s="14">
        <f t="shared" si="27"/>
        <v>862.08291501188671</v>
      </c>
      <c r="AO68" s="14">
        <f t="shared" si="28"/>
        <v>1443.4806941595634</v>
      </c>
      <c r="AP68" s="14">
        <f t="shared" si="29"/>
        <v>1477.8741883866612</v>
      </c>
      <c r="AQ68" s="14">
        <f t="shared" si="30"/>
        <v>1443.4806941595634</v>
      </c>
      <c r="AR68" s="33">
        <f t="shared" si="31"/>
        <v>0.86163613739835454</v>
      </c>
      <c r="AS68" s="33">
        <f t="shared" si="32"/>
        <v>0.36163613739835454</v>
      </c>
      <c r="AT68" s="51">
        <f t="shared" si="33"/>
        <v>8.5445141441008019</v>
      </c>
      <c r="AU68" s="51">
        <f>APPLICANTS_PER_YEAR*($H68/Segments!$AH$2)*AS68</f>
        <v>2.6037801892681522</v>
      </c>
      <c r="AV68" s="51">
        <f t="shared" si="34"/>
        <v>11.148294333368954</v>
      </c>
      <c r="AW68" s="14">
        <f t="shared" si="35"/>
        <v>1443.4806941595634</v>
      </c>
      <c r="AX68" s="44">
        <f t="shared" si="36"/>
        <v>16092.347643026545</v>
      </c>
      <c r="AY68" s="44">
        <f t="shared" si="37"/>
        <v>10764.044565479751</v>
      </c>
      <c r="AZ68" s="44">
        <f t="shared" si="38"/>
        <v>3461.0618211576298</v>
      </c>
    </row>
    <row r="69" spans="1:52" ht="15" customHeight="1" x14ac:dyDescent="0.35">
      <c r="A69" s="59" t="str">
        <f>Segments!$A$49</f>
        <v>Non-greek</v>
      </c>
      <c r="B69" s="59" t="str">
        <f>Segments!$B$49</f>
        <v>Off 0-1mi</v>
      </c>
      <c r="C69" s="59" t="str">
        <f>Segments!$C$49</f>
        <v>Yes</v>
      </c>
      <c r="D69" s="59" t="str">
        <f>Segments!$D$49</f>
        <v>&lt;1.0</v>
      </c>
      <c r="E69" s="59" t="str">
        <f>Segments!$E$49</f>
        <v>Grad student</v>
      </c>
      <c r="F69" s="59">
        <f>Segments!$F$49</f>
        <v>3</v>
      </c>
      <c r="G69" s="59" t="str">
        <f>Segments!$G$49</f>
        <v>Grad</v>
      </c>
      <c r="H69" s="60">
        <f>Segments!$H$49</f>
        <v>1</v>
      </c>
      <c r="I69" s="26">
        <f>Segments!$Y$49</f>
        <v>967.54194866175658</v>
      </c>
      <c r="J69" s="29">
        <v>4</v>
      </c>
      <c r="K69" s="14">
        <f t="shared" si="0"/>
        <v>1426.2297754450396</v>
      </c>
      <c r="L69" s="14">
        <f t="shared" si="1"/>
        <v>967.54194866175658</v>
      </c>
      <c r="M69" s="14">
        <f t="shared" si="2"/>
        <v>1614.9653044237566</v>
      </c>
      <c r="N69" s="14">
        <f t="shared" si="3"/>
        <v>1517.6664994259525</v>
      </c>
      <c r="O69" s="14">
        <f t="shared" si="4"/>
        <v>1614.9653044237566</v>
      </c>
      <c r="P69" s="33">
        <f t="shared" si="5"/>
        <v>0.77824506790840364</v>
      </c>
      <c r="Q69" s="33">
        <f t="shared" si="6"/>
        <v>0.31794460277188474</v>
      </c>
      <c r="R69" s="51">
        <f t="shared" si="7"/>
        <v>0.38912253395420182</v>
      </c>
      <c r="S69" s="51">
        <f>APPLICANTS_PER_YEAR*($H69/Segments!$AH$2)*Q69</f>
        <v>0.38153352332626167</v>
      </c>
      <c r="T69" s="51">
        <f t="shared" si="8"/>
        <v>0.77065605728046349</v>
      </c>
      <c r="U69" s="14">
        <f t="shared" si="9"/>
        <v>1614.9653044237566</v>
      </c>
      <c r="V69" s="44">
        <f t="shared" si="10"/>
        <v>1244.5827941519558</v>
      </c>
      <c r="W69" s="44">
        <f t="shared" si="11"/>
        <v>835.11911101822113</v>
      </c>
      <c r="X69" s="44">
        <f t="shared" si="12"/>
        <v>281.74332641611176</v>
      </c>
      <c r="Y69" s="14">
        <f t="shared" si="13"/>
        <v>1614.9653044237566</v>
      </c>
      <c r="Z69" s="14">
        <f t="shared" si="14"/>
        <v>996.56820712160925</v>
      </c>
      <c r="AA69" s="14">
        <f t="shared" si="15"/>
        <v>1662.1642635564692</v>
      </c>
      <c r="AB69" s="14">
        <f t="shared" si="16"/>
        <v>1562.6090391700222</v>
      </c>
      <c r="AC69" s="14">
        <f t="shared" si="17"/>
        <v>1662.1642635564692</v>
      </c>
      <c r="AD69" s="33">
        <f t="shared" si="18"/>
        <v>0.80937675436193246</v>
      </c>
      <c r="AE69" s="33">
        <f t="shared" si="19"/>
        <v>0.31814455123102137</v>
      </c>
      <c r="AF69" s="51">
        <f t="shared" si="20"/>
        <v>0.31187554918551252</v>
      </c>
      <c r="AG69" s="51">
        <f>APPLICANTS_PER_YEAR*($H69/Segments!$AH$2)*AE69</f>
        <v>0.38177346147722563</v>
      </c>
      <c r="AH69" s="51">
        <f t="shared" si="21"/>
        <v>0.69364901066273821</v>
      </c>
      <c r="AI69" s="14">
        <f t="shared" si="22"/>
        <v>1662.1642635564692</v>
      </c>
      <c r="AJ69" s="44">
        <f t="shared" si="23"/>
        <v>1152.9585969749037</v>
      </c>
      <c r="AK69" s="44">
        <f t="shared" si="24"/>
        <v>774.22077703918433</v>
      </c>
      <c r="AL69" s="44">
        <f t="shared" si="25"/>
        <v>263.53644873390158</v>
      </c>
      <c r="AM69" s="14">
        <f t="shared" si="26"/>
        <v>1662.1642635564692</v>
      </c>
      <c r="AN69" s="14">
        <f t="shared" si="27"/>
        <v>1026.4652533352576</v>
      </c>
      <c r="AO69" s="14">
        <f t="shared" si="28"/>
        <v>1710.7791914631634</v>
      </c>
      <c r="AP69" s="14">
        <f t="shared" si="29"/>
        <v>1608.8996373922821</v>
      </c>
      <c r="AQ69" s="14">
        <f t="shared" si="30"/>
        <v>1710.7791914631634</v>
      </c>
      <c r="AR69" s="33">
        <f t="shared" si="31"/>
        <v>0.80956435736318455</v>
      </c>
      <c r="AS69" s="33">
        <f t="shared" si="32"/>
        <v>0.31833874789231453</v>
      </c>
      <c r="AT69" s="51">
        <f t="shared" si="33"/>
        <v>0.28077675777639421</v>
      </c>
      <c r="AU69" s="51">
        <f>APPLICANTS_PER_YEAR*($H69/Segments!$AH$2)*AS69</f>
        <v>0.38200649747077742</v>
      </c>
      <c r="AV69" s="51">
        <f t="shared" si="34"/>
        <v>0.66278325524717163</v>
      </c>
      <c r="AW69" s="14">
        <f t="shared" si="35"/>
        <v>1710.7791914631632</v>
      </c>
      <c r="AX69" s="44">
        <f t="shared" si="36"/>
        <v>1133.8758015270796</v>
      </c>
      <c r="AY69" s="44">
        <f t="shared" si="37"/>
        <v>761.96285984409337</v>
      </c>
      <c r="AZ69" s="44">
        <f t="shared" si="38"/>
        <v>259.98186087101652</v>
      </c>
    </row>
    <row r="70" spans="1:52" ht="15" customHeight="1" x14ac:dyDescent="0.35">
      <c r="A70" s="61" t="str">
        <f>Segments!$A$50</f>
        <v>Non-greek</v>
      </c>
      <c r="B70" s="61" t="str">
        <f>Segments!$B$50</f>
        <v>Off 0-1mi</v>
      </c>
      <c r="C70" s="61" t="str">
        <f>Segments!$C$50</f>
        <v>Yes</v>
      </c>
      <c r="D70" s="61" t="str">
        <f>Segments!$D$50</f>
        <v>1.0-2.0</v>
      </c>
      <c r="E70" s="61" t="str">
        <f>Segments!$E$50</f>
        <v>Freshman</v>
      </c>
      <c r="F70" s="61">
        <f>Segments!$F$50</f>
        <v>1</v>
      </c>
      <c r="G70" s="61" t="str">
        <f>Segments!$G$50</f>
        <v>Base</v>
      </c>
      <c r="H70" s="62">
        <f>Segments!$H$50</f>
        <v>28</v>
      </c>
      <c r="I70" s="63">
        <f>Segments!$Y$50</f>
        <v>666.70776766848417</v>
      </c>
      <c r="J70" s="42">
        <v>0</v>
      </c>
      <c r="K70" s="40">
        <f t="shared" si="0"/>
        <v>1125.7854732008034</v>
      </c>
      <c r="L70" s="40">
        <f t="shared" si="1"/>
        <v>666.70776766848417</v>
      </c>
      <c r="M70" s="40">
        <f t="shared" si="2"/>
        <v>1125.7854732008034</v>
      </c>
      <c r="N70" s="40">
        <f t="shared" si="3"/>
        <v>1267.1340744540294</v>
      </c>
      <c r="O70" s="40">
        <f t="shared" si="4"/>
        <v>1125.7854732008034</v>
      </c>
      <c r="P70" s="41">
        <f t="shared" si="5"/>
        <v>0.90577491920660758</v>
      </c>
      <c r="Q70" s="41">
        <f t="shared" si="6"/>
        <v>0.40577491920660758</v>
      </c>
      <c r="R70" s="64">
        <f t="shared" si="7"/>
        <v>0</v>
      </c>
      <c r="S70" s="64">
        <f>APPLICANTS_PER_YEAR*($H70/Segments!$AH$2)*Q70</f>
        <v>13.634037285342016</v>
      </c>
      <c r="T70" s="64">
        <f t="shared" si="8"/>
        <v>13.634037285342016</v>
      </c>
      <c r="U70" s="40">
        <f t="shared" si="9"/>
        <v>1125.7854732008034</v>
      </c>
      <c r="V70" s="65">
        <f t="shared" si="10"/>
        <v>15349.001116916159</v>
      </c>
      <c r="W70" s="65">
        <f t="shared" si="11"/>
        <v>10180.708790357567</v>
      </c>
      <c r="X70" s="65">
        <f t="shared" si="12"/>
        <v>4051.7079280296107</v>
      </c>
      <c r="Y70" s="40">
        <f t="shared" si="13"/>
        <v>1158.3090373968275</v>
      </c>
      <c r="Z70" s="40">
        <f t="shared" si="14"/>
        <v>686.70900069853872</v>
      </c>
      <c r="AA70" s="40">
        <f t="shared" si="15"/>
        <v>1158.3090373968275</v>
      </c>
      <c r="AB70" s="40">
        <f t="shared" si="16"/>
        <v>1304.4444347888145</v>
      </c>
      <c r="AC70" s="40">
        <f t="shared" si="17"/>
        <v>1158.3090373968275</v>
      </c>
      <c r="AD70" s="41">
        <f t="shared" si="18"/>
        <v>0.90601442019860579</v>
      </c>
      <c r="AE70" s="41">
        <f t="shared" si="19"/>
        <v>0.40601442019860579</v>
      </c>
      <c r="AF70" s="64">
        <f t="shared" si="20"/>
        <v>0</v>
      </c>
      <c r="AG70" s="64">
        <f>APPLICANTS_PER_YEAR*($H70/Segments!$AH$2)*AE70</f>
        <v>13.642084518673155</v>
      </c>
      <c r="AH70" s="64">
        <f t="shared" si="21"/>
        <v>13.642084518673155</v>
      </c>
      <c r="AI70" s="40">
        <f t="shared" si="22"/>
        <v>1158.3090373968275</v>
      </c>
      <c r="AJ70" s="65">
        <f t="shared" si="23"/>
        <v>15801.749786910465</v>
      </c>
      <c r="AK70" s="65">
        <f t="shared" si="24"/>
        <v>10492.319294534615</v>
      </c>
      <c r="AL70" s="65">
        <f t="shared" si="25"/>
        <v>4153.4857556082361</v>
      </c>
      <c r="AM70" s="40">
        <f t="shared" si="26"/>
        <v>1191.8083085187325</v>
      </c>
      <c r="AN70" s="40">
        <f t="shared" si="27"/>
        <v>707.31027071949484</v>
      </c>
      <c r="AO70" s="40">
        <f t="shared" si="28"/>
        <v>1191.8083085187325</v>
      </c>
      <c r="AP70" s="40">
        <f t="shared" si="29"/>
        <v>1342.8737316861723</v>
      </c>
      <c r="AQ70" s="40">
        <f t="shared" si="30"/>
        <v>1191.8083085187325</v>
      </c>
      <c r="AR70" s="41">
        <f t="shared" si="31"/>
        <v>0.90624706910371811</v>
      </c>
      <c r="AS70" s="41">
        <f t="shared" si="32"/>
        <v>0.40624706910371805</v>
      </c>
      <c r="AT70" s="64">
        <f t="shared" si="33"/>
        <v>0</v>
      </c>
      <c r="AU70" s="64">
        <f>APPLICANTS_PER_YEAR*($H70/Segments!$AH$2)*AS70</f>
        <v>13.649901521884926</v>
      </c>
      <c r="AV70" s="64">
        <f t="shared" si="34"/>
        <v>13.649901521884926</v>
      </c>
      <c r="AW70" s="40">
        <f t="shared" si="35"/>
        <v>1191.8083085187325</v>
      </c>
      <c r="AX70" s="65">
        <f t="shared" si="36"/>
        <v>16268.066044244946</v>
      </c>
      <c r="AY70" s="65">
        <f t="shared" si="37"/>
        <v>10813.281405627537</v>
      </c>
      <c r="AZ70" s="65">
        <f t="shared" si="38"/>
        <v>4258.2923623956895</v>
      </c>
    </row>
    <row r="71" spans="1:52" ht="15" customHeight="1" x14ac:dyDescent="0.35">
      <c r="A71" s="61" t="str">
        <f>Segments!$A$51</f>
        <v>Non-greek</v>
      </c>
      <c r="B71" s="61" t="str">
        <f>Segments!$B$51</f>
        <v>Off 0-1mi</v>
      </c>
      <c r="C71" s="61" t="str">
        <f>Segments!$C$51</f>
        <v>Yes</v>
      </c>
      <c r="D71" s="61" t="str">
        <f>Segments!$D$51</f>
        <v>1.0-2.0</v>
      </c>
      <c r="E71" s="61" t="str">
        <f>Segments!$E$51</f>
        <v>Sophomore</v>
      </c>
      <c r="F71" s="61">
        <f>Segments!$F$51</f>
        <v>1</v>
      </c>
      <c r="G71" s="61" t="str">
        <f>Segments!$G$51</f>
        <v>Sophomore</v>
      </c>
      <c r="H71" s="62">
        <f>Segments!$H$51</f>
        <v>26</v>
      </c>
      <c r="I71" s="63">
        <f>Segments!$Y$51</f>
        <v>659.92484473014042</v>
      </c>
      <c r="J71" s="42">
        <v>1</v>
      </c>
      <c r="K71" s="40">
        <f t="shared" si="0"/>
        <v>1426.2297754450396</v>
      </c>
      <c r="L71" s="40">
        <f t="shared" si="1"/>
        <v>659.92484473014042</v>
      </c>
      <c r="M71" s="40">
        <f t="shared" si="2"/>
        <v>1114.7559117087485</v>
      </c>
      <c r="N71" s="40">
        <f t="shared" si="3"/>
        <v>1260.9116042103819</v>
      </c>
      <c r="O71" s="40">
        <f t="shared" si="4"/>
        <v>1114.7559117087485</v>
      </c>
      <c r="P71" s="41">
        <f t="shared" si="5"/>
        <v>0.90795635951544762</v>
      </c>
      <c r="Q71" s="41">
        <f t="shared" si="6"/>
        <v>0.40795635951544762</v>
      </c>
      <c r="R71" s="64">
        <f t="shared" si="7"/>
        <v>25.422778066432535</v>
      </c>
      <c r="S71" s="64">
        <f>APPLICANTS_PER_YEAR*($H71/Segments!$AH$2)*Q71</f>
        <v>12.728238416881965</v>
      </c>
      <c r="T71" s="64">
        <f t="shared" si="8"/>
        <v>38.1510164833145</v>
      </c>
      <c r="U71" s="40">
        <f t="shared" si="9"/>
        <v>1114.7559117087485</v>
      </c>
      <c r="V71" s="65">
        <f t="shared" si="10"/>
        <v>42529.071162472748</v>
      </c>
      <c r="W71" s="65">
        <f t="shared" si="11"/>
        <v>28198.020064534154</v>
      </c>
      <c r="X71" s="65">
        <f t="shared" si="12"/>
        <v>9615.8315055257026</v>
      </c>
      <c r="Y71" s="40">
        <f t="shared" si="13"/>
        <v>1125.7854732008034</v>
      </c>
      <c r="Z71" s="40">
        <f t="shared" si="14"/>
        <v>679.72259007204468</v>
      </c>
      <c r="AA71" s="40">
        <f t="shared" si="15"/>
        <v>1146.948589060011</v>
      </c>
      <c r="AB71" s="40">
        <f t="shared" si="16"/>
        <v>1298.0318160510267</v>
      </c>
      <c r="AC71" s="40">
        <f t="shared" si="17"/>
        <v>1146.948589060011</v>
      </c>
      <c r="AD71" s="41">
        <f t="shared" si="18"/>
        <v>0.90255748303206296</v>
      </c>
      <c r="AE71" s="41">
        <f t="shared" si="19"/>
        <v>0.40819704306272425</v>
      </c>
      <c r="AF71" s="64">
        <f t="shared" si="20"/>
        <v>12.30550237582359</v>
      </c>
      <c r="AG71" s="64">
        <f>APPLICANTS_PER_YEAR*($H71/Segments!$AH$2)*AE71</f>
        <v>12.735747743556997</v>
      </c>
      <c r="AH71" s="64">
        <f t="shared" si="21"/>
        <v>25.041250119380585</v>
      </c>
      <c r="AI71" s="40">
        <f t="shared" si="22"/>
        <v>1146.948589060011</v>
      </c>
      <c r="AJ71" s="65">
        <f t="shared" si="23"/>
        <v>28721.026492722398</v>
      </c>
      <c r="AK71" s="65">
        <f t="shared" si="24"/>
        <v>19063.635796561743</v>
      </c>
      <c r="AL71" s="65">
        <f t="shared" si="25"/>
        <v>6758.7463797794626</v>
      </c>
      <c r="AM71" s="40">
        <f t="shared" si="26"/>
        <v>1158.3090373968275</v>
      </c>
      <c r="AN71" s="40">
        <f t="shared" si="27"/>
        <v>700.11426777420593</v>
      </c>
      <c r="AO71" s="40">
        <f t="shared" si="28"/>
        <v>1180.1070467318111</v>
      </c>
      <c r="AP71" s="40">
        <f t="shared" si="29"/>
        <v>1336.2652544253856</v>
      </c>
      <c r="AQ71" s="40">
        <f t="shared" si="30"/>
        <v>1180.1070467318111</v>
      </c>
      <c r="AR71" s="41">
        <f t="shared" si="31"/>
        <v>0.9027851959072356</v>
      </c>
      <c r="AS71" s="41">
        <f t="shared" si="32"/>
        <v>0.40843084192169793</v>
      </c>
      <c r="AT71" s="64">
        <f t="shared" si="33"/>
        <v>12.315871944773409</v>
      </c>
      <c r="AU71" s="64">
        <f>APPLICANTS_PER_YEAR*($H71/Segments!$AH$2)*AS71</f>
        <v>12.743042267956975</v>
      </c>
      <c r="AV71" s="64">
        <f t="shared" si="34"/>
        <v>25.058914212730386</v>
      </c>
      <c r="AW71" s="40">
        <f t="shared" si="35"/>
        <v>1180.1070467318111</v>
      </c>
      <c r="AX71" s="65">
        <f t="shared" si="36"/>
        <v>29572.201245891061</v>
      </c>
      <c r="AY71" s="65">
        <f t="shared" si="37"/>
        <v>19649.395780293864</v>
      </c>
      <c r="AZ71" s="65">
        <f t="shared" si="38"/>
        <v>6935.2357656295508</v>
      </c>
    </row>
    <row r="72" spans="1:52" ht="15" customHeight="1" x14ac:dyDescent="0.35">
      <c r="A72" s="61" t="str">
        <f>Segments!$A$52</f>
        <v>Non-greek</v>
      </c>
      <c r="B72" s="61" t="str">
        <f>Segments!$B$52</f>
        <v>Off 0-1mi</v>
      </c>
      <c r="C72" s="61" t="str">
        <f>Segments!$C$52</f>
        <v>Yes</v>
      </c>
      <c r="D72" s="61" t="str">
        <f>Segments!$D$52</f>
        <v>1.0-2.0</v>
      </c>
      <c r="E72" s="61" t="str">
        <f>Segments!$E$52</f>
        <v>Junior</v>
      </c>
      <c r="F72" s="61">
        <f>Segments!$F$52</f>
        <v>2</v>
      </c>
      <c r="G72" s="61" t="str">
        <f>Segments!$G$52</f>
        <v>Base</v>
      </c>
      <c r="H72" s="62">
        <f>Segments!$H$52</f>
        <v>30</v>
      </c>
      <c r="I72" s="63">
        <f>Segments!$Y$52</f>
        <v>788.89106923519876</v>
      </c>
      <c r="J72" s="42">
        <v>2</v>
      </c>
      <c r="K72" s="40">
        <f t="shared" si="0"/>
        <v>1426.2297754450396</v>
      </c>
      <c r="L72" s="40">
        <f t="shared" si="1"/>
        <v>788.89106923519876</v>
      </c>
      <c r="M72" s="40">
        <f t="shared" si="2"/>
        <v>1324.4650469158837</v>
      </c>
      <c r="N72" s="40">
        <f t="shared" si="3"/>
        <v>1374.4058667102834</v>
      </c>
      <c r="O72" s="40">
        <f t="shared" si="4"/>
        <v>1324.4650469158837</v>
      </c>
      <c r="P72" s="41">
        <f t="shared" si="5"/>
        <v>0.86816814850839363</v>
      </c>
      <c r="Q72" s="41">
        <f t="shared" si="6"/>
        <v>0.36816814850839358</v>
      </c>
      <c r="R72" s="64">
        <f t="shared" si="7"/>
        <v>22.572371861218233</v>
      </c>
      <c r="S72" s="64">
        <f>APPLICANTS_PER_YEAR*($H72/Segments!$AH$2)*Q72</f>
        <v>13.254053346302168</v>
      </c>
      <c r="T72" s="64">
        <f t="shared" si="8"/>
        <v>35.826425207520401</v>
      </c>
      <c r="U72" s="40">
        <f t="shared" si="9"/>
        <v>1324.4650469158837</v>
      </c>
      <c r="V72" s="65">
        <f t="shared" si="10"/>
        <v>47450.847943306908</v>
      </c>
      <c r="W72" s="65">
        <f t="shared" si="11"/>
        <v>31654.724515495927</v>
      </c>
      <c r="X72" s="65">
        <f t="shared" si="12"/>
        <v>10630.498662642718</v>
      </c>
      <c r="Y72" s="40">
        <f t="shared" si="13"/>
        <v>1114.7559117087485</v>
      </c>
      <c r="Z72" s="40">
        <f t="shared" si="14"/>
        <v>812.5578013122547</v>
      </c>
      <c r="AA72" s="40">
        <f t="shared" si="15"/>
        <v>1362.94899832336</v>
      </c>
      <c r="AB72" s="40">
        <f t="shared" si="16"/>
        <v>1414.9893275697948</v>
      </c>
      <c r="AC72" s="40">
        <f t="shared" si="17"/>
        <v>1362.94899832336</v>
      </c>
      <c r="AD72" s="41">
        <f t="shared" si="18"/>
        <v>0.80159591678183517</v>
      </c>
      <c r="AE72" s="41">
        <f t="shared" si="19"/>
        <v>0.36838894761694513</v>
      </c>
      <c r="AF72" s="64">
        <f t="shared" si="20"/>
        <v>30.581699034101391</v>
      </c>
      <c r="AG72" s="64">
        <f>APPLICANTS_PER_YEAR*($H72/Segments!$AH$2)*AE72</f>
        <v>13.262002114210025</v>
      </c>
      <c r="AH72" s="64">
        <f t="shared" si="21"/>
        <v>43.843701148311418</v>
      </c>
      <c r="AI72" s="40">
        <f t="shared" si="22"/>
        <v>1362.94899832336</v>
      </c>
      <c r="AJ72" s="65">
        <f t="shared" si="23"/>
        <v>59756.728562879791</v>
      </c>
      <c r="AK72" s="65">
        <f t="shared" si="24"/>
        <v>39900.606375239127</v>
      </c>
      <c r="AL72" s="65">
        <f t="shared" si="25"/>
        <v>13135.08591161213</v>
      </c>
      <c r="AM72" s="40">
        <f t="shared" si="26"/>
        <v>1146.948589060011</v>
      </c>
      <c r="AN72" s="40">
        <f t="shared" si="27"/>
        <v>836.93453535162234</v>
      </c>
      <c r="AO72" s="40">
        <f t="shared" si="28"/>
        <v>1402.5874682730609</v>
      </c>
      <c r="AP72" s="40">
        <f t="shared" si="29"/>
        <v>1456.7899990462136</v>
      </c>
      <c r="AQ72" s="40">
        <f t="shared" si="30"/>
        <v>1402.5874682730609</v>
      </c>
      <c r="AR72" s="41">
        <f t="shared" si="31"/>
        <v>0.80173758746647517</v>
      </c>
      <c r="AS72" s="41">
        <f t="shared" si="32"/>
        <v>0.36860341257444101</v>
      </c>
      <c r="AT72" s="64">
        <f t="shared" si="33"/>
        <v>20.076511457856775</v>
      </c>
      <c r="AU72" s="64">
        <f>APPLICANTS_PER_YEAR*($H72/Segments!$AH$2)*AS72</f>
        <v>13.269722852679877</v>
      </c>
      <c r="AV72" s="64">
        <f t="shared" si="34"/>
        <v>33.346234310536651</v>
      </c>
      <c r="AW72" s="40">
        <f t="shared" si="35"/>
        <v>1402.5874682730609</v>
      </c>
      <c r="AX72" s="65">
        <f t="shared" si="36"/>
        <v>46771.010358055879</v>
      </c>
      <c r="AY72" s="65">
        <f t="shared" si="37"/>
        <v>31257.648932625161</v>
      </c>
      <c r="AZ72" s="65">
        <f t="shared" si="38"/>
        <v>10489.806859522183</v>
      </c>
    </row>
    <row r="73" spans="1:52" ht="15" customHeight="1" x14ac:dyDescent="0.35">
      <c r="A73" s="61" t="str">
        <f>Segments!$A$53</f>
        <v>Non-greek</v>
      </c>
      <c r="B73" s="61" t="str">
        <f>Segments!$B$53</f>
        <v>Off 0-1mi</v>
      </c>
      <c r="C73" s="61" t="str">
        <f>Segments!$C$53</f>
        <v>Yes</v>
      </c>
      <c r="D73" s="61" t="str">
        <f>Segments!$D$53</f>
        <v>1.0-2.0</v>
      </c>
      <c r="E73" s="61" t="str">
        <f>Segments!$E$53</f>
        <v>Senior</v>
      </c>
      <c r="F73" s="61">
        <f>Segments!$F$53</f>
        <v>3</v>
      </c>
      <c r="G73" s="61" t="str">
        <f>Segments!$G$53</f>
        <v>Base</v>
      </c>
      <c r="H73" s="62">
        <f>Segments!$H$53</f>
        <v>32</v>
      </c>
      <c r="I73" s="63">
        <f>Segments!$Y$53</f>
        <v>737.36658691985622</v>
      </c>
      <c r="J73" s="42">
        <v>3</v>
      </c>
      <c r="K73" s="40">
        <f t="shared" si="0"/>
        <v>1426.2297754450396</v>
      </c>
      <c r="L73" s="40">
        <f t="shared" si="1"/>
        <v>737.36658691985622</v>
      </c>
      <c r="M73" s="40">
        <f t="shared" si="2"/>
        <v>1240.6822218404545</v>
      </c>
      <c r="N73" s="40">
        <f t="shared" si="3"/>
        <v>1330.2247654641542</v>
      </c>
      <c r="O73" s="40">
        <f t="shared" si="4"/>
        <v>1240.6822218404545</v>
      </c>
      <c r="P73" s="41">
        <f t="shared" si="5"/>
        <v>0.88365692247973437</v>
      </c>
      <c r="Q73" s="41">
        <f t="shared" si="6"/>
        <v>0.38365692247973432</v>
      </c>
      <c r="R73" s="64">
        <f t="shared" si="7"/>
        <v>26.509707674392033</v>
      </c>
      <c r="S73" s="64">
        <f>APPLICANTS_PER_YEAR*($H73/Segments!$AH$2)*Q73</f>
        <v>14.732425823221798</v>
      </c>
      <c r="T73" s="64">
        <f t="shared" si="8"/>
        <v>41.242133497613828</v>
      </c>
      <c r="U73" s="40">
        <f t="shared" si="9"/>
        <v>1240.6822218404545</v>
      </c>
      <c r="V73" s="65">
        <f t="shared" si="10"/>
        <v>51168.381821260162</v>
      </c>
      <c r="W73" s="65">
        <f t="shared" si="11"/>
        <v>34059.839760160008</v>
      </c>
      <c r="X73" s="65">
        <f t="shared" si="12"/>
        <v>11503.7165378719</v>
      </c>
      <c r="Y73" s="40">
        <f t="shared" si="13"/>
        <v>1324.4650469158837</v>
      </c>
      <c r="Z73" s="40">
        <f t="shared" si="14"/>
        <v>759.48758452745187</v>
      </c>
      <c r="AA73" s="40">
        <f t="shared" si="15"/>
        <v>1276.6526884956681</v>
      </c>
      <c r="AB73" s="40">
        <f t="shared" si="16"/>
        <v>1369.4612369656606</v>
      </c>
      <c r="AC73" s="40">
        <f t="shared" si="17"/>
        <v>1276.6526884956681</v>
      </c>
      <c r="AD73" s="41">
        <f t="shared" si="18"/>
        <v>0.88388505857808353</v>
      </c>
      <c r="AE73" s="41">
        <f t="shared" si="19"/>
        <v>0.38388505857808358</v>
      </c>
      <c r="AF73" s="64">
        <f t="shared" si="20"/>
        <v>31.666441943192499</v>
      </c>
      <c r="AG73" s="64">
        <f>APPLICANTS_PER_YEAR*($H73/Segments!$AH$2)*AE73</f>
        <v>14.741186249398408</v>
      </c>
      <c r="AH73" s="64">
        <f t="shared" si="21"/>
        <v>46.407628192590906</v>
      </c>
      <c r="AI73" s="40">
        <f t="shared" si="22"/>
        <v>1276.6526884956684</v>
      </c>
      <c r="AJ73" s="65">
        <f t="shared" si="23"/>
        <v>59246.423298778551</v>
      </c>
      <c r="AK73" s="65">
        <f t="shared" si="24"/>
        <v>39475.539532395618</v>
      </c>
      <c r="AL73" s="65">
        <f t="shared" si="25"/>
        <v>13152.934350547768</v>
      </c>
      <c r="AM73" s="40">
        <f t="shared" si="26"/>
        <v>1362.94899832336</v>
      </c>
      <c r="AN73" s="40">
        <f t="shared" si="27"/>
        <v>782.27221206327545</v>
      </c>
      <c r="AO73" s="40">
        <f t="shared" si="28"/>
        <v>1313.7022691505383</v>
      </c>
      <c r="AP73" s="40">
        <f t="shared" si="29"/>
        <v>1409.8744791772219</v>
      </c>
      <c r="AQ73" s="40">
        <f t="shared" si="30"/>
        <v>1313.7022691505383</v>
      </c>
      <c r="AR73" s="41">
        <f t="shared" si="31"/>
        <v>0.88410665681487055</v>
      </c>
      <c r="AS73" s="41">
        <f t="shared" si="32"/>
        <v>0.3841066568148705</v>
      </c>
      <c r="AT73" s="64">
        <f t="shared" si="33"/>
        <v>38.762508044623907</v>
      </c>
      <c r="AU73" s="64">
        <f>APPLICANTS_PER_YEAR*($H73/Segments!$AH$2)*AS73</f>
        <v>14.749695621691027</v>
      </c>
      <c r="AV73" s="64">
        <f t="shared" si="34"/>
        <v>53.512203666314932</v>
      </c>
      <c r="AW73" s="40">
        <f t="shared" si="35"/>
        <v>1313.7022691505383</v>
      </c>
      <c r="AX73" s="65">
        <f t="shared" si="36"/>
        <v>70299.103383683687</v>
      </c>
      <c r="AY73" s="65">
        <f t="shared" si="37"/>
        <v>46884.443126560145</v>
      </c>
      <c r="AZ73" s="65">
        <f t="shared" si="38"/>
        <v>15403.701804647124</v>
      </c>
    </row>
    <row r="74" spans="1:52" ht="15" customHeight="1" x14ac:dyDescent="0.35">
      <c r="A74" s="61" t="str">
        <f>Segments!$A$54</f>
        <v>Non-greek</v>
      </c>
      <c r="B74" s="61" t="str">
        <f>Segments!$B$54</f>
        <v>Off 0-1mi</v>
      </c>
      <c r="C74" s="61" t="str">
        <f>Segments!$C$54</f>
        <v>Yes</v>
      </c>
      <c r="D74" s="61" t="str">
        <f>Segments!$D$54</f>
        <v>1.0-2.0</v>
      </c>
      <c r="E74" s="61" t="str">
        <f>Segments!$E$54</f>
        <v>Grad student</v>
      </c>
      <c r="F74" s="61">
        <f>Segments!$F$54</f>
        <v>3</v>
      </c>
      <c r="G74" s="61" t="str">
        <f>Segments!$G$54</f>
        <v>Grad</v>
      </c>
      <c r="H74" s="62">
        <f>Segments!$H$54</f>
        <v>8</v>
      </c>
      <c r="I74" s="63">
        <f>Segments!$Y$54</f>
        <v>877.9679625517324</v>
      </c>
      <c r="J74" s="42">
        <v>4</v>
      </c>
      <c r="K74" s="40">
        <f t="shared" si="0"/>
        <v>1426.2297754450396</v>
      </c>
      <c r="L74" s="40">
        <f t="shared" si="1"/>
        <v>877.9679625517324</v>
      </c>
      <c r="M74" s="40">
        <f t="shared" si="2"/>
        <v>1469.3110198521219</v>
      </c>
      <c r="N74" s="40">
        <f t="shared" si="3"/>
        <v>1447.6101429261312</v>
      </c>
      <c r="O74" s="40">
        <f t="shared" si="4"/>
        <v>1469.3110198521219</v>
      </c>
      <c r="P74" s="41">
        <f t="shared" si="5"/>
        <v>0.83344266998962213</v>
      </c>
      <c r="Q74" s="41">
        <f t="shared" si="6"/>
        <v>0.34250458521859839</v>
      </c>
      <c r="R74" s="64">
        <f t="shared" si="7"/>
        <v>3.3337706799584885</v>
      </c>
      <c r="S74" s="64">
        <f>APPLICANTS_PER_YEAR*($H74/Segments!$AH$2)*Q74</f>
        <v>3.2880440180985446</v>
      </c>
      <c r="T74" s="64">
        <f t="shared" si="8"/>
        <v>6.6218146980570332</v>
      </c>
      <c r="U74" s="40">
        <f t="shared" si="9"/>
        <v>1469.3110198521219</v>
      </c>
      <c r="V74" s="65">
        <f t="shared" si="10"/>
        <v>9729.5053072739502</v>
      </c>
      <c r="W74" s="65">
        <f t="shared" si="11"/>
        <v>6511.390097910039</v>
      </c>
      <c r="X74" s="65">
        <f t="shared" si="12"/>
        <v>2222.6044733226672</v>
      </c>
      <c r="Y74" s="40">
        <f t="shared" si="13"/>
        <v>1469.3110198521219</v>
      </c>
      <c r="Z74" s="40">
        <f t="shared" si="14"/>
        <v>904.30700142828437</v>
      </c>
      <c r="AA74" s="40">
        <f t="shared" si="15"/>
        <v>1512.1403504476855</v>
      </c>
      <c r="AB74" s="40">
        <f t="shared" si="16"/>
        <v>1490.4225509009843</v>
      </c>
      <c r="AC74" s="40">
        <f t="shared" si="17"/>
        <v>1512.1403504476855</v>
      </c>
      <c r="AD74" s="41">
        <f t="shared" si="18"/>
        <v>0.8339694356496542</v>
      </c>
      <c r="AE74" s="41">
        <f t="shared" si="19"/>
        <v>0.34271421398798196</v>
      </c>
      <c r="AF74" s="64">
        <f t="shared" si="20"/>
        <v>2.7611955333576046</v>
      </c>
      <c r="AG74" s="64">
        <f>APPLICANTS_PER_YEAR*($H74/Segments!$AH$2)*AE74</f>
        <v>3.2900564542846267</v>
      </c>
      <c r="AH74" s="64">
        <f t="shared" si="21"/>
        <v>6.0512519876422317</v>
      </c>
      <c r="AI74" s="40">
        <f t="shared" si="22"/>
        <v>1512.1403504476853</v>
      </c>
      <c r="AJ74" s="65">
        <f t="shared" si="23"/>
        <v>9150.3423012405765</v>
      </c>
      <c r="AK74" s="65">
        <f t="shared" si="24"/>
        <v>6128.8522846114956</v>
      </c>
      <c r="AL74" s="65">
        <f t="shared" si="25"/>
        <v>2106.8170952365413</v>
      </c>
      <c r="AM74" s="40">
        <f t="shared" si="26"/>
        <v>1512.1403504476853</v>
      </c>
      <c r="AN74" s="40">
        <f t="shared" si="27"/>
        <v>931.43621147113288</v>
      </c>
      <c r="AO74" s="40">
        <f t="shared" si="28"/>
        <v>1556.2545609611161</v>
      </c>
      <c r="AP74" s="40">
        <f t="shared" si="29"/>
        <v>1534.5190802103109</v>
      </c>
      <c r="AQ74" s="40">
        <f t="shared" si="30"/>
        <v>1556.2545609611161</v>
      </c>
      <c r="AR74" s="41">
        <f t="shared" si="31"/>
        <v>0.83416581282982816</v>
      </c>
      <c r="AS74" s="41">
        <f t="shared" si="32"/>
        <v>0.34291781997659276</v>
      </c>
      <c r="AT74" s="64">
        <f t="shared" si="33"/>
        <v>2.5238737664548476</v>
      </c>
      <c r="AU74" s="64">
        <f>APPLICANTS_PER_YEAR*($H74/Segments!$AH$2)*AS74</f>
        <v>3.2920110717752906</v>
      </c>
      <c r="AV74" s="64">
        <f t="shared" si="34"/>
        <v>5.8158848382301382</v>
      </c>
      <c r="AW74" s="40">
        <f t="shared" si="35"/>
        <v>1556.2545609611161</v>
      </c>
      <c r="AX74" s="65">
        <f t="shared" si="36"/>
        <v>9050.9973055202554</v>
      </c>
      <c r="AY74" s="65">
        <f t="shared" si="37"/>
        <v>6067.1808288823004</v>
      </c>
      <c r="AZ74" s="65">
        <f t="shared" si="38"/>
        <v>2088.5687178837807</v>
      </c>
    </row>
    <row r="75" spans="1:52" ht="15" customHeight="1" x14ac:dyDescent="0.35">
      <c r="A75" s="59" t="str">
        <f>Segments!$A$55</f>
        <v>Non-greek</v>
      </c>
      <c r="B75" s="59" t="str">
        <f>Segments!$B$55</f>
        <v>Off 0-1mi</v>
      </c>
      <c r="C75" s="59" t="str">
        <f>Segments!$C$55</f>
        <v>Yes</v>
      </c>
      <c r="D75" s="59" t="str">
        <f>Segments!$D$55</f>
        <v>2.0-3.0</v>
      </c>
      <c r="E75" s="59" t="str">
        <f>Segments!$E$55</f>
        <v>Freshman</v>
      </c>
      <c r="F75" s="59">
        <f>Segments!$F$55</f>
        <v>1</v>
      </c>
      <c r="G75" s="59" t="str">
        <f>Segments!$G$55</f>
        <v>Base</v>
      </c>
      <c r="H75" s="60">
        <f>Segments!$H$55</f>
        <v>39</v>
      </c>
      <c r="I75" s="26">
        <f>Segments!$Y$55</f>
        <v>655.1602021423588</v>
      </c>
      <c r="J75" s="29">
        <v>0</v>
      </c>
      <c r="K75" s="14">
        <f t="shared" si="0"/>
        <v>1107.0082314111403</v>
      </c>
      <c r="L75" s="14">
        <f t="shared" si="1"/>
        <v>655.1602021423588</v>
      </c>
      <c r="M75" s="14">
        <f t="shared" si="2"/>
        <v>1107.0082314111403</v>
      </c>
      <c r="N75" s="14">
        <f t="shared" si="3"/>
        <v>1256.5222247542306</v>
      </c>
      <c r="O75" s="14">
        <f t="shared" si="4"/>
        <v>1107.0082314111403</v>
      </c>
      <c r="P75" s="33">
        <f t="shared" si="5"/>
        <v>0.90949516466862912</v>
      </c>
      <c r="Q75" s="33">
        <f t="shared" si="6"/>
        <v>0.40949516466862912</v>
      </c>
      <c r="R75" s="51">
        <f t="shared" si="7"/>
        <v>0</v>
      </c>
      <c r="S75" s="51">
        <f>APPLICANTS_PER_YEAR*($H75/Segments!$AH$2)*Q75</f>
        <v>19.16437370649184</v>
      </c>
      <c r="T75" s="51">
        <f t="shared" si="8"/>
        <v>19.16437370649184</v>
      </c>
      <c r="U75" s="14">
        <f t="shared" si="9"/>
        <v>1107.0082314111403</v>
      </c>
      <c r="V75" s="44">
        <f t="shared" si="10"/>
        <v>21215.11944292569</v>
      </c>
      <c r="W75" s="44">
        <f t="shared" si="11"/>
        <v>14062.423145654129</v>
      </c>
      <c r="X75" s="44">
        <f t="shared" si="12"/>
        <v>5614.5835720074865</v>
      </c>
      <c r="Y75" s="14">
        <f t="shared" si="13"/>
        <v>1138.9684783534744</v>
      </c>
      <c r="Z75" s="14">
        <f t="shared" si="14"/>
        <v>674.81500820662961</v>
      </c>
      <c r="AA75" s="14">
        <f t="shared" si="15"/>
        <v>1138.9684783534744</v>
      </c>
      <c r="AB75" s="14">
        <f t="shared" si="16"/>
        <v>1293.5082836358977</v>
      </c>
      <c r="AC75" s="14">
        <f t="shared" si="17"/>
        <v>1138.9684783534744</v>
      </c>
      <c r="AD75" s="33">
        <f t="shared" si="18"/>
        <v>0.90973668945050368</v>
      </c>
      <c r="AE75" s="33">
        <f t="shared" si="19"/>
        <v>0.40973668945050362</v>
      </c>
      <c r="AF75" s="51">
        <f t="shared" si="20"/>
        <v>0</v>
      </c>
      <c r="AG75" s="51">
        <f>APPLICANTS_PER_YEAR*($H75/Segments!$AH$2)*AE75</f>
        <v>19.175677066283569</v>
      </c>
      <c r="AH75" s="51">
        <f t="shared" si="21"/>
        <v>19.175677066283569</v>
      </c>
      <c r="AI75" s="14">
        <f t="shared" si="22"/>
        <v>1138.9684783534744</v>
      </c>
      <c r="AJ75" s="44">
        <f t="shared" si="23"/>
        <v>21840.491729582613</v>
      </c>
      <c r="AK75" s="44">
        <f t="shared" si="24"/>
        <v>14492.838838074047</v>
      </c>
      <c r="AL75" s="44">
        <f t="shared" si="25"/>
        <v>5755.1756154092654</v>
      </c>
      <c r="AM75" s="14">
        <f t="shared" si="26"/>
        <v>1171.8875327040785</v>
      </c>
      <c r="AN75" s="14">
        <f t="shared" si="27"/>
        <v>695.05945845282838</v>
      </c>
      <c r="AO75" s="14">
        <f t="shared" si="28"/>
        <v>1171.8875327040785</v>
      </c>
      <c r="AP75" s="14">
        <f t="shared" si="29"/>
        <v>1331.6035404637732</v>
      </c>
      <c r="AQ75" s="14">
        <f t="shared" si="30"/>
        <v>1171.8875327040785</v>
      </c>
      <c r="AR75" s="33">
        <f t="shared" si="31"/>
        <v>0.90997130636347978</v>
      </c>
      <c r="AS75" s="33">
        <f t="shared" si="32"/>
        <v>0.40997130636347984</v>
      </c>
      <c r="AT75" s="51">
        <f t="shared" si="33"/>
        <v>0</v>
      </c>
      <c r="AU75" s="51">
        <f>APPLICANTS_PER_YEAR*($H75/Segments!$AH$2)*AS75</f>
        <v>19.186657137810855</v>
      </c>
      <c r="AV75" s="51">
        <f t="shared" si="34"/>
        <v>19.186657137810855</v>
      </c>
      <c r="AW75" s="14">
        <f t="shared" si="35"/>
        <v>1171.8875327040785</v>
      </c>
      <c r="AX75" s="44">
        <f t="shared" si="36"/>
        <v>22484.60429406826</v>
      </c>
      <c r="AY75" s="44">
        <f t="shared" si="37"/>
        <v>14936.171622094138</v>
      </c>
      <c r="AZ75" s="44">
        <f t="shared" si="38"/>
        <v>5899.9509330727788</v>
      </c>
    </row>
    <row r="76" spans="1:52" ht="15" customHeight="1" x14ac:dyDescent="0.35">
      <c r="A76" s="59" t="str">
        <f>Segments!$A$56</f>
        <v>Non-greek</v>
      </c>
      <c r="B76" s="59" t="str">
        <f>Segments!$B$56</f>
        <v>Off 0-1mi</v>
      </c>
      <c r="C76" s="59" t="str">
        <f>Segments!$C$56</f>
        <v>Yes</v>
      </c>
      <c r="D76" s="59" t="str">
        <f>Segments!$D$56</f>
        <v>2.0-3.0</v>
      </c>
      <c r="E76" s="59" t="str">
        <f>Segments!$E$56</f>
        <v>Sophomore</v>
      </c>
      <c r="F76" s="59">
        <f>Segments!$F$56</f>
        <v>1</v>
      </c>
      <c r="G76" s="59" t="str">
        <f>Segments!$G$56</f>
        <v>Sophomore</v>
      </c>
      <c r="H76" s="60">
        <f>Segments!$H$56</f>
        <v>42</v>
      </c>
      <c r="I76" s="26">
        <f>Segments!$Y$56</f>
        <v>648.49476133169901</v>
      </c>
      <c r="J76" s="29">
        <v>1</v>
      </c>
      <c r="K76" s="14">
        <f t="shared" si="0"/>
        <v>1426.2297754450396</v>
      </c>
      <c r="L76" s="14">
        <f t="shared" si="1"/>
        <v>648.49476133169901</v>
      </c>
      <c r="M76" s="14">
        <f t="shared" si="2"/>
        <v>1096.1697050175651</v>
      </c>
      <c r="N76" s="14">
        <f t="shared" si="3"/>
        <v>1250.3558982293232</v>
      </c>
      <c r="O76" s="14">
        <f t="shared" si="4"/>
        <v>1096.1697050175651</v>
      </c>
      <c r="P76" s="33">
        <f t="shared" si="5"/>
        <v>0.91165692241309337</v>
      </c>
      <c r="Q76" s="33">
        <f t="shared" si="6"/>
        <v>0.41165692241309337</v>
      </c>
      <c r="R76" s="51">
        <f t="shared" si="7"/>
        <v>35.554619974110643</v>
      </c>
      <c r="S76" s="51">
        <f>APPLICANTS_PER_YEAR*($H76/Segments!$AH$2)*Q76</f>
        <v>20.747508889619905</v>
      </c>
      <c r="T76" s="51">
        <f t="shared" si="8"/>
        <v>56.302128863730545</v>
      </c>
      <c r="U76" s="14">
        <f t="shared" si="9"/>
        <v>1096.1697050175651</v>
      </c>
      <c r="V76" s="44">
        <f t="shared" si="10"/>
        <v>61716.687988416452</v>
      </c>
      <c r="W76" s="44">
        <f t="shared" si="11"/>
        <v>40893.03189434568</v>
      </c>
      <c r="X76" s="44">
        <f t="shared" si="12"/>
        <v>14105.182003804259</v>
      </c>
      <c r="Y76" s="14">
        <f t="shared" si="13"/>
        <v>1107.0082314111403</v>
      </c>
      <c r="Z76" s="14">
        <f t="shared" si="14"/>
        <v>667.94960417164998</v>
      </c>
      <c r="AA76" s="14">
        <f t="shared" si="15"/>
        <v>1127.804796168092</v>
      </c>
      <c r="AB76" s="14">
        <f t="shared" si="16"/>
        <v>1287.1534658385517</v>
      </c>
      <c r="AC76" s="14">
        <f t="shared" si="17"/>
        <v>1127.804796168092</v>
      </c>
      <c r="AD76" s="33">
        <f t="shared" si="18"/>
        <v>0.90626375546946736</v>
      </c>
      <c r="AE76" s="33">
        <f t="shared" si="19"/>
        <v>0.41189963897065202</v>
      </c>
      <c r="AF76" s="51">
        <f t="shared" si="20"/>
        <v>17.36797728646561</v>
      </c>
      <c r="AG76" s="51">
        <f>APPLICANTS_PER_YEAR*($H76/Segments!$AH$2)*AE76</f>
        <v>20.759741804120861</v>
      </c>
      <c r="AH76" s="51">
        <f t="shared" si="21"/>
        <v>38.127719090586467</v>
      </c>
      <c r="AI76" s="14">
        <f t="shared" si="22"/>
        <v>1127.804796168092</v>
      </c>
      <c r="AJ76" s="44">
        <f t="shared" si="23"/>
        <v>43000.624457313141</v>
      </c>
      <c r="AK76" s="44">
        <f t="shared" si="24"/>
        <v>28523.482259468106</v>
      </c>
      <c r="AL76" s="44">
        <f t="shared" si="25"/>
        <v>10228.118722433392</v>
      </c>
      <c r="AM76" s="14">
        <f t="shared" si="26"/>
        <v>1138.9684783534744</v>
      </c>
      <c r="AN76" s="14">
        <f t="shared" si="27"/>
        <v>687.98809229679944</v>
      </c>
      <c r="AO76" s="14">
        <f t="shared" si="28"/>
        <v>1160.3889400531348</v>
      </c>
      <c r="AP76" s="14">
        <f t="shared" si="29"/>
        <v>1325.0545709428741</v>
      </c>
      <c r="AQ76" s="14">
        <f t="shared" si="30"/>
        <v>1160.3889400531348</v>
      </c>
      <c r="AR76" s="33">
        <f t="shared" si="31"/>
        <v>0.90649334604051346</v>
      </c>
      <c r="AS76" s="33">
        <f t="shared" si="32"/>
        <v>0.41213541483524241</v>
      </c>
      <c r="AT76" s="51">
        <f t="shared" si="33"/>
        <v>17.382623666407728</v>
      </c>
      <c r="AU76" s="51">
        <f>APPLICANTS_PER_YEAR*($H76/Segments!$AH$2)*AS76</f>
        <v>20.771624907696218</v>
      </c>
      <c r="AV76" s="51">
        <f t="shared" si="34"/>
        <v>38.154248574103946</v>
      </c>
      <c r="AW76" s="14">
        <f t="shared" si="35"/>
        <v>1160.3889400531348</v>
      </c>
      <c r="AX76" s="44">
        <f t="shared" si="36"/>
        <v>44273.768061428309</v>
      </c>
      <c r="AY76" s="44">
        <f t="shared" si="37"/>
        <v>29399.628932257532</v>
      </c>
      <c r="AZ76" s="44">
        <f t="shared" si="38"/>
        <v>10493.728491128239</v>
      </c>
    </row>
    <row r="77" spans="1:52" ht="15" customHeight="1" x14ac:dyDescent="0.35">
      <c r="A77" s="59" t="str">
        <f>Segments!$A$57</f>
        <v>Non-greek</v>
      </c>
      <c r="B77" s="59" t="str">
        <f>Segments!$B$57</f>
        <v>Off 0-1mi</v>
      </c>
      <c r="C77" s="59" t="str">
        <f>Segments!$C$57</f>
        <v>Yes</v>
      </c>
      <c r="D77" s="59" t="str">
        <f>Segments!$D$57</f>
        <v>2.0-3.0</v>
      </c>
      <c r="E77" s="59" t="str">
        <f>Segments!$E$57</f>
        <v>Junior</v>
      </c>
      <c r="F77" s="59">
        <f>Segments!$F$57</f>
        <v>2</v>
      </c>
      <c r="G77" s="59" t="str">
        <f>Segments!$G$57</f>
        <v>Base</v>
      </c>
      <c r="H77" s="60">
        <f>Segments!$H$57</f>
        <v>45</v>
      </c>
      <c r="I77" s="26">
        <f>Segments!$Y$57</f>
        <v>775.2272546574477</v>
      </c>
      <c r="J77" s="29">
        <v>2</v>
      </c>
      <c r="K77" s="14">
        <f t="shared" si="0"/>
        <v>1426.2297754450396</v>
      </c>
      <c r="L77" s="14">
        <f t="shared" si="1"/>
        <v>775.2272546574477</v>
      </c>
      <c r="M77" s="14">
        <f t="shared" si="2"/>
        <v>1302.2466191862386</v>
      </c>
      <c r="N77" s="14">
        <f t="shared" si="3"/>
        <v>1362.8290073431997</v>
      </c>
      <c r="O77" s="14">
        <f t="shared" si="4"/>
        <v>1302.2466191862386</v>
      </c>
      <c r="P77" s="33">
        <f t="shared" si="5"/>
        <v>0.87222670189382923</v>
      </c>
      <c r="Q77" s="33">
        <f t="shared" si="6"/>
        <v>0.37222670189382923</v>
      </c>
      <c r="R77" s="51">
        <f t="shared" si="7"/>
        <v>36.633521479540825</v>
      </c>
      <c r="S77" s="51">
        <f>APPLICANTS_PER_YEAR*($H77/Segments!$AH$2)*Q77</f>
        <v>20.100241902266777</v>
      </c>
      <c r="T77" s="51">
        <f t="shared" si="8"/>
        <v>56.733763381807606</v>
      </c>
      <c r="U77" s="14">
        <f t="shared" si="9"/>
        <v>1302.2466191862386</v>
      </c>
      <c r="V77" s="44">
        <f t="shared" si="10"/>
        <v>73881.351557670976</v>
      </c>
      <c r="W77" s="44">
        <f t="shared" si="11"/>
        <v>49259.346788807619</v>
      </c>
      <c r="X77" s="44">
        <f t="shared" si="12"/>
        <v>16516.898281764472</v>
      </c>
      <c r="Y77" s="14">
        <f t="shared" si="13"/>
        <v>1096.1697050175651</v>
      </c>
      <c r="Z77" s="14">
        <f t="shared" si="14"/>
        <v>798.48407229717111</v>
      </c>
      <c r="AA77" s="14">
        <f t="shared" si="15"/>
        <v>1340.0640177618257</v>
      </c>
      <c r="AB77" s="14">
        <f t="shared" si="16"/>
        <v>1403.0596492054281</v>
      </c>
      <c r="AC77" s="14">
        <f t="shared" si="17"/>
        <v>1340.0640177618257</v>
      </c>
      <c r="AD77" s="33">
        <f t="shared" si="18"/>
        <v>0.8057003207736767</v>
      </c>
      <c r="AE77" s="33">
        <f t="shared" si="19"/>
        <v>0.37244937750126222</v>
      </c>
      <c r="AF77" s="51">
        <f t="shared" si="20"/>
        <v>45.362643285748582</v>
      </c>
      <c r="AG77" s="51">
        <f>APPLICANTS_PER_YEAR*($H77/Segments!$AH$2)*AE77</f>
        <v>20.112266385068157</v>
      </c>
      <c r="AH77" s="51">
        <f t="shared" si="21"/>
        <v>65.474909670816743</v>
      </c>
      <c r="AI77" s="14">
        <f t="shared" si="22"/>
        <v>1340.0640177618257</v>
      </c>
      <c r="AJ77" s="44">
        <f t="shared" si="23"/>
        <v>87740.570516067295</v>
      </c>
      <c r="AK77" s="44">
        <f t="shared" si="24"/>
        <v>58554.353208112378</v>
      </c>
      <c r="AL77" s="44">
        <f t="shared" si="25"/>
        <v>19338.583038019227</v>
      </c>
      <c r="AM77" s="14">
        <f t="shared" si="26"/>
        <v>1127.804796168092</v>
      </c>
      <c r="AN77" s="14">
        <f t="shared" si="27"/>
        <v>822.43859446608622</v>
      </c>
      <c r="AO77" s="14">
        <f t="shared" si="28"/>
        <v>1379.0159382946804</v>
      </c>
      <c r="AP77" s="14">
        <f t="shared" si="29"/>
        <v>1444.49690957181</v>
      </c>
      <c r="AQ77" s="14">
        <f t="shared" si="30"/>
        <v>1379.0159382946804</v>
      </c>
      <c r="AR77" s="33">
        <f t="shared" si="31"/>
        <v>0.80584262889501046</v>
      </c>
      <c r="AS77" s="33">
        <f t="shared" si="32"/>
        <v>0.37266566679486351</v>
      </c>
      <c r="AT77" s="51">
        <f t="shared" si="33"/>
        <v>30.724941385728677</v>
      </c>
      <c r="AU77" s="51">
        <f>APPLICANTS_PER_YEAR*($H77/Segments!$AH$2)*AS77</f>
        <v>20.123946006922626</v>
      </c>
      <c r="AV77" s="51">
        <f t="shared" si="34"/>
        <v>50.848887392651307</v>
      </c>
      <c r="AW77" s="14">
        <f t="shared" si="35"/>
        <v>1379.0159382946802</v>
      </c>
      <c r="AX77" s="44">
        <f t="shared" si="36"/>
        <v>70121.426159017574</v>
      </c>
      <c r="AY77" s="44">
        <f t="shared" si="37"/>
        <v>46838.497974661608</v>
      </c>
      <c r="AZ77" s="44">
        <f t="shared" si="38"/>
        <v>15744.319422052891</v>
      </c>
    </row>
    <row r="78" spans="1:52" ht="15" customHeight="1" x14ac:dyDescent="0.35">
      <c r="A78" s="59" t="str">
        <f>Segments!$A$58</f>
        <v>Non-greek</v>
      </c>
      <c r="B78" s="59" t="str">
        <f>Segments!$B$58</f>
        <v>Off 0-1mi</v>
      </c>
      <c r="C78" s="59" t="str">
        <f>Segments!$C$58</f>
        <v>Yes</v>
      </c>
      <c r="D78" s="59" t="str">
        <f>Segments!$D$58</f>
        <v>2.0-3.0</v>
      </c>
      <c r="E78" s="59" t="str">
        <f>Segments!$E$58</f>
        <v>Senior</v>
      </c>
      <c r="F78" s="59">
        <f>Segments!$F$58</f>
        <v>3</v>
      </c>
      <c r="G78" s="59" t="str">
        <f>Segments!$G$58</f>
        <v>Base</v>
      </c>
      <c r="H78" s="60">
        <f>Segments!$H$58</f>
        <v>40</v>
      </c>
      <c r="I78" s="26">
        <f>Segments!$Y$58</f>
        <v>724.59519082676854</v>
      </c>
      <c r="J78" s="29">
        <v>3</v>
      </c>
      <c r="K78" s="14">
        <f t="shared" si="0"/>
        <v>1426.2297754450396</v>
      </c>
      <c r="L78" s="14">
        <f t="shared" si="1"/>
        <v>724.59519082676854</v>
      </c>
      <c r="M78" s="14">
        <f t="shared" si="2"/>
        <v>1219.9149361395062</v>
      </c>
      <c r="N78" s="14">
        <f t="shared" si="3"/>
        <v>1319.044732157442</v>
      </c>
      <c r="O78" s="14">
        <f t="shared" si="4"/>
        <v>1219.9149361395062</v>
      </c>
      <c r="P78" s="33">
        <f t="shared" si="5"/>
        <v>0.88757635870915386</v>
      </c>
      <c r="Q78" s="33">
        <f t="shared" si="6"/>
        <v>0.38757635870915391</v>
      </c>
      <c r="R78" s="51">
        <f t="shared" si="7"/>
        <v>39.940936141911926</v>
      </c>
      <c r="S78" s="51">
        <f>APPLICANTS_PER_YEAR*($H78/Segments!$AH$2)*Q78</f>
        <v>18.603665218039389</v>
      </c>
      <c r="T78" s="51">
        <f t="shared" si="8"/>
        <v>58.544601359951315</v>
      </c>
      <c r="U78" s="14">
        <f t="shared" si="9"/>
        <v>1219.9149361395062</v>
      </c>
      <c r="V78" s="44">
        <f t="shared" si="10"/>
        <v>71419.433629337858</v>
      </c>
      <c r="W78" s="44">
        <f t="shared" si="11"/>
        <v>47511.672985605946</v>
      </c>
      <c r="X78" s="44">
        <f t="shared" si="12"/>
        <v>15928.577730919749</v>
      </c>
      <c r="Y78" s="14">
        <f t="shared" si="13"/>
        <v>1302.2466191862386</v>
      </c>
      <c r="Z78" s="14">
        <f t="shared" si="14"/>
        <v>746.33304655157167</v>
      </c>
      <c r="AA78" s="14">
        <f t="shared" si="15"/>
        <v>1255.2623842236915</v>
      </c>
      <c r="AB78" s="14">
        <f t="shared" si="16"/>
        <v>1357.9401187192459</v>
      </c>
      <c r="AC78" s="14">
        <f t="shared" si="17"/>
        <v>1255.2623842236915</v>
      </c>
      <c r="AD78" s="33">
        <f t="shared" si="18"/>
        <v>0.8878064294147211</v>
      </c>
      <c r="AE78" s="33">
        <f t="shared" si="19"/>
        <v>0.3878064294147211</v>
      </c>
      <c r="AF78" s="51">
        <f t="shared" si="20"/>
        <v>50.368599895262264</v>
      </c>
      <c r="AG78" s="51">
        <f>APPLICANTS_PER_YEAR*($H78/Segments!$AH$2)*AE78</f>
        <v>18.614708611906615</v>
      </c>
      <c r="AH78" s="51">
        <f t="shared" si="21"/>
        <v>68.983308507168886</v>
      </c>
      <c r="AI78" s="14">
        <f t="shared" si="22"/>
        <v>1255.2623842236915</v>
      </c>
      <c r="AJ78" s="44">
        <f t="shared" si="23"/>
        <v>86592.152308347271</v>
      </c>
      <c r="AK78" s="44">
        <f t="shared" si="24"/>
        <v>57662.665535285785</v>
      </c>
      <c r="AL78" s="44">
        <f t="shared" si="25"/>
        <v>19028.772694702067</v>
      </c>
      <c r="AM78" s="14">
        <f t="shared" si="26"/>
        <v>1340.0640177618257</v>
      </c>
      <c r="AN78" s="14">
        <f t="shared" si="27"/>
        <v>768.72303794811876</v>
      </c>
      <c r="AO78" s="14">
        <f t="shared" si="28"/>
        <v>1291.670255750402</v>
      </c>
      <c r="AP78" s="14">
        <f t="shared" si="29"/>
        <v>1398.0020351406274</v>
      </c>
      <c r="AQ78" s="14">
        <f t="shared" si="30"/>
        <v>1291.670255750402</v>
      </c>
      <c r="AR78" s="33">
        <f t="shared" si="31"/>
        <v>0.88802990865443521</v>
      </c>
      <c r="AS78" s="33">
        <f t="shared" si="32"/>
        <v>0.38802990865443526</v>
      </c>
      <c r="AT78" s="51">
        <f t="shared" si="33"/>
        <v>58.143678054132792</v>
      </c>
      <c r="AU78" s="51">
        <f>APPLICANTS_PER_YEAR*($H78/Segments!$AH$2)*AS78</f>
        <v>18.625435615412893</v>
      </c>
      <c r="AV78" s="51">
        <f t="shared" si="34"/>
        <v>76.769113669545689</v>
      </c>
      <c r="AW78" s="14">
        <f t="shared" si="35"/>
        <v>1291.670255750402</v>
      </c>
      <c r="AX78" s="44">
        <f t="shared" si="36"/>
        <v>99160.380687273762</v>
      </c>
      <c r="AY78" s="44">
        <f t="shared" si="37"/>
        <v>66095.888634314135</v>
      </c>
      <c r="AZ78" s="44">
        <f t="shared" si="38"/>
        <v>21584.357355139786</v>
      </c>
    </row>
    <row r="79" spans="1:52" ht="15" customHeight="1" x14ac:dyDescent="0.35">
      <c r="A79" s="59" t="str">
        <f>Segments!$A$59</f>
        <v>Non-greek</v>
      </c>
      <c r="B79" s="59" t="str">
        <f>Segments!$B$59</f>
        <v>Off 0-1mi</v>
      </c>
      <c r="C79" s="59" t="str">
        <f>Segments!$C$59</f>
        <v>Yes</v>
      </c>
      <c r="D79" s="59" t="str">
        <f>Segments!$D$59</f>
        <v>2.0-3.0</v>
      </c>
      <c r="E79" s="59" t="str">
        <f>Segments!$E$59</f>
        <v>Grad student</v>
      </c>
      <c r="F79" s="59">
        <f>Segments!$F$59</f>
        <v>3</v>
      </c>
      <c r="G79" s="59" t="str">
        <f>Segments!$G$59</f>
        <v>Grad</v>
      </c>
      <c r="H79" s="60">
        <f>Segments!$H$59</f>
        <v>20</v>
      </c>
      <c r="I79" s="26">
        <f>Segments!$Y$59</f>
        <v>862.76131119853233</v>
      </c>
      <c r="J79" s="29">
        <v>4</v>
      </c>
      <c r="K79" s="14">
        <f t="shared" si="0"/>
        <v>1426.2297754450396</v>
      </c>
      <c r="L79" s="14">
        <f t="shared" si="1"/>
        <v>862.76131119853233</v>
      </c>
      <c r="M79" s="14">
        <f t="shared" si="2"/>
        <v>1444.5838192465794</v>
      </c>
      <c r="N79" s="14">
        <f t="shared" si="3"/>
        <v>1435.3774612050961</v>
      </c>
      <c r="O79" s="14">
        <f t="shared" si="4"/>
        <v>1444.5838192465794</v>
      </c>
      <c r="P79" s="33">
        <f t="shared" si="5"/>
        <v>0.8429323758387075</v>
      </c>
      <c r="Q79" s="33">
        <f t="shared" si="6"/>
        <v>0.34679305329423449</v>
      </c>
      <c r="R79" s="51">
        <f t="shared" si="7"/>
        <v>8.4293237583870742</v>
      </c>
      <c r="S79" s="51">
        <f>APPLICANTS_PER_YEAR*($H79/Segments!$AH$2)*Q79</f>
        <v>8.3230332790616277</v>
      </c>
      <c r="T79" s="51">
        <f t="shared" si="8"/>
        <v>16.752357037448704</v>
      </c>
      <c r="U79" s="14">
        <f t="shared" si="9"/>
        <v>1444.5838192465792</v>
      </c>
      <c r="V79" s="44">
        <f t="shared" si="10"/>
        <v>24200.183910539956</v>
      </c>
      <c r="W79" s="44">
        <f t="shared" si="11"/>
        <v>16187.67978609063</v>
      </c>
      <c r="X79" s="44">
        <f t="shared" si="12"/>
        <v>5537.7739038869795</v>
      </c>
      <c r="Y79" s="14">
        <f t="shared" si="13"/>
        <v>1444.5838192465792</v>
      </c>
      <c r="Z79" s="14">
        <f t="shared" si="14"/>
        <v>888.64415053448829</v>
      </c>
      <c r="AA79" s="14">
        <f t="shared" si="15"/>
        <v>1486.6713338239767</v>
      </c>
      <c r="AB79" s="14">
        <f t="shared" si="16"/>
        <v>1477.8176376936221</v>
      </c>
      <c r="AC79" s="14">
        <f t="shared" si="17"/>
        <v>1486.6713338239767</v>
      </c>
      <c r="AD79" s="33">
        <f t="shared" si="18"/>
        <v>0.83826405966207873</v>
      </c>
      <c r="AE79" s="33">
        <f t="shared" si="19"/>
        <v>0.34700446932539919</v>
      </c>
      <c r="AF79" s="51">
        <f t="shared" si="20"/>
        <v>7.0214494095601721</v>
      </c>
      <c r="AG79" s="51">
        <f>APPLICANTS_PER_YEAR*($H79/Segments!$AH$2)*AE79</f>
        <v>8.3281072638095814</v>
      </c>
      <c r="AH79" s="51">
        <f t="shared" si="21"/>
        <v>15.349556673369754</v>
      </c>
      <c r="AI79" s="14">
        <f t="shared" si="22"/>
        <v>1486.6713338239765</v>
      </c>
      <c r="AJ79" s="44">
        <f t="shared" si="23"/>
        <v>22819.745893205334</v>
      </c>
      <c r="AK79" s="44">
        <f t="shared" si="24"/>
        <v>15277.129001218171</v>
      </c>
      <c r="AL79" s="44">
        <f t="shared" si="25"/>
        <v>5261.4663305725362</v>
      </c>
      <c r="AM79" s="14">
        <f t="shared" si="26"/>
        <v>1486.6713338239765</v>
      </c>
      <c r="AN79" s="14">
        <f t="shared" si="27"/>
        <v>915.30347505052293</v>
      </c>
      <c r="AO79" s="14">
        <f t="shared" si="28"/>
        <v>1530.021473838696</v>
      </c>
      <c r="AP79" s="14">
        <f t="shared" si="29"/>
        <v>1521.5307620969575</v>
      </c>
      <c r="AQ79" s="14">
        <f t="shared" si="30"/>
        <v>1530.021473838696</v>
      </c>
      <c r="AR79" s="33">
        <f t="shared" si="31"/>
        <v>0.83846205401990659</v>
      </c>
      <c r="AS79" s="33">
        <f t="shared" si="32"/>
        <v>0.34720981265931261</v>
      </c>
      <c r="AT79" s="51">
        <f t="shared" si="33"/>
        <v>6.4350104083242847</v>
      </c>
      <c r="AU79" s="51">
        <f>APPLICANTS_PER_YEAR*($H79/Segments!$AH$2)*AS79</f>
        <v>8.3330355038235027</v>
      </c>
      <c r="AV79" s="51">
        <f t="shared" si="34"/>
        <v>14.768045912147787</v>
      </c>
      <c r="AW79" s="14">
        <f t="shared" si="35"/>
        <v>1530.021473838696</v>
      </c>
      <c r="AX79" s="44">
        <f t="shared" si="36"/>
        <v>22595.427372221886</v>
      </c>
      <c r="AY79" s="44">
        <f t="shared" si="37"/>
        <v>15139.312992265885</v>
      </c>
      <c r="AZ79" s="44">
        <f t="shared" si="38"/>
        <v>5220.4628933973381</v>
      </c>
    </row>
    <row r="80" spans="1:52" ht="15" customHeight="1" x14ac:dyDescent="0.35">
      <c r="A80" s="61" t="str">
        <f>Segments!$A$60</f>
        <v>Non-greek</v>
      </c>
      <c r="B80" s="61" t="str">
        <f>Segments!$B$60</f>
        <v>Off 0-1mi</v>
      </c>
      <c r="C80" s="61" t="str">
        <f>Segments!$C$60</f>
        <v>Yes</v>
      </c>
      <c r="D80" s="61" t="str">
        <f>Segments!$D$60</f>
        <v>3.0+</v>
      </c>
      <c r="E80" s="61" t="str">
        <f>Segments!$E$60</f>
        <v>Freshman</v>
      </c>
      <c r="F80" s="61">
        <f>Segments!$F$60</f>
        <v>1</v>
      </c>
      <c r="G80" s="61" t="str">
        <f>Segments!$G$60</f>
        <v>Base</v>
      </c>
      <c r="H80" s="62">
        <f>Segments!$H$60</f>
        <v>29</v>
      </c>
      <c r="I80" s="63">
        <f>Segments!$Y$60</f>
        <v>574.27911437491161</v>
      </c>
      <c r="J80" s="42">
        <v>0</v>
      </c>
      <c r="K80" s="40">
        <f t="shared" si="0"/>
        <v>975.48927723986026</v>
      </c>
      <c r="L80" s="40">
        <f t="shared" si="1"/>
        <v>574.27911437491161</v>
      </c>
      <c r="M80" s="40">
        <f t="shared" si="2"/>
        <v>975.48927723986026</v>
      </c>
      <c r="N80" s="40">
        <f t="shared" si="3"/>
        <v>1179.521874670771</v>
      </c>
      <c r="O80" s="40">
        <f t="shared" si="4"/>
        <v>975.48927723986026</v>
      </c>
      <c r="P80" s="41">
        <f t="shared" si="5"/>
        <v>0.93648953521436828</v>
      </c>
      <c r="Q80" s="41">
        <f t="shared" si="6"/>
        <v>0.43648953521436828</v>
      </c>
      <c r="R80" s="64">
        <f t="shared" si="7"/>
        <v>0</v>
      </c>
      <c r="S80" s="64">
        <f>APPLICANTS_PER_YEAR*($H80/Segments!$AH$2)*Q80</f>
        <v>15.189835825460015</v>
      </c>
      <c r="T80" s="64">
        <f t="shared" si="8"/>
        <v>15.189835825460015</v>
      </c>
      <c r="U80" s="40">
        <f t="shared" si="9"/>
        <v>975.48927723986026</v>
      </c>
      <c r="V80" s="65">
        <f t="shared" si="10"/>
        <v>14817.521970770127</v>
      </c>
      <c r="W80" s="65">
        <f t="shared" si="11"/>
        <v>9769.9901211869401</v>
      </c>
      <c r="X80" s="65">
        <f t="shared" si="12"/>
        <v>4002.6675335982095</v>
      </c>
      <c r="Y80" s="40">
        <f t="shared" si="13"/>
        <v>1003.5039555570562</v>
      </c>
      <c r="Z80" s="40">
        <f t="shared" si="14"/>
        <v>591.50748780615902</v>
      </c>
      <c r="AA80" s="40">
        <f t="shared" si="15"/>
        <v>1003.5039555570562</v>
      </c>
      <c r="AB80" s="40">
        <f t="shared" si="16"/>
        <v>1214.1515711920483</v>
      </c>
      <c r="AC80" s="40">
        <f t="shared" si="17"/>
        <v>1003.5039555570562</v>
      </c>
      <c r="AD80" s="41">
        <f t="shared" si="18"/>
        <v>0.93674683648771273</v>
      </c>
      <c r="AE80" s="41">
        <f t="shared" si="19"/>
        <v>0.43674683648771268</v>
      </c>
      <c r="AF80" s="64">
        <f t="shared" si="20"/>
        <v>0</v>
      </c>
      <c r="AG80" s="64">
        <f>APPLICANTS_PER_YEAR*($H80/Segments!$AH$2)*AE80</f>
        <v>15.198789909772399</v>
      </c>
      <c r="AH80" s="64">
        <f t="shared" si="21"/>
        <v>15.198789909772399</v>
      </c>
      <c r="AI80" s="40">
        <f t="shared" si="22"/>
        <v>1003.5039555570561</v>
      </c>
      <c r="AJ80" s="65">
        <f t="shared" si="23"/>
        <v>15252.045794137275</v>
      </c>
      <c r="AK80" s="65">
        <f t="shared" si="24"/>
        <v>10069.02180168984</v>
      </c>
      <c r="AL80" s="65">
        <f t="shared" si="25"/>
        <v>4100.403803826508</v>
      </c>
      <c r="AM80" s="40">
        <f t="shared" si="26"/>
        <v>1032.3590742237677</v>
      </c>
      <c r="AN80" s="40">
        <f t="shared" si="27"/>
        <v>609.25271244034366</v>
      </c>
      <c r="AO80" s="40">
        <f t="shared" si="28"/>
        <v>1032.3590742237677</v>
      </c>
      <c r="AP80" s="40">
        <f t="shared" si="29"/>
        <v>1249.8196945043273</v>
      </c>
      <c r="AQ80" s="40">
        <f t="shared" si="30"/>
        <v>1032.3590742237677</v>
      </c>
      <c r="AR80" s="41">
        <f t="shared" si="31"/>
        <v>0.93699679691269533</v>
      </c>
      <c r="AS80" s="41">
        <f t="shared" si="32"/>
        <v>0.43699679691269527</v>
      </c>
      <c r="AT80" s="64">
        <f t="shared" si="33"/>
        <v>0</v>
      </c>
      <c r="AU80" s="64">
        <f>APPLICANTS_PER_YEAR*($H80/Segments!$AH$2)*AS80</f>
        <v>15.207488532561793</v>
      </c>
      <c r="AV80" s="64">
        <f t="shared" si="34"/>
        <v>15.207488532561793</v>
      </c>
      <c r="AW80" s="40">
        <f t="shared" si="35"/>
        <v>1032.3590742237677</v>
      </c>
      <c r="AX80" s="65">
        <f t="shared" si="36"/>
        <v>15699.588782744057</v>
      </c>
      <c r="AY80" s="65">
        <f t="shared" si="37"/>
        <v>10377.028074412938</v>
      </c>
      <c r="AZ80" s="65">
        <f t="shared" si="38"/>
        <v>4201.0448712999496</v>
      </c>
    </row>
    <row r="81" spans="1:52" ht="15" customHeight="1" x14ac:dyDescent="0.35">
      <c r="A81" s="61" t="str">
        <f>Segments!$A$61</f>
        <v>Non-greek</v>
      </c>
      <c r="B81" s="61" t="str">
        <f>Segments!$B$61</f>
        <v>Off 0-1mi</v>
      </c>
      <c r="C81" s="61" t="str">
        <f>Segments!$C$61</f>
        <v>Yes</v>
      </c>
      <c r="D81" s="61" t="str">
        <f>Segments!$D$61</f>
        <v>3.0+</v>
      </c>
      <c r="E81" s="61" t="str">
        <f>Segments!$E$61</f>
        <v>Sophomore</v>
      </c>
      <c r="F81" s="61">
        <f>Segments!$F$61</f>
        <v>1</v>
      </c>
      <c r="G81" s="61" t="str">
        <f>Segments!$G$61</f>
        <v>Sophomore</v>
      </c>
      <c r="H81" s="62">
        <f>Segments!$H$61</f>
        <v>22</v>
      </c>
      <c r="I81" s="63">
        <f>Segments!$Y$61</f>
        <v>568.43653811166007</v>
      </c>
      <c r="J81" s="42">
        <v>1</v>
      </c>
      <c r="K81" s="40">
        <f t="shared" si="0"/>
        <v>1426.2297754450396</v>
      </c>
      <c r="L81" s="40">
        <f t="shared" si="1"/>
        <v>568.43653811166007</v>
      </c>
      <c r="M81" s="40">
        <f t="shared" si="2"/>
        <v>965.98879275060426</v>
      </c>
      <c r="N81" s="40">
        <f t="shared" si="3"/>
        <v>1173.7640218404717</v>
      </c>
      <c r="O81" s="40">
        <f t="shared" si="4"/>
        <v>1069.6723315837799</v>
      </c>
      <c r="P81" s="41">
        <f t="shared" si="5"/>
        <v>0.89434097839081628</v>
      </c>
      <c r="Q81" s="41">
        <f t="shared" si="6"/>
        <v>0.43850809243755579</v>
      </c>
      <c r="R81" s="64">
        <f t="shared" si="7"/>
        <v>25.935888373333672</v>
      </c>
      <c r="S81" s="64">
        <f>APPLICANTS_PER_YEAR*($H81/Segments!$AH$2)*Q81</f>
        <v>11.576613640351473</v>
      </c>
      <c r="T81" s="64">
        <f t="shared" si="8"/>
        <v>37.512502013685143</v>
      </c>
      <c r="U81" s="40">
        <f t="shared" si="9"/>
        <v>1037.6748852524697</v>
      </c>
      <c r="V81" s="65">
        <f t="shared" si="10"/>
        <v>38925.78122258377</v>
      </c>
      <c r="W81" s="65">
        <f t="shared" si="11"/>
        <v>23882.293994233765</v>
      </c>
      <c r="X81" s="65">
        <f t="shared" si="12"/>
        <v>8788.0387985612379</v>
      </c>
      <c r="Y81" s="40">
        <f t="shared" si="13"/>
        <v>975.48927723986026</v>
      </c>
      <c r="Z81" s="40">
        <f t="shared" si="14"/>
        <v>585.48963425500983</v>
      </c>
      <c r="AA81" s="40">
        <f t="shared" si="15"/>
        <v>993.71845653312232</v>
      </c>
      <c r="AB81" s="40">
        <f t="shared" si="16"/>
        <v>1208.2172721205118</v>
      </c>
      <c r="AC81" s="40">
        <f t="shared" si="17"/>
        <v>993.71845653312232</v>
      </c>
      <c r="AD81" s="41">
        <f t="shared" si="18"/>
        <v>0.93316049174111171</v>
      </c>
      <c r="AE81" s="41">
        <f t="shared" si="19"/>
        <v>0.43876665668374693</v>
      </c>
      <c r="AF81" s="64">
        <f t="shared" si="20"/>
        <v>14.174554668353023</v>
      </c>
      <c r="AG81" s="64">
        <f>APPLICANTS_PER_YEAR*($H81/Segments!$AH$2)*AE81</f>
        <v>11.58343973645092</v>
      </c>
      <c r="AH81" s="64">
        <f t="shared" si="21"/>
        <v>25.757994404803945</v>
      </c>
      <c r="AI81" s="40">
        <f t="shared" si="22"/>
        <v>993.71845653312232</v>
      </c>
      <c r="AJ81" s="65">
        <f t="shared" si="23"/>
        <v>25596.194443330576</v>
      </c>
      <c r="AK81" s="65">
        <f t="shared" si="24"/>
        <v>16890.763369996603</v>
      </c>
      <c r="AL81" s="65">
        <f t="shared" si="25"/>
        <v>6045.3003562655967</v>
      </c>
      <c r="AM81" s="40">
        <f t="shared" si="26"/>
        <v>1003.5039555570561</v>
      </c>
      <c r="AN81" s="40">
        <f t="shared" si="27"/>
        <v>603.05432328266011</v>
      </c>
      <c r="AO81" s="40">
        <f t="shared" si="28"/>
        <v>1022.280010229116</v>
      </c>
      <c r="AP81" s="40">
        <f t="shared" si="29"/>
        <v>1243.7036489322425</v>
      </c>
      <c r="AQ81" s="40">
        <f t="shared" si="30"/>
        <v>1022.280010229116</v>
      </c>
      <c r="AR81" s="41">
        <f t="shared" si="31"/>
        <v>0.93340469738697729</v>
      </c>
      <c r="AS81" s="41">
        <f t="shared" si="32"/>
        <v>0.43901784556683793</v>
      </c>
      <c r="AT81" s="64">
        <f t="shared" si="33"/>
        <v>14.18662189637935</v>
      </c>
      <c r="AU81" s="64">
        <f>APPLICANTS_PER_YEAR*($H81/Segments!$AH$2)*AS81</f>
        <v>11.590071122964522</v>
      </c>
      <c r="AV81" s="64">
        <f t="shared" si="34"/>
        <v>25.776693019343874</v>
      </c>
      <c r="AW81" s="40">
        <f t="shared" si="35"/>
        <v>1022.2800102291159</v>
      </c>
      <c r="AX81" s="65">
        <f t="shared" si="36"/>
        <v>26350.998003487635</v>
      </c>
      <c r="AY81" s="65">
        <f t="shared" si="37"/>
        <v>17410.115705074724</v>
      </c>
      <c r="AZ81" s="65">
        <f t="shared" si="38"/>
        <v>6200.3146920350664</v>
      </c>
    </row>
    <row r="82" spans="1:52" ht="15" customHeight="1" x14ac:dyDescent="0.35">
      <c r="A82" s="61" t="str">
        <f>Segments!$A$62</f>
        <v>Non-greek</v>
      </c>
      <c r="B82" s="61" t="str">
        <f>Segments!$B$62</f>
        <v>Off 0-1mi</v>
      </c>
      <c r="C82" s="61" t="str">
        <f>Segments!$C$62</f>
        <v>Yes</v>
      </c>
      <c r="D82" s="61" t="str">
        <f>Segments!$D$62</f>
        <v>3.0+</v>
      </c>
      <c r="E82" s="61" t="str">
        <f>Segments!$E$62</f>
        <v>Junior</v>
      </c>
      <c r="F82" s="61">
        <f>Segments!$F$62</f>
        <v>2</v>
      </c>
      <c r="G82" s="61" t="str">
        <f>Segments!$G$62</f>
        <v>Base</v>
      </c>
      <c r="H82" s="62">
        <f>Segments!$H$62</f>
        <v>28</v>
      </c>
      <c r="I82" s="63">
        <f>Segments!$Y$62</f>
        <v>679.52360321672438</v>
      </c>
      <c r="J82" s="42">
        <v>2</v>
      </c>
      <c r="K82" s="40">
        <f t="shared" si="0"/>
        <v>1426.2297754450396</v>
      </c>
      <c r="L82" s="40">
        <f t="shared" si="1"/>
        <v>679.52360321672438</v>
      </c>
      <c r="M82" s="40">
        <f t="shared" si="2"/>
        <v>1146.6250209203142</v>
      </c>
      <c r="N82" s="40">
        <f t="shared" si="3"/>
        <v>1278.8083304807033</v>
      </c>
      <c r="O82" s="40">
        <f t="shared" si="4"/>
        <v>1146.6250209203142</v>
      </c>
      <c r="P82" s="41">
        <f t="shared" si="5"/>
        <v>0.90168222102162154</v>
      </c>
      <c r="Q82" s="41">
        <f t="shared" si="6"/>
        <v>0.40168222102162149</v>
      </c>
      <c r="R82" s="64">
        <f t="shared" si="7"/>
        <v>19.837008862475674</v>
      </c>
      <c r="S82" s="64">
        <f>APPLICANTS_PER_YEAR*($H82/Segments!$AH$2)*Q82</f>
        <v>13.496522626326483</v>
      </c>
      <c r="T82" s="64">
        <f t="shared" si="8"/>
        <v>33.333531488802159</v>
      </c>
      <c r="U82" s="40">
        <f t="shared" si="9"/>
        <v>1146.6250209203142</v>
      </c>
      <c r="V82" s="65">
        <f t="shared" si="10"/>
        <v>38221.06124069573</v>
      </c>
      <c r="W82" s="65">
        <f t="shared" si="11"/>
        <v>25369.031996234065</v>
      </c>
      <c r="X82" s="65">
        <f t="shared" si="12"/>
        <v>8769.5050387824067</v>
      </c>
      <c r="Y82" s="40">
        <f t="shared" si="13"/>
        <v>1037.6748852524697</v>
      </c>
      <c r="Z82" s="40">
        <f t="shared" si="14"/>
        <v>699.90931131322611</v>
      </c>
      <c r="AA82" s="40">
        <f t="shared" si="15"/>
        <v>1179.7737715479238</v>
      </c>
      <c r="AB82" s="40">
        <f t="shared" si="16"/>
        <v>1316.4753456517387</v>
      </c>
      <c r="AC82" s="40">
        <f t="shared" si="17"/>
        <v>1179.7737715479238</v>
      </c>
      <c r="AD82" s="41">
        <f t="shared" si="18"/>
        <v>0.86083762478660619</v>
      </c>
      <c r="AE82" s="41">
        <f t="shared" si="19"/>
        <v>0.40191953444298606</v>
      </c>
      <c r="AF82" s="64">
        <f t="shared" si="20"/>
        <v>32.292173133263503</v>
      </c>
      <c r="AG82" s="64">
        <f>APPLICANTS_PER_YEAR*($H82/Segments!$AH$2)*AE82</f>
        <v>13.504496357284332</v>
      </c>
      <c r="AH82" s="64">
        <f t="shared" si="21"/>
        <v>45.796669490547835</v>
      </c>
      <c r="AI82" s="40">
        <f t="shared" si="22"/>
        <v>1179.7737715479238</v>
      </c>
      <c r="AJ82" s="65">
        <f t="shared" si="23"/>
        <v>54029.709489197354</v>
      </c>
      <c r="AK82" s="65">
        <f t="shared" si="24"/>
        <v>35899.937251997027</v>
      </c>
      <c r="AL82" s="65">
        <f t="shared" si="25"/>
        <v>12022.789663211463</v>
      </c>
      <c r="AM82" s="40">
        <f t="shared" si="26"/>
        <v>993.71845653312232</v>
      </c>
      <c r="AN82" s="40">
        <f t="shared" si="27"/>
        <v>720.90659065262287</v>
      </c>
      <c r="AO82" s="40">
        <f t="shared" si="28"/>
        <v>1213.9169846943614</v>
      </c>
      <c r="AP82" s="40">
        <f t="shared" si="29"/>
        <v>1355.2720071972906</v>
      </c>
      <c r="AQ82" s="40">
        <f t="shared" si="30"/>
        <v>1213.9169846943614</v>
      </c>
      <c r="AR82" s="41">
        <f t="shared" si="31"/>
        <v>0.83567291865648685</v>
      </c>
      <c r="AS82" s="41">
        <f t="shared" si="32"/>
        <v>0.40215005613347388</v>
      </c>
      <c r="AT82" s="64">
        <f t="shared" si="33"/>
        <v>21.525258362999971</v>
      </c>
      <c r="AU82" s="64">
        <f>APPLICANTS_PER_YEAR*($H82/Segments!$AH$2)*AS82</f>
        <v>13.512241886084723</v>
      </c>
      <c r="AV82" s="64">
        <f t="shared" si="34"/>
        <v>35.037500249084694</v>
      </c>
      <c r="AW82" s="40">
        <f t="shared" si="35"/>
        <v>1213.9169846943614</v>
      </c>
      <c r="AX82" s="65">
        <f t="shared" si="36"/>
        <v>42532.61665359683</v>
      </c>
      <c r="AY82" s="65">
        <f t="shared" si="37"/>
        <v>28289.816631505044</v>
      </c>
      <c r="AZ82" s="65">
        <f t="shared" si="38"/>
        <v>9651.3164971022015</v>
      </c>
    </row>
    <row r="83" spans="1:52" ht="15" customHeight="1" x14ac:dyDescent="0.35">
      <c r="A83" s="61" t="str">
        <f>Segments!$A$63</f>
        <v>Non-greek</v>
      </c>
      <c r="B83" s="61" t="str">
        <f>Segments!$B$63</f>
        <v>Off 0-1mi</v>
      </c>
      <c r="C83" s="61" t="str">
        <f>Segments!$C$63</f>
        <v>Yes</v>
      </c>
      <c r="D83" s="61" t="str">
        <f>Segments!$D$63</f>
        <v>3.0+</v>
      </c>
      <c r="E83" s="61" t="str">
        <f>Segments!$E$63</f>
        <v>Senior</v>
      </c>
      <c r="F83" s="61">
        <f>Segments!$F$63</f>
        <v>3</v>
      </c>
      <c r="G83" s="61" t="str">
        <f>Segments!$G$63</f>
        <v>Base</v>
      </c>
      <c r="H83" s="62">
        <f>Segments!$H$63</f>
        <v>24</v>
      </c>
      <c r="I83" s="63">
        <f>Segments!$Y$63</f>
        <v>635.1421882886267</v>
      </c>
      <c r="J83" s="42">
        <v>3</v>
      </c>
      <c r="K83" s="40">
        <f t="shared" si="0"/>
        <v>1426.2297754450396</v>
      </c>
      <c r="L83" s="40">
        <f t="shared" si="1"/>
        <v>635.1421882886267</v>
      </c>
      <c r="M83" s="40">
        <f t="shared" si="2"/>
        <v>1074.4573802875891</v>
      </c>
      <c r="N83" s="40">
        <f t="shared" si="3"/>
        <v>1237.9107836241003</v>
      </c>
      <c r="O83" s="40">
        <f t="shared" si="4"/>
        <v>1074.4573802875891</v>
      </c>
      <c r="P83" s="41">
        <f t="shared" si="5"/>
        <v>0.91601986407210456</v>
      </c>
      <c r="Q83" s="41">
        <f t="shared" si="6"/>
        <v>0.41601986407210456</v>
      </c>
      <c r="R83" s="64">
        <f t="shared" si="7"/>
        <v>25.648556194018926</v>
      </c>
      <c r="S83" s="64">
        <f>APPLICANTS_PER_YEAR*($H83/Segments!$AH$2)*Q83</f>
        <v>11.981372085276611</v>
      </c>
      <c r="T83" s="64">
        <f t="shared" si="8"/>
        <v>37.629928279295541</v>
      </c>
      <c r="U83" s="40">
        <f t="shared" si="9"/>
        <v>1074.4573802875889</v>
      </c>
      <c r="V83" s="65">
        <f t="shared" si="10"/>
        <v>40431.754159381744</v>
      </c>
      <c r="W83" s="65">
        <f t="shared" si="11"/>
        <v>26768.397591550551</v>
      </c>
      <c r="X83" s="65">
        <f t="shared" si="12"/>
        <v>9144.3059820458766</v>
      </c>
      <c r="Y83" s="40">
        <f t="shared" si="13"/>
        <v>1146.6250209203142</v>
      </c>
      <c r="Z83" s="40">
        <f t="shared" si="14"/>
        <v>654.19645393728547</v>
      </c>
      <c r="AA83" s="40">
        <f t="shared" si="15"/>
        <v>1105.4411016962167</v>
      </c>
      <c r="AB83" s="40">
        <f t="shared" si="16"/>
        <v>1274.3278246460404</v>
      </c>
      <c r="AC83" s="40">
        <f t="shared" si="17"/>
        <v>1105.4411016962167</v>
      </c>
      <c r="AD83" s="41">
        <f t="shared" si="18"/>
        <v>0.9162650221094929</v>
      </c>
      <c r="AE83" s="41">
        <f t="shared" si="19"/>
        <v>0.4162650221094929</v>
      </c>
      <c r="AF83" s="64">
        <f t="shared" si="20"/>
        <v>30.542348966574789</v>
      </c>
      <c r="AG83" s="64">
        <f>APPLICANTS_PER_YEAR*($H83/Segments!$AH$2)*AE83</f>
        <v>11.988432636753394</v>
      </c>
      <c r="AH83" s="64">
        <f t="shared" si="21"/>
        <v>42.53078160332818</v>
      </c>
      <c r="AI83" s="40">
        <f t="shared" si="22"/>
        <v>1105.4411016962167</v>
      </c>
      <c r="AJ83" s="65">
        <f t="shared" si="23"/>
        <v>47015.274071584288</v>
      </c>
      <c r="AK83" s="65">
        <f t="shared" si="24"/>
        <v>31162.304889047849</v>
      </c>
      <c r="AL83" s="65">
        <f t="shared" si="25"/>
        <v>10500.050963870255</v>
      </c>
      <c r="AM83" s="40">
        <f t="shared" si="26"/>
        <v>1179.7737715479238</v>
      </c>
      <c r="AN83" s="40">
        <f t="shared" si="27"/>
        <v>673.82234755540401</v>
      </c>
      <c r="AO83" s="40">
        <f t="shared" si="28"/>
        <v>1137.3543347471032</v>
      </c>
      <c r="AP83" s="40">
        <f t="shared" si="29"/>
        <v>1311.8369754852829</v>
      </c>
      <c r="AQ83" s="40">
        <f t="shared" si="30"/>
        <v>1137.3543347471032</v>
      </c>
      <c r="AR83" s="41">
        <f t="shared" si="31"/>
        <v>0.91650317226865563</v>
      </c>
      <c r="AS83" s="41">
        <f t="shared" si="32"/>
        <v>0.41650317226865557</v>
      </c>
      <c r="AT83" s="64">
        <f t="shared" si="33"/>
        <v>41.97279286742625</v>
      </c>
      <c r="AU83" s="64">
        <f>APPLICANTS_PER_YEAR*($H83/Segments!$AH$2)*AS83</f>
        <v>11.99529136133728</v>
      </c>
      <c r="AV83" s="64">
        <f t="shared" si="34"/>
        <v>53.96808422876353</v>
      </c>
      <c r="AW83" s="40">
        <f t="shared" si="35"/>
        <v>1137.3543347471032</v>
      </c>
      <c r="AX83" s="65">
        <f t="shared" si="36"/>
        <v>61380.834535580972</v>
      </c>
      <c r="AY83" s="65">
        <f t="shared" si="37"/>
        <v>40728.689353064408</v>
      </c>
      <c r="AZ83" s="65">
        <f t="shared" si="38"/>
        <v>13457.723077756509</v>
      </c>
    </row>
    <row r="84" spans="1:52" ht="15" customHeight="1" x14ac:dyDescent="0.35">
      <c r="A84" s="61" t="str">
        <f>Segments!$A$64</f>
        <v>Non-greek</v>
      </c>
      <c r="B84" s="61" t="str">
        <f>Segments!$B$64</f>
        <v>Off 0-1mi</v>
      </c>
      <c r="C84" s="61" t="str">
        <f>Segments!$C$64</f>
        <v>Yes</v>
      </c>
      <c r="D84" s="61" t="str">
        <f>Segments!$D$64</f>
        <v>3.0+</v>
      </c>
      <c r="E84" s="61" t="str">
        <f>Segments!$E$64</f>
        <v>Grad student</v>
      </c>
      <c r="F84" s="61">
        <f>Segments!$F$64</f>
        <v>3</v>
      </c>
      <c r="G84" s="61" t="str">
        <f>Segments!$G$64</f>
        <v>Grad</v>
      </c>
      <c r="H84" s="62">
        <f>Segments!$H$64</f>
        <v>13</v>
      </c>
      <c r="I84" s="63">
        <f>Segments!$Y$64</f>
        <v>756.25137194211277</v>
      </c>
      <c r="J84" s="42">
        <v>4</v>
      </c>
      <c r="K84" s="40">
        <f t="shared" si="0"/>
        <v>1426.2297754450396</v>
      </c>
      <c r="L84" s="40">
        <f t="shared" si="1"/>
        <v>756.25137194211277</v>
      </c>
      <c r="M84" s="40">
        <f t="shared" si="2"/>
        <v>1271.3903545379017</v>
      </c>
      <c r="N84" s="40">
        <f t="shared" si="3"/>
        <v>1346.5863432604615</v>
      </c>
      <c r="O84" s="40">
        <f t="shared" si="4"/>
        <v>1271.3903545379017</v>
      </c>
      <c r="P84" s="41">
        <f t="shared" si="5"/>
        <v>0.87792096812020581</v>
      </c>
      <c r="Q84" s="41">
        <f t="shared" si="6"/>
        <v>0.37792096812020581</v>
      </c>
      <c r="R84" s="64">
        <f t="shared" si="7"/>
        <v>5.7064862927813378</v>
      </c>
      <c r="S84" s="64">
        <f>APPLICANTS_PER_YEAR*($H84/Segments!$AH$2)*Q84</f>
        <v>5.8955671026752103</v>
      </c>
      <c r="T84" s="64">
        <f t="shared" si="8"/>
        <v>11.602053395456547</v>
      </c>
      <c r="U84" s="40">
        <f t="shared" si="9"/>
        <v>1271.3903545379017</v>
      </c>
      <c r="V84" s="65">
        <f t="shared" si="10"/>
        <v>14750.738779817166</v>
      </c>
      <c r="W84" s="65">
        <f t="shared" si="11"/>
        <v>9826.9570533788228</v>
      </c>
      <c r="X84" s="65">
        <f t="shared" si="12"/>
        <v>3429.6647250719839</v>
      </c>
      <c r="Y84" s="40">
        <f t="shared" si="13"/>
        <v>1271.3903545379017</v>
      </c>
      <c r="Z84" s="40">
        <f t="shared" si="14"/>
        <v>778.93891310037623</v>
      </c>
      <c r="AA84" s="40">
        <f t="shared" si="15"/>
        <v>1308.2820651740387</v>
      </c>
      <c r="AB84" s="40">
        <f t="shared" si="16"/>
        <v>1386.3218100833947</v>
      </c>
      <c r="AC84" s="40">
        <f t="shared" si="17"/>
        <v>1308.2820651740387</v>
      </c>
      <c r="AD84" s="41">
        <f t="shared" si="18"/>
        <v>0.86944128362506456</v>
      </c>
      <c r="AE84" s="41">
        <f t="shared" si="19"/>
        <v>0.37814633093908456</v>
      </c>
      <c r="AF84" s="64">
        <f t="shared" si="20"/>
        <v>5.0436520984161399</v>
      </c>
      <c r="AG84" s="64">
        <f>APPLICANTS_PER_YEAR*($H84/Segments!$AH$2)*AE84</f>
        <v>5.8990827626497193</v>
      </c>
      <c r="AH84" s="64">
        <f t="shared" si="21"/>
        <v>10.942734861065858</v>
      </c>
      <c r="AI84" s="40">
        <f t="shared" si="22"/>
        <v>1308.2820651740387</v>
      </c>
      <c r="AJ84" s="65">
        <f t="shared" si="23"/>
        <v>14316.183762687189</v>
      </c>
      <c r="AK84" s="65">
        <f t="shared" si="24"/>
        <v>9546.5686389071452</v>
      </c>
      <c r="AL84" s="65">
        <f t="shared" si="25"/>
        <v>3342.208743712757</v>
      </c>
      <c r="AM84" s="40">
        <f t="shared" si="26"/>
        <v>1308.2820651740387</v>
      </c>
      <c r="AN84" s="40">
        <f t="shared" si="27"/>
        <v>802.30708049338739</v>
      </c>
      <c r="AO84" s="40">
        <f t="shared" si="28"/>
        <v>1346.2805271292598</v>
      </c>
      <c r="AP84" s="40">
        <f t="shared" si="29"/>
        <v>1427.2490291339188</v>
      </c>
      <c r="AQ84" s="40">
        <f t="shared" si="30"/>
        <v>1346.2805271292598</v>
      </c>
      <c r="AR84" s="41">
        <f t="shared" si="31"/>
        <v>0.86965186825505425</v>
      </c>
      <c r="AS84" s="41">
        <f t="shared" si="32"/>
        <v>0.37836523281917811</v>
      </c>
      <c r="AT84" s="64">
        <f t="shared" si="33"/>
        <v>4.7581849078728178</v>
      </c>
      <c r="AU84" s="64">
        <f>APPLICANTS_PER_YEAR*($H84/Segments!$AH$2)*AS84</f>
        <v>5.9024976319791786</v>
      </c>
      <c r="AV84" s="64">
        <f t="shared" si="34"/>
        <v>10.660682539851997</v>
      </c>
      <c r="AW84" s="40">
        <f t="shared" si="35"/>
        <v>1346.2805271292598</v>
      </c>
      <c r="AX84" s="65">
        <f t="shared" si="36"/>
        <v>14352.269309309642</v>
      </c>
      <c r="AY84" s="65">
        <f t="shared" si="37"/>
        <v>9579.5180147693463</v>
      </c>
      <c r="AZ84" s="65">
        <f t="shared" si="38"/>
        <v>3351.4796078736467</v>
      </c>
    </row>
    <row r="85" spans="1:52" ht="15" customHeight="1" x14ac:dyDescent="0.35">
      <c r="A85" s="59" t="str">
        <f>Segments!$A$65</f>
        <v>Non-greek</v>
      </c>
      <c r="B85" s="59" t="str">
        <f>Segments!$B$65</f>
        <v>Off 0-1mi</v>
      </c>
      <c r="C85" s="59" t="str">
        <f>Segments!$C$65</f>
        <v>No</v>
      </c>
      <c r="D85" s="59" t="str">
        <f>Segments!$D$65</f>
        <v>&lt;1.0</v>
      </c>
      <c r="E85" s="59" t="str">
        <f>Segments!$E$65</f>
        <v>Freshman</v>
      </c>
      <c r="F85" s="59">
        <f>Segments!$F$65</f>
        <v>1</v>
      </c>
      <c r="G85" s="59" t="str">
        <f>Segments!$G$65</f>
        <v>Base</v>
      </c>
      <c r="H85" s="60">
        <f>Segments!$H$65</f>
        <v>6</v>
      </c>
      <c r="I85" s="26">
        <f>Segments!$Y$65</f>
        <v>1131.5361982757852</v>
      </c>
      <c r="J85" s="29">
        <v>0</v>
      </c>
      <c r="K85" s="14">
        <f t="shared" si="0"/>
        <v>1881.6327392307057</v>
      </c>
      <c r="L85" s="14">
        <f t="shared" si="1"/>
        <v>1131.5361982757852</v>
      </c>
      <c r="M85" s="14">
        <f t="shared" si="2"/>
        <v>1881.6327392307057</v>
      </c>
      <c r="N85" s="14">
        <f t="shared" si="3"/>
        <v>1638.1821141567395</v>
      </c>
      <c r="O85" s="14">
        <f t="shared" si="4"/>
        <v>1881.6327392307057</v>
      </c>
      <c r="P85" s="33">
        <f t="shared" si="5"/>
        <v>0.77569488368535777</v>
      </c>
      <c r="Q85" s="33">
        <f t="shared" si="6"/>
        <v>0.27569488368535777</v>
      </c>
      <c r="R85" s="51">
        <f t="shared" si="7"/>
        <v>0</v>
      </c>
      <c r="S85" s="51">
        <f>APPLICANTS_PER_YEAR*($H85/Segments!$AH$2)*Q85</f>
        <v>1.9850031625345759</v>
      </c>
      <c r="T85" s="51">
        <f t="shared" si="8"/>
        <v>1.9850031625345759</v>
      </c>
      <c r="U85" s="14">
        <f t="shared" si="9"/>
        <v>1881.6327392307057</v>
      </c>
      <c r="V85" s="44">
        <f t="shared" si="10"/>
        <v>3735.0469381015478</v>
      </c>
      <c r="W85" s="44">
        <f t="shared" si="11"/>
        <v>2515.635283951759</v>
      </c>
      <c r="X85" s="44">
        <f t="shared" si="12"/>
        <v>925.97565644880262</v>
      </c>
      <c r="Y85" s="14">
        <f t="shared" si="13"/>
        <v>1936.8317214076269</v>
      </c>
      <c r="Z85" s="14">
        <f t="shared" si="14"/>
        <v>1165.4822842240587</v>
      </c>
      <c r="AA85" s="14">
        <f t="shared" si="15"/>
        <v>1936.8317214076269</v>
      </c>
      <c r="AB85" s="14">
        <f t="shared" si="16"/>
        <v>1686.7833539702037</v>
      </c>
      <c r="AC85" s="14">
        <f t="shared" si="17"/>
        <v>1936.8317214076269</v>
      </c>
      <c r="AD85" s="33">
        <f t="shared" si="18"/>
        <v>0.77588011766630216</v>
      </c>
      <c r="AE85" s="33">
        <f t="shared" si="19"/>
        <v>0.27588011766630216</v>
      </c>
      <c r="AF85" s="51">
        <f t="shared" si="20"/>
        <v>0</v>
      </c>
      <c r="AG85" s="51">
        <f>APPLICANTS_PER_YEAR*($H85/Segments!$AH$2)*AE85</f>
        <v>1.9863368471973755</v>
      </c>
      <c r="AH85" s="51">
        <f t="shared" si="21"/>
        <v>1.9863368471973755</v>
      </c>
      <c r="AI85" s="14">
        <f t="shared" si="22"/>
        <v>1936.8317214076269</v>
      </c>
      <c r="AJ85" s="44">
        <f t="shared" si="23"/>
        <v>3847.200215052691</v>
      </c>
      <c r="AK85" s="44">
        <f t="shared" si="24"/>
        <v>2592.8452546192143</v>
      </c>
      <c r="AL85" s="44">
        <f t="shared" si="25"/>
        <v>951.15800629568469</v>
      </c>
      <c r="AM85" s="14">
        <f t="shared" si="26"/>
        <v>1993.6866730498555</v>
      </c>
      <c r="AN85" s="14">
        <f t="shared" si="27"/>
        <v>1200.4467527507804</v>
      </c>
      <c r="AO85" s="14">
        <f t="shared" si="28"/>
        <v>1993.6866730498555</v>
      </c>
      <c r="AP85" s="14">
        <f t="shared" si="29"/>
        <v>1736.8424578927054</v>
      </c>
      <c r="AQ85" s="14">
        <f t="shared" si="30"/>
        <v>1993.6866730498555</v>
      </c>
      <c r="AR85" s="33">
        <f t="shared" si="31"/>
        <v>0.77606001367885236</v>
      </c>
      <c r="AS85" s="33">
        <f t="shared" si="32"/>
        <v>0.27606001367885236</v>
      </c>
      <c r="AT85" s="51">
        <f t="shared" si="33"/>
        <v>0</v>
      </c>
      <c r="AU85" s="51">
        <f>APPLICANTS_PER_YEAR*($H85/Segments!$AH$2)*AS85</f>
        <v>1.9876320984877367</v>
      </c>
      <c r="AV85" s="51">
        <f t="shared" si="34"/>
        <v>1.9876320984877367</v>
      </c>
      <c r="AW85" s="14">
        <f t="shared" si="35"/>
        <v>1993.6866730498555</v>
      </c>
      <c r="AX85" s="44">
        <f t="shared" si="36"/>
        <v>3962.7156256811186</v>
      </c>
      <c r="AY85" s="44">
        <f t="shared" si="37"/>
        <v>2672.3720780879621</v>
      </c>
      <c r="AZ85" s="44">
        <f t="shared" si="38"/>
        <v>977.09174458451866</v>
      </c>
    </row>
    <row r="86" spans="1:52" ht="15" customHeight="1" x14ac:dyDescent="0.35">
      <c r="A86" s="59" t="str">
        <f>Segments!$A$66</f>
        <v>Non-greek</v>
      </c>
      <c r="B86" s="59" t="str">
        <f>Segments!$B$66</f>
        <v>Off 0-1mi</v>
      </c>
      <c r="C86" s="59" t="str">
        <f>Segments!$C$66</f>
        <v>No</v>
      </c>
      <c r="D86" s="59" t="str">
        <f>Segments!$D$66</f>
        <v>&lt;1.0</v>
      </c>
      <c r="E86" s="59" t="str">
        <f>Segments!$E$66</f>
        <v>Sophomore</v>
      </c>
      <c r="F86" s="59">
        <f>Segments!$F$66</f>
        <v>1</v>
      </c>
      <c r="G86" s="59" t="str">
        <f>Segments!$G$66</f>
        <v>Sophomore</v>
      </c>
      <c r="H86" s="60">
        <f>Segments!$H$66</f>
        <v>7</v>
      </c>
      <c r="I86" s="26">
        <f>Segments!$Y$66</f>
        <v>1120.0242237540374</v>
      </c>
      <c r="J86" s="29">
        <v>1</v>
      </c>
      <c r="K86" s="14">
        <f t="shared" si="0"/>
        <v>1426.2297754450396</v>
      </c>
      <c r="L86" s="14">
        <f t="shared" si="1"/>
        <v>1120.0242237540374</v>
      </c>
      <c r="M86" s="14">
        <f t="shared" si="2"/>
        <v>1862.9133711888226</v>
      </c>
      <c r="N86" s="14">
        <f t="shared" si="3"/>
        <v>1630.013042605548</v>
      </c>
      <c r="O86" s="14">
        <f t="shared" si="4"/>
        <v>1782.7872193062994</v>
      </c>
      <c r="P86" s="33">
        <f t="shared" si="5"/>
        <v>0.72813713059113183</v>
      </c>
      <c r="Q86" s="33">
        <f t="shared" si="6"/>
        <v>0.2785587530603475</v>
      </c>
      <c r="R86" s="51">
        <f t="shared" si="7"/>
        <v>4.3688227835467908</v>
      </c>
      <c r="S86" s="51">
        <f>APPLICANTS_PER_YEAR*($H86/Segments!$AH$2)*Q86</f>
        <v>2.3398935257069189</v>
      </c>
      <c r="T86" s="51">
        <f t="shared" si="8"/>
        <v>6.7087163092537097</v>
      </c>
      <c r="U86" s="14">
        <f t="shared" si="9"/>
        <v>1810.7339464277184</v>
      </c>
      <c r="V86" s="44">
        <f t="shared" si="10"/>
        <v>12147.700358118967</v>
      </c>
      <c r="W86" s="44">
        <f t="shared" si="11"/>
        <v>8415.5957498568896</v>
      </c>
      <c r="X86" s="44">
        <f t="shared" si="12"/>
        <v>2641.1526947791472</v>
      </c>
      <c r="Y86" s="14">
        <f t="shared" si="13"/>
        <v>1881.6327392307057</v>
      </c>
      <c r="Z86" s="14">
        <f t="shared" si="14"/>
        <v>1153.6249504666584</v>
      </c>
      <c r="AA86" s="14">
        <f t="shared" si="15"/>
        <v>1917.5507723244871</v>
      </c>
      <c r="AB86" s="14">
        <f t="shared" si="16"/>
        <v>1678.3664819220264</v>
      </c>
      <c r="AC86" s="14">
        <f t="shared" si="17"/>
        <v>1917.5507723244871</v>
      </c>
      <c r="AD86" s="33">
        <f t="shared" si="18"/>
        <v>0.77301828809909934</v>
      </c>
      <c r="AE86" s="33">
        <f t="shared" si="19"/>
        <v>0.27874491567284143</v>
      </c>
      <c r="AF86" s="51">
        <f t="shared" si="20"/>
        <v>1.5344437465737761</v>
      </c>
      <c r="AG86" s="51">
        <f>APPLICANTS_PER_YEAR*($H86/Segments!$AH$2)*AE86</f>
        <v>2.3414572916518681</v>
      </c>
      <c r="AH86" s="51">
        <f t="shared" si="21"/>
        <v>3.8759010382256442</v>
      </c>
      <c r="AI86" s="14">
        <f t="shared" si="22"/>
        <v>1917.5507723244871</v>
      </c>
      <c r="AJ86" s="44">
        <f t="shared" si="23"/>
        <v>7432.2370293028653</v>
      </c>
      <c r="AK86" s="44">
        <f t="shared" si="24"/>
        <v>5007.8964804251373</v>
      </c>
      <c r="AL86" s="44">
        <f t="shared" si="25"/>
        <v>1697.8924649230655</v>
      </c>
      <c r="AM86" s="14">
        <f t="shared" si="26"/>
        <v>1936.8317214076269</v>
      </c>
      <c r="AN86" s="14">
        <f t="shared" si="27"/>
        <v>1188.2336989806581</v>
      </c>
      <c r="AO86" s="14">
        <f t="shared" si="28"/>
        <v>1973.8272954942217</v>
      </c>
      <c r="AP86" s="14">
        <f t="shared" si="29"/>
        <v>1728.1703487155405</v>
      </c>
      <c r="AQ86" s="14">
        <f t="shared" si="30"/>
        <v>1973.8272954942217</v>
      </c>
      <c r="AR86" s="33">
        <f t="shared" si="31"/>
        <v>0.77319539068728882</v>
      </c>
      <c r="AS86" s="33">
        <f t="shared" si="32"/>
        <v>0.27892571413423872</v>
      </c>
      <c r="AT86" s="51">
        <f t="shared" si="33"/>
        <v>1.5358264946053322</v>
      </c>
      <c r="AU86" s="51">
        <f>APPLICANTS_PER_YEAR*($H86/Segments!$AH$2)*AS86</f>
        <v>2.3429759987276055</v>
      </c>
      <c r="AV86" s="51">
        <f t="shared" si="34"/>
        <v>3.8788024933329375</v>
      </c>
      <c r="AW86" s="14">
        <f t="shared" si="35"/>
        <v>1973.827295494222</v>
      </c>
      <c r="AX86" s="44">
        <f t="shared" si="36"/>
        <v>7656.0862351715969</v>
      </c>
      <c r="AY86" s="44">
        <f t="shared" si="37"/>
        <v>5161.9946943806035</v>
      </c>
      <c r="AZ86" s="44">
        <f t="shared" si="38"/>
        <v>1745.0127975464541</v>
      </c>
    </row>
    <row r="87" spans="1:52" ht="15" customHeight="1" x14ac:dyDescent="0.35">
      <c r="A87" s="59" t="str">
        <f>Segments!$A$67</f>
        <v>Non-greek</v>
      </c>
      <c r="B87" s="59" t="str">
        <f>Segments!$B$67</f>
        <v>Off 0-1mi</v>
      </c>
      <c r="C87" s="59" t="str">
        <f>Segments!$C$67</f>
        <v>No</v>
      </c>
      <c r="D87" s="59" t="str">
        <f>Segments!$D$67</f>
        <v>&lt;1.0</v>
      </c>
      <c r="E87" s="59" t="str">
        <f>Segments!$E$67</f>
        <v>Junior</v>
      </c>
      <c r="F87" s="59">
        <f>Segments!$F$67</f>
        <v>2</v>
      </c>
      <c r="G87" s="59" t="str">
        <f>Segments!$G$67</f>
        <v>Base</v>
      </c>
      <c r="H87" s="60">
        <f>Segments!$H$67</f>
        <v>5</v>
      </c>
      <c r="I87" s="26">
        <f>Segments!$Y$67</f>
        <v>1338.9056564584453</v>
      </c>
      <c r="J87" s="29">
        <v>2</v>
      </c>
      <c r="K87" s="14">
        <f t="shared" si="0"/>
        <v>1426.2297754450396</v>
      </c>
      <c r="L87" s="14">
        <f t="shared" si="1"/>
        <v>1338.9056564584453</v>
      </c>
      <c r="M87" s="14">
        <f t="shared" si="2"/>
        <v>2218.8316446863905</v>
      </c>
      <c r="N87" s="14">
        <f t="shared" si="3"/>
        <v>1778.922077650232</v>
      </c>
      <c r="O87" s="14">
        <f t="shared" si="4"/>
        <v>1782.7872193062994</v>
      </c>
      <c r="P87" s="33">
        <f t="shared" si="5"/>
        <v>0.77391362817274922</v>
      </c>
      <c r="Q87" s="33">
        <f t="shared" si="6"/>
        <v>0.22635502067149771</v>
      </c>
      <c r="R87" s="51">
        <f t="shared" si="7"/>
        <v>5.4173953972092441</v>
      </c>
      <c r="S87" s="51">
        <f>APPLICANTS_PER_YEAR*($H87/Segments!$AH$2)*Q87</f>
        <v>1.3581301240289863</v>
      </c>
      <c r="T87" s="51">
        <f t="shared" si="8"/>
        <v>6.7755255212382304</v>
      </c>
      <c r="U87" s="14">
        <f t="shared" si="9"/>
        <v>1870.1907819771673</v>
      </c>
      <c r="V87" s="44">
        <f t="shared" si="10"/>
        <v>12671.525372870779</v>
      </c>
      <c r="W87" s="44">
        <f t="shared" si="11"/>
        <v>10160.404179368154</v>
      </c>
      <c r="X87" s="44">
        <f t="shared" si="12"/>
        <v>2669.8532323859745</v>
      </c>
      <c r="Y87" s="14">
        <f t="shared" si="13"/>
        <v>1810.7339464277184</v>
      </c>
      <c r="Z87" s="14">
        <f t="shared" si="14"/>
        <v>1379.0728261521986</v>
      </c>
      <c r="AA87" s="14">
        <f t="shared" si="15"/>
        <v>2284.1465940269823</v>
      </c>
      <c r="AB87" s="14">
        <f t="shared" si="16"/>
        <v>1831.7885850717421</v>
      </c>
      <c r="AC87" s="14">
        <f t="shared" si="17"/>
        <v>2263.4174330346477</v>
      </c>
      <c r="AD87" s="33">
        <f t="shared" si="18"/>
        <v>0.65718377069262046</v>
      </c>
      <c r="AE87" s="33">
        <f t="shared" si="19"/>
        <v>0.22652559562774988</v>
      </c>
      <c r="AF87" s="51">
        <f t="shared" si="20"/>
        <v>4.408859480622433</v>
      </c>
      <c r="AG87" s="51">
        <f>APPLICANTS_PER_YEAR*($H87/Segments!$AH$2)*AE87</f>
        <v>1.3591535737664993</v>
      </c>
      <c r="AH87" s="51">
        <f t="shared" si="21"/>
        <v>5.7680130543889323</v>
      </c>
      <c r="AI87" s="14">
        <f t="shared" si="22"/>
        <v>2268.3019769804137</v>
      </c>
      <c r="AJ87" s="44">
        <f t="shared" si="23"/>
        <v>13083.595414519248</v>
      </c>
      <c r="AK87" s="44">
        <f t="shared" si="24"/>
        <v>8909.051271902792</v>
      </c>
      <c r="AL87" s="44">
        <f t="shared" si="25"/>
        <v>2730.7963439958216</v>
      </c>
      <c r="AM87" s="14">
        <f t="shared" si="26"/>
        <v>1917.5507723244871</v>
      </c>
      <c r="AN87" s="14">
        <f t="shared" si="27"/>
        <v>1420.4450109367644</v>
      </c>
      <c r="AO87" s="14">
        <f t="shared" si="28"/>
        <v>2351.4209918477914</v>
      </c>
      <c r="AP87" s="14">
        <f t="shared" si="29"/>
        <v>1886.2409525668982</v>
      </c>
      <c r="AQ87" s="14">
        <f t="shared" si="30"/>
        <v>2351.4209918477914</v>
      </c>
      <c r="AR87" s="33">
        <f t="shared" si="31"/>
        <v>0.65881243635458409</v>
      </c>
      <c r="AS87" s="33">
        <f t="shared" si="32"/>
        <v>0.2266912470414103</v>
      </c>
      <c r="AT87" s="51">
        <f t="shared" si="33"/>
        <v>2.5534918060626985</v>
      </c>
      <c r="AU87" s="51">
        <f>APPLICANTS_PER_YEAR*($H87/Segments!$AH$2)*AS87</f>
        <v>1.3601474822484618</v>
      </c>
      <c r="AV87" s="51">
        <f t="shared" si="34"/>
        <v>3.9136392883111606</v>
      </c>
      <c r="AW87" s="14">
        <f t="shared" si="35"/>
        <v>2351.4209918477909</v>
      </c>
      <c r="AX87" s="44">
        <f t="shared" si="36"/>
        <v>9202.6135770551118</v>
      </c>
      <c r="AY87" s="44">
        <f t="shared" si="37"/>
        <v>6226.2025298902217</v>
      </c>
      <c r="AZ87" s="44">
        <f t="shared" si="38"/>
        <v>1963.5102158477296</v>
      </c>
    </row>
    <row r="88" spans="1:52" ht="15" customHeight="1" x14ac:dyDescent="0.35">
      <c r="A88" s="59" t="str">
        <f>Segments!$A$68</f>
        <v>Non-greek</v>
      </c>
      <c r="B88" s="59" t="str">
        <f>Segments!$B$68</f>
        <v>Off 0-1mi</v>
      </c>
      <c r="C88" s="59" t="str">
        <f>Segments!$C$68</f>
        <v>No</v>
      </c>
      <c r="D88" s="59" t="str">
        <f>Segments!$D$68</f>
        <v>&lt;1.0</v>
      </c>
      <c r="E88" s="59" t="str">
        <f>Segments!$E$68</f>
        <v>Senior</v>
      </c>
      <c r="F88" s="59">
        <f>Segments!$F$68</f>
        <v>3</v>
      </c>
      <c r="G88" s="59" t="str">
        <f>Segments!$G$68</f>
        <v>Base</v>
      </c>
      <c r="H88" s="60">
        <f>Segments!$H$68</f>
        <v>3</v>
      </c>
      <c r="I88" s="26">
        <f>Segments!$Y$68</f>
        <v>1251.4583224621495</v>
      </c>
      <c r="J88" s="29">
        <v>3</v>
      </c>
      <c r="K88" s="14">
        <f t="shared" si="0"/>
        <v>1426.2297754450396</v>
      </c>
      <c r="L88" s="14">
        <f t="shared" si="1"/>
        <v>1251.4583224621495</v>
      </c>
      <c r="M88" s="14">
        <f t="shared" si="2"/>
        <v>2076.6354622447357</v>
      </c>
      <c r="N88" s="14">
        <f t="shared" si="3"/>
        <v>1720.9762720614469</v>
      </c>
      <c r="O88" s="14">
        <f t="shared" si="4"/>
        <v>1782.7872193062994</v>
      </c>
      <c r="P88" s="33">
        <f t="shared" si="5"/>
        <v>0.75704189440368841</v>
      </c>
      <c r="Q88" s="33">
        <f t="shared" si="6"/>
        <v>0.246669351008173</v>
      </c>
      <c r="R88" s="51">
        <f t="shared" si="7"/>
        <v>3.7852094720184422</v>
      </c>
      <c r="S88" s="51">
        <f>APPLICANTS_PER_YEAR*($H88/Segments!$AH$2)*Q88</f>
        <v>0.88800966362942269</v>
      </c>
      <c r="T88" s="51">
        <f t="shared" si="8"/>
        <v>4.673219135647865</v>
      </c>
      <c r="U88" s="14">
        <f t="shared" si="9"/>
        <v>1838.6245493769945</v>
      </c>
      <c r="V88" s="44">
        <f t="shared" si="10"/>
        <v>8592.295427420504</v>
      </c>
      <c r="W88" s="44">
        <f t="shared" si="11"/>
        <v>6550.1396575954013</v>
      </c>
      <c r="X88" s="44">
        <f t="shared" si="12"/>
        <v>1804.1509926269787</v>
      </c>
      <c r="Y88" s="14">
        <f t="shared" si="13"/>
        <v>1870.1907819771673</v>
      </c>
      <c r="Z88" s="14">
        <f t="shared" si="14"/>
        <v>1289.002072136014</v>
      </c>
      <c r="AA88" s="14">
        <f t="shared" si="15"/>
        <v>2137.6845261120779</v>
      </c>
      <c r="AB88" s="14">
        <f t="shared" si="16"/>
        <v>1772.0875264214912</v>
      </c>
      <c r="AC88" s="14">
        <f t="shared" si="17"/>
        <v>2137.6845261120779</v>
      </c>
      <c r="AD88" s="33">
        <f t="shared" si="18"/>
        <v>0.70393661372685035</v>
      </c>
      <c r="AE88" s="33">
        <f t="shared" si="19"/>
        <v>0.24684567092776055</v>
      </c>
      <c r="AF88" s="51">
        <f t="shared" si="20"/>
        <v>4.7695404916402921</v>
      </c>
      <c r="AG88" s="51">
        <f>APPLICANTS_PER_YEAR*($H88/Segments!$AH$2)*AE88</f>
        <v>0.88864441533993788</v>
      </c>
      <c r="AH88" s="51">
        <f t="shared" si="21"/>
        <v>5.6581849069802299</v>
      </c>
      <c r="AI88" s="14">
        <f t="shared" si="22"/>
        <v>2137.6845261120779</v>
      </c>
      <c r="AJ88" s="44">
        <f t="shared" si="23"/>
        <v>12095.414321532546</v>
      </c>
      <c r="AK88" s="44">
        <f t="shared" si="24"/>
        <v>8168.6215179813853</v>
      </c>
      <c r="AL88" s="44">
        <f t="shared" si="25"/>
        <v>2487.9005648488373</v>
      </c>
      <c r="AM88" s="14">
        <f t="shared" si="26"/>
        <v>2268.3019769804137</v>
      </c>
      <c r="AN88" s="14">
        <f t="shared" si="27"/>
        <v>1327.6721343000943</v>
      </c>
      <c r="AO88" s="14">
        <f t="shared" si="28"/>
        <v>2200.5650618954396</v>
      </c>
      <c r="AP88" s="14">
        <f t="shared" si="29"/>
        <v>1824.7319691386908</v>
      </c>
      <c r="AQ88" s="14">
        <f t="shared" si="30"/>
        <v>2200.5650618954396</v>
      </c>
      <c r="AR88" s="33">
        <f t="shared" si="31"/>
        <v>0.74701690464322013</v>
      </c>
      <c r="AS88" s="33">
        <f t="shared" si="32"/>
        <v>0.24701690464322013</v>
      </c>
      <c r="AT88" s="51">
        <f t="shared" si="33"/>
        <v>4.3088032578313058</v>
      </c>
      <c r="AU88" s="51">
        <f>APPLICANTS_PER_YEAR*($H88/Segments!$AH$2)*AS88</f>
        <v>0.88926085671559241</v>
      </c>
      <c r="AV88" s="51">
        <f t="shared" si="34"/>
        <v>5.1980641145468987</v>
      </c>
      <c r="AW88" s="14">
        <f t="shared" si="35"/>
        <v>2200.5650618954396</v>
      </c>
      <c r="AX88" s="44">
        <f t="shared" si="36"/>
        <v>11438.678279964359</v>
      </c>
      <c r="AY88" s="44">
        <f t="shared" si="37"/>
        <v>7729.4838624519161</v>
      </c>
      <c r="AZ88" s="44">
        <f t="shared" si="38"/>
        <v>2356.5936716490755</v>
      </c>
    </row>
    <row r="89" spans="1:52" ht="15" customHeight="1" x14ac:dyDescent="0.35">
      <c r="A89" s="59" t="str">
        <f>Segments!$A$69</f>
        <v>Non-greek</v>
      </c>
      <c r="B89" s="59" t="str">
        <f>Segments!$B$69</f>
        <v>Off 0-1mi</v>
      </c>
      <c r="C89" s="59" t="str">
        <f>Segments!$C$69</f>
        <v>No</v>
      </c>
      <c r="D89" s="59" t="str">
        <f>Segments!$D$69</f>
        <v>&lt;1.0</v>
      </c>
      <c r="E89" s="59" t="str">
        <f>Segments!$E$69</f>
        <v>Grad student</v>
      </c>
      <c r="F89" s="59">
        <f>Segments!$F$69</f>
        <v>3</v>
      </c>
      <c r="G89" s="59" t="str">
        <f>Segments!$G$69</f>
        <v>Grad</v>
      </c>
      <c r="H89" s="60">
        <f>Segments!$H$69</f>
        <v>1</v>
      </c>
      <c r="I89" s="26">
        <f>Segments!$Y$69</f>
        <v>1490.0869297321758</v>
      </c>
      <c r="J89" s="29">
        <v>4</v>
      </c>
      <c r="K89" s="14">
        <f t="shared" ref="K89:K152" si="39">IF($J89=0,M89,CURRENT_FLAT)</f>
        <v>1426.2297754450396</v>
      </c>
      <c r="L89" s="14">
        <f t="shared" ref="L89:L152" si="40">$I89*(1+LOSS_TREND)^0</f>
        <v>1490.0869297321758</v>
      </c>
      <c r="M89" s="14">
        <f t="shared" ref="M89:M152" si="41">L89*GROSS_MULT+POLICY_FEE</f>
        <v>2464.6641810688452</v>
      </c>
      <c r="N89" s="14">
        <f t="shared" ref="N89:N152" si="42">M89^MARKET_RISK_WEIGHT*(CURRENT_FLAT*(1+LOSS_TREND)^0)^(1-MARKET_RISK_WEIGHT)</f>
        <v>1874.8806472715141</v>
      </c>
      <c r="O89" s="14">
        <f t="shared" ref="O89:O152" si="43">MEDIAN(K89*(1-CAP_DOWN),M89,K89*(1+CAP_UP))</f>
        <v>1782.7872193062994</v>
      </c>
      <c r="P89" s="33">
        <f t="shared" ref="P89:P152" si="44">MEDIAN(RET_FLOOR,BASE_RETENTION-ELAST_MARKET*(O89/N89-1)-ELAST_INCREASE*MAX(O89/K89-1,0),RET_CEIL)</f>
        <v>0.79955981080695371</v>
      </c>
      <c r="Q89" s="33">
        <f t="shared" ref="Q89:Q152" si="45">MEDIAN(CONV_FLOOR,BASE_CONVERSION-ELAST_MARKET*(M89/N89-1),CONV_CEIL)</f>
        <v>0.19271437900443578</v>
      </c>
      <c r="R89" s="51">
        <f t="shared" ref="R89:R152" si="46">IF($J89=0,0,IF($J89=4,$H89*GRAD_CONTINUE,$H88)*P89)</f>
        <v>0.39977990540347685</v>
      </c>
      <c r="S89" s="51">
        <f>APPLICANTS_PER_YEAR*($H89/Segments!$AH$2)*Q89</f>
        <v>0.23125725480532291</v>
      </c>
      <c r="T89" s="51">
        <f t="shared" ref="T89:T152" si="47">R89+S89</f>
        <v>0.63103716020879974</v>
      </c>
      <c r="U89" s="14">
        <f t="shared" ref="U89:U152" si="48">IFERROR((R89*O89+S89*M89)/T89,M89)</f>
        <v>2032.6758221264943</v>
      </c>
      <c r="V89" s="44">
        <f t="shared" ref="V89:V152" si="49">R89*O89+S89*M89</f>
        <v>1282.6939784197903</v>
      </c>
      <c r="W89" s="44">
        <f t="shared" ref="W89:W152" si="50">T89*L89*(1+LAE_RATIO)</f>
        <v>1053.1362515547346</v>
      </c>
      <c r="X89" s="44">
        <f t="shared" ref="X89:X152" si="51">R89*O89*(PREMIUM_TAX+OTHER_VARIABLE+COMMISSION_RN)+S89*M89*(PREMIUM_TAX+OTHER_VARIABLE+COMMISSION_NB)+T89*FIXED_PER_POLICY+S89*NB_ACQUISITION</f>
        <v>280.78033803423415</v>
      </c>
      <c r="Y89" s="14">
        <f t="shared" ref="Y89:Y152" si="52">IF($J89=0,AA89,IF($J89=4,U89,U88))</f>
        <v>2032.6758221264943</v>
      </c>
      <c r="Z89" s="14">
        <f t="shared" ref="Z89:Z152" si="53">$I89*(1+LOSS_TREND)^1</f>
        <v>1534.7895376241411</v>
      </c>
      <c r="AA89" s="14">
        <f t="shared" ref="AA89:AA152" si="54">Z89*GROSS_MULT+POLICY_FEE</f>
        <v>2537.3541065009108</v>
      </c>
      <c r="AB89" s="14">
        <f t="shared" ref="AB89:AB152" si="55">AA89^MARKET_RISK_WEIGHT*(CURRENT_FLAT*(1+LOSS_TREND)^1)^(1-MARKET_RISK_WEIGHT)</f>
        <v>1930.6515679597712</v>
      </c>
      <c r="AC89" s="14">
        <f t="shared" ref="AC89:AC152" si="56">MEDIAN(Y89*(1-CAP_DOWN),AA89,Y89*(1+CAP_UP))</f>
        <v>2537.3541065009108</v>
      </c>
      <c r="AD89" s="33">
        <f t="shared" ref="AD89:AD152" si="57">MEDIAN(RET_FLOOR,BASE_RETENTION-ELAST_MARKET*(AC89/AB89-1)-ELAST_INCREASE*MAX(AC89/Y89-1,0),RET_CEIL)</f>
        <v>0.61839140517702662</v>
      </c>
      <c r="AE89" s="33">
        <f t="shared" ref="AE89:AE152" si="58">MEDIAN(CONV_FLOOR,BASE_CONVERSION-ELAST_MARKET*(AA89/AB89-1),CONV_CEIL)</f>
        <v>0.19287622152808326</v>
      </c>
      <c r="AF89" s="51">
        <f t="shared" ref="AF89:AF152" si="59">IF($J89=0,0,IF($J89=4,T89*GRAD_CONTINUE,T88)*AD89)</f>
        <v>0.19511397811022008</v>
      </c>
      <c r="AG89" s="51">
        <f>APPLICANTS_PER_YEAR*($H89/Segments!$AH$2)*AE89</f>
        <v>0.23145146583369991</v>
      </c>
      <c r="AH89" s="51">
        <f t="shared" ref="AH89:AH152" si="60">AF89+AG89</f>
        <v>0.42656544394391999</v>
      </c>
      <c r="AI89" s="14">
        <f t="shared" ref="AI89:AI152" si="61">IFERROR((AF89*AC89+AG89*AA89)/AH89,AA89)</f>
        <v>2537.3541065009108</v>
      </c>
      <c r="AJ89" s="44">
        <f t="shared" ref="AJ89:AJ152" si="62">AF89*AC89+AG89*AA89</f>
        <v>1082.3475808824894</v>
      </c>
      <c r="AK89" s="44">
        <f t="shared" ref="AK89:AK152" si="63">AH89*Z89*(1+LAE_RATIO)</f>
        <v>733.25076213438058</v>
      </c>
      <c r="AL89" s="44">
        <f t="shared" ref="AL89:AL152" si="64">AF89*AC89*(PREMIUM_TAX+OTHER_VARIABLE+COMMISSION_RN)+AG89*AA89*(PREMIUM_TAX+OTHER_VARIABLE+COMMISSION_NB)+AH89*FIXED_PER_POLICY+AG89*NB_ACQUISITION</f>
        <v>239.4358897666192</v>
      </c>
      <c r="AM89" s="14">
        <f t="shared" ref="AM89:AM152" si="65">IF($J89=0,AO89,IF($J89=4,AI89,AI88))</f>
        <v>2537.3541065009108</v>
      </c>
      <c r="AN89" s="14">
        <f t="shared" ref="AN89:AN152" si="66">$I89*(1+LOSS_TREND)^2</f>
        <v>1580.8332237528653</v>
      </c>
      <c r="AO89" s="14">
        <f t="shared" ref="AO89:AO152" si="67">AN89*GROSS_MULT+POLICY_FEE</f>
        <v>2612.2247296959381</v>
      </c>
      <c r="AP89" s="14">
        <f t="shared" ref="AP89:AP152" si="68">AO89^MARKET_RISK_WEIGHT*(CURRENT_FLAT*(1+LOSS_TREND)^2)^(1-MARKET_RISK_WEIGHT)</f>
        <v>1988.0955008363337</v>
      </c>
      <c r="AQ89" s="14">
        <f t="shared" ref="AQ89:AQ152" si="69">MEDIAN(AM89*(1-CAP_DOWN),AO89,AM89*(1+CAP_UP))</f>
        <v>2612.2247296959381</v>
      </c>
      <c r="AR89" s="33">
        <f t="shared" ref="AR89:AR152" si="70">MEDIAN(RET_FLOOR,BASE_RETENTION-ELAST_MARKET*(AQ89/AP89-1)-ELAST_INCREASE*MAX(AQ89/AM89-1,0),RET_CEIL)</f>
        <v>0.68418118008497719</v>
      </c>
      <c r="AS89" s="33">
        <f t="shared" ref="AS89:AS152" si="71">MEDIAN(CONV_FLOOR,BASE_CONVERSION-ELAST_MARKET*(AO89/AP89-1),CONV_CEIL)</f>
        <v>0.19303338833646277</v>
      </c>
      <c r="AT89" s="51">
        <f t="shared" ref="AT89:AT152" si="72">IF($J89=0,0,IF($J89=4,AH89*GRAD_CONTINUE,AH88)*AR89)</f>
        <v>0.14592402441051169</v>
      </c>
      <c r="AU89" s="51">
        <f>APPLICANTS_PER_YEAR*($H89/Segments!$AH$2)*AS89</f>
        <v>0.23164006600375531</v>
      </c>
      <c r="AV89" s="51">
        <f t="shared" ref="AV89:AV152" si="73">AT89+AU89</f>
        <v>0.37756409041426697</v>
      </c>
      <c r="AW89" s="14">
        <f t="shared" ref="AW89:AW152" si="74">IFERROR((AT89*AQ89+AU89*AO89)/AV89,AO89)</f>
        <v>2612.2247296959385</v>
      </c>
      <c r="AX89" s="44">
        <f t="shared" ref="AX89:AX152" si="75">AT89*AQ89+AU89*AO89</f>
        <v>986.28225402530143</v>
      </c>
      <c r="AY89" s="44">
        <f t="shared" ref="AY89:AY152" si="76">AV89*AN89*(1+LAE_RATIO)</f>
        <v>668.48976120965256</v>
      </c>
      <c r="AZ89" s="44">
        <f t="shared" ref="AZ89:AZ152" si="77">AT89*AQ89*(PREMIUM_TAX+OTHER_VARIABLE+COMMISSION_RN)+AU89*AO89*(PREMIUM_TAX+OTHER_VARIABLE+COMMISSION_NB)+AV89*FIXED_PER_POLICY+AU89*NB_ACQUISITION</f>
        <v>220.9279862772805</v>
      </c>
    </row>
    <row r="90" spans="1:52" ht="15" customHeight="1" x14ac:dyDescent="0.35">
      <c r="A90" s="61" t="str">
        <f>Segments!$A$70</f>
        <v>Non-greek</v>
      </c>
      <c r="B90" s="61" t="str">
        <f>Segments!$B$70</f>
        <v>Off 0-1mi</v>
      </c>
      <c r="C90" s="61" t="str">
        <f>Segments!$C$70</f>
        <v>No</v>
      </c>
      <c r="D90" s="61" t="str">
        <f>Segments!$D$70</f>
        <v>1.0-2.0</v>
      </c>
      <c r="E90" s="61" t="str">
        <f>Segments!$E$70</f>
        <v>Freshman</v>
      </c>
      <c r="F90" s="61">
        <f>Segments!$F$70</f>
        <v>1</v>
      </c>
      <c r="G90" s="61" t="str">
        <f>Segments!$G$70</f>
        <v>Base</v>
      </c>
      <c r="H90" s="62">
        <f>Segments!$H$70</f>
        <v>12</v>
      </c>
      <c r="I90" s="63">
        <f>Segments!$Y$70</f>
        <v>1026.7798020827993</v>
      </c>
      <c r="J90" s="42">
        <v>0</v>
      </c>
      <c r="K90" s="40">
        <f t="shared" si="39"/>
        <v>1711.2906722487769</v>
      </c>
      <c r="L90" s="40">
        <f t="shared" si="40"/>
        <v>1026.7798020827993</v>
      </c>
      <c r="M90" s="40">
        <f t="shared" si="41"/>
        <v>1711.2906722487769</v>
      </c>
      <c r="N90" s="40">
        <f t="shared" si="42"/>
        <v>1562.2719709457006</v>
      </c>
      <c r="O90" s="40">
        <f t="shared" si="43"/>
        <v>1711.2906722487769</v>
      </c>
      <c r="P90" s="41">
        <f t="shared" si="44"/>
        <v>0.80230705534169255</v>
      </c>
      <c r="Q90" s="41">
        <f t="shared" si="45"/>
        <v>0.30230705534169255</v>
      </c>
      <c r="R90" s="64">
        <f t="shared" si="46"/>
        <v>0</v>
      </c>
      <c r="S90" s="64">
        <f>APPLICANTS_PER_YEAR*($H90/Segments!$AH$2)*Q90</f>
        <v>4.3532215969203722</v>
      </c>
      <c r="T90" s="64">
        <f t="shared" si="47"/>
        <v>4.3532215969203722</v>
      </c>
      <c r="U90" s="40">
        <f t="shared" si="48"/>
        <v>1711.2906722487769</v>
      </c>
      <c r="V90" s="65">
        <f t="shared" si="49"/>
        <v>7449.627513041758</v>
      </c>
      <c r="W90" s="65">
        <f t="shared" si="50"/>
        <v>5006.1760108734834</v>
      </c>
      <c r="X90" s="65">
        <f t="shared" si="51"/>
        <v>1864.6115347827708</v>
      </c>
      <c r="Y90" s="40">
        <f t="shared" si="52"/>
        <v>1761.3793924162401</v>
      </c>
      <c r="Z90" s="40">
        <f t="shared" si="53"/>
        <v>1057.5831961452832</v>
      </c>
      <c r="AA90" s="40">
        <f t="shared" si="54"/>
        <v>1761.3793924162401</v>
      </c>
      <c r="AB90" s="40">
        <f t="shared" si="55"/>
        <v>1608.569453700683</v>
      </c>
      <c r="AC90" s="40">
        <f t="shared" si="56"/>
        <v>1761.3793924162401</v>
      </c>
      <c r="AD90" s="41">
        <f t="shared" si="57"/>
        <v>0.80250129288356131</v>
      </c>
      <c r="AE90" s="41">
        <f t="shared" si="58"/>
        <v>0.30250129288356131</v>
      </c>
      <c r="AF90" s="64">
        <f t="shared" si="59"/>
        <v>0</v>
      </c>
      <c r="AG90" s="64">
        <f>APPLICANTS_PER_YEAR*($H90/Segments!$AH$2)*AE90</f>
        <v>4.3560186175232829</v>
      </c>
      <c r="AH90" s="64">
        <f t="shared" si="60"/>
        <v>4.3560186175232829</v>
      </c>
      <c r="AI90" s="40">
        <f t="shared" si="61"/>
        <v>1761.3793924162401</v>
      </c>
      <c r="AJ90" s="65">
        <f t="shared" si="62"/>
        <v>7672.60142588699</v>
      </c>
      <c r="AK90" s="65">
        <f t="shared" si="63"/>
        <v>5159.6743430272672</v>
      </c>
      <c r="AL90" s="65">
        <f t="shared" si="64"/>
        <v>1914.6835571872336</v>
      </c>
      <c r="AM90" s="40">
        <f t="shared" si="65"/>
        <v>1812.9707741887275</v>
      </c>
      <c r="AN90" s="40">
        <f t="shared" si="66"/>
        <v>1089.3106920296418</v>
      </c>
      <c r="AO90" s="40">
        <f t="shared" si="67"/>
        <v>1812.9707741887275</v>
      </c>
      <c r="AP90" s="40">
        <f t="shared" si="68"/>
        <v>1656.2556613576687</v>
      </c>
      <c r="AQ90" s="40">
        <f t="shared" si="69"/>
        <v>1812.9707741887275</v>
      </c>
      <c r="AR90" s="41">
        <f t="shared" si="70"/>
        <v>0.80268993897276819</v>
      </c>
      <c r="AS90" s="41">
        <f t="shared" si="71"/>
        <v>0.30268993897276819</v>
      </c>
      <c r="AT90" s="64">
        <f t="shared" si="72"/>
        <v>0</v>
      </c>
      <c r="AU90" s="64">
        <f>APPLICANTS_PER_YEAR*($H90/Segments!$AH$2)*AS90</f>
        <v>4.3587351212078618</v>
      </c>
      <c r="AV90" s="64">
        <f t="shared" si="73"/>
        <v>4.3587351212078618</v>
      </c>
      <c r="AW90" s="40">
        <f t="shared" si="74"/>
        <v>1812.9707741887275</v>
      </c>
      <c r="AX90" s="65">
        <f t="shared" si="75"/>
        <v>7902.2593871798144</v>
      </c>
      <c r="AY90" s="65">
        <f t="shared" si="76"/>
        <v>5317.778783807662</v>
      </c>
      <c r="AZ90" s="65">
        <f t="shared" si="77"/>
        <v>1966.2491831826324</v>
      </c>
    </row>
    <row r="91" spans="1:52" ht="15" customHeight="1" x14ac:dyDescent="0.35">
      <c r="A91" s="61" t="str">
        <f>Segments!$A$71</f>
        <v>Non-greek</v>
      </c>
      <c r="B91" s="61" t="str">
        <f>Segments!$B$71</f>
        <v>Off 0-1mi</v>
      </c>
      <c r="C91" s="61" t="str">
        <f>Segments!$C$71</f>
        <v>No</v>
      </c>
      <c r="D91" s="61" t="str">
        <f>Segments!$D$71</f>
        <v>1.0-2.0</v>
      </c>
      <c r="E91" s="61" t="str">
        <f>Segments!$E$71</f>
        <v>Sophomore</v>
      </c>
      <c r="F91" s="61">
        <f>Segments!$F$71</f>
        <v>1</v>
      </c>
      <c r="G91" s="61" t="str">
        <f>Segments!$G$71</f>
        <v>Sophomore</v>
      </c>
      <c r="H91" s="62">
        <f>Segments!$H$71</f>
        <v>11</v>
      </c>
      <c r="I91" s="63">
        <f>Segments!$Y$71</f>
        <v>1016.3335936989806</v>
      </c>
      <c r="J91" s="42">
        <v>1</v>
      </c>
      <c r="K91" s="40">
        <f t="shared" si="39"/>
        <v>1426.2297754450396</v>
      </c>
      <c r="L91" s="40">
        <f t="shared" si="40"/>
        <v>1016.3335936989806</v>
      </c>
      <c r="M91" s="40">
        <f t="shared" si="41"/>
        <v>1694.3043230339233</v>
      </c>
      <c r="N91" s="40">
        <f t="shared" si="42"/>
        <v>1554.4990428354185</v>
      </c>
      <c r="O91" s="40">
        <f t="shared" si="43"/>
        <v>1694.3043230339233</v>
      </c>
      <c r="P91" s="41">
        <f t="shared" si="44"/>
        <v>0.74864396294296476</v>
      </c>
      <c r="Q91" s="41">
        <f t="shared" si="45"/>
        <v>0.30503204686974306</v>
      </c>
      <c r="R91" s="64">
        <f t="shared" si="46"/>
        <v>8.9837275553155767</v>
      </c>
      <c r="S91" s="64">
        <f>APPLICANTS_PER_YEAR*($H91/Segments!$AH$2)*Q91</f>
        <v>4.0264230186806085</v>
      </c>
      <c r="T91" s="64">
        <f t="shared" si="47"/>
        <v>13.010150573996185</v>
      </c>
      <c r="U91" s="40">
        <f t="shared" si="48"/>
        <v>1694.3043230339233</v>
      </c>
      <c r="V91" s="65">
        <f t="shared" si="49"/>
        <v>22043.154360844015</v>
      </c>
      <c r="W91" s="65">
        <f t="shared" si="50"/>
        <v>14809.371457926529</v>
      </c>
      <c r="X91" s="65">
        <f t="shared" si="51"/>
        <v>4765.7892685884426</v>
      </c>
      <c r="Y91" s="40">
        <f t="shared" si="52"/>
        <v>1711.2906722487769</v>
      </c>
      <c r="Z91" s="40">
        <f t="shared" si="53"/>
        <v>1046.8236015099501</v>
      </c>
      <c r="AA91" s="40">
        <f t="shared" si="54"/>
        <v>1743.8834527249412</v>
      </c>
      <c r="AB91" s="40">
        <f t="shared" si="55"/>
        <v>1600.5604831863366</v>
      </c>
      <c r="AC91" s="40">
        <f t="shared" si="56"/>
        <v>1743.8834527249412</v>
      </c>
      <c r="AD91" s="41">
        <f t="shared" si="57"/>
        <v>0.79951353693378135</v>
      </c>
      <c r="AE91" s="41">
        <f t="shared" si="58"/>
        <v>0.30522725600057221</v>
      </c>
      <c r="AF91" s="64">
        <f t="shared" si="59"/>
        <v>3.4804595960103306</v>
      </c>
      <c r="AG91" s="64">
        <f>APPLICANTS_PER_YEAR*($H91/Segments!$AH$2)*AE91</f>
        <v>4.0289997792075534</v>
      </c>
      <c r="AH91" s="64">
        <f t="shared" si="60"/>
        <v>7.509459375217884</v>
      </c>
      <c r="AI91" s="40">
        <f t="shared" si="61"/>
        <v>1743.883452724941</v>
      </c>
      <c r="AJ91" s="65">
        <f t="shared" si="62"/>
        <v>13095.621943352642</v>
      </c>
      <c r="AK91" s="65">
        <f t="shared" si="63"/>
        <v>8804.4088255852366</v>
      </c>
      <c r="AL91" s="65">
        <f t="shared" si="64"/>
        <v>2971.9004408879332</v>
      </c>
      <c r="AM91" s="40">
        <f t="shared" si="65"/>
        <v>1761.3793924162401</v>
      </c>
      <c r="AN91" s="40">
        <f t="shared" si="66"/>
        <v>1078.2283095552484</v>
      </c>
      <c r="AO91" s="40">
        <f t="shared" si="67"/>
        <v>1794.949956306689</v>
      </c>
      <c r="AP91" s="40">
        <f t="shared" si="68"/>
        <v>1648.0035641561221</v>
      </c>
      <c r="AQ91" s="40">
        <f t="shared" si="69"/>
        <v>1794.949956306689</v>
      </c>
      <c r="AR91" s="41">
        <f t="shared" si="70"/>
        <v>0.79969907244710114</v>
      </c>
      <c r="AS91" s="41">
        <f t="shared" si="71"/>
        <v>0.30541684637502209</v>
      </c>
      <c r="AT91" s="64">
        <f t="shared" si="72"/>
        <v>3.4835040479956731</v>
      </c>
      <c r="AU91" s="64">
        <f>APPLICANTS_PER_YEAR*($H91/Segments!$AH$2)*AS91</f>
        <v>4.0315023721502916</v>
      </c>
      <c r="AV91" s="64">
        <f t="shared" si="73"/>
        <v>7.5150064201459648</v>
      </c>
      <c r="AW91" s="40">
        <f t="shared" si="74"/>
        <v>1794.949956306689</v>
      </c>
      <c r="AX91" s="65">
        <f t="shared" si="75"/>
        <v>13489.060445485487</v>
      </c>
      <c r="AY91" s="65">
        <f t="shared" si="76"/>
        <v>9075.2397889337226</v>
      </c>
      <c r="AZ91" s="65">
        <f t="shared" si="77"/>
        <v>3053.7921871393855</v>
      </c>
    </row>
    <row r="92" spans="1:52" ht="15" customHeight="1" x14ac:dyDescent="0.35">
      <c r="A92" s="61" t="str">
        <f>Segments!$A$72</f>
        <v>Non-greek</v>
      </c>
      <c r="B92" s="61" t="str">
        <f>Segments!$B$72</f>
        <v>Off 0-1mi</v>
      </c>
      <c r="C92" s="61" t="str">
        <f>Segments!$C$72</f>
        <v>No</v>
      </c>
      <c r="D92" s="61" t="str">
        <f>Segments!$D$72</f>
        <v>1.0-2.0</v>
      </c>
      <c r="E92" s="61" t="str">
        <f>Segments!$E$72</f>
        <v>Junior</v>
      </c>
      <c r="F92" s="61">
        <f>Segments!$F$72</f>
        <v>2</v>
      </c>
      <c r="G92" s="61" t="str">
        <f>Segments!$G$72</f>
        <v>Base</v>
      </c>
      <c r="H92" s="62">
        <f>Segments!$H$72</f>
        <v>8</v>
      </c>
      <c r="I92" s="63">
        <f>Segments!$Y$72</f>
        <v>1214.9512203328356</v>
      </c>
      <c r="J92" s="42">
        <v>2</v>
      </c>
      <c r="K92" s="40">
        <f t="shared" si="39"/>
        <v>1426.2297754450396</v>
      </c>
      <c r="L92" s="40">
        <f t="shared" si="40"/>
        <v>1214.9512203328356</v>
      </c>
      <c r="M92" s="40">
        <f t="shared" si="41"/>
        <v>2017.2720681015144</v>
      </c>
      <c r="N92" s="40">
        <f t="shared" si="42"/>
        <v>1696.1997195790279</v>
      </c>
      <c r="O92" s="40">
        <f t="shared" si="43"/>
        <v>1782.7872193062994</v>
      </c>
      <c r="P92" s="41">
        <f t="shared" si="44"/>
        <v>0.74947603052641665</v>
      </c>
      <c r="Q92" s="41">
        <f t="shared" si="45"/>
        <v>0.25535538214740061</v>
      </c>
      <c r="R92" s="64">
        <f t="shared" si="46"/>
        <v>8.2442363357905837</v>
      </c>
      <c r="S92" s="64">
        <f>APPLICANTS_PER_YEAR*($H92/Segments!$AH$2)*Q92</f>
        <v>2.4514116686150458</v>
      </c>
      <c r="T92" s="64">
        <f t="shared" si="47"/>
        <v>10.69564800440563</v>
      </c>
      <c r="U92" s="40">
        <f t="shared" si="48"/>
        <v>1836.5304702260428</v>
      </c>
      <c r="V92" s="65">
        <f t="shared" si="49"/>
        <v>19642.883458903307</v>
      </c>
      <c r="W92" s="65">
        <f t="shared" si="50"/>
        <v>14554.053466627449</v>
      </c>
      <c r="X92" s="65">
        <f t="shared" si="51"/>
        <v>4160.7839755642472</v>
      </c>
      <c r="Y92" s="40">
        <f t="shared" si="52"/>
        <v>1694.3043230339233</v>
      </c>
      <c r="Z92" s="40">
        <f t="shared" si="53"/>
        <v>1251.3997569428207</v>
      </c>
      <c r="AA92" s="40">
        <f t="shared" si="54"/>
        <v>2076.5402301445597</v>
      </c>
      <c r="AB92" s="40">
        <f t="shared" si="55"/>
        <v>1746.5601081342479</v>
      </c>
      <c r="AC92" s="40">
        <f t="shared" si="56"/>
        <v>2076.5402301445597</v>
      </c>
      <c r="AD92" s="41">
        <f t="shared" si="57"/>
        <v>0.68785412752948449</v>
      </c>
      <c r="AE92" s="41">
        <f t="shared" si="58"/>
        <v>0.25553427835850118</v>
      </c>
      <c r="AF92" s="64">
        <f t="shared" si="59"/>
        <v>8.9490857721033681</v>
      </c>
      <c r="AG92" s="64">
        <f>APPLICANTS_PER_YEAR*($H92/Segments!$AH$2)*AE92</f>
        <v>2.453129072241611</v>
      </c>
      <c r="AH92" s="64">
        <f t="shared" si="60"/>
        <v>11.402214844344979</v>
      </c>
      <c r="AI92" s="40">
        <f t="shared" si="61"/>
        <v>2076.5402301445597</v>
      </c>
      <c r="AJ92" s="65">
        <f t="shared" si="62"/>
        <v>23677.157837033836</v>
      </c>
      <c r="AK92" s="65">
        <f t="shared" si="63"/>
        <v>15980.976351001904</v>
      </c>
      <c r="AL92" s="65">
        <f t="shared" si="64"/>
        <v>4942.6460971809765</v>
      </c>
      <c r="AM92" s="40">
        <f t="shared" si="65"/>
        <v>1743.883452724941</v>
      </c>
      <c r="AN92" s="40">
        <f t="shared" si="66"/>
        <v>1288.9417496511053</v>
      </c>
      <c r="AO92" s="40">
        <f t="shared" si="67"/>
        <v>2137.5864370488962</v>
      </c>
      <c r="AP92" s="40">
        <f t="shared" si="68"/>
        <v>1798.4311524311133</v>
      </c>
      <c r="AQ92" s="40">
        <f t="shared" si="69"/>
        <v>2137.5864370488962</v>
      </c>
      <c r="AR92" s="41">
        <f t="shared" si="70"/>
        <v>0.68797935216908945</v>
      </c>
      <c r="AS92" s="41">
        <f t="shared" si="71"/>
        <v>0.25570801552249756</v>
      </c>
      <c r="AT92" s="64">
        <f t="shared" si="72"/>
        <v>5.1663529961024954</v>
      </c>
      <c r="AU92" s="64">
        <f>APPLICANTS_PER_YEAR*($H92/Segments!$AH$2)*AS92</f>
        <v>2.4547969490159764</v>
      </c>
      <c r="AV92" s="64">
        <f t="shared" si="73"/>
        <v>7.6211499451184714</v>
      </c>
      <c r="AW92" s="40">
        <f t="shared" si="74"/>
        <v>2137.5864370488962</v>
      </c>
      <c r="AX92" s="65">
        <f t="shared" si="75"/>
        <v>16290.866757401185</v>
      </c>
      <c r="AY92" s="65">
        <f t="shared" si="76"/>
        <v>11002.004545968161</v>
      </c>
      <c r="AZ92" s="65">
        <f t="shared" si="77"/>
        <v>3476.4236630139872</v>
      </c>
    </row>
    <row r="93" spans="1:52" ht="15" customHeight="1" x14ac:dyDescent="0.35">
      <c r="A93" s="61" t="str">
        <f>Segments!$A$73</f>
        <v>Non-greek</v>
      </c>
      <c r="B93" s="61" t="str">
        <f>Segments!$B$73</f>
        <v>Off 0-1mi</v>
      </c>
      <c r="C93" s="61" t="str">
        <f>Segments!$C$73</f>
        <v>No</v>
      </c>
      <c r="D93" s="61" t="str">
        <f>Segments!$D$73</f>
        <v>1.0-2.0</v>
      </c>
      <c r="E93" s="61" t="str">
        <f>Segments!$E$73</f>
        <v>Senior</v>
      </c>
      <c r="F93" s="61">
        <f>Segments!$F$73</f>
        <v>3</v>
      </c>
      <c r="G93" s="61" t="str">
        <f>Segments!$G$73</f>
        <v>Base</v>
      </c>
      <c r="H93" s="62">
        <f>Segments!$H$73</f>
        <v>6</v>
      </c>
      <c r="I93" s="63">
        <f>Segments!$Y$73</f>
        <v>1135.5996658441641</v>
      </c>
      <c r="J93" s="42">
        <v>3</v>
      </c>
      <c r="K93" s="40">
        <f t="shared" si="39"/>
        <v>1426.2297754450396</v>
      </c>
      <c r="L93" s="40">
        <f t="shared" si="40"/>
        <v>1135.5996658441641</v>
      </c>
      <c r="M93" s="40">
        <f t="shared" si="41"/>
        <v>1888.240254283405</v>
      </c>
      <c r="N93" s="40">
        <f t="shared" si="42"/>
        <v>1641.0559021108652</v>
      </c>
      <c r="O93" s="40">
        <f t="shared" si="43"/>
        <v>1782.7872193062994</v>
      </c>
      <c r="P93" s="41">
        <f t="shared" si="44"/>
        <v>0.73181703560094225</v>
      </c>
      <c r="Q93" s="41">
        <f t="shared" si="45"/>
        <v>0.27468740648792334</v>
      </c>
      <c r="R93" s="64">
        <f t="shared" si="46"/>
        <v>5.854536284807538</v>
      </c>
      <c r="S93" s="64">
        <f>APPLICANTS_PER_YEAR*($H93/Segments!$AH$2)*Q93</f>
        <v>1.9777493267130479</v>
      </c>
      <c r="T93" s="64">
        <f t="shared" si="47"/>
        <v>7.8322856115205859</v>
      </c>
      <c r="U93" s="40">
        <f t="shared" si="48"/>
        <v>1809.4154194601658</v>
      </c>
      <c r="V93" s="65">
        <f t="shared" si="49"/>
        <v>14171.858355101342</v>
      </c>
      <c r="W93" s="65">
        <f t="shared" si="50"/>
        <v>9961.6618340274927</v>
      </c>
      <c r="X93" s="65">
        <f t="shared" si="51"/>
        <v>3015.2769807177438</v>
      </c>
      <c r="Y93" s="40">
        <f t="shared" si="52"/>
        <v>1836.5304702260428</v>
      </c>
      <c r="Z93" s="40">
        <f t="shared" si="53"/>
        <v>1169.667655819489</v>
      </c>
      <c r="AA93" s="40">
        <f t="shared" si="54"/>
        <v>1943.6374619119072</v>
      </c>
      <c r="AB93" s="40">
        <f t="shared" si="55"/>
        <v>1689.7443089043566</v>
      </c>
      <c r="AC93" s="40">
        <f t="shared" si="56"/>
        <v>1943.6374619119072</v>
      </c>
      <c r="AD93" s="41">
        <f t="shared" si="57"/>
        <v>0.75737622864814358</v>
      </c>
      <c r="AE93" s="41">
        <f t="shared" si="58"/>
        <v>0.27487231598602724</v>
      </c>
      <c r="AF93" s="64">
        <f t="shared" si="59"/>
        <v>8.100629548524779</v>
      </c>
      <c r="AG93" s="64">
        <f>APPLICANTS_PER_YEAR*($H93/Segments!$AH$2)*AE93</f>
        <v>1.9790806750993959</v>
      </c>
      <c r="AH93" s="64">
        <f t="shared" si="60"/>
        <v>10.079710223624176</v>
      </c>
      <c r="AI93" s="40">
        <f t="shared" si="61"/>
        <v>1943.6374619119069</v>
      </c>
      <c r="AJ93" s="65">
        <f t="shared" si="62"/>
        <v>19591.302395852392</v>
      </c>
      <c r="AK93" s="65">
        <f t="shared" si="63"/>
        <v>13204.700352038977</v>
      </c>
      <c r="AL93" s="65">
        <f t="shared" si="64"/>
        <v>4088.4589110754887</v>
      </c>
      <c r="AM93" s="40">
        <f t="shared" si="65"/>
        <v>2076.5402301445597</v>
      </c>
      <c r="AN93" s="40">
        <f t="shared" si="66"/>
        <v>1204.7576854940737</v>
      </c>
      <c r="AO93" s="40">
        <f t="shared" si="67"/>
        <v>2000.6965857692644</v>
      </c>
      <c r="AP93" s="40">
        <f t="shared" si="68"/>
        <v>1739.8931957245845</v>
      </c>
      <c r="AQ93" s="40">
        <f t="shared" si="69"/>
        <v>2000.6965857692644</v>
      </c>
      <c r="AR93" s="41">
        <f t="shared" si="70"/>
        <v>0.77505189666654584</v>
      </c>
      <c r="AS93" s="41">
        <f t="shared" si="71"/>
        <v>0.27505189666654584</v>
      </c>
      <c r="AT93" s="64">
        <f t="shared" si="72"/>
        <v>8.8373082413090192</v>
      </c>
      <c r="AU93" s="64">
        <f>APPLICANTS_PER_YEAR*($H93/Segments!$AH$2)*AS93</f>
        <v>1.9803736559991298</v>
      </c>
      <c r="AV93" s="64">
        <f t="shared" si="73"/>
        <v>10.817681897308148</v>
      </c>
      <c r="AW93" s="40">
        <f t="shared" si="74"/>
        <v>2000.6965857692646</v>
      </c>
      <c r="AX93" s="65">
        <f t="shared" si="75"/>
        <v>21642.899237882393</v>
      </c>
      <c r="AY93" s="65">
        <f t="shared" si="76"/>
        <v>14596.607653613557</v>
      </c>
      <c r="AZ93" s="65">
        <f t="shared" si="77"/>
        <v>4495.0453737295838</v>
      </c>
    </row>
    <row r="94" spans="1:52" ht="15" customHeight="1" x14ac:dyDescent="0.35">
      <c r="A94" s="61" t="str">
        <f>Segments!$A$74</f>
        <v>Non-greek</v>
      </c>
      <c r="B94" s="61" t="str">
        <f>Segments!$B$74</f>
        <v>Off 0-1mi</v>
      </c>
      <c r="C94" s="61" t="str">
        <f>Segments!$C$74</f>
        <v>No</v>
      </c>
      <c r="D94" s="61" t="str">
        <f>Segments!$D$74</f>
        <v>1.0-2.0</v>
      </c>
      <c r="E94" s="61" t="str">
        <f>Segments!$E$74</f>
        <v>Grad student</v>
      </c>
      <c r="F94" s="61">
        <f>Segments!$F$74</f>
        <v>3</v>
      </c>
      <c r="G94" s="61" t="str">
        <f>Segments!$G$74</f>
        <v>Grad</v>
      </c>
      <c r="H94" s="62">
        <f>Segments!$H$74</f>
        <v>4</v>
      </c>
      <c r="I94" s="63">
        <f>Segments!$Y$74</f>
        <v>1352.1362950013818</v>
      </c>
      <c r="J94" s="42">
        <v>4</v>
      </c>
      <c r="K94" s="40">
        <f t="shared" si="39"/>
        <v>1426.2297754450396</v>
      </c>
      <c r="L94" s="40">
        <f t="shared" si="40"/>
        <v>1352.1362950013818</v>
      </c>
      <c r="M94" s="40">
        <f t="shared" si="41"/>
        <v>2240.3456944131744</v>
      </c>
      <c r="N94" s="40">
        <f t="shared" si="42"/>
        <v>1787.5255904915498</v>
      </c>
      <c r="O94" s="40">
        <f t="shared" si="43"/>
        <v>1782.7872193062994</v>
      </c>
      <c r="P94" s="41">
        <f t="shared" si="44"/>
        <v>0.77632539953846125</v>
      </c>
      <c r="Q94" s="41">
        <f t="shared" si="45"/>
        <v>0.2233388471946004</v>
      </c>
      <c r="R94" s="64">
        <f t="shared" si="46"/>
        <v>1.5526507990769225</v>
      </c>
      <c r="S94" s="64">
        <f>APPLICANTS_PER_YEAR*($H94/Segments!$AH$2)*Q94</f>
        <v>1.072026466534082</v>
      </c>
      <c r="T94" s="64">
        <f t="shared" si="47"/>
        <v>2.6246772656110045</v>
      </c>
      <c r="U94" s="40">
        <f t="shared" si="48"/>
        <v>1969.6729754060527</v>
      </c>
      <c r="V94" s="65">
        <f t="shared" si="49"/>
        <v>5169.7558792366499</v>
      </c>
      <c r="W94" s="65">
        <f t="shared" si="50"/>
        <v>3974.7919607173358</v>
      </c>
      <c r="X94" s="65">
        <f t="shared" si="51"/>
        <v>1140.4379139021798</v>
      </c>
      <c r="Y94" s="40">
        <f t="shared" si="52"/>
        <v>1969.6729754060527</v>
      </c>
      <c r="Z94" s="40">
        <f t="shared" si="53"/>
        <v>1392.7003838514233</v>
      </c>
      <c r="AA94" s="40">
        <f t="shared" si="54"/>
        <v>2306.3060652455697</v>
      </c>
      <c r="AB94" s="40">
        <f t="shared" si="55"/>
        <v>1840.652616054698</v>
      </c>
      <c r="AC94" s="40">
        <f t="shared" si="56"/>
        <v>2306.3060652455697</v>
      </c>
      <c r="AD94" s="41">
        <f t="shared" si="57"/>
        <v>0.67223616728193525</v>
      </c>
      <c r="AE94" s="41">
        <f t="shared" si="58"/>
        <v>0.22350860093607305</v>
      </c>
      <c r="AF94" s="64">
        <f t="shared" si="59"/>
        <v>0.88220149269318582</v>
      </c>
      <c r="AG94" s="64">
        <f>APPLICANTS_PER_YEAR*($H94/Segments!$AH$2)*AE94</f>
        <v>1.0728412844931505</v>
      </c>
      <c r="AH94" s="64">
        <f t="shared" si="60"/>
        <v>1.9550427771863363</v>
      </c>
      <c r="AI94" s="40">
        <f t="shared" si="61"/>
        <v>2306.3060652455692</v>
      </c>
      <c r="AJ94" s="65">
        <f t="shared" si="62"/>
        <v>4508.9270148393898</v>
      </c>
      <c r="AK94" s="65">
        <f t="shared" si="63"/>
        <v>3049.5234853813672</v>
      </c>
      <c r="AL94" s="65">
        <f t="shared" si="64"/>
        <v>1004.7096061122343</v>
      </c>
      <c r="AM94" s="40">
        <f t="shared" si="65"/>
        <v>2306.3060652455692</v>
      </c>
      <c r="AN94" s="40">
        <f t="shared" si="66"/>
        <v>1434.4813953669659</v>
      </c>
      <c r="AO94" s="40">
        <f t="shared" si="67"/>
        <v>2374.2452472029368</v>
      </c>
      <c r="AP94" s="40">
        <f t="shared" si="68"/>
        <v>1895.3733191788556</v>
      </c>
      <c r="AQ94" s="40">
        <f t="shared" si="69"/>
        <v>2374.2452472029368</v>
      </c>
      <c r="AR94" s="41">
        <f t="shared" si="70"/>
        <v>0.71483605208497381</v>
      </c>
      <c r="AS94" s="41">
        <f t="shared" si="71"/>
        <v>0.22367345441172881</v>
      </c>
      <c r="AT94" s="64">
        <f t="shared" si="72"/>
        <v>0.69876753025056193</v>
      </c>
      <c r="AU94" s="64">
        <f>APPLICANTS_PER_YEAR*($H94/Segments!$AH$2)*AS94</f>
        <v>1.0736325811762983</v>
      </c>
      <c r="AV94" s="64">
        <f t="shared" si="73"/>
        <v>1.7724001114268604</v>
      </c>
      <c r="AW94" s="40">
        <f t="shared" si="74"/>
        <v>2374.2452472029368</v>
      </c>
      <c r="AX94" s="65">
        <f t="shared" si="75"/>
        <v>4208.1125406971787</v>
      </c>
      <c r="AY94" s="65">
        <f t="shared" si="76"/>
        <v>2847.5719831867491</v>
      </c>
      <c r="AZ94" s="65">
        <f t="shared" si="77"/>
        <v>946.83943380821302</v>
      </c>
    </row>
    <row r="95" spans="1:52" ht="15" customHeight="1" x14ac:dyDescent="0.35">
      <c r="A95" s="59" t="str">
        <f>Segments!$A$75</f>
        <v>Non-greek</v>
      </c>
      <c r="B95" s="59" t="str">
        <f>Segments!$B$75</f>
        <v>Off 0-1mi</v>
      </c>
      <c r="C95" s="59" t="str">
        <f>Segments!$C$75</f>
        <v>No</v>
      </c>
      <c r="D95" s="59" t="str">
        <f>Segments!$D$75</f>
        <v>2.0-3.0</v>
      </c>
      <c r="E95" s="59" t="str">
        <f>Segments!$E$75</f>
        <v>Freshman</v>
      </c>
      <c r="F95" s="59">
        <f>Segments!$F$75</f>
        <v>1</v>
      </c>
      <c r="G95" s="59" t="str">
        <f>Segments!$G$75</f>
        <v>Base</v>
      </c>
      <c r="H95" s="60">
        <f>Segments!$H$75</f>
        <v>21</v>
      </c>
      <c r="I95" s="26">
        <f>Segments!$Y$75</f>
        <v>1008.9956879319814</v>
      </c>
      <c r="J95" s="29">
        <v>0</v>
      </c>
      <c r="K95" s="14">
        <f t="shared" si="39"/>
        <v>1682.3723161962066</v>
      </c>
      <c r="L95" s="14">
        <f t="shared" si="40"/>
        <v>1008.9956879319814</v>
      </c>
      <c r="M95" s="14">
        <f t="shared" si="41"/>
        <v>1682.3723161962066</v>
      </c>
      <c r="N95" s="14">
        <f t="shared" si="42"/>
        <v>1549.0156521944725</v>
      </c>
      <c r="O95" s="14">
        <f t="shared" si="43"/>
        <v>1682.3723161962066</v>
      </c>
      <c r="P95" s="33">
        <f t="shared" si="44"/>
        <v>0.80695438460779612</v>
      </c>
      <c r="Q95" s="33">
        <f t="shared" si="45"/>
        <v>0.30695438460779612</v>
      </c>
      <c r="R95" s="51">
        <f t="shared" si="46"/>
        <v>0</v>
      </c>
      <c r="S95" s="51">
        <f>APPLICANTS_PER_YEAR*($H95/Segments!$AH$2)*Q95</f>
        <v>7.735250492116462</v>
      </c>
      <c r="T95" s="51">
        <f t="shared" si="47"/>
        <v>7.735250492116462</v>
      </c>
      <c r="U95" s="14">
        <f t="shared" si="48"/>
        <v>1682.3723161962066</v>
      </c>
      <c r="V95" s="44">
        <f t="shared" si="49"/>
        <v>13013.571286779819</v>
      </c>
      <c r="W95" s="44">
        <f t="shared" si="50"/>
        <v>8741.4145186135574</v>
      </c>
      <c r="X95" s="44">
        <f t="shared" si="51"/>
        <v>3263.1262403839205</v>
      </c>
      <c r="Y95" s="14">
        <f t="shared" si="52"/>
        <v>1731.5934856820929</v>
      </c>
      <c r="Z95" s="14">
        <f t="shared" si="53"/>
        <v>1039.2655585699408</v>
      </c>
      <c r="AA95" s="14">
        <f t="shared" si="54"/>
        <v>1731.5934856820929</v>
      </c>
      <c r="AB95" s="14">
        <f t="shared" si="55"/>
        <v>1594.9105598414785</v>
      </c>
      <c r="AC95" s="14">
        <f t="shared" si="56"/>
        <v>1731.5934856820929</v>
      </c>
      <c r="AD95" s="33">
        <f t="shared" si="57"/>
        <v>0.8071502850121578</v>
      </c>
      <c r="AE95" s="33">
        <f t="shared" si="58"/>
        <v>0.3071502850121578</v>
      </c>
      <c r="AF95" s="51">
        <f t="shared" si="59"/>
        <v>0</v>
      </c>
      <c r="AG95" s="51">
        <f>APPLICANTS_PER_YEAR*($H95/Segments!$AH$2)*AE95</f>
        <v>7.7401871823063759</v>
      </c>
      <c r="AH95" s="51">
        <f t="shared" si="60"/>
        <v>7.7401871823063759</v>
      </c>
      <c r="AI95" s="14">
        <f t="shared" si="61"/>
        <v>1731.5934856820929</v>
      </c>
      <c r="AJ95" s="44">
        <f t="shared" si="62"/>
        <v>13402.857702841755</v>
      </c>
      <c r="AK95" s="44">
        <f t="shared" si="63"/>
        <v>9009.4031501101963</v>
      </c>
      <c r="AL95" s="44">
        <f t="shared" si="64"/>
        <v>3350.5485486403404</v>
      </c>
      <c r="AM95" s="14">
        <f t="shared" si="65"/>
        <v>1782.2912902525554</v>
      </c>
      <c r="AN95" s="14">
        <f t="shared" si="66"/>
        <v>1070.443525327039</v>
      </c>
      <c r="AO95" s="14">
        <f t="shared" si="67"/>
        <v>1782.2912902525554</v>
      </c>
      <c r="AP95" s="14">
        <f t="shared" si="68"/>
        <v>1642.1821099655886</v>
      </c>
      <c r="AQ95" s="14">
        <f t="shared" si="69"/>
        <v>1782.2912902525554</v>
      </c>
      <c r="AR95" s="33">
        <f t="shared" si="70"/>
        <v>0.80734054723994564</v>
      </c>
      <c r="AS95" s="33">
        <f t="shared" si="71"/>
        <v>0.30734054723994564</v>
      </c>
      <c r="AT95" s="51">
        <f t="shared" si="72"/>
        <v>0</v>
      </c>
      <c r="AU95" s="51">
        <f>APPLICANTS_PER_YEAR*($H95/Segments!$AH$2)*AS95</f>
        <v>7.74498179044663</v>
      </c>
      <c r="AV95" s="51">
        <f t="shared" si="73"/>
        <v>7.74498179044663</v>
      </c>
      <c r="AW95" s="14">
        <f t="shared" si="74"/>
        <v>1782.2912902525554</v>
      </c>
      <c r="AX95" s="44">
        <f t="shared" si="75"/>
        <v>13803.813588277671</v>
      </c>
      <c r="AY95" s="44">
        <f t="shared" si="76"/>
        <v>9285.4334847225418</v>
      </c>
      <c r="AZ95" s="44">
        <f t="shared" si="77"/>
        <v>3440.5784243442968</v>
      </c>
    </row>
    <row r="96" spans="1:52" ht="15" customHeight="1" x14ac:dyDescent="0.35">
      <c r="A96" s="59" t="str">
        <f>Segments!$A$76</f>
        <v>Non-greek</v>
      </c>
      <c r="B96" s="59" t="str">
        <f>Segments!$B$76</f>
        <v>Off 0-1mi</v>
      </c>
      <c r="C96" s="59" t="str">
        <f>Segments!$C$76</f>
        <v>No</v>
      </c>
      <c r="D96" s="59" t="str">
        <f>Segments!$D$76</f>
        <v>2.0-3.0</v>
      </c>
      <c r="E96" s="59" t="str">
        <f>Segments!$E$76</f>
        <v>Sophomore</v>
      </c>
      <c r="F96" s="59">
        <f>Segments!$F$76</f>
        <v>1</v>
      </c>
      <c r="G96" s="59" t="str">
        <f>Segments!$G$76</f>
        <v>Sophomore</v>
      </c>
      <c r="H96" s="60">
        <f>Segments!$H$76</f>
        <v>17</v>
      </c>
      <c r="I96" s="26">
        <f>Segments!$Y$76</f>
        <v>998.73041080719656</v>
      </c>
      <c r="J96" s="29">
        <v>1</v>
      </c>
      <c r="K96" s="14">
        <f t="shared" si="39"/>
        <v>1426.2297754450396</v>
      </c>
      <c r="L96" s="14">
        <f t="shared" si="40"/>
        <v>998.73041080719656</v>
      </c>
      <c r="M96" s="14">
        <f t="shared" si="41"/>
        <v>1665.68017531388</v>
      </c>
      <c r="N96" s="14">
        <f t="shared" si="42"/>
        <v>1541.3119938549657</v>
      </c>
      <c r="O96" s="14">
        <f t="shared" si="43"/>
        <v>1665.68017531388</v>
      </c>
      <c r="P96" s="33">
        <f t="shared" si="44"/>
        <v>0.7592879482723992</v>
      </c>
      <c r="Q96" s="33">
        <f t="shared" si="45"/>
        <v>0.30965509191041274</v>
      </c>
      <c r="R96" s="51">
        <f t="shared" si="46"/>
        <v>15.945046913720383</v>
      </c>
      <c r="S96" s="51">
        <f>APPLICANTS_PER_YEAR*($H96/Segments!$AH$2)*Q96</f>
        <v>6.3169638749724193</v>
      </c>
      <c r="T96" s="51">
        <f t="shared" si="47"/>
        <v>22.262010788692802</v>
      </c>
      <c r="U96" s="14">
        <f t="shared" si="48"/>
        <v>1665.68017531388</v>
      </c>
      <c r="V96" s="44">
        <f t="shared" si="49"/>
        <v>37081.390033349315</v>
      </c>
      <c r="W96" s="44">
        <f t="shared" si="50"/>
        <v>24901.796842031654</v>
      </c>
      <c r="X96" s="44">
        <f t="shared" si="51"/>
        <v>7979.8184812662294</v>
      </c>
      <c r="Y96" s="14">
        <f t="shared" si="52"/>
        <v>1682.3723161962066</v>
      </c>
      <c r="Z96" s="14">
        <f t="shared" si="53"/>
        <v>1028.6923231314124</v>
      </c>
      <c r="AA96" s="14">
        <f t="shared" si="54"/>
        <v>1714.4005805732963</v>
      </c>
      <c r="AB96" s="14">
        <f t="shared" si="55"/>
        <v>1586.9729139797928</v>
      </c>
      <c r="AC96" s="14">
        <f t="shared" si="56"/>
        <v>1714.4005805732963</v>
      </c>
      <c r="AD96" s="33">
        <f t="shared" si="57"/>
        <v>0.80414070372105007</v>
      </c>
      <c r="AE96" s="33">
        <f t="shared" si="58"/>
        <v>0.30985197180399826</v>
      </c>
      <c r="AF96" s="51">
        <f t="shared" si="59"/>
        <v>6.2202297741891304</v>
      </c>
      <c r="AG96" s="51">
        <f>APPLICANTS_PER_YEAR*($H96/Segments!$AH$2)*AE96</f>
        <v>6.3209802248015645</v>
      </c>
      <c r="AH96" s="51">
        <f t="shared" si="60"/>
        <v>12.541209998990695</v>
      </c>
      <c r="AI96" s="14">
        <f t="shared" si="61"/>
        <v>1714.4005805732963</v>
      </c>
      <c r="AJ96" s="44">
        <f t="shared" si="62"/>
        <v>21500.657703361278</v>
      </c>
      <c r="AK96" s="44">
        <f t="shared" si="63"/>
        <v>14449.172022589515</v>
      </c>
      <c r="AL96" s="44">
        <f t="shared" si="64"/>
        <v>4851.7572373868588</v>
      </c>
      <c r="AM96" s="14">
        <f t="shared" si="65"/>
        <v>1731.5934856820929</v>
      </c>
      <c r="AN96" s="14">
        <f t="shared" si="66"/>
        <v>1059.5530928253547</v>
      </c>
      <c r="AO96" s="14">
        <f t="shared" si="67"/>
        <v>1764.5825979904951</v>
      </c>
      <c r="AP96" s="14">
        <f t="shared" si="68"/>
        <v>1634.003453868326</v>
      </c>
      <c r="AQ96" s="14">
        <f t="shared" si="69"/>
        <v>1764.5825979904951</v>
      </c>
      <c r="AR96" s="33">
        <f t="shared" si="70"/>
        <v>0.80432779508831098</v>
      </c>
      <c r="AS96" s="33">
        <f t="shared" si="71"/>
        <v>0.31004318601253955</v>
      </c>
      <c r="AT96" s="51">
        <f t="shared" si="72"/>
        <v>6.2256476899152942</v>
      </c>
      <c r="AU96" s="51">
        <f>APPLICANTS_PER_YEAR*($H96/Segments!$AH$2)*AS96</f>
        <v>6.324880994655806</v>
      </c>
      <c r="AV96" s="51">
        <f t="shared" si="73"/>
        <v>12.5505286845711</v>
      </c>
      <c r="AW96" s="14">
        <f t="shared" si="74"/>
        <v>1764.5825979904951</v>
      </c>
      <c r="AX96" s="44">
        <f t="shared" si="75"/>
        <v>22146.444512374703</v>
      </c>
      <c r="AY96" s="44">
        <f t="shared" si="76"/>
        <v>14893.705662450318</v>
      </c>
      <c r="AZ96" s="44">
        <f t="shared" si="77"/>
        <v>4985.4377342102016</v>
      </c>
    </row>
    <row r="97" spans="1:52" ht="15" customHeight="1" x14ac:dyDescent="0.35">
      <c r="A97" s="59" t="str">
        <f>Segments!$A$77</f>
        <v>Non-greek</v>
      </c>
      <c r="B97" s="59" t="str">
        <f>Segments!$B$77</f>
        <v>Off 0-1mi</v>
      </c>
      <c r="C97" s="59" t="str">
        <f>Segments!$C$77</f>
        <v>No</v>
      </c>
      <c r="D97" s="59" t="str">
        <f>Segments!$D$77</f>
        <v>2.0-3.0</v>
      </c>
      <c r="E97" s="59" t="str">
        <f>Segments!$E$77</f>
        <v>Junior</v>
      </c>
      <c r="F97" s="59">
        <f>Segments!$F$77</f>
        <v>2</v>
      </c>
      <c r="G97" s="59" t="str">
        <f>Segments!$G$77</f>
        <v>Base</v>
      </c>
      <c r="H97" s="60">
        <f>Segments!$H$77</f>
        <v>18</v>
      </c>
      <c r="I97" s="26">
        <f>Segments!$Y$77</f>
        <v>1193.9079244418904</v>
      </c>
      <c r="J97" s="29">
        <v>2</v>
      </c>
      <c r="K97" s="14">
        <f t="shared" si="39"/>
        <v>1426.2297754450396</v>
      </c>
      <c r="L97" s="14">
        <f t="shared" si="40"/>
        <v>1193.9079244418904</v>
      </c>
      <c r="M97" s="14">
        <f t="shared" si="41"/>
        <v>1983.0540284548244</v>
      </c>
      <c r="N97" s="14">
        <f t="shared" si="42"/>
        <v>1681.7522712036116</v>
      </c>
      <c r="O97" s="14">
        <f t="shared" si="43"/>
        <v>1782.7872193062994</v>
      </c>
      <c r="P97" s="33">
        <f t="shared" si="44"/>
        <v>0.74496140578113257</v>
      </c>
      <c r="Q97" s="33">
        <f t="shared" si="45"/>
        <v>0.2604202912609791</v>
      </c>
      <c r="R97" s="51">
        <f t="shared" si="46"/>
        <v>12.664343898279254</v>
      </c>
      <c r="S97" s="51">
        <f>APPLICANTS_PER_YEAR*($H97/Segments!$AH$2)*Q97</f>
        <v>5.6250782912371475</v>
      </c>
      <c r="T97" s="51">
        <f t="shared" si="47"/>
        <v>18.289422189516401</v>
      </c>
      <c r="U97" s="14">
        <f t="shared" si="48"/>
        <v>1844.3810995789322</v>
      </c>
      <c r="V97" s="44">
        <f t="shared" si="49"/>
        <v>33732.66460856358</v>
      </c>
      <c r="W97" s="44">
        <f t="shared" si="50"/>
        <v>24456.192415790221</v>
      </c>
      <c r="X97" s="44">
        <f t="shared" si="51"/>
        <v>7272.3082078931784</v>
      </c>
      <c r="Y97" s="14">
        <f t="shared" si="52"/>
        <v>1665.68017531388</v>
      </c>
      <c r="Z97" s="14">
        <f t="shared" si="53"/>
        <v>1229.725162175147</v>
      </c>
      <c r="AA97" s="14">
        <f t="shared" si="54"/>
        <v>2041.2956493084691</v>
      </c>
      <c r="AB97" s="14">
        <f t="shared" si="55"/>
        <v>1731.6747196272336</v>
      </c>
      <c r="AC97" s="14">
        <f t="shared" si="56"/>
        <v>2041.2956493084691</v>
      </c>
      <c r="AD97" s="33">
        <f t="shared" si="57"/>
        <v>0.69294989729344336</v>
      </c>
      <c r="AE97" s="33">
        <f t="shared" si="58"/>
        <v>0.26060072478626772</v>
      </c>
      <c r="AF97" s="51">
        <f t="shared" si="59"/>
        <v>15.426458089570206</v>
      </c>
      <c r="AG97" s="51">
        <f>APPLICANTS_PER_YEAR*($H97/Segments!$AH$2)*AE97</f>
        <v>5.6289756553833818</v>
      </c>
      <c r="AH97" s="51">
        <f t="shared" si="60"/>
        <v>21.055433744953589</v>
      </c>
      <c r="AI97" s="14">
        <f t="shared" si="61"/>
        <v>2041.2956493084691</v>
      </c>
      <c r="AJ97" s="44">
        <f t="shared" si="62"/>
        <v>42980.365297876488</v>
      </c>
      <c r="AK97" s="44">
        <f t="shared" si="63"/>
        <v>28999.484277882853</v>
      </c>
      <c r="AL97" s="44">
        <f t="shared" si="64"/>
        <v>9087.2862306212191</v>
      </c>
      <c r="AM97" s="14">
        <f t="shared" si="65"/>
        <v>1714.4005805732963</v>
      </c>
      <c r="AN97" s="14">
        <f t="shared" si="66"/>
        <v>1266.6169170404014</v>
      </c>
      <c r="AO97" s="14">
        <f t="shared" si="67"/>
        <v>2101.2845187877228</v>
      </c>
      <c r="AP97" s="14">
        <f t="shared" si="68"/>
        <v>1783.0946815332036</v>
      </c>
      <c r="AQ97" s="14">
        <f t="shared" si="69"/>
        <v>2101.2845187877228</v>
      </c>
      <c r="AR97" s="33">
        <f t="shared" si="70"/>
        <v>0.69307580291226412</v>
      </c>
      <c r="AS97" s="33">
        <f t="shared" si="71"/>
        <v>0.26077595582840218</v>
      </c>
      <c r="AT97" s="51">
        <f t="shared" si="72"/>
        <v>8.6920091895417908</v>
      </c>
      <c r="AU97" s="51">
        <f>APPLICANTS_PER_YEAR*($H97/Segments!$AH$2)*AS97</f>
        <v>5.6327606458934865</v>
      </c>
      <c r="AV97" s="51">
        <f t="shared" si="73"/>
        <v>14.324769835435276</v>
      </c>
      <c r="AW97" s="14">
        <f t="shared" si="74"/>
        <v>2101.2845187877228</v>
      </c>
      <c r="AX97" s="44">
        <f t="shared" si="75"/>
        <v>30100.417090397503</v>
      </c>
      <c r="AY97" s="44">
        <f t="shared" si="76"/>
        <v>20321.275303025053</v>
      </c>
      <c r="AZ97" s="44">
        <f t="shared" si="77"/>
        <v>6530.5543889550172</v>
      </c>
    </row>
    <row r="98" spans="1:52" ht="15" customHeight="1" x14ac:dyDescent="0.35">
      <c r="A98" s="59" t="str">
        <f>Segments!$A$78</f>
        <v>Non-greek</v>
      </c>
      <c r="B98" s="59" t="str">
        <f>Segments!$B$78</f>
        <v>Off 0-1mi</v>
      </c>
      <c r="C98" s="59" t="str">
        <f>Segments!$C$78</f>
        <v>No</v>
      </c>
      <c r="D98" s="59" t="str">
        <f>Segments!$D$78</f>
        <v>2.0-3.0</v>
      </c>
      <c r="E98" s="59" t="str">
        <f>Segments!$E$78</f>
        <v>Senior</v>
      </c>
      <c r="F98" s="59">
        <f>Segments!$F$78</f>
        <v>3</v>
      </c>
      <c r="G98" s="59" t="str">
        <f>Segments!$G$78</f>
        <v>Base</v>
      </c>
      <c r="H98" s="60">
        <f>Segments!$H$78</f>
        <v>17</v>
      </c>
      <c r="I98" s="26">
        <f>Segments!$Y$78</f>
        <v>1115.9307611325241</v>
      </c>
      <c r="J98" s="29">
        <v>3</v>
      </c>
      <c r="K98" s="14">
        <f t="shared" si="39"/>
        <v>1426.2297754450396</v>
      </c>
      <c r="L98" s="14">
        <f t="shared" si="40"/>
        <v>1115.9307611325241</v>
      </c>
      <c r="M98" s="14">
        <f t="shared" si="41"/>
        <v>1856.2570818413228</v>
      </c>
      <c r="N98" s="14">
        <f t="shared" si="42"/>
        <v>1627.0983747158052</v>
      </c>
      <c r="O98" s="14">
        <f t="shared" si="43"/>
        <v>1782.7872193062994</v>
      </c>
      <c r="P98" s="33">
        <f t="shared" si="44"/>
        <v>0.72715751948074825</v>
      </c>
      <c r="Q98" s="33">
        <f t="shared" si="45"/>
        <v>0.27958056172677836</v>
      </c>
      <c r="R98" s="51">
        <f t="shared" si="46"/>
        <v>13.088835350653468</v>
      </c>
      <c r="S98" s="51">
        <f>APPLICANTS_PER_YEAR*($H98/Segments!$AH$2)*Q98</f>
        <v>5.7034434592262784</v>
      </c>
      <c r="T98" s="51">
        <f t="shared" si="47"/>
        <v>18.792278809879747</v>
      </c>
      <c r="U98" s="14">
        <f t="shared" si="48"/>
        <v>1805.085271137317</v>
      </c>
      <c r="V98" s="44">
        <f t="shared" si="49"/>
        <v>33921.665690819842</v>
      </c>
      <c r="W98" s="44">
        <f t="shared" si="50"/>
        <v>23487.387835210557</v>
      </c>
      <c r="X98" s="44">
        <f t="shared" si="51"/>
        <v>7300.1734841656644</v>
      </c>
      <c r="Y98" s="14">
        <f t="shared" si="52"/>
        <v>1844.3810995789322</v>
      </c>
      <c r="Z98" s="14">
        <f t="shared" si="53"/>
        <v>1149.4086839664999</v>
      </c>
      <c r="AA98" s="14">
        <f t="shared" si="54"/>
        <v>1910.6947942965626</v>
      </c>
      <c r="AB98" s="14">
        <f t="shared" si="55"/>
        <v>1675.3633939047372</v>
      </c>
      <c r="AC98" s="14">
        <f t="shared" si="56"/>
        <v>1910.6947942965626</v>
      </c>
      <c r="AD98" s="33">
        <f t="shared" si="57"/>
        <v>0.76898072509130477</v>
      </c>
      <c r="AE98" s="33">
        <f t="shared" si="58"/>
        <v>0.27976705792665579</v>
      </c>
      <c r="AF98" s="51">
        <f t="shared" si="59"/>
        <v>14.06421313679532</v>
      </c>
      <c r="AG98" s="51">
        <f>APPLICANTS_PER_YEAR*($H98/Segments!$AH$2)*AE98</f>
        <v>5.7072479817037776</v>
      </c>
      <c r="AH98" s="51">
        <f t="shared" si="60"/>
        <v>19.771461118499097</v>
      </c>
      <c r="AI98" s="14">
        <f t="shared" si="61"/>
        <v>1910.6947942965626</v>
      </c>
      <c r="AJ98" s="44">
        <f t="shared" si="62"/>
        <v>37777.227834753117</v>
      </c>
      <c r="AK98" s="44">
        <f t="shared" si="63"/>
        <v>25452.547796825937</v>
      </c>
      <c r="AL98" s="44">
        <f t="shared" si="64"/>
        <v>8059.6747979749498</v>
      </c>
      <c r="AM98" s="14">
        <f t="shared" si="65"/>
        <v>2041.2956493084691</v>
      </c>
      <c r="AN98" s="14">
        <f t="shared" si="66"/>
        <v>1183.8909444854949</v>
      </c>
      <c r="AO98" s="14">
        <f t="shared" si="67"/>
        <v>1966.7656381254594</v>
      </c>
      <c r="AP98" s="14">
        <f t="shared" si="68"/>
        <v>1725.0761870203503</v>
      </c>
      <c r="AQ98" s="14">
        <f t="shared" si="69"/>
        <v>1966.7656381254594</v>
      </c>
      <c r="AR98" s="33">
        <f t="shared" si="70"/>
        <v>0.77994818057207982</v>
      </c>
      <c r="AS98" s="33">
        <f t="shared" si="71"/>
        <v>0.27994818057207982</v>
      </c>
      <c r="AT98" s="51">
        <f t="shared" si="72"/>
        <v>16.422147240532524</v>
      </c>
      <c r="AU98" s="51">
        <f>APPLICANTS_PER_YEAR*($H98/Segments!$AH$2)*AS98</f>
        <v>5.7109428836704277</v>
      </c>
      <c r="AV98" s="51">
        <f t="shared" si="73"/>
        <v>22.133090124202951</v>
      </c>
      <c r="AW98" s="14">
        <f t="shared" si="74"/>
        <v>1966.7656381254596</v>
      </c>
      <c r="AX98" s="44">
        <f t="shared" si="75"/>
        <v>43530.601121816326</v>
      </c>
      <c r="AY98" s="44">
        <f t="shared" si="76"/>
        <v>29347.544768108237</v>
      </c>
      <c r="AZ98" s="44">
        <f t="shared" si="77"/>
        <v>9205.842004470609</v>
      </c>
    </row>
    <row r="99" spans="1:52" ht="15" customHeight="1" x14ac:dyDescent="0.35">
      <c r="A99" s="59" t="str">
        <f>Segments!$A$79</f>
        <v>Non-greek</v>
      </c>
      <c r="B99" s="59" t="str">
        <f>Segments!$B$79</f>
        <v>Off 0-1mi</v>
      </c>
      <c r="C99" s="59" t="str">
        <f>Segments!$C$79</f>
        <v>No</v>
      </c>
      <c r="D99" s="59" t="str">
        <f>Segments!$D$79</f>
        <v>2.0-3.0</v>
      </c>
      <c r="E99" s="59" t="str">
        <f>Segments!$E$79</f>
        <v>Grad student</v>
      </c>
      <c r="F99" s="59">
        <f>Segments!$F$79</f>
        <v>3</v>
      </c>
      <c r="G99" s="59" t="str">
        <f>Segments!$G$79</f>
        <v>Grad</v>
      </c>
      <c r="H99" s="60">
        <f>Segments!$H$79</f>
        <v>7</v>
      </c>
      <c r="I99" s="26">
        <f>Segments!$Y$79</f>
        <v>1328.716915141172</v>
      </c>
      <c r="J99" s="29">
        <v>4</v>
      </c>
      <c r="K99" s="14">
        <f t="shared" si="39"/>
        <v>1426.2297754450396</v>
      </c>
      <c r="L99" s="14">
        <f t="shared" si="40"/>
        <v>1328.716915141172</v>
      </c>
      <c r="M99" s="14">
        <f t="shared" si="41"/>
        <v>2202.2639569937824</v>
      </c>
      <c r="N99" s="14">
        <f t="shared" si="42"/>
        <v>1772.2681594087128</v>
      </c>
      <c r="O99" s="14">
        <f t="shared" si="43"/>
        <v>1782.7872193062994</v>
      </c>
      <c r="P99" s="33">
        <f t="shared" si="44"/>
        <v>0.77203231707861408</v>
      </c>
      <c r="Q99" s="33">
        <f t="shared" si="45"/>
        <v>0.22868771570987023</v>
      </c>
      <c r="R99" s="51">
        <f t="shared" si="46"/>
        <v>2.7021131097751492</v>
      </c>
      <c r="S99" s="51">
        <f>APPLICANTS_PER_YEAR*($H99/Segments!$AH$2)*Q99</f>
        <v>1.92097681196291</v>
      </c>
      <c r="T99" s="51">
        <f t="shared" si="47"/>
        <v>4.6230899217380594</v>
      </c>
      <c r="U99" s="14">
        <f t="shared" si="48"/>
        <v>1957.0873302486707</v>
      </c>
      <c r="V99" s="44">
        <f t="shared" si="49"/>
        <v>9047.7907124338744</v>
      </c>
      <c r="W99" s="44">
        <f t="shared" si="50"/>
        <v>6879.9111127398819</v>
      </c>
      <c r="X99" s="44">
        <f t="shared" si="51"/>
        <v>1998.5860932160724</v>
      </c>
      <c r="Y99" s="14">
        <f t="shared" si="52"/>
        <v>1957.0873302486707</v>
      </c>
      <c r="Z99" s="14">
        <f t="shared" si="53"/>
        <v>1368.5784225954071</v>
      </c>
      <c r="AA99" s="14">
        <f t="shared" si="54"/>
        <v>2267.0818757035959</v>
      </c>
      <c r="AB99" s="14">
        <f t="shared" si="55"/>
        <v>1824.9331671968882</v>
      </c>
      <c r="AC99" s="14">
        <f t="shared" si="56"/>
        <v>2267.0818757035959</v>
      </c>
      <c r="AD99" s="33">
        <f t="shared" si="57"/>
        <v>0.68134017100891087</v>
      </c>
      <c r="AE99" s="33">
        <f t="shared" si="58"/>
        <v>0.22885893125997281</v>
      </c>
      <c r="AF99" s="51">
        <f t="shared" si="59"/>
        <v>1.5749484389332908</v>
      </c>
      <c r="AG99" s="51">
        <f>APPLICANTS_PER_YEAR*($H99/Segments!$AH$2)*AE99</f>
        <v>1.9224150225837717</v>
      </c>
      <c r="AH99" s="51">
        <f t="shared" si="60"/>
        <v>3.4973634615170628</v>
      </c>
      <c r="AI99" s="14">
        <f t="shared" si="61"/>
        <v>2267.0818757035959</v>
      </c>
      <c r="AJ99" s="44">
        <f t="shared" si="62"/>
        <v>7928.8093163533231</v>
      </c>
      <c r="AK99" s="44">
        <f t="shared" si="63"/>
        <v>5360.7861097345358</v>
      </c>
      <c r="AL99" s="44">
        <f t="shared" si="64"/>
        <v>1769.0921345205134</v>
      </c>
      <c r="AM99" s="14">
        <f t="shared" si="65"/>
        <v>2267.0818757035959</v>
      </c>
      <c r="AN99" s="14">
        <f t="shared" si="66"/>
        <v>1409.6357752732692</v>
      </c>
      <c r="AO99" s="14">
        <f t="shared" si="67"/>
        <v>2333.8443319747034</v>
      </c>
      <c r="AP99" s="14">
        <f t="shared" si="68"/>
        <v>1879.1779885409157</v>
      </c>
      <c r="AQ99" s="14">
        <f t="shared" si="69"/>
        <v>2333.8443319747034</v>
      </c>
      <c r="AR99" s="33">
        <f t="shared" si="70"/>
        <v>0.72019061599103162</v>
      </c>
      <c r="AS99" s="33">
        <f t="shared" si="71"/>
        <v>0.229025205114601</v>
      </c>
      <c r="AT99" s="51">
        <f t="shared" si="72"/>
        <v>1.2593841728472501</v>
      </c>
      <c r="AU99" s="51">
        <f>APPLICANTS_PER_YEAR*($H99/Segments!$AH$2)*AS99</f>
        <v>1.9238117229626486</v>
      </c>
      <c r="AV99" s="51">
        <f t="shared" si="73"/>
        <v>3.1831958958098987</v>
      </c>
      <c r="AW99" s="14">
        <f t="shared" si="74"/>
        <v>2333.8443319747034</v>
      </c>
      <c r="AX99" s="44">
        <f t="shared" si="75"/>
        <v>7429.0836990010703</v>
      </c>
      <c r="AY99" s="44">
        <f t="shared" si="76"/>
        <v>5025.604432169077</v>
      </c>
      <c r="AZ99" s="44">
        <f t="shared" si="77"/>
        <v>1673.0017280912668</v>
      </c>
    </row>
    <row r="100" spans="1:52" ht="15" customHeight="1" x14ac:dyDescent="0.35">
      <c r="A100" s="61" t="str">
        <f>Segments!$A$80</f>
        <v>Non-greek</v>
      </c>
      <c r="B100" s="61" t="str">
        <f>Segments!$B$80</f>
        <v>Off 0-1mi</v>
      </c>
      <c r="C100" s="61" t="str">
        <f>Segments!$C$80</f>
        <v>No</v>
      </c>
      <c r="D100" s="61" t="str">
        <f>Segments!$D$80</f>
        <v>3.0+</v>
      </c>
      <c r="E100" s="61" t="str">
        <f>Segments!$E$80</f>
        <v>Freshman</v>
      </c>
      <c r="F100" s="61">
        <f>Segments!$F$80</f>
        <v>1</v>
      </c>
      <c r="G100" s="61" t="str">
        <f>Segments!$G$80</f>
        <v>Base</v>
      </c>
      <c r="H100" s="62">
        <f>Segments!$H$80</f>
        <v>4</v>
      </c>
      <c r="I100" s="63">
        <f>Segments!$Y$80</f>
        <v>884.43276648812105</v>
      </c>
      <c r="J100" s="42">
        <v>0</v>
      </c>
      <c r="K100" s="40">
        <f t="shared" si="39"/>
        <v>1479.8232950465513</v>
      </c>
      <c r="L100" s="40">
        <f t="shared" si="40"/>
        <v>884.43276648812105</v>
      </c>
      <c r="M100" s="40">
        <f t="shared" si="41"/>
        <v>1479.8232950465513</v>
      </c>
      <c r="N100" s="40">
        <f t="shared" si="42"/>
        <v>1452.7794209007029</v>
      </c>
      <c r="O100" s="40">
        <f t="shared" si="43"/>
        <v>1479.8232950465513</v>
      </c>
      <c r="P100" s="41">
        <f t="shared" si="44"/>
        <v>0.84069236741766284</v>
      </c>
      <c r="Q100" s="41">
        <f t="shared" si="45"/>
        <v>0.34069236741766284</v>
      </c>
      <c r="R100" s="64">
        <f t="shared" si="46"/>
        <v>0</v>
      </c>
      <c r="S100" s="64">
        <f>APPLICANTS_PER_YEAR*($H100/Segments!$AH$2)*Q100</f>
        <v>1.6353233636047817</v>
      </c>
      <c r="T100" s="64">
        <f t="shared" si="47"/>
        <v>1.6353233636047817</v>
      </c>
      <c r="U100" s="40">
        <f t="shared" si="48"/>
        <v>1479.8232950465513</v>
      </c>
      <c r="V100" s="65">
        <f t="shared" si="49"/>
        <v>2419.9896083962376</v>
      </c>
      <c r="W100" s="65">
        <f t="shared" si="50"/>
        <v>1619.8935945647131</v>
      </c>
      <c r="X100" s="65">
        <f t="shared" si="51"/>
        <v>615.66722364297243</v>
      </c>
      <c r="Y100" s="40">
        <f t="shared" si="52"/>
        <v>1522.967993897948</v>
      </c>
      <c r="Z100" s="40">
        <f t="shared" si="53"/>
        <v>910.96574948276475</v>
      </c>
      <c r="AA100" s="40">
        <f t="shared" si="54"/>
        <v>1522.967993897948</v>
      </c>
      <c r="AB100" s="40">
        <f t="shared" si="55"/>
        <v>1495.7490995970761</v>
      </c>
      <c r="AC100" s="40">
        <f t="shared" si="56"/>
        <v>1522.967993897948</v>
      </c>
      <c r="AD100" s="41">
        <f t="shared" si="57"/>
        <v>0.84090124997962423</v>
      </c>
      <c r="AE100" s="41">
        <f t="shared" si="58"/>
        <v>0.34090124997962423</v>
      </c>
      <c r="AF100" s="64">
        <f t="shared" si="59"/>
        <v>0</v>
      </c>
      <c r="AG100" s="64">
        <f>APPLICANTS_PER_YEAR*($H100/Segments!$AH$2)*AE100</f>
        <v>1.6363259999021962</v>
      </c>
      <c r="AH100" s="64">
        <f t="shared" si="60"/>
        <v>1.6363259999021962</v>
      </c>
      <c r="AI100" s="40">
        <f t="shared" si="61"/>
        <v>1522.967993897948</v>
      </c>
      <c r="AJ100" s="65">
        <f t="shared" si="62"/>
        <v>2492.0721254341015</v>
      </c>
      <c r="AK100" s="65">
        <f t="shared" si="63"/>
        <v>1669.5133738069233</v>
      </c>
      <c r="AL100" s="65">
        <f t="shared" si="64"/>
        <v>631.8588260928376</v>
      </c>
      <c r="AM100" s="40">
        <f t="shared" si="65"/>
        <v>1567.4070337148862</v>
      </c>
      <c r="AN100" s="40">
        <f t="shared" si="66"/>
        <v>938.2947219672476</v>
      </c>
      <c r="AO100" s="40">
        <f t="shared" si="67"/>
        <v>1567.4070337148862</v>
      </c>
      <c r="AP100" s="40">
        <f t="shared" si="68"/>
        <v>1540.0076204205227</v>
      </c>
      <c r="AQ100" s="40">
        <f t="shared" si="69"/>
        <v>1567.4070337148862</v>
      </c>
      <c r="AR100" s="41">
        <f t="shared" si="70"/>
        <v>0.84110413061239209</v>
      </c>
      <c r="AS100" s="41">
        <f t="shared" si="71"/>
        <v>0.34110413061239209</v>
      </c>
      <c r="AT100" s="64">
        <f t="shared" si="72"/>
        <v>0</v>
      </c>
      <c r="AU100" s="64">
        <f>APPLICANTS_PER_YEAR*($H100/Segments!$AH$2)*AS100</f>
        <v>1.6372998269394821</v>
      </c>
      <c r="AV100" s="64">
        <f t="shared" si="73"/>
        <v>1.6372998269394821</v>
      </c>
      <c r="AW100" s="40">
        <f t="shared" si="74"/>
        <v>1567.4070337148862</v>
      </c>
      <c r="AX100" s="65">
        <f t="shared" si="75"/>
        <v>2566.3152650451102</v>
      </c>
      <c r="AY100" s="65">
        <f t="shared" si="76"/>
        <v>1720.6221602026287</v>
      </c>
      <c r="AZ100" s="65">
        <f t="shared" si="77"/>
        <v>648.53311158238148</v>
      </c>
    </row>
    <row r="101" spans="1:52" ht="15" customHeight="1" x14ac:dyDescent="0.35">
      <c r="A101" s="61" t="str">
        <f>Segments!$A$81</f>
        <v>Non-greek</v>
      </c>
      <c r="B101" s="61" t="str">
        <f>Segments!$B$81</f>
        <v>Off 0-1mi</v>
      </c>
      <c r="C101" s="61" t="str">
        <f>Segments!$C$81</f>
        <v>No</v>
      </c>
      <c r="D101" s="61" t="str">
        <f>Segments!$D$81</f>
        <v>3.0+</v>
      </c>
      <c r="E101" s="61" t="str">
        <f>Segments!$E$81</f>
        <v>Sophomore</v>
      </c>
      <c r="F101" s="61">
        <f>Segments!$F$81</f>
        <v>1</v>
      </c>
      <c r="G101" s="61" t="str">
        <f>Segments!$G$81</f>
        <v>Sophomore</v>
      </c>
      <c r="H101" s="62">
        <f>Segments!$H$81</f>
        <v>12</v>
      </c>
      <c r="I101" s="63">
        <f>Segments!$Y$81</f>
        <v>875.43476227974952</v>
      </c>
      <c r="J101" s="42">
        <v>1</v>
      </c>
      <c r="K101" s="40">
        <f t="shared" si="39"/>
        <v>1426.2297754450396</v>
      </c>
      <c r="L101" s="40">
        <f t="shared" si="40"/>
        <v>875.43476227974952</v>
      </c>
      <c r="M101" s="40">
        <f t="shared" si="41"/>
        <v>1465.1918387224675</v>
      </c>
      <c r="N101" s="40">
        <f t="shared" si="42"/>
        <v>1445.5795471453825</v>
      </c>
      <c r="O101" s="40">
        <f t="shared" si="43"/>
        <v>1465.1918387224675</v>
      </c>
      <c r="P101" s="41">
        <f t="shared" si="44"/>
        <v>0.83502099367071925</v>
      </c>
      <c r="Q101" s="41">
        <f t="shared" si="45"/>
        <v>0.34321646061753786</v>
      </c>
      <c r="R101" s="64">
        <f t="shared" si="46"/>
        <v>3.340083974682877</v>
      </c>
      <c r="S101" s="64">
        <f>APPLICANTS_PER_YEAR*($H101/Segments!$AH$2)*Q101</f>
        <v>4.9423170328925448</v>
      </c>
      <c r="T101" s="64">
        <f t="shared" si="47"/>
        <v>8.2824010075754213</v>
      </c>
      <c r="U101" s="40">
        <f t="shared" si="48"/>
        <v>1465.1918387224675</v>
      </c>
      <c r="V101" s="65">
        <f t="shared" si="49"/>
        <v>12135.306361326249</v>
      </c>
      <c r="W101" s="65">
        <f t="shared" si="50"/>
        <v>8120.7859680330293</v>
      </c>
      <c r="X101" s="65">
        <f t="shared" si="51"/>
        <v>2836.2293385985449</v>
      </c>
      <c r="Y101" s="40">
        <f t="shared" si="52"/>
        <v>1479.8232950465513</v>
      </c>
      <c r="Z101" s="40">
        <f t="shared" si="53"/>
        <v>901.69780514814204</v>
      </c>
      <c r="AA101" s="40">
        <f t="shared" si="54"/>
        <v>1507.8975938841415</v>
      </c>
      <c r="AB101" s="40">
        <f t="shared" si="55"/>
        <v>1488.3301717431787</v>
      </c>
      <c r="AC101" s="40">
        <f t="shared" si="56"/>
        <v>1507.8975938841415</v>
      </c>
      <c r="AD101" s="41">
        <f t="shared" si="57"/>
        <v>0.83773496819416216</v>
      </c>
      <c r="AE101" s="41">
        <f t="shared" si="58"/>
        <v>0.34342638397297121</v>
      </c>
      <c r="AF101" s="64">
        <f t="shared" si="59"/>
        <v>1.3699675659966222</v>
      </c>
      <c r="AG101" s="64">
        <f>APPLICANTS_PER_YEAR*($H101/Segments!$AH$2)*AE101</f>
        <v>4.9453399292107845</v>
      </c>
      <c r="AH101" s="64">
        <f t="shared" si="60"/>
        <v>6.3153074952074064</v>
      </c>
      <c r="AI101" s="40">
        <f t="shared" si="61"/>
        <v>1507.8975938841415</v>
      </c>
      <c r="AJ101" s="65">
        <f t="shared" si="62"/>
        <v>9522.8369766617325</v>
      </c>
      <c r="AK101" s="65">
        <f t="shared" si="63"/>
        <v>6377.8387761358254</v>
      </c>
      <c r="AL101" s="65">
        <f t="shared" si="64"/>
        <v>2310.753153030349</v>
      </c>
      <c r="AM101" s="40">
        <f t="shared" si="65"/>
        <v>1522.967993897948</v>
      </c>
      <c r="AN101" s="40">
        <f t="shared" si="66"/>
        <v>928.74873930258627</v>
      </c>
      <c r="AO101" s="40">
        <f t="shared" si="67"/>
        <v>1551.8845217006658</v>
      </c>
      <c r="AP101" s="40">
        <f t="shared" si="68"/>
        <v>1532.3630631144472</v>
      </c>
      <c r="AQ101" s="40">
        <f t="shared" si="69"/>
        <v>1551.8845217006658</v>
      </c>
      <c r="AR101" s="41">
        <f t="shared" si="70"/>
        <v>0.83793418921956009</v>
      </c>
      <c r="AS101" s="41">
        <f t="shared" si="71"/>
        <v>0.34363027631762988</v>
      </c>
      <c r="AT101" s="64">
        <f t="shared" si="72"/>
        <v>1.3711335000269327</v>
      </c>
      <c r="AU101" s="64">
        <f>APPLICANTS_PER_YEAR*($H101/Segments!$AH$2)*AS101</f>
        <v>4.9482759789738697</v>
      </c>
      <c r="AV101" s="64">
        <f t="shared" si="73"/>
        <v>6.319409479000802</v>
      </c>
      <c r="AW101" s="40">
        <f t="shared" si="74"/>
        <v>1551.8845217006658</v>
      </c>
      <c r="AX101" s="65">
        <f t="shared" si="75"/>
        <v>9806.9937567498127</v>
      </c>
      <c r="AY101" s="65">
        <f t="shared" si="76"/>
        <v>6573.4408171698651</v>
      </c>
      <c r="AZ101" s="65">
        <f t="shared" si="77"/>
        <v>2372.3872606106243</v>
      </c>
    </row>
    <row r="102" spans="1:52" ht="15" customHeight="1" x14ac:dyDescent="0.35">
      <c r="A102" s="61" t="str">
        <f>Segments!$A$82</f>
        <v>Non-greek</v>
      </c>
      <c r="B102" s="61" t="str">
        <f>Segments!$B$82</f>
        <v>Off 0-1mi</v>
      </c>
      <c r="C102" s="61" t="str">
        <f>Segments!$C$82</f>
        <v>No</v>
      </c>
      <c r="D102" s="61" t="str">
        <f>Segments!$D$82</f>
        <v>3.0+</v>
      </c>
      <c r="E102" s="61" t="str">
        <f>Segments!$E$82</f>
        <v>Junior</v>
      </c>
      <c r="F102" s="61">
        <f>Segments!$F$82</f>
        <v>2</v>
      </c>
      <c r="G102" s="61" t="str">
        <f>Segments!$G$82</f>
        <v>Base</v>
      </c>
      <c r="H102" s="62">
        <f>Segments!$H$82</f>
        <v>16</v>
      </c>
      <c r="I102" s="63">
        <f>Segments!$Y$82</f>
        <v>1046.5171468774547</v>
      </c>
      <c r="J102" s="42">
        <v>2</v>
      </c>
      <c r="K102" s="40">
        <f t="shared" si="39"/>
        <v>1426.2297754450396</v>
      </c>
      <c r="L102" s="40">
        <f t="shared" si="40"/>
        <v>1046.5171468774547</v>
      </c>
      <c r="M102" s="40">
        <f t="shared" si="41"/>
        <v>1743.3851336014072</v>
      </c>
      <c r="N102" s="40">
        <f t="shared" si="42"/>
        <v>1576.8537622780864</v>
      </c>
      <c r="O102" s="40">
        <f t="shared" si="43"/>
        <v>1743.3851336014072</v>
      </c>
      <c r="P102" s="41">
        <f t="shared" si="44"/>
        <v>0.7304830723645187</v>
      </c>
      <c r="Q102" s="41">
        <f t="shared" si="45"/>
        <v>0.29719504899340432</v>
      </c>
      <c r="R102" s="64">
        <f t="shared" si="46"/>
        <v>8.765796868374224</v>
      </c>
      <c r="S102" s="64">
        <f>APPLICANTS_PER_YEAR*($H102/Segments!$AH$2)*Q102</f>
        <v>5.7061449406733624</v>
      </c>
      <c r="T102" s="64">
        <f t="shared" si="47"/>
        <v>14.471941809047586</v>
      </c>
      <c r="U102" s="40">
        <f t="shared" si="48"/>
        <v>1743.3851336014072</v>
      </c>
      <c r="V102" s="65">
        <f t="shared" si="49"/>
        <v>25230.168204238216</v>
      </c>
      <c r="W102" s="65">
        <f t="shared" si="50"/>
        <v>16962.551481994757</v>
      </c>
      <c r="X102" s="65">
        <f t="shared" si="51"/>
        <v>5548.7745393898786</v>
      </c>
      <c r="Y102" s="40">
        <f t="shared" si="52"/>
        <v>1465.1918387224675</v>
      </c>
      <c r="Z102" s="40">
        <f t="shared" si="53"/>
        <v>1077.9126612837783</v>
      </c>
      <c r="AA102" s="40">
        <f t="shared" si="54"/>
        <v>1794.4366876094496</v>
      </c>
      <c r="AB102" s="40">
        <f t="shared" si="55"/>
        <v>1623.5939778898396</v>
      </c>
      <c r="AC102" s="40">
        <f t="shared" si="56"/>
        <v>1794.4366876094496</v>
      </c>
      <c r="AD102" s="41">
        <f t="shared" si="57"/>
        <v>0.72997416399535475</v>
      </c>
      <c r="AE102" s="41">
        <f t="shared" si="58"/>
        <v>0.29738748971536233</v>
      </c>
      <c r="AF102" s="64">
        <f t="shared" si="59"/>
        <v>6.0459387513791523</v>
      </c>
      <c r="AG102" s="64">
        <f>APPLICANTS_PER_YEAR*($H102/Segments!$AH$2)*AE102</f>
        <v>5.7098398025349564</v>
      </c>
      <c r="AH102" s="64">
        <f t="shared" si="60"/>
        <v>11.755778553914109</v>
      </c>
      <c r="AI102" s="40">
        <f t="shared" si="61"/>
        <v>1794.4366876094496</v>
      </c>
      <c r="AJ102" s="65">
        <f t="shared" si="62"/>
        <v>21095.000328555838</v>
      </c>
      <c r="AK102" s="65">
        <f t="shared" si="63"/>
        <v>14192.306852093805</v>
      </c>
      <c r="AL102" s="65">
        <f t="shared" si="64"/>
        <v>4723.4247390101591</v>
      </c>
      <c r="AM102" s="40">
        <f t="shared" si="65"/>
        <v>1507.8975938841415</v>
      </c>
      <c r="AN102" s="40">
        <f t="shared" si="66"/>
        <v>1110.2500411222916</v>
      </c>
      <c r="AO102" s="40">
        <f t="shared" si="67"/>
        <v>1847.0197882377329</v>
      </c>
      <c r="AP102" s="40">
        <f t="shared" si="68"/>
        <v>1671.7362058788269</v>
      </c>
      <c r="AQ102" s="40">
        <f t="shared" si="69"/>
        <v>1847.0197882377329</v>
      </c>
      <c r="AR102" s="41">
        <f t="shared" si="70"/>
        <v>0.73010518024410365</v>
      </c>
      <c r="AS102" s="41">
        <f t="shared" si="71"/>
        <v>0.2975743895052031</v>
      </c>
      <c r="AT102" s="64">
        <f t="shared" si="72"/>
        <v>4.6108387170853424</v>
      </c>
      <c r="AU102" s="64">
        <f>APPLICANTS_PER_YEAR*($H102/Segments!$AH$2)*AS102</f>
        <v>5.7134282784998991</v>
      </c>
      <c r="AV102" s="64">
        <f t="shared" si="73"/>
        <v>10.324266995585241</v>
      </c>
      <c r="AW102" s="40">
        <f t="shared" si="74"/>
        <v>1847.0197882377329</v>
      </c>
      <c r="AX102" s="65">
        <f t="shared" si="75"/>
        <v>19069.125439895666</v>
      </c>
      <c r="AY102" s="65">
        <f t="shared" si="76"/>
        <v>12838.019999174756</v>
      </c>
      <c r="AZ102" s="65">
        <f t="shared" si="77"/>
        <v>4322.7342831318056</v>
      </c>
    </row>
    <row r="103" spans="1:52" ht="15" customHeight="1" x14ac:dyDescent="0.35">
      <c r="A103" s="61" t="str">
        <f>Segments!$A$83</f>
        <v>Non-greek</v>
      </c>
      <c r="B103" s="61" t="str">
        <f>Segments!$B$83</f>
        <v>Off 0-1mi</v>
      </c>
      <c r="C103" s="61" t="str">
        <f>Segments!$C$83</f>
        <v>No</v>
      </c>
      <c r="D103" s="61" t="str">
        <f>Segments!$D$83</f>
        <v>3.0+</v>
      </c>
      <c r="E103" s="61" t="str">
        <f>Segments!$E$83</f>
        <v>Senior</v>
      </c>
      <c r="F103" s="61">
        <f>Segments!$F$83</f>
        <v>3</v>
      </c>
      <c r="G103" s="61" t="str">
        <f>Segments!$G$83</f>
        <v>Base</v>
      </c>
      <c r="H103" s="62">
        <f>Segments!$H$83</f>
        <v>22</v>
      </c>
      <c r="I103" s="63">
        <f>Segments!$Y$83</f>
        <v>978.16645014658025</v>
      </c>
      <c r="J103" s="42">
        <v>3</v>
      </c>
      <c r="K103" s="40">
        <f t="shared" si="39"/>
        <v>1426.2297754450396</v>
      </c>
      <c r="L103" s="40">
        <f t="shared" si="40"/>
        <v>978.16645014658025</v>
      </c>
      <c r="M103" s="40">
        <f t="shared" si="41"/>
        <v>1632.2415721205125</v>
      </c>
      <c r="N103" s="40">
        <f t="shared" si="42"/>
        <v>1525.7626063308464</v>
      </c>
      <c r="O103" s="40">
        <f t="shared" si="43"/>
        <v>1632.2415721205125</v>
      </c>
      <c r="P103" s="41">
        <f t="shared" si="44"/>
        <v>0.7717728052194599</v>
      </c>
      <c r="Q103" s="41">
        <f t="shared" si="45"/>
        <v>0.31510631295201075</v>
      </c>
      <c r="R103" s="64">
        <f t="shared" si="46"/>
        <v>12.348364883511358</v>
      </c>
      <c r="S103" s="64">
        <f>APPLICANTS_PER_YEAR*($H103/Segments!$AH$2)*Q103</f>
        <v>8.3188066619330847</v>
      </c>
      <c r="T103" s="64">
        <f t="shared" si="47"/>
        <v>20.667171545444443</v>
      </c>
      <c r="U103" s="40">
        <f t="shared" si="48"/>
        <v>1632.2415721205127</v>
      </c>
      <c r="V103" s="65">
        <f t="shared" si="49"/>
        <v>33733.816574620563</v>
      </c>
      <c r="W103" s="65">
        <f t="shared" si="50"/>
        <v>22641.845884199141</v>
      </c>
      <c r="X103" s="65">
        <f t="shared" si="51"/>
        <v>7472.2455023019102</v>
      </c>
      <c r="Y103" s="40">
        <f t="shared" si="52"/>
        <v>1743.3851336014072</v>
      </c>
      <c r="Z103" s="40">
        <f t="shared" si="53"/>
        <v>1007.5114436509776</v>
      </c>
      <c r="AA103" s="40">
        <f t="shared" si="54"/>
        <v>1679.9588192841277</v>
      </c>
      <c r="AB103" s="40">
        <f t="shared" si="55"/>
        <v>1570.9511476401967</v>
      </c>
      <c r="AC103" s="40">
        <f t="shared" si="56"/>
        <v>1679.9588192841277</v>
      </c>
      <c r="AD103" s="41">
        <f t="shared" si="57"/>
        <v>0.81530520003512619</v>
      </c>
      <c r="AE103" s="41">
        <f t="shared" si="58"/>
        <v>0.31530520003512619</v>
      </c>
      <c r="AF103" s="64">
        <f t="shared" si="59"/>
        <v>11.799049411522248</v>
      </c>
      <c r="AG103" s="64">
        <f>APPLICANTS_PER_YEAR*($H103/Segments!$AH$2)*AE103</f>
        <v>8.3240572809273328</v>
      </c>
      <c r="AH103" s="64">
        <f t="shared" si="60"/>
        <v>20.123106692449582</v>
      </c>
      <c r="AI103" s="40">
        <f t="shared" si="61"/>
        <v>1679.9588192841275</v>
      </c>
      <c r="AJ103" s="65">
        <f t="shared" si="62"/>
        <v>33805.990559376121</v>
      </c>
      <c r="AK103" s="65">
        <f t="shared" si="63"/>
        <v>22707.171507386833</v>
      </c>
      <c r="AL103" s="65">
        <f t="shared" si="64"/>
        <v>7489.3383520404677</v>
      </c>
      <c r="AM103" s="40">
        <f t="shared" si="65"/>
        <v>1794.4366876094496</v>
      </c>
      <c r="AN103" s="40">
        <f t="shared" si="66"/>
        <v>1037.7367869605068</v>
      </c>
      <c r="AO103" s="40">
        <f t="shared" si="67"/>
        <v>1729.1075838626514</v>
      </c>
      <c r="AP103" s="40">
        <f t="shared" si="68"/>
        <v>1617.495130924621</v>
      </c>
      <c r="AQ103" s="40">
        <f t="shared" si="69"/>
        <v>1729.1075838626514</v>
      </c>
      <c r="AR103" s="41">
        <f t="shared" si="70"/>
        <v>0.81549836509423412</v>
      </c>
      <c r="AS103" s="41">
        <f t="shared" si="71"/>
        <v>0.31549836509423412</v>
      </c>
      <c r="AT103" s="64">
        <f t="shared" si="72"/>
        <v>9.5868181911268149</v>
      </c>
      <c r="AU103" s="64">
        <f>APPLICANTS_PER_YEAR*($H103/Segments!$AH$2)*AS103</f>
        <v>8.3291568384877817</v>
      </c>
      <c r="AV103" s="64">
        <f t="shared" si="73"/>
        <v>17.915975029614597</v>
      </c>
      <c r="AW103" s="40">
        <f t="shared" si="74"/>
        <v>1729.1075838626512</v>
      </c>
      <c r="AX103" s="65">
        <f t="shared" si="75"/>
        <v>30978.648296000487</v>
      </c>
      <c r="AY103" s="65">
        <f t="shared" si="76"/>
        <v>20823.114325996557</v>
      </c>
      <c r="AZ103" s="65">
        <f t="shared" si="77"/>
        <v>6925.5832384799533</v>
      </c>
    </row>
    <row r="104" spans="1:52" ht="15" customHeight="1" x14ac:dyDescent="0.35">
      <c r="A104" s="61" t="str">
        <f>Segments!$A$84</f>
        <v>Non-greek</v>
      </c>
      <c r="B104" s="61" t="str">
        <f>Segments!$B$84</f>
        <v>Off 0-1mi</v>
      </c>
      <c r="C104" s="61" t="str">
        <f>Segments!$C$84</f>
        <v>No</v>
      </c>
      <c r="D104" s="61" t="str">
        <f>Segments!$D$84</f>
        <v>3.0+</v>
      </c>
      <c r="E104" s="61" t="str">
        <f>Segments!$E$84</f>
        <v>Grad student</v>
      </c>
      <c r="F104" s="61">
        <f>Segments!$F$84</f>
        <v>3</v>
      </c>
      <c r="G104" s="61" t="str">
        <f>Segments!$G$84</f>
        <v>Grad</v>
      </c>
      <c r="H104" s="62">
        <f>Segments!$H$84</f>
        <v>4</v>
      </c>
      <c r="I104" s="63">
        <f>Segments!$Y$84</f>
        <v>1164.6836465143435</v>
      </c>
      <c r="J104" s="42">
        <v>4</v>
      </c>
      <c r="K104" s="40">
        <f t="shared" si="39"/>
        <v>1426.2297754450396</v>
      </c>
      <c r="L104" s="40">
        <f t="shared" si="40"/>
        <v>1164.6836465143435</v>
      </c>
      <c r="M104" s="40">
        <f t="shared" si="41"/>
        <v>1935.5330742301123</v>
      </c>
      <c r="N104" s="40">
        <f t="shared" si="42"/>
        <v>1661.4797325955137</v>
      </c>
      <c r="O104" s="40">
        <f t="shared" si="43"/>
        <v>1782.7872193062994</v>
      </c>
      <c r="P104" s="41">
        <f t="shared" si="44"/>
        <v>0.73849414189925666</v>
      </c>
      <c r="Q104" s="41">
        <f t="shared" si="45"/>
        <v>0.26752732932634671</v>
      </c>
      <c r="R104" s="64">
        <f t="shared" si="46"/>
        <v>1.4769882837985133</v>
      </c>
      <c r="S104" s="64">
        <f>APPLICANTS_PER_YEAR*($H104/Segments!$AH$2)*Q104</f>
        <v>1.2841311807664642</v>
      </c>
      <c r="T104" s="64">
        <f t="shared" si="47"/>
        <v>2.7611194645649775</v>
      </c>
      <c r="U104" s="40">
        <f t="shared" si="48"/>
        <v>1853.8256939386897</v>
      </c>
      <c r="V104" s="65">
        <f t="shared" si="49"/>
        <v>5118.634207444793</v>
      </c>
      <c r="W104" s="65">
        <f t="shared" si="50"/>
        <v>3601.7303688254224</v>
      </c>
      <c r="X104" s="65">
        <f t="shared" si="51"/>
        <v>1141.7392770383551</v>
      </c>
      <c r="Y104" s="40">
        <f t="shared" si="52"/>
        <v>1853.8256939386897</v>
      </c>
      <c r="Z104" s="40">
        <f t="shared" si="53"/>
        <v>1199.6241559097739</v>
      </c>
      <c r="AA104" s="40">
        <f t="shared" si="54"/>
        <v>1992.3490664570159</v>
      </c>
      <c r="AB104" s="40">
        <f t="shared" si="55"/>
        <v>1710.7875345907094</v>
      </c>
      <c r="AC104" s="40">
        <f t="shared" si="56"/>
        <v>1992.3490664570159</v>
      </c>
      <c r="AD104" s="41">
        <f t="shared" si="57"/>
        <v>0.74529307234842834</v>
      </c>
      <c r="AE104" s="41">
        <f t="shared" si="58"/>
        <v>0.2677099650969611</v>
      </c>
      <c r="AF104" s="64">
        <f t="shared" si="59"/>
        <v>1.0289216044333398</v>
      </c>
      <c r="AG104" s="64">
        <f>APPLICANTS_PER_YEAR*($H104/Segments!$AH$2)*AE104</f>
        <v>1.2850078324654133</v>
      </c>
      <c r="AH104" s="64">
        <f t="shared" si="60"/>
        <v>2.3139294368987531</v>
      </c>
      <c r="AI104" s="40">
        <f t="shared" si="61"/>
        <v>1992.3490664570159</v>
      </c>
      <c r="AJ104" s="65">
        <f t="shared" si="62"/>
        <v>4610.1551534526388</v>
      </c>
      <c r="AK104" s="65">
        <f t="shared" si="63"/>
        <v>3108.9471252833787</v>
      </c>
      <c r="AL104" s="65">
        <f t="shared" si="64"/>
        <v>1039.329553991244</v>
      </c>
      <c r="AM104" s="40">
        <f t="shared" si="65"/>
        <v>1992.3490664570159</v>
      </c>
      <c r="AN104" s="40">
        <f t="shared" si="66"/>
        <v>1235.6128805870669</v>
      </c>
      <c r="AO104" s="40">
        <f t="shared" si="67"/>
        <v>2050.8695384507259</v>
      </c>
      <c r="AP104" s="40">
        <f t="shared" si="68"/>
        <v>1761.574404744322</v>
      </c>
      <c r="AQ104" s="40">
        <f t="shared" si="69"/>
        <v>2050.8695384507259</v>
      </c>
      <c r="AR104" s="41">
        <f t="shared" si="70"/>
        <v>0.75907555623074785</v>
      </c>
      <c r="AS104" s="41">
        <f t="shared" si="71"/>
        <v>0.26788733620127936</v>
      </c>
      <c r="AT104" s="64">
        <f t="shared" si="72"/>
        <v>0.87822363719631102</v>
      </c>
      <c r="AU104" s="64">
        <f>APPLICANTS_PER_YEAR*($H104/Segments!$AH$2)*AS104</f>
        <v>1.2858592137661409</v>
      </c>
      <c r="AV104" s="64">
        <f t="shared" si="73"/>
        <v>2.1640828509624521</v>
      </c>
      <c r="AW104" s="40">
        <f t="shared" si="74"/>
        <v>2050.8695384507255</v>
      </c>
      <c r="AX104" s="65">
        <f t="shared" si="75"/>
        <v>4438.2515977224948</v>
      </c>
      <c r="AY104" s="65">
        <f t="shared" si="76"/>
        <v>2994.8448827436023</v>
      </c>
      <c r="AZ104" s="65">
        <f t="shared" si="77"/>
        <v>1006.5572215616753</v>
      </c>
    </row>
    <row r="105" spans="1:52" ht="15" customHeight="1" x14ac:dyDescent="0.35">
      <c r="A105" s="59" t="str">
        <f>Segments!$A$85</f>
        <v>Non-greek</v>
      </c>
      <c r="B105" s="59" t="str">
        <f>Segments!$B$85</f>
        <v>Off 1-3mi</v>
      </c>
      <c r="C105" s="59" t="str">
        <f>Segments!$C$85</f>
        <v>Yes</v>
      </c>
      <c r="D105" s="59" t="str">
        <f>Segments!$D$85</f>
        <v>&lt;1.0</v>
      </c>
      <c r="E105" s="59" t="str">
        <f>Segments!$E$85</f>
        <v>Freshman</v>
      </c>
      <c r="F105" s="59">
        <f>Segments!$F$85</f>
        <v>1</v>
      </c>
      <c r="G105" s="59" t="str">
        <f>Segments!$G$85</f>
        <v>Base</v>
      </c>
      <c r="H105" s="60">
        <f>Segments!$H$85</f>
        <v>11</v>
      </c>
      <c r="I105" s="26">
        <f>Segments!$Y$85</f>
        <v>631.9706680925641</v>
      </c>
      <c r="J105" s="29">
        <v>0</v>
      </c>
      <c r="K105" s="14">
        <f t="shared" si="39"/>
        <v>1069.3002411981824</v>
      </c>
      <c r="L105" s="14">
        <f t="shared" si="40"/>
        <v>631.9706680925641</v>
      </c>
      <c r="M105" s="14">
        <f t="shared" si="41"/>
        <v>1069.3002411981824</v>
      </c>
      <c r="N105" s="14">
        <f t="shared" si="42"/>
        <v>1234.9363719995497</v>
      </c>
      <c r="O105" s="14">
        <f t="shared" si="43"/>
        <v>1069.3002411981824</v>
      </c>
      <c r="P105" s="33">
        <f t="shared" si="44"/>
        <v>0.91706261737727313</v>
      </c>
      <c r="Q105" s="33">
        <f t="shared" si="45"/>
        <v>0.41706261737727307</v>
      </c>
      <c r="R105" s="51">
        <f t="shared" si="46"/>
        <v>0</v>
      </c>
      <c r="S105" s="51">
        <f>APPLICANTS_PER_YEAR*($H105/Segments!$AH$2)*Q105</f>
        <v>5.505226549380005</v>
      </c>
      <c r="T105" s="51">
        <f t="shared" si="47"/>
        <v>5.505226549380005</v>
      </c>
      <c r="U105" s="14">
        <f t="shared" si="48"/>
        <v>1069.3002411981824</v>
      </c>
      <c r="V105" s="44">
        <f t="shared" si="49"/>
        <v>5886.7400771026769</v>
      </c>
      <c r="W105" s="44">
        <f t="shared" si="50"/>
        <v>3896.6387044621156</v>
      </c>
      <c r="X105" s="44">
        <f t="shared" si="51"/>
        <v>1566.3649719931</v>
      </c>
      <c r="Y105" s="14">
        <f t="shared" si="52"/>
        <v>1100.1292484341279</v>
      </c>
      <c r="Z105" s="14">
        <f t="shared" si="53"/>
        <v>650.92978813534103</v>
      </c>
      <c r="AA105" s="14">
        <f t="shared" si="54"/>
        <v>1100.1292484341279</v>
      </c>
      <c r="AB105" s="14">
        <f t="shared" si="55"/>
        <v>1271.2624448489651</v>
      </c>
      <c r="AC105" s="14">
        <f t="shared" si="56"/>
        <v>1100.1292484341279</v>
      </c>
      <c r="AD105" s="33">
        <f t="shared" si="57"/>
        <v>0.91730836622612921</v>
      </c>
      <c r="AE105" s="33">
        <f t="shared" si="58"/>
        <v>0.41730836622612921</v>
      </c>
      <c r="AF105" s="51">
        <f t="shared" si="59"/>
        <v>0</v>
      </c>
      <c r="AG105" s="51">
        <f>APPLICANTS_PER_YEAR*($H105/Segments!$AH$2)*AE105</f>
        <v>5.5084704341849058</v>
      </c>
      <c r="AH105" s="51">
        <f t="shared" si="60"/>
        <v>5.5084704341849058</v>
      </c>
      <c r="AI105" s="14">
        <f t="shared" si="61"/>
        <v>1100.1292484341279</v>
      </c>
      <c r="AJ105" s="44">
        <f t="shared" si="62"/>
        <v>6060.0294387814547</v>
      </c>
      <c r="AK105" s="44">
        <f t="shared" si="63"/>
        <v>4015.9027917946232</v>
      </c>
      <c r="AL105" s="44">
        <f t="shared" si="64"/>
        <v>1605.3277638253667</v>
      </c>
      <c r="AM105" s="14">
        <f t="shared" si="65"/>
        <v>1131.8831258871517</v>
      </c>
      <c r="AN105" s="14">
        <f t="shared" si="66"/>
        <v>670.45768177940124</v>
      </c>
      <c r="AO105" s="14">
        <f t="shared" si="67"/>
        <v>1131.8831258871517</v>
      </c>
      <c r="AP105" s="14">
        <f t="shared" si="68"/>
        <v>1308.6778955597604</v>
      </c>
      <c r="AQ105" s="14">
        <f t="shared" si="69"/>
        <v>1131.8831258871517</v>
      </c>
      <c r="AR105" s="33">
        <f t="shared" si="70"/>
        <v>0.91754709095051545</v>
      </c>
      <c r="AS105" s="33">
        <f t="shared" si="71"/>
        <v>0.41754709095051545</v>
      </c>
      <c r="AT105" s="51">
        <f t="shared" si="72"/>
        <v>0</v>
      </c>
      <c r="AU105" s="51">
        <f>APPLICANTS_PER_YEAR*($H105/Segments!$AH$2)*AS105</f>
        <v>5.5116216005468042</v>
      </c>
      <c r="AV105" s="51">
        <f t="shared" si="73"/>
        <v>5.5116216005468042</v>
      </c>
      <c r="AW105" s="14">
        <f t="shared" si="74"/>
        <v>1131.8831258871517</v>
      </c>
      <c r="AX105" s="44">
        <f t="shared" si="75"/>
        <v>6238.5114859340629</v>
      </c>
      <c r="AY105" s="44">
        <f t="shared" si="76"/>
        <v>4138.7461260856298</v>
      </c>
      <c r="AZ105" s="44">
        <f t="shared" si="77"/>
        <v>1645.4495448738362</v>
      </c>
    </row>
    <row r="106" spans="1:52" ht="15" customHeight="1" x14ac:dyDescent="0.35">
      <c r="A106" s="59" t="str">
        <f>Segments!$A$86</f>
        <v>Non-greek</v>
      </c>
      <c r="B106" s="59" t="str">
        <f>Segments!$B$86</f>
        <v>Off 1-3mi</v>
      </c>
      <c r="C106" s="59" t="str">
        <f>Segments!$C$86</f>
        <v>Yes</v>
      </c>
      <c r="D106" s="59" t="str">
        <f>Segments!$D$86</f>
        <v>&lt;1.0</v>
      </c>
      <c r="E106" s="59" t="str">
        <f>Segments!$E$86</f>
        <v>Sophomore</v>
      </c>
      <c r="F106" s="59">
        <f>Segments!$F$86</f>
        <v>1</v>
      </c>
      <c r="G106" s="59" t="str">
        <f>Segments!$G$86</f>
        <v>Sophomore</v>
      </c>
      <c r="H106" s="60">
        <f>Segments!$H$86</f>
        <v>12</v>
      </c>
      <c r="I106" s="26">
        <f>Segments!$Y$86</f>
        <v>625.54115197044666</v>
      </c>
      <c r="J106" s="29">
        <v>1</v>
      </c>
      <c r="K106" s="14">
        <f t="shared" si="39"/>
        <v>1426.2297754450396</v>
      </c>
      <c r="L106" s="14">
        <f t="shared" si="40"/>
        <v>625.54115197044666</v>
      </c>
      <c r="M106" s="14">
        <f t="shared" si="41"/>
        <v>1058.8453467407835</v>
      </c>
      <c r="N106" s="14">
        <f t="shared" si="42"/>
        <v>1228.8843562813927</v>
      </c>
      <c r="O106" s="14">
        <f t="shared" si="43"/>
        <v>1069.6723315837799</v>
      </c>
      <c r="P106" s="33">
        <f t="shared" si="44"/>
        <v>0.9147790916548848</v>
      </c>
      <c r="Q106" s="33">
        <f t="shared" si="45"/>
        <v>0.41918430065101797</v>
      </c>
      <c r="R106" s="51">
        <f t="shared" si="46"/>
        <v>10.062570008203732</v>
      </c>
      <c r="S106" s="51">
        <f>APPLICANTS_PER_YEAR*($H106/Segments!$AH$2)*Q106</f>
        <v>6.0362539293746584</v>
      </c>
      <c r="T106" s="51">
        <f t="shared" si="47"/>
        <v>16.098823937578391</v>
      </c>
      <c r="U106" s="14">
        <f t="shared" si="48"/>
        <v>1065.6127536882004</v>
      </c>
      <c r="V106" s="44">
        <f t="shared" si="49"/>
        <v>17155.112107264427</v>
      </c>
      <c r="W106" s="44">
        <f t="shared" si="50"/>
        <v>11278.934095836054</v>
      </c>
      <c r="X106" s="44">
        <f t="shared" si="51"/>
        <v>3938.9000937291557</v>
      </c>
      <c r="Y106" s="14">
        <f t="shared" si="52"/>
        <v>1069.3002411981824</v>
      </c>
      <c r="Z106" s="14">
        <f t="shared" si="53"/>
        <v>644.30738652956006</v>
      </c>
      <c r="AA106" s="14">
        <f t="shared" si="54"/>
        <v>1089.3607071430072</v>
      </c>
      <c r="AB106" s="14">
        <f t="shared" si="55"/>
        <v>1265.0253108254542</v>
      </c>
      <c r="AC106" s="14">
        <f t="shared" si="56"/>
        <v>1089.3607071430072</v>
      </c>
      <c r="AD106" s="33">
        <f t="shared" si="57"/>
        <v>0.91380315008063528</v>
      </c>
      <c r="AE106" s="33">
        <f t="shared" si="58"/>
        <v>0.41943126045747747</v>
      </c>
      <c r="AF106" s="51">
        <f t="shared" si="59"/>
        <v>5.0306933627309949</v>
      </c>
      <c r="AG106" s="51">
        <f>APPLICANTS_PER_YEAR*($H106/Segments!$AH$2)*AE106</f>
        <v>6.0398101505876749</v>
      </c>
      <c r="AH106" s="51">
        <f t="shared" si="60"/>
        <v>11.07050351331867</v>
      </c>
      <c r="AI106" s="14">
        <f t="shared" si="61"/>
        <v>1089.3607071430072</v>
      </c>
      <c r="AJ106" s="44">
        <f t="shared" si="62"/>
        <v>12059.771535697972</v>
      </c>
      <c r="AK106" s="44">
        <f t="shared" si="63"/>
        <v>7988.7440485805855</v>
      </c>
      <c r="AL106" s="44">
        <f t="shared" si="64"/>
        <v>2881.9857592608619</v>
      </c>
      <c r="AM106" s="14">
        <f t="shared" si="65"/>
        <v>1100.1292484341279</v>
      </c>
      <c r="AN106" s="14">
        <f t="shared" si="66"/>
        <v>663.63660812544686</v>
      </c>
      <c r="AO106" s="14">
        <f t="shared" si="67"/>
        <v>1120.7915283572972</v>
      </c>
      <c r="AP106" s="14">
        <f t="shared" si="68"/>
        <v>1302.2500836717745</v>
      </c>
      <c r="AQ106" s="14">
        <f t="shared" si="69"/>
        <v>1120.7915283572972</v>
      </c>
      <c r="AR106" s="33">
        <f t="shared" si="70"/>
        <v>0.91403665764941766</v>
      </c>
      <c r="AS106" s="33">
        <f t="shared" si="71"/>
        <v>0.41967116285485029</v>
      </c>
      <c r="AT106" s="51">
        <f t="shared" si="72"/>
        <v>5.0349439044230078</v>
      </c>
      <c r="AU106" s="51">
        <f>APPLICANTS_PER_YEAR*($H106/Segments!$AH$2)*AS106</f>
        <v>6.0432647451098438</v>
      </c>
      <c r="AV106" s="51">
        <f t="shared" si="73"/>
        <v>11.078208649532851</v>
      </c>
      <c r="AW106" s="14">
        <f t="shared" si="74"/>
        <v>1120.7915283572972</v>
      </c>
      <c r="AX106" s="44">
        <f t="shared" si="75"/>
        <v>12416.362403770954</v>
      </c>
      <c r="AY106" s="44">
        <f t="shared" si="76"/>
        <v>8234.1333897558052</v>
      </c>
      <c r="AZ106" s="44">
        <f t="shared" si="77"/>
        <v>2956.4016834789936</v>
      </c>
    </row>
    <row r="107" spans="1:52" ht="15" customHeight="1" x14ac:dyDescent="0.35">
      <c r="A107" s="59" t="str">
        <f>Segments!$A$87</f>
        <v>Non-greek</v>
      </c>
      <c r="B107" s="59" t="str">
        <f>Segments!$B$87</f>
        <v>Off 1-3mi</v>
      </c>
      <c r="C107" s="59" t="str">
        <f>Segments!$C$87</f>
        <v>Yes</v>
      </c>
      <c r="D107" s="59" t="str">
        <f>Segments!$D$87</f>
        <v>&lt;1.0</v>
      </c>
      <c r="E107" s="59" t="str">
        <f>Segments!$E$87</f>
        <v>Junior</v>
      </c>
      <c r="F107" s="59">
        <f>Segments!$F$87</f>
        <v>2</v>
      </c>
      <c r="G107" s="59" t="str">
        <f>Segments!$G$87</f>
        <v>Base</v>
      </c>
      <c r="H107" s="60">
        <f>Segments!$H$87</f>
        <v>9</v>
      </c>
      <c r="I107" s="26">
        <f>Segments!$Y$87</f>
        <v>747.78792186613532</v>
      </c>
      <c r="J107" s="29">
        <v>2</v>
      </c>
      <c r="K107" s="14">
        <f t="shared" si="39"/>
        <v>1426.2297754450396</v>
      </c>
      <c r="L107" s="14">
        <f t="shared" si="40"/>
        <v>747.78792186613532</v>
      </c>
      <c r="M107" s="14">
        <f t="shared" si="41"/>
        <v>1257.6281249067445</v>
      </c>
      <c r="N107" s="14">
        <f t="shared" si="42"/>
        <v>1339.2784169765121</v>
      </c>
      <c r="O107" s="14">
        <f t="shared" si="43"/>
        <v>1257.6281249067445</v>
      </c>
      <c r="P107" s="33">
        <f t="shared" si="44"/>
        <v>0.88048294179715714</v>
      </c>
      <c r="Q107" s="33">
        <f t="shared" si="45"/>
        <v>0.38048294179715714</v>
      </c>
      <c r="R107" s="51">
        <f t="shared" si="46"/>
        <v>10.565795301565885</v>
      </c>
      <c r="S107" s="51">
        <f>APPLICANTS_PER_YEAR*($H107/Segments!$AH$2)*Q107</f>
        <v>4.1092157714092963</v>
      </c>
      <c r="T107" s="51">
        <f t="shared" si="47"/>
        <v>14.675011072975181</v>
      </c>
      <c r="U107" s="14">
        <f t="shared" si="48"/>
        <v>1257.6281249067445</v>
      </c>
      <c r="V107" s="44">
        <f t="shared" si="49"/>
        <v>18455.706658691488</v>
      </c>
      <c r="W107" s="44">
        <f t="shared" si="50"/>
        <v>12290.651557657353</v>
      </c>
      <c r="X107" s="44">
        <f t="shared" si="51"/>
        <v>4065.2344606276415</v>
      </c>
      <c r="Y107" s="14">
        <f t="shared" si="52"/>
        <v>1065.6127536882004</v>
      </c>
      <c r="Z107" s="14">
        <f t="shared" si="53"/>
        <v>770.22155952211938</v>
      </c>
      <c r="AA107" s="14">
        <f t="shared" si="54"/>
        <v>1294.1069686539468</v>
      </c>
      <c r="AB107" s="14">
        <f t="shared" si="55"/>
        <v>1378.7910313185007</v>
      </c>
      <c r="AC107" s="14">
        <f t="shared" si="56"/>
        <v>1294.1069686539468</v>
      </c>
      <c r="AD107" s="33">
        <f t="shared" si="57"/>
        <v>0.81638197854850381</v>
      </c>
      <c r="AE107" s="33">
        <f t="shared" si="58"/>
        <v>0.38070953492625087</v>
      </c>
      <c r="AF107" s="51">
        <f t="shared" si="59"/>
        <v>13.142789738464261</v>
      </c>
      <c r="AG107" s="51">
        <f>APPLICANTS_PER_YEAR*($H107/Segments!$AH$2)*AE107</f>
        <v>4.1116629772035092</v>
      </c>
      <c r="AH107" s="51">
        <f t="shared" si="60"/>
        <v>17.254452715667771</v>
      </c>
      <c r="AI107" s="14">
        <f t="shared" si="61"/>
        <v>1294.1069686539468</v>
      </c>
      <c r="AJ107" s="44">
        <f t="shared" si="62"/>
        <v>22329.107499655678</v>
      </c>
      <c r="AK107" s="44">
        <f t="shared" si="63"/>
        <v>14884.521656885774</v>
      </c>
      <c r="AL107" s="44">
        <f t="shared" si="64"/>
        <v>4854.3145560828088</v>
      </c>
      <c r="AM107" s="14">
        <f t="shared" si="65"/>
        <v>1089.3607071430072</v>
      </c>
      <c r="AN107" s="14">
        <f t="shared" si="66"/>
        <v>793.32820630778292</v>
      </c>
      <c r="AO107" s="14">
        <f t="shared" si="67"/>
        <v>1331.6801777135649</v>
      </c>
      <c r="AP107" s="14">
        <f t="shared" si="68"/>
        <v>1419.4887071770852</v>
      </c>
      <c r="AQ107" s="14">
        <f t="shared" si="69"/>
        <v>1331.6801777135649</v>
      </c>
      <c r="AR107" s="33">
        <f t="shared" si="70"/>
        <v>0.81419706157838256</v>
      </c>
      <c r="AS107" s="33">
        <f t="shared" si="71"/>
        <v>0.38092963297966054</v>
      </c>
      <c r="AT107" s="51">
        <f t="shared" si="72"/>
        <v>9.0135714307372208</v>
      </c>
      <c r="AU107" s="51">
        <f>APPLICANTS_PER_YEAR*($H107/Segments!$AH$2)*AS107</f>
        <v>4.1140400361803335</v>
      </c>
      <c r="AV107" s="51">
        <f t="shared" si="73"/>
        <v>13.127611466917553</v>
      </c>
      <c r="AW107" s="14">
        <f t="shared" si="74"/>
        <v>1331.6801777135652</v>
      </c>
      <c r="AX107" s="44">
        <f t="shared" si="75"/>
        <v>17481.779971219403</v>
      </c>
      <c r="AY107" s="44">
        <f t="shared" si="76"/>
        <v>11664.244993133811</v>
      </c>
      <c r="AZ107" s="44">
        <f t="shared" si="77"/>
        <v>3861.2101396308735</v>
      </c>
    </row>
    <row r="108" spans="1:52" ht="15" customHeight="1" x14ac:dyDescent="0.35">
      <c r="A108" s="59" t="str">
        <f>Segments!$A$88</f>
        <v>Non-greek</v>
      </c>
      <c r="B108" s="59" t="str">
        <f>Segments!$B$88</f>
        <v>Off 1-3mi</v>
      </c>
      <c r="C108" s="59" t="str">
        <f>Segments!$C$88</f>
        <v>Yes</v>
      </c>
      <c r="D108" s="59" t="str">
        <f>Segments!$D$88</f>
        <v>&lt;1.0</v>
      </c>
      <c r="E108" s="59" t="str">
        <f>Segments!$E$88</f>
        <v>Senior</v>
      </c>
      <c r="F108" s="59">
        <f>Segments!$F$88</f>
        <v>3</v>
      </c>
      <c r="G108" s="59" t="str">
        <f>Segments!$G$88</f>
        <v>Base</v>
      </c>
      <c r="H108" s="60">
        <f>Segments!$H$88</f>
        <v>14</v>
      </c>
      <c r="I108" s="26">
        <f>Segments!$Y$88</f>
        <v>698.94799065336167</v>
      </c>
      <c r="J108" s="29">
        <v>3</v>
      </c>
      <c r="K108" s="14">
        <f t="shared" si="39"/>
        <v>1426.2297754450396</v>
      </c>
      <c r="L108" s="14">
        <f t="shared" si="40"/>
        <v>698.94799065336167</v>
      </c>
      <c r="M108" s="14">
        <f t="shared" si="41"/>
        <v>1178.2105892107606</v>
      </c>
      <c r="N108" s="14">
        <f t="shared" si="42"/>
        <v>1296.3020574222007</v>
      </c>
      <c r="O108" s="14">
        <f t="shared" si="43"/>
        <v>1178.2105892107606</v>
      </c>
      <c r="P108" s="33">
        <f t="shared" si="44"/>
        <v>0.89554936387521988</v>
      </c>
      <c r="Q108" s="33">
        <f t="shared" si="45"/>
        <v>0.39554936387521988</v>
      </c>
      <c r="R108" s="51">
        <f t="shared" si="46"/>
        <v>8.0599442748769796</v>
      </c>
      <c r="S108" s="51">
        <f>APPLICANTS_PER_YEAR*($H108/Segments!$AH$2)*Q108</f>
        <v>6.6452293131036946</v>
      </c>
      <c r="T108" s="51">
        <f t="shared" si="47"/>
        <v>14.705173587980674</v>
      </c>
      <c r="U108" s="14">
        <f t="shared" si="48"/>
        <v>1178.2105892107604</v>
      </c>
      <c r="V108" s="44">
        <f t="shared" si="49"/>
        <v>17325.791237541223</v>
      </c>
      <c r="W108" s="44">
        <f t="shared" si="50"/>
        <v>11511.529715311335</v>
      </c>
      <c r="X108" s="44">
        <f t="shared" si="51"/>
        <v>4008.8405325376357</v>
      </c>
      <c r="Y108" s="14">
        <f t="shared" si="52"/>
        <v>1257.6281249067445</v>
      </c>
      <c r="Z108" s="14">
        <f t="shared" si="53"/>
        <v>719.91643037296251</v>
      </c>
      <c r="AA108" s="14">
        <f t="shared" si="54"/>
        <v>1212.3069068870834</v>
      </c>
      <c r="AB108" s="14">
        <f t="shared" si="55"/>
        <v>1334.5032985374883</v>
      </c>
      <c r="AC108" s="14">
        <f t="shared" si="56"/>
        <v>1212.3069068870834</v>
      </c>
      <c r="AD108" s="33">
        <f t="shared" si="57"/>
        <v>0.8957834730660923</v>
      </c>
      <c r="AE108" s="33">
        <f t="shared" si="58"/>
        <v>0.3957834730660923</v>
      </c>
      <c r="AF108" s="51">
        <f t="shared" si="59"/>
        <v>13.14563238623307</v>
      </c>
      <c r="AG108" s="51">
        <f>APPLICANTS_PER_YEAR*($H108/Segments!$AH$2)*AE108</f>
        <v>6.6491623475103507</v>
      </c>
      <c r="AH108" s="51">
        <f t="shared" si="60"/>
        <v>19.794794733743419</v>
      </c>
      <c r="AI108" s="14">
        <f t="shared" si="61"/>
        <v>1212.3069068870834</v>
      </c>
      <c r="AJ108" s="44">
        <f t="shared" si="62"/>
        <v>23997.366376129212</v>
      </c>
      <c r="AK108" s="44">
        <f t="shared" si="63"/>
        <v>15960.669720443932</v>
      </c>
      <c r="AL108" s="44">
        <f t="shared" si="64"/>
        <v>5379.7560888125599</v>
      </c>
      <c r="AM108" s="14">
        <f t="shared" si="65"/>
        <v>1294.1069686539468</v>
      </c>
      <c r="AN108" s="14">
        <f t="shared" si="66"/>
        <v>741.51392328415136</v>
      </c>
      <c r="AO108" s="14">
        <f t="shared" si="67"/>
        <v>1247.4261140936958</v>
      </c>
      <c r="AP108" s="14">
        <f t="shared" si="68"/>
        <v>1373.8502273622651</v>
      </c>
      <c r="AQ108" s="14">
        <f t="shared" si="69"/>
        <v>1247.4261140936958</v>
      </c>
      <c r="AR108" s="33">
        <f t="shared" si="70"/>
        <v>0.89601087904294285</v>
      </c>
      <c r="AS108" s="33">
        <f t="shared" si="71"/>
        <v>0.3960108790429428</v>
      </c>
      <c r="AT108" s="51">
        <f t="shared" si="72"/>
        <v>15.460177345170372</v>
      </c>
      <c r="AU108" s="51">
        <f>APPLICANTS_PER_YEAR*($H108/Segments!$AH$2)*AS108</f>
        <v>6.6529827679214391</v>
      </c>
      <c r="AV108" s="51">
        <f t="shared" si="73"/>
        <v>22.113160113091812</v>
      </c>
      <c r="AW108" s="14">
        <f t="shared" si="74"/>
        <v>1247.4261140936956</v>
      </c>
      <c r="AX108" s="44">
        <f t="shared" si="75"/>
        <v>27584.533390205826</v>
      </c>
      <c r="AY108" s="44">
        <f t="shared" si="76"/>
        <v>18364.882045069637</v>
      </c>
      <c r="AZ108" s="44">
        <f t="shared" si="77"/>
        <v>6112.5332376549941</v>
      </c>
    </row>
    <row r="109" spans="1:52" ht="15" customHeight="1" x14ac:dyDescent="0.35">
      <c r="A109" s="59" t="str">
        <f>Segments!$A$89</f>
        <v>Non-greek</v>
      </c>
      <c r="B109" s="59" t="str">
        <f>Segments!$B$89</f>
        <v>Off 1-3mi</v>
      </c>
      <c r="C109" s="59" t="str">
        <f>Segments!$C$89</f>
        <v>Yes</v>
      </c>
      <c r="D109" s="59" t="str">
        <f>Segments!$D$89</f>
        <v>&lt;1.0</v>
      </c>
      <c r="E109" s="59" t="str">
        <f>Segments!$E$89</f>
        <v>Grad student</v>
      </c>
      <c r="F109" s="59">
        <f>Segments!$F$89</f>
        <v>3</v>
      </c>
      <c r="G109" s="59" t="str">
        <f>Segments!$G$89</f>
        <v>Grad</v>
      </c>
      <c r="H109" s="60">
        <f>Segments!$H$89</f>
        <v>4</v>
      </c>
      <c r="I109" s="26">
        <f>Segments!$Y$89</f>
        <v>832.22369194531575</v>
      </c>
      <c r="J109" s="29">
        <v>4</v>
      </c>
      <c r="K109" s="14">
        <f t="shared" si="39"/>
        <v>1426.2297754450396</v>
      </c>
      <c r="L109" s="14">
        <f t="shared" si="40"/>
        <v>832.22369194531575</v>
      </c>
      <c r="M109" s="14">
        <f t="shared" si="41"/>
        <v>1394.9272696386963</v>
      </c>
      <c r="N109" s="14">
        <f t="shared" si="42"/>
        <v>1410.49168963839</v>
      </c>
      <c r="O109" s="14">
        <f t="shared" si="43"/>
        <v>1394.9272696386963</v>
      </c>
      <c r="P109" s="33">
        <f t="shared" si="44"/>
        <v>0.85551737387537674</v>
      </c>
      <c r="Q109" s="33">
        <f t="shared" si="45"/>
        <v>0.35551737387537669</v>
      </c>
      <c r="R109" s="51">
        <f t="shared" si="46"/>
        <v>1.7110347477507535</v>
      </c>
      <c r="S109" s="51">
        <f>APPLICANTS_PER_YEAR*($H109/Segments!$AH$2)*Q109</f>
        <v>1.7064833946018081</v>
      </c>
      <c r="T109" s="51">
        <f t="shared" si="47"/>
        <v>3.4175181423525616</v>
      </c>
      <c r="U109" s="14">
        <f t="shared" si="48"/>
        <v>1394.9272696386963</v>
      </c>
      <c r="V109" s="44">
        <f t="shared" si="49"/>
        <v>4767.1892512525683</v>
      </c>
      <c r="W109" s="44">
        <f t="shared" si="50"/>
        <v>3185.4363136049956</v>
      </c>
      <c r="X109" s="44">
        <f t="shared" si="51"/>
        <v>1095.3259239798804</v>
      </c>
      <c r="Y109" s="14">
        <f t="shared" si="52"/>
        <v>1394.9272696386963</v>
      </c>
      <c r="Z109" s="14">
        <f t="shared" si="53"/>
        <v>857.1904027036752</v>
      </c>
      <c r="AA109" s="14">
        <f t="shared" si="54"/>
        <v>1435.5250877278572</v>
      </c>
      <c r="AB109" s="14">
        <f t="shared" si="55"/>
        <v>1452.1743291427849</v>
      </c>
      <c r="AC109" s="14">
        <f t="shared" si="56"/>
        <v>1435.5250877278572</v>
      </c>
      <c r="AD109" s="33">
        <f t="shared" si="57"/>
        <v>0.84700135281930522</v>
      </c>
      <c r="AE109" s="33">
        <f t="shared" si="58"/>
        <v>0.35573252159909602</v>
      </c>
      <c r="AF109" s="51">
        <f t="shared" si="59"/>
        <v>1.4473212449285693</v>
      </c>
      <c r="AG109" s="51">
        <f>APPLICANTS_PER_YEAR*($H109/Segments!$AH$2)*AE109</f>
        <v>1.7075161036756608</v>
      </c>
      <c r="AH109" s="51">
        <f t="shared" si="60"/>
        <v>3.15483734860423</v>
      </c>
      <c r="AI109" s="14">
        <f t="shared" si="61"/>
        <v>1435.5250877278572</v>
      </c>
      <c r="AJ109" s="44">
        <f t="shared" si="62"/>
        <v>4528.848161622208</v>
      </c>
      <c r="AK109" s="44">
        <f t="shared" si="63"/>
        <v>3028.8118529924141</v>
      </c>
      <c r="AL109" s="44">
        <f t="shared" si="64"/>
        <v>1047.5283292689739</v>
      </c>
      <c r="AM109" s="14">
        <f t="shared" si="65"/>
        <v>1435.5250877278572</v>
      </c>
      <c r="AN109" s="14">
        <f t="shared" si="66"/>
        <v>882.90611478478547</v>
      </c>
      <c r="AO109" s="14">
        <f t="shared" si="67"/>
        <v>1477.3408403596929</v>
      </c>
      <c r="AP109" s="14">
        <f t="shared" si="68"/>
        <v>1495.1071765755164</v>
      </c>
      <c r="AQ109" s="14">
        <f t="shared" si="69"/>
        <v>1477.3408403596929</v>
      </c>
      <c r="AR109" s="33">
        <f t="shared" si="70"/>
        <v>0.84720272097558647</v>
      </c>
      <c r="AS109" s="33">
        <f t="shared" si="71"/>
        <v>0.35594149252113033</v>
      </c>
      <c r="AT109" s="51">
        <f t="shared" si="72"/>
        <v>1.3363933929864542</v>
      </c>
      <c r="AU109" s="51">
        <f>APPLICANTS_PER_YEAR*($H109/Segments!$AH$2)*AS109</f>
        <v>1.7085191641014255</v>
      </c>
      <c r="AV109" s="51">
        <f t="shared" si="73"/>
        <v>3.0449125570878799</v>
      </c>
      <c r="AW109" s="14">
        <f t="shared" si="74"/>
        <v>1477.3408403596927</v>
      </c>
      <c r="AX109" s="44">
        <f t="shared" si="75"/>
        <v>4498.3736759099893</v>
      </c>
      <c r="AY109" s="44">
        <f t="shared" si="76"/>
        <v>3010.9765455144106</v>
      </c>
      <c r="AZ109" s="44">
        <f t="shared" si="77"/>
        <v>1042.1461348095297</v>
      </c>
    </row>
    <row r="110" spans="1:52" ht="15" customHeight="1" x14ac:dyDescent="0.35">
      <c r="A110" s="61" t="str">
        <f>Segments!$A$90</f>
        <v>Non-greek</v>
      </c>
      <c r="B110" s="61" t="str">
        <f>Segments!$B$90</f>
        <v>Off 1-3mi</v>
      </c>
      <c r="C110" s="61" t="str">
        <f>Segments!$C$90</f>
        <v>Yes</v>
      </c>
      <c r="D110" s="61" t="str">
        <f>Segments!$D$90</f>
        <v>1.0-2.0</v>
      </c>
      <c r="E110" s="61" t="str">
        <f>Segments!$E$90</f>
        <v>Freshman</v>
      </c>
      <c r="F110" s="61">
        <f>Segments!$F$90</f>
        <v>1</v>
      </c>
      <c r="G110" s="61" t="str">
        <f>Segments!$G$90</f>
        <v>Base</v>
      </c>
      <c r="H110" s="62">
        <f>Segments!$H$90</f>
        <v>24</v>
      </c>
      <c r="I110" s="63">
        <f>Segments!$Y$90</f>
        <v>573.46350783562343</v>
      </c>
      <c r="J110" s="42">
        <v>0</v>
      </c>
      <c r="K110" s="40">
        <f t="shared" si="39"/>
        <v>974.16303742257617</v>
      </c>
      <c r="L110" s="40">
        <f t="shared" si="40"/>
        <v>573.46350783562343</v>
      </c>
      <c r="M110" s="40">
        <f t="shared" si="41"/>
        <v>974.16303742257617</v>
      </c>
      <c r="N110" s="40">
        <f t="shared" si="42"/>
        <v>1178.7197843890033</v>
      </c>
      <c r="O110" s="40">
        <f t="shared" si="43"/>
        <v>974.16303742257617</v>
      </c>
      <c r="P110" s="41">
        <f t="shared" si="44"/>
        <v>0.9367707277317231</v>
      </c>
      <c r="Q110" s="41">
        <f t="shared" si="45"/>
        <v>0.4367707277317231</v>
      </c>
      <c r="R110" s="64">
        <f t="shared" si="46"/>
        <v>0</v>
      </c>
      <c r="S110" s="64">
        <f>APPLICANTS_PER_YEAR*($H110/Segments!$AH$2)*Q110</f>
        <v>12.578996958673624</v>
      </c>
      <c r="T110" s="64">
        <f t="shared" si="47"/>
        <v>12.578996958673624</v>
      </c>
      <c r="U110" s="40">
        <f t="shared" si="48"/>
        <v>974.16303742257617</v>
      </c>
      <c r="V110" s="65">
        <f t="shared" si="49"/>
        <v>12253.993884990845</v>
      </c>
      <c r="W110" s="65">
        <f t="shared" si="50"/>
        <v>8079.2272074915691</v>
      </c>
      <c r="X110" s="65">
        <f t="shared" si="51"/>
        <v>3310.9494933782626</v>
      </c>
      <c r="Y110" s="40">
        <f t="shared" si="52"/>
        <v>1002.1379285452535</v>
      </c>
      <c r="Z110" s="40">
        <f t="shared" si="53"/>
        <v>590.66741307069219</v>
      </c>
      <c r="AA110" s="40">
        <f t="shared" si="54"/>
        <v>1002.1379285452535</v>
      </c>
      <c r="AB110" s="40">
        <f t="shared" si="55"/>
        <v>1213.3249034689247</v>
      </c>
      <c r="AC110" s="40">
        <f t="shared" si="56"/>
        <v>1002.1379285452535</v>
      </c>
      <c r="AD110" s="41">
        <f t="shared" si="57"/>
        <v>0.93702820420148081</v>
      </c>
      <c r="AE110" s="41">
        <f t="shared" si="58"/>
        <v>0.43702820420148081</v>
      </c>
      <c r="AF110" s="64">
        <f t="shared" si="59"/>
        <v>0</v>
      </c>
      <c r="AG110" s="64">
        <f>APPLICANTS_PER_YEAR*($H110/Segments!$AH$2)*AE110</f>
        <v>12.586412281002646</v>
      </c>
      <c r="AH110" s="64">
        <f t="shared" si="60"/>
        <v>12.586412281002646</v>
      </c>
      <c r="AI110" s="40">
        <f t="shared" si="61"/>
        <v>1002.1379285452534</v>
      </c>
      <c r="AJ110" s="65">
        <f t="shared" si="62"/>
        <v>12613.321131100531</v>
      </c>
      <c r="AK110" s="65">
        <f t="shared" si="63"/>
        <v>8326.509611684347</v>
      </c>
      <c r="AL110" s="65">
        <f t="shared" si="64"/>
        <v>3391.7724860116382</v>
      </c>
      <c r="AM110" s="40">
        <f t="shared" si="65"/>
        <v>1030.9520664016111</v>
      </c>
      <c r="AN110" s="40">
        <f t="shared" si="66"/>
        <v>608.38743546281285</v>
      </c>
      <c r="AO110" s="40">
        <f t="shared" si="67"/>
        <v>1030.9520664016111</v>
      </c>
      <c r="AP110" s="40">
        <f t="shared" si="68"/>
        <v>1248.9677110673545</v>
      </c>
      <c r="AQ110" s="40">
        <f t="shared" si="69"/>
        <v>1030.9520664016111</v>
      </c>
      <c r="AR110" s="41">
        <f t="shared" si="70"/>
        <v>0.93727833503374935</v>
      </c>
      <c r="AS110" s="41">
        <f t="shared" si="71"/>
        <v>0.43727833503374935</v>
      </c>
      <c r="AT110" s="64">
        <f t="shared" si="72"/>
        <v>0</v>
      </c>
      <c r="AU110" s="64">
        <f>APPLICANTS_PER_YEAR*($H110/Segments!$AH$2)*AS110</f>
        <v>12.593616048971981</v>
      </c>
      <c r="AV110" s="64">
        <f t="shared" si="73"/>
        <v>12.593616048971981</v>
      </c>
      <c r="AW110" s="40">
        <f t="shared" si="74"/>
        <v>1030.9520664016111</v>
      </c>
      <c r="AX110" s="65">
        <f t="shared" si="75"/>
        <v>12983.414489156157</v>
      </c>
      <c r="AY110" s="65">
        <f t="shared" si="76"/>
        <v>8581.2135037858716</v>
      </c>
      <c r="AZ110" s="65">
        <f t="shared" si="77"/>
        <v>3474.9975677747184</v>
      </c>
    </row>
    <row r="111" spans="1:52" ht="15" customHeight="1" x14ac:dyDescent="0.35">
      <c r="A111" s="61" t="str">
        <f>Segments!$A$91</f>
        <v>Non-greek</v>
      </c>
      <c r="B111" s="61" t="str">
        <f>Segments!$B$91</f>
        <v>Off 1-3mi</v>
      </c>
      <c r="C111" s="61" t="str">
        <f>Segments!$C$91</f>
        <v>Yes</v>
      </c>
      <c r="D111" s="61" t="str">
        <f>Segments!$D$91</f>
        <v>1.0-2.0</v>
      </c>
      <c r="E111" s="61" t="str">
        <f>Segments!$E$91</f>
        <v>Sophomore</v>
      </c>
      <c r="F111" s="61">
        <f>Segments!$F$91</f>
        <v>1</v>
      </c>
      <c r="G111" s="61" t="str">
        <f>Segments!$G$91</f>
        <v>Sophomore</v>
      </c>
      <c r="H111" s="62">
        <f>Segments!$H$91</f>
        <v>33</v>
      </c>
      <c r="I111" s="63">
        <f>Segments!$Y$91</f>
        <v>567.62922935525717</v>
      </c>
      <c r="J111" s="42">
        <v>1</v>
      </c>
      <c r="K111" s="40">
        <f t="shared" si="39"/>
        <v>1426.2297754450396</v>
      </c>
      <c r="L111" s="40">
        <f t="shared" si="40"/>
        <v>567.62922935525717</v>
      </c>
      <c r="M111" s="40">
        <f t="shared" si="41"/>
        <v>964.67604577518387</v>
      </c>
      <c r="N111" s="40">
        <f t="shared" si="42"/>
        <v>1172.96619735743</v>
      </c>
      <c r="O111" s="40">
        <f t="shared" si="43"/>
        <v>1069.6723315837799</v>
      </c>
      <c r="P111" s="41">
        <f t="shared" si="44"/>
        <v>0.89403104966126068</v>
      </c>
      <c r="Q111" s="41">
        <f t="shared" si="45"/>
        <v>0.4387877894740283</v>
      </c>
      <c r="R111" s="64">
        <f t="shared" si="46"/>
        <v>21.456745191870255</v>
      </c>
      <c r="S111" s="64">
        <f>APPLICANTS_PER_YEAR*($H111/Segments!$AH$2)*Q111</f>
        <v>17.375996463171521</v>
      </c>
      <c r="T111" s="64">
        <f t="shared" si="47"/>
        <v>38.832741655041772</v>
      </c>
      <c r="U111" s="40">
        <f t="shared" si="48"/>
        <v>1022.6909696427941</v>
      </c>
      <c r="V111" s="65">
        <f t="shared" si="49"/>
        <v>39713.894217082794</v>
      </c>
      <c r="W111" s="65">
        <f t="shared" si="50"/>
        <v>24687.711125731534</v>
      </c>
      <c r="X111" s="65">
        <f t="shared" si="51"/>
        <v>9303.6580162911305</v>
      </c>
      <c r="Y111" s="40">
        <f t="shared" si="52"/>
        <v>974.16303742257617</v>
      </c>
      <c r="Z111" s="40">
        <f t="shared" si="53"/>
        <v>584.65810623591494</v>
      </c>
      <c r="AA111" s="40">
        <f t="shared" si="54"/>
        <v>992.3663271484395</v>
      </c>
      <c r="AB111" s="40">
        <f t="shared" si="55"/>
        <v>1207.3949958675419</v>
      </c>
      <c r="AC111" s="40">
        <f t="shared" si="56"/>
        <v>992.3663271484395</v>
      </c>
      <c r="AD111" s="41">
        <f t="shared" si="57"/>
        <v>0.93344070530752021</v>
      </c>
      <c r="AE111" s="41">
        <f t="shared" si="58"/>
        <v>0.43904652970033187</v>
      </c>
      <c r="AF111" s="64">
        <f t="shared" si="59"/>
        <v>11.741747793165459</v>
      </c>
      <c r="AG111" s="64">
        <f>APPLICANTS_PER_YEAR*($H111/Segments!$AH$2)*AE111</f>
        <v>17.386242576133142</v>
      </c>
      <c r="AH111" s="64">
        <f t="shared" si="60"/>
        <v>29.127990369298601</v>
      </c>
      <c r="AI111" s="40">
        <f t="shared" si="61"/>
        <v>992.36632714843938</v>
      </c>
      <c r="AJ111" s="65">
        <f t="shared" si="62"/>
        <v>28905.636819995969</v>
      </c>
      <c r="AK111" s="65">
        <f t="shared" si="63"/>
        <v>19073.50557030474</v>
      </c>
      <c r="AL111" s="65">
        <f t="shared" si="64"/>
        <v>7084.254489855156</v>
      </c>
      <c r="AM111" s="40">
        <f t="shared" si="65"/>
        <v>1002.1379285452534</v>
      </c>
      <c r="AN111" s="40">
        <f t="shared" si="66"/>
        <v>602.19784942299225</v>
      </c>
      <c r="AO111" s="40">
        <f t="shared" si="67"/>
        <v>1020.8873169628924</v>
      </c>
      <c r="AP111" s="40">
        <f t="shared" si="68"/>
        <v>1242.8561863933492</v>
      </c>
      <c r="AQ111" s="40">
        <f t="shared" si="69"/>
        <v>1020.8873169628924</v>
      </c>
      <c r="AR111" s="41">
        <f t="shared" si="70"/>
        <v>0.93368507303189263</v>
      </c>
      <c r="AS111" s="41">
        <f t="shared" si="71"/>
        <v>0.43929788975609046</v>
      </c>
      <c r="AT111" s="64">
        <f t="shared" si="72"/>
        <v>11.751745269797466</v>
      </c>
      <c r="AU111" s="64">
        <f>APPLICANTS_PER_YEAR*($H111/Segments!$AH$2)*AS111</f>
        <v>17.396196434341181</v>
      </c>
      <c r="AV111" s="64">
        <f t="shared" si="73"/>
        <v>29.147941704138645</v>
      </c>
      <c r="AW111" s="40">
        <f t="shared" si="74"/>
        <v>1020.8873169628924</v>
      </c>
      <c r="AX111" s="65">
        <f t="shared" si="75"/>
        <v>29756.764001328902</v>
      </c>
      <c r="AY111" s="65">
        <f t="shared" si="76"/>
        <v>19659.167146459728</v>
      </c>
      <c r="AZ111" s="65">
        <f t="shared" si="77"/>
        <v>7263.4766118049556</v>
      </c>
    </row>
    <row r="112" spans="1:52" ht="15" customHeight="1" x14ac:dyDescent="0.35">
      <c r="A112" s="61" t="str">
        <f>Segments!$A$92</f>
        <v>Non-greek</v>
      </c>
      <c r="B112" s="61" t="str">
        <f>Segments!$B$92</f>
        <v>Off 1-3mi</v>
      </c>
      <c r="C112" s="61" t="str">
        <f>Segments!$C$92</f>
        <v>Yes</v>
      </c>
      <c r="D112" s="61" t="str">
        <f>Segments!$D$92</f>
        <v>1.0-2.0</v>
      </c>
      <c r="E112" s="61" t="str">
        <f>Segments!$E$92</f>
        <v>Junior</v>
      </c>
      <c r="F112" s="61">
        <f>Segments!$F$92</f>
        <v>2</v>
      </c>
      <c r="G112" s="61" t="str">
        <f>Segments!$G$92</f>
        <v>Base</v>
      </c>
      <c r="H112" s="62">
        <f>Segments!$H$92</f>
        <v>37</v>
      </c>
      <c r="I112" s="63">
        <f>Segments!$Y$92</f>
        <v>678.5585256429257</v>
      </c>
      <c r="J112" s="42">
        <v>2</v>
      </c>
      <c r="K112" s="40">
        <f t="shared" si="39"/>
        <v>1426.2297754450396</v>
      </c>
      <c r="L112" s="40">
        <f t="shared" si="40"/>
        <v>678.5585256429257</v>
      </c>
      <c r="M112" s="40">
        <f t="shared" si="41"/>
        <v>1145.0557295482065</v>
      </c>
      <c r="N112" s="40">
        <f t="shared" si="42"/>
        <v>1277.9329309574875</v>
      </c>
      <c r="O112" s="40">
        <f t="shared" si="43"/>
        <v>1145.0557295482065</v>
      </c>
      <c r="P112" s="41">
        <f t="shared" si="44"/>
        <v>0.90198911390041536</v>
      </c>
      <c r="Q112" s="41">
        <f t="shared" si="45"/>
        <v>0.40198911390041536</v>
      </c>
      <c r="R112" s="64">
        <f t="shared" si="46"/>
        <v>29.765640758713708</v>
      </c>
      <c r="S112" s="64">
        <f>APPLICANTS_PER_YEAR*($H112/Segments!$AH$2)*Q112</f>
        <v>17.84831665717844</v>
      </c>
      <c r="T112" s="64">
        <f t="shared" si="47"/>
        <v>47.613957415892145</v>
      </c>
      <c r="U112" s="40">
        <f t="shared" si="48"/>
        <v>1145.0557295482065</v>
      </c>
      <c r="V112" s="65">
        <f t="shared" si="49"/>
        <v>54520.634745531621</v>
      </c>
      <c r="W112" s="65">
        <f t="shared" si="50"/>
        <v>36185.91955345116</v>
      </c>
      <c r="X112" s="65">
        <f t="shared" si="51"/>
        <v>12418.19313544103</v>
      </c>
      <c r="Y112" s="40">
        <f t="shared" si="52"/>
        <v>1022.6909696427941</v>
      </c>
      <c r="Z112" s="40">
        <f t="shared" si="53"/>
        <v>698.91528141221352</v>
      </c>
      <c r="AA112" s="40">
        <f t="shared" si="54"/>
        <v>1178.1574014346527</v>
      </c>
      <c r="AB112" s="40">
        <f t="shared" si="55"/>
        <v>1315.5732062753739</v>
      </c>
      <c r="AC112" s="40">
        <f t="shared" si="56"/>
        <v>1178.1574014346527</v>
      </c>
      <c r="AD112" s="41">
        <f t="shared" si="57"/>
        <v>0.8566214844968334</v>
      </c>
      <c r="AE112" s="41">
        <f t="shared" si="58"/>
        <v>0.40222658997053085</v>
      </c>
      <c r="AF112" s="64">
        <f t="shared" si="59"/>
        <v>33.2649608036239</v>
      </c>
      <c r="AG112" s="64">
        <f>APPLICANTS_PER_YEAR*($H112/Segments!$AH$2)*AE112</f>
        <v>17.858860594691571</v>
      </c>
      <c r="AH112" s="64">
        <f t="shared" si="60"/>
        <v>51.123821398315471</v>
      </c>
      <c r="AI112" s="40">
        <f t="shared" si="61"/>
        <v>1178.1574014346527</v>
      </c>
      <c r="AJ112" s="65">
        <f t="shared" si="62"/>
        <v>60231.908570048647</v>
      </c>
      <c r="AK112" s="65">
        <f t="shared" si="63"/>
        <v>40018.966421807978</v>
      </c>
      <c r="AL112" s="65">
        <f t="shared" si="64"/>
        <v>13589.197870251686</v>
      </c>
      <c r="AM112" s="40">
        <f t="shared" si="65"/>
        <v>992.36632714843938</v>
      </c>
      <c r="AN112" s="40">
        <f t="shared" si="66"/>
        <v>719.88273985457988</v>
      </c>
      <c r="AO112" s="40">
        <f t="shared" si="67"/>
        <v>1212.2521234776923</v>
      </c>
      <c r="AP112" s="40">
        <f t="shared" si="68"/>
        <v>1354.3423250226836</v>
      </c>
      <c r="AQ112" s="40">
        <f t="shared" si="69"/>
        <v>1212.2521234776923</v>
      </c>
      <c r="AR112" s="41">
        <f t="shared" si="70"/>
        <v>0.83598409646250649</v>
      </c>
      <c r="AS112" s="41">
        <f t="shared" si="71"/>
        <v>0.40245726982009933</v>
      </c>
      <c r="AT112" s="64">
        <f t="shared" si="72"/>
        <v>24.350536710646683</v>
      </c>
      <c r="AU112" s="64">
        <f>APPLICANTS_PER_YEAR*($H112/Segments!$AH$2)*AS112</f>
        <v>17.869102780012408</v>
      </c>
      <c r="AV112" s="64">
        <f t="shared" si="73"/>
        <v>42.219639490659091</v>
      </c>
      <c r="AW112" s="40">
        <f t="shared" si="74"/>
        <v>1212.2521234776923</v>
      </c>
      <c r="AX112" s="65">
        <f t="shared" si="75"/>
        <v>51180.847625014118</v>
      </c>
      <c r="AY112" s="65">
        <f t="shared" si="76"/>
        <v>34040.372522473284</v>
      </c>
      <c r="AZ112" s="65">
        <f t="shared" si="77"/>
        <v>11722.465583081052</v>
      </c>
    </row>
    <row r="113" spans="1:52" ht="15" customHeight="1" x14ac:dyDescent="0.35">
      <c r="A113" s="61" t="str">
        <f>Segments!$A$93</f>
        <v>Non-greek</v>
      </c>
      <c r="B113" s="61" t="str">
        <f>Segments!$B$93</f>
        <v>Off 1-3mi</v>
      </c>
      <c r="C113" s="61" t="str">
        <f>Segments!$C$93</f>
        <v>Yes</v>
      </c>
      <c r="D113" s="61" t="str">
        <f>Segments!$D$93</f>
        <v>1.0-2.0</v>
      </c>
      <c r="E113" s="61" t="str">
        <f>Segments!$E$93</f>
        <v>Senior</v>
      </c>
      <c r="F113" s="61">
        <f>Segments!$F$93</f>
        <v>3</v>
      </c>
      <c r="G113" s="61" t="str">
        <f>Segments!$G$93</f>
        <v>Base</v>
      </c>
      <c r="H113" s="62">
        <f>Segments!$H$93</f>
        <v>43</v>
      </c>
      <c r="I113" s="63">
        <f>Segments!$Y$93</f>
        <v>634.24014238589541</v>
      </c>
      <c r="J113" s="42">
        <v>3</v>
      </c>
      <c r="K113" s="40">
        <f t="shared" si="39"/>
        <v>1426.2297754450396</v>
      </c>
      <c r="L113" s="40">
        <f t="shared" si="40"/>
        <v>634.24014238589541</v>
      </c>
      <c r="M113" s="40">
        <f t="shared" si="41"/>
        <v>1072.9905833265639</v>
      </c>
      <c r="N113" s="40">
        <f t="shared" si="42"/>
        <v>1237.0655272508759</v>
      </c>
      <c r="O113" s="40">
        <f t="shared" si="43"/>
        <v>1072.9905833265639</v>
      </c>
      <c r="P113" s="41">
        <f t="shared" si="44"/>
        <v>0.91631618952673222</v>
      </c>
      <c r="Q113" s="41">
        <f t="shared" si="45"/>
        <v>0.41631618952673222</v>
      </c>
      <c r="R113" s="64">
        <f t="shared" si="46"/>
        <v>33.903699012489092</v>
      </c>
      <c r="S113" s="64">
        <f>APPLICANTS_PER_YEAR*($H113/Segments!$AH$2)*Q113</f>
        <v>21.481915379579384</v>
      </c>
      <c r="T113" s="64">
        <f t="shared" si="47"/>
        <v>55.385614392068476</v>
      </c>
      <c r="U113" s="40">
        <f t="shared" si="48"/>
        <v>1072.9905833265639</v>
      </c>
      <c r="V113" s="65">
        <f t="shared" si="49"/>
        <v>59428.242694445682</v>
      </c>
      <c r="W113" s="65">
        <f t="shared" si="50"/>
        <v>39343.113553134506</v>
      </c>
      <c r="X113" s="65">
        <f t="shared" si="51"/>
        <v>13683.444293574827</v>
      </c>
      <c r="Y113" s="40">
        <f t="shared" si="52"/>
        <v>1145.0557295482065</v>
      </c>
      <c r="Z113" s="40">
        <f t="shared" si="53"/>
        <v>653.26734665747233</v>
      </c>
      <c r="AA113" s="40">
        <f t="shared" si="54"/>
        <v>1103.930300826361</v>
      </c>
      <c r="AB113" s="40">
        <f t="shared" si="55"/>
        <v>1273.4567181518942</v>
      </c>
      <c r="AC113" s="40">
        <f t="shared" si="56"/>
        <v>1103.930300826361</v>
      </c>
      <c r="AD113" s="41">
        <f t="shared" si="57"/>
        <v>0.91656151516934103</v>
      </c>
      <c r="AE113" s="41">
        <f t="shared" si="58"/>
        <v>0.41656151516934103</v>
      </c>
      <c r="AF113" s="64">
        <f t="shared" si="59"/>
        <v>43.641120952318587</v>
      </c>
      <c r="AG113" s="64">
        <f>APPLICANTS_PER_YEAR*($H113/Segments!$AH$2)*AE113</f>
        <v>21.494574182737999</v>
      </c>
      <c r="AH113" s="64">
        <f t="shared" si="60"/>
        <v>65.135695135056579</v>
      </c>
      <c r="AI113" s="40">
        <f t="shared" si="61"/>
        <v>1103.9303008263612</v>
      </c>
      <c r="AJ113" s="65">
        <f t="shared" si="62"/>
        <v>71905.267524977156</v>
      </c>
      <c r="AK113" s="65">
        <f t="shared" si="63"/>
        <v>47657.145461596658</v>
      </c>
      <c r="AL113" s="65">
        <f t="shared" si="64"/>
        <v>16260.671730519221</v>
      </c>
      <c r="AM113" s="40">
        <f t="shared" si="65"/>
        <v>1178.1574014346527</v>
      </c>
      <c r="AN113" s="40">
        <f t="shared" si="66"/>
        <v>672.86536705719641</v>
      </c>
      <c r="AO113" s="40">
        <f t="shared" si="67"/>
        <v>1135.7982098511516</v>
      </c>
      <c r="AP113" s="40">
        <f t="shared" si="68"/>
        <v>1310.9392425422727</v>
      </c>
      <c r="AQ113" s="40">
        <f t="shared" si="69"/>
        <v>1135.7982098511516</v>
      </c>
      <c r="AR113" s="41">
        <f t="shared" si="70"/>
        <v>0.91679982832441353</v>
      </c>
      <c r="AS113" s="41">
        <f t="shared" si="71"/>
        <v>0.41679982832441353</v>
      </c>
      <c r="AT113" s="64">
        <f t="shared" si="72"/>
        <v>46.870310681263604</v>
      </c>
      <c r="AU113" s="64">
        <f>APPLICANTS_PER_YEAR*($H113/Segments!$AH$2)*AS113</f>
        <v>21.50687114153974</v>
      </c>
      <c r="AV113" s="64">
        <f t="shared" si="73"/>
        <v>68.377181822803351</v>
      </c>
      <c r="AW113" s="40">
        <f t="shared" si="74"/>
        <v>1135.7982098511513</v>
      </c>
      <c r="AX113" s="65">
        <f t="shared" si="75"/>
        <v>77662.68070900673</v>
      </c>
      <c r="AY113" s="65">
        <f t="shared" si="76"/>
        <v>51529.674051001704</v>
      </c>
      <c r="AZ113" s="65">
        <f t="shared" si="77"/>
        <v>17438.423369968943</v>
      </c>
    </row>
    <row r="114" spans="1:52" ht="15" customHeight="1" x14ac:dyDescent="0.35">
      <c r="A114" s="61" t="str">
        <f>Segments!$A$94</f>
        <v>Non-greek</v>
      </c>
      <c r="B114" s="61" t="str">
        <f>Segments!$B$94</f>
        <v>Off 1-3mi</v>
      </c>
      <c r="C114" s="61" t="str">
        <f>Segments!$C$94</f>
        <v>Yes</v>
      </c>
      <c r="D114" s="61" t="str">
        <f>Segments!$D$94</f>
        <v>1.0-2.0</v>
      </c>
      <c r="E114" s="61" t="str">
        <f>Segments!$E$94</f>
        <v>Grad student</v>
      </c>
      <c r="F114" s="61">
        <f>Segments!$F$94</f>
        <v>3</v>
      </c>
      <c r="G114" s="61" t="str">
        <f>Segments!$G$94</f>
        <v>Grad</v>
      </c>
      <c r="H114" s="62">
        <f>Segments!$H$94</f>
        <v>14</v>
      </c>
      <c r="I114" s="63">
        <f>Segments!$Y$94</f>
        <v>755.17732354149666</v>
      </c>
      <c r="J114" s="42">
        <v>4</v>
      </c>
      <c r="K114" s="40">
        <f t="shared" si="39"/>
        <v>1426.2297754450396</v>
      </c>
      <c r="L114" s="40">
        <f t="shared" si="40"/>
        <v>755.17732354149666</v>
      </c>
      <c r="M114" s="40">
        <f t="shared" si="41"/>
        <v>1269.6438681060608</v>
      </c>
      <c r="N114" s="40">
        <f t="shared" si="42"/>
        <v>1345.6611345000936</v>
      </c>
      <c r="O114" s="40">
        <f t="shared" si="43"/>
        <v>1269.6438681060608</v>
      </c>
      <c r="P114" s="41">
        <f t="shared" si="44"/>
        <v>0.87824532285472923</v>
      </c>
      <c r="Q114" s="41">
        <f t="shared" si="45"/>
        <v>0.37824532285472923</v>
      </c>
      <c r="R114" s="64">
        <f t="shared" si="46"/>
        <v>6.1477172599831045</v>
      </c>
      <c r="S114" s="64">
        <f>APPLICANTS_PER_YEAR*($H114/Segments!$AH$2)*Q114</f>
        <v>6.3545214239594516</v>
      </c>
      <c r="T114" s="64">
        <f t="shared" si="47"/>
        <v>12.502238683942556</v>
      </c>
      <c r="U114" s="40">
        <f t="shared" si="48"/>
        <v>1269.6438681060608</v>
      </c>
      <c r="V114" s="65">
        <f t="shared" si="49"/>
        <v>15873.390682666053</v>
      </c>
      <c r="W114" s="65">
        <f t="shared" si="50"/>
        <v>10574.376005330709</v>
      </c>
      <c r="X114" s="65">
        <f t="shared" si="51"/>
        <v>3691.3579189254765</v>
      </c>
      <c r="Y114" s="40">
        <f t="shared" si="52"/>
        <v>1269.6438681060608</v>
      </c>
      <c r="Z114" s="40">
        <f t="shared" si="53"/>
        <v>777.83264324774154</v>
      </c>
      <c r="AA114" s="40">
        <f t="shared" si="54"/>
        <v>1306.4831841492428</v>
      </c>
      <c r="AB114" s="40">
        <f t="shared" si="55"/>
        <v>1385.368389599839</v>
      </c>
      <c r="AC114" s="40">
        <f t="shared" si="56"/>
        <v>1306.4831841492428</v>
      </c>
      <c r="AD114" s="41">
        <f t="shared" si="57"/>
        <v>0.86976619911041042</v>
      </c>
      <c r="AE114" s="41">
        <f t="shared" si="58"/>
        <v>0.37847084069580295</v>
      </c>
      <c r="AF114" s="64">
        <f t="shared" si="59"/>
        <v>5.4370123102519283</v>
      </c>
      <c r="AG114" s="64">
        <f>APPLICANTS_PER_YEAR*($H114/Segments!$AH$2)*AE114</f>
        <v>6.3583101236894901</v>
      </c>
      <c r="AH114" s="64">
        <f t="shared" si="60"/>
        <v>11.795322433941418</v>
      </c>
      <c r="AI114" s="40">
        <f t="shared" si="61"/>
        <v>1306.4831841492428</v>
      </c>
      <c r="AJ114" s="65">
        <f t="shared" si="62"/>
        <v>15410.390411562781</v>
      </c>
      <c r="AK114" s="65">
        <f t="shared" si="63"/>
        <v>10275.761245962283</v>
      </c>
      <c r="AL114" s="65">
        <f t="shared" si="64"/>
        <v>3598.1738735236486</v>
      </c>
      <c r="AM114" s="40">
        <f t="shared" si="65"/>
        <v>1306.4831841492428</v>
      </c>
      <c r="AN114" s="40">
        <f t="shared" si="66"/>
        <v>801.1676225451738</v>
      </c>
      <c r="AO114" s="40">
        <f t="shared" si="67"/>
        <v>1344.4276796737199</v>
      </c>
      <c r="AP114" s="40">
        <f t="shared" si="68"/>
        <v>1426.2665499313405</v>
      </c>
      <c r="AQ114" s="40">
        <f t="shared" si="69"/>
        <v>1344.4276796737199</v>
      </c>
      <c r="AR114" s="41">
        <f t="shared" si="70"/>
        <v>0.86997692339650745</v>
      </c>
      <c r="AS114" s="41">
        <f t="shared" si="71"/>
        <v>0.37868989329573782</v>
      </c>
      <c r="AT114" s="64">
        <f t="shared" si="72"/>
        <v>5.1308291607750798</v>
      </c>
      <c r="AU114" s="64">
        <f>APPLICANTS_PER_YEAR*($H114/Segments!$AH$2)*AS114</f>
        <v>6.3619902073683958</v>
      </c>
      <c r="AV114" s="64">
        <f t="shared" si="73"/>
        <v>11.492819368143476</v>
      </c>
      <c r="AW114" s="40">
        <f t="shared" si="74"/>
        <v>1344.4276796737197</v>
      </c>
      <c r="AX114" s="65">
        <f t="shared" si="75"/>
        <v>15451.264476022319</v>
      </c>
      <c r="AY114" s="65">
        <f t="shared" si="76"/>
        <v>10312.595741858631</v>
      </c>
      <c r="AZ114" s="65">
        <f t="shared" si="77"/>
        <v>3608.5583791562708</v>
      </c>
    </row>
    <row r="115" spans="1:52" ht="15" customHeight="1" x14ac:dyDescent="0.35">
      <c r="A115" s="59" t="str">
        <f>Segments!$A$95</f>
        <v>Non-greek</v>
      </c>
      <c r="B115" s="59" t="str">
        <f>Segments!$B$95</f>
        <v>Off 1-3mi</v>
      </c>
      <c r="C115" s="59" t="str">
        <f>Segments!$C$95</f>
        <v>Yes</v>
      </c>
      <c r="D115" s="59" t="str">
        <f>Segments!$D$95</f>
        <v>2.0-3.0</v>
      </c>
      <c r="E115" s="59" t="str">
        <f>Segments!$E$95</f>
        <v>Freshman</v>
      </c>
      <c r="F115" s="59">
        <f>Segments!$F$95</f>
        <v>1</v>
      </c>
      <c r="G115" s="59" t="str">
        <f>Segments!$G$95</f>
        <v>Base</v>
      </c>
      <c r="H115" s="60">
        <f>Segments!$H$95</f>
        <v>62</v>
      </c>
      <c r="I115" s="26">
        <f>Segments!$Y$95</f>
        <v>563.53095904182214</v>
      </c>
      <c r="J115" s="29">
        <v>0</v>
      </c>
      <c r="K115" s="14">
        <f t="shared" si="39"/>
        <v>958.01193874581338</v>
      </c>
      <c r="L115" s="14">
        <f t="shared" si="40"/>
        <v>563.53095904182214</v>
      </c>
      <c r="M115" s="14">
        <f t="shared" si="41"/>
        <v>958.01193874581338</v>
      </c>
      <c r="N115" s="14">
        <f t="shared" si="42"/>
        <v>1168.9076748277037</v>
      </c>
      <c r="O115" s="14">
        <f t="shared" si="43"/>
        <v>958.01193874581338</v>
      </c>
      <c r="P115" s="33">
        <f t="shared" si="44"/>
        <v>0.94021060457703642</v>
      </c>
      <c r="Q115" s="33">
        <f t="shared" si="45"/>
        <v>0.44021060457703648</v>
      </c>
      <c r="R115" s="51">
        <f t="shared" si="46"/>
        <v>0</v>
      </c>
      <c r="S115" s="51">
        <f>APPLICANTS_PER_YEAR*($H115/Segments!$AH$2)*Q115</f>
        <v>32.751668980531512</v>
      </c>
      <c r="T115" s="51">
        <f t="shared" si="47"/>
        <v>32.751668980531512</v>
      </c>
      <c r="U115" s="14">
        <f t="shared" si="48"/>
        <v>958.01193874581338</v>
      </c>
      <c r="V115" s="44">
        <f t="shared" si="49"/>
        <v>31376.48989720011</v>
      </c>
      <c r="W115" s="44">
        <f t="shared" si="50"/>
        <v>20671.368962517528</v>
      </c>
      <c r="X115" s="44">
        <f t="shared" si="51"/>
        <v>8502.1588410967433</v>
      </c>
      <c r="Y115" s="14">
        <f t="shared" si="52"/>
        <v>985.50229690818787</v>
      </c>
      <c r="Z115" s="14">
        <f t="shared" si="53"/>
        <v>580.43688781307685</v>
      </c>
      <c r="AA115" s="14">
        <f t="shared" si="54"/>
        <v>985.50229690818787</v>
      </c>
      <c r="AB115" s="14">
        <f t="shared" si="55"/>
        <v>1203.2120765719289</v>
      </c>
      <c r="AC115" s="14">
        <f t="shared" si="56"/>
        <v>985.50229690818787</v>
      </c>
      <c r="AD115" s="33">
        <f t="shared" si="57"/>
        <v>0.94047024373459487</v>
      </c>
      <c r="AE115" s="33">
        <f t="shared" si="58"/>
        <v>0.44047024373459492</v>
      </c>
      <c r="AF115" s="51">
        <f t="shared" si="59"/>
        <v>0</v>
      </c>
      <c r="AG115" s="51">
        <f>APPLICANTS_PER_YEAR*($H115/Segments!$AH$2)*AE115</f>
        <v>32.77098613385386</v>
      </c>
      <c r="AH115" s="51">
        <f t="shared" si="60"/>
        <v>32.77098613385386</v>
      </c>
      <c r="AI115" s="14">
        <f t="shared" si="61"/>
        <v>985.50229690818787</v>
      </c>
      <c r="AJ115" s="44">
        <f t="shared" si="62"/>
        <v>32295.882106859353</v>
      </c>
      <c r="AK115" s="44">
        <f t="shared" si="63"/>
        <v>21304.067906351589</v>
      </c>
      <c r="AL115" s="44">
        <f t="shared" si="64"/>
        <v>8708.9719679599184</v>
      </c>
      <c r="AM115" s="14">
        <f t="shared" si="65"/>
        <v>1013.8173658154334</v>
      </c>
      <c r="AN115" s="14">
        <f t="shared" si="66"/>
        <v>597.84999444746904</v>
      </c>
      <c r="AO115" s="14">
        <f t="shared" si="67"/>
        <v>1013.8173658154334</v>
      </c>
      <c r="AP115" s="14">
        <f t="shared" si="68"/>
        <v>1238.5451334897616</v>
      </c>
      <c r="AQ115" s="14">
        <f t="shared" si="69"/>
        <v>1013.8173658154334</v>
      </c>
      <c r="AR115" s="33">
        <f t="shared" si="70"/>
        <v>0.9407224781712753</v>
      </c>
      <c r="AS115" s="33">
        <f t="shared" si="71"/>
        <v>0.44072247817127524</v>
      </c>
      <c r="AT115" s="51">
        <f t="shared" si="72"/>
        <v>0</v>
      </c>
      <c r="AU115" s="51">
        <f>APPLICANTS_PER_YEAR*($H115/Segments!$AH$2)*AS115</f>
        <v>32.789752375942875</v>
      </c>
      <c r="AV115" s="51">
        <f t="shared" si="73"/>
        <v>32.789752375942875</v>
      </c>
      <c r="AW115" s="14">
        <f t="shared" si="74"/>
        <v>1013.8173658154333</v>
      </c>
      <c r="AX115" s="44">
        <f t="shared" si="75"/>
        <v>33242.820379518751</v>
      </c>
      <c r="AY115" s="44">
        <f t="shared" si="76"/>
        <v>21955.755668998292</v>
      </c>
      <c r="AZ115" s="44">
        <f t="shared" si="77"/>
        <v>8921.9306219296286</v>
      </c>
    </row>
    <row r="116" spans="1:52" ht="15" customHeight="1" x14ac:dyDescent="0.35">
      <c r="A116" s="59" t="str">
        <f>Segments!$A$96</f>
        <v>Non-greek</v>
      </c>
      <c r="B116" s="59" t="str">
        <f>Segments!$B$96</f>
        <v>Off 1-3mi</v>
      </c>
      <c r="C116" s="59" t="str">
        <f>Segments!$C$96</f>
        <v>Yes</v>
      </c>
      <c r="D116" s="59" t="str">
        <f>Segments!$D$96</f>
        <v>2.0-3.0</v>
      </c>
      <c r="E116" s="59" t="str">
        <f>Segments!$E$96</f>
        <v>Sophomore</v>
      </c>
      <c r="F116" s="59">
        <f>Segments!$F$96</f>
        <v>1</v>
      </c>
      <c r="G116" s="59" t="str">
        <f>Segments!$G$96</f>
        <v>Sophomore</v>
      </c>
      <c r="H116" s="60">
        <f>Segments!$H$96</f>
        <v>66</v>
      </c>
      <c r="I116" s="26">
        <f>Segments!$Y$96</f>
        <v>557.79773190106346</v>
      </c>
      <c r="J116" s="29">
        <v>1</v>
      </c>
      <c r="K116" s="14">
        <f t="shared" si="39"/>
        <v>1426.2297754450396</v>
      </c>
      <c r="L116" s="14">
        <f t="shared" si="40"/>
        <v>557.79773190106346</v>
      </c>
      <c r="M116" s="14">
        <f t="shared" si="41"/>
        <v>948.6892644545502</v>
      </c>
      <c r="N116" s="14">
        <f t="shared" si="42"/>
        <v>1163.2062915107247</v>
      </c>
      <c r="O116" s="14">
        <f t="shared" si="43"/>
        <v>1069.6723315837799</v>
      </c>
      <c r="P116" s="33">
        <f t="shared" si="44"/>
        <v>0.89020523298815157</v>
      </c>
      <c r="Q116" s="33">
        <f t="shared" si="45"/>
        <v>0.4422093650205281</v>
      </c>
      <c r="R116" s="51">
        <f t="shared" si="46"/>
        <v>55.192724445265398</v>
      </c>
      <c r="S116" s="51">
        <f>APPLICANTS_PER_YEAR*($H116/Segments!$AH$2)*Q116</f>
        <v>35.022981709625824</v>
      </c>
      <c r="T116" s="51">
        <f t="shared" si="47"/>
        <v>90.215706154891222</v>
      </c>
      <c r="U116" s="14">
        <f t="shared" si="48"/>
        <v>1022.7050358895398</v>
      </c>
      <c r="V116" s="44">
        <f t="shared" si="49"/>
        <v>92264.057000938206</v>
      </c>
      <c r="W116" s="44">
        <f t="shared" si="50"/>
        <v>56360.770228057278</v>
      </c>
      <c r="X116" s="44">
        <f t="shared" si="51"/>
        <v>21280.702875514646</v>
      </c>
      <c r="Y116" s="14">
        <f t="shared" si="52"/>
        <v>958.01193874581338</v>
      </c>
      <c r="Z116" s="14">
        <f t="shared" si="53"/>
        <v>574.53166385809538</v>
      </c>
      <c r="AA116" s="14">
        <f t="shared" si="54"/>
        <v>975.89994238818679</v>
      </c>
      <c r="AB116" s="14">
        <f t="shared" si="55"/>
        <v>1197.3359104110277</v>
      </c>
      <c r="AC116" s="14">
        <f t="shared" si="56"/>
        <v>975.89994238818679</v>
      </c>
      <c r="AD116" s="33">
        <f t="shared" si="57"/>
        <v>0.93686867611732239</v>
      </c>
      <c r="AE116" s="33">
        <f t="shared" si="58"/>
        <v>0.44247027759604451</v>
      </c>
      <c r="AF116" s="51">
        <f t="shared" si="59"/>
        <v>30.684012758423332</v>
      </c>
      <c r="AG116" s="51">
        <f>APPLICANTS_PER_YEAR*($H116/Segments!$AH$2)*AE116</f>
        <v>35.04364598560673</v>
      </c>
      <c r="AH116" s="51">
        <f t="shared" si="60"/>
        <v>65.727658744030066</v>
      </c>
      <c r="AI116" s="14">
        <f t="shared" si="61"/>
        <v>975.89994238818679</v>
      </c>
      <c r="AJ116" s="44">
        <f t="shared" si="62"/>
        <v>64143.61838160934</v>
      </c>
      <c r="AK116" s="44">
        <f t="shared" si="63"/>
        <v>42294.135676469254</v>
      </c>
      <c r="AL116" s="44">
        <f t="shared" si="64"/>
        <v>15510.756422089829</v>
      </c>
      <c r="AM116" s="14">
        <f t="shared" si="65"/>
        <v>985.50229690818787</v>
      </c>
      <c r="AN116" s="14">
        <f t="shared" si="66"/>
        <v>591.76761377383821</v>
      </c>
      <c r="AO116" s="14">
        <f t="shared" si="67"/>
        <v>1003.9269406598323</v>
      </c>
      <c r="AP116" s="14">
        <f t="shared" si="68"/>
        <v>1232.4889339440556</v>
      </c>
      <c r="AQ116" s="14">
        <f t="shared" si="69"/>
        <v>1003.9269406598323</v>
      </c>
      <c r="AR116" s="33">
        <f t="shared" si="70"/>
        <v>0.93711504420548319</v>
      </c>
      <c r="AS116" s="33">
        <f t="shared" si="71"/>
        <v>0.44272375069235226</v>
      </c>
      <c r="AT116" s="51">
        <f t="shared" si="72"/>
        <v>30.710184119483738</v>
      </c>
      <c r="AU116" s="51">
        <f>APPLICANTS_PER_YEAR*($H116/Segments!$AH$2)*AS116</f>
        <v>35.063721054834303</v>
      </c>
      <c r="AV116" s="51">
        <f t="shared" si="73"/>
        <v>65.773905174318045</v>
      </c>
      <c r="AW116" s="14">
        <f t="shared" si="74"/>
        <v>1003.9269406598323</v>
      </c>
      <c r="AX116" s="44">
        <f t="shared" si="75"/>
        <v>66032.195396903029</v>
      </c>
      <c r="AY116" s="44">
        <f t="shared" si="76"/>
        <v>43593.610943224056</v>
      </c>
      <c r="AZ116" s="44">
        <f t="shared" si="77"/>
        <v>15904.205557107425</v>
      </c>
    </row>
    <row r="117" spans="1:52" ht="15" customHeight="1" x14ac:dyDescent="0.35">
      <c r="A117" s="59" t="str">
        <f>Segments!$A$97</f>
        <v>Non-greek</v>
      </c>
      <c r="B117" s="59" t="str">
        <f>Segments!$B$97</f>
        <v>Off 1-3mi</v>
      </c>
      <c r="C117" s="59" t="str">
        <f>Segments!$C$97</f>
        <v>Yes</v>
      </c>
      <c r="D117" s="59" t="str">
        <f>Segments!$D$97</f>
        <v>2.0-3.0</v>
      </c>
      <c r="E117" s="59" t="str">
        <f>Segments!$E$97</f>
        <v>Junior</v>
      </c>
      <c r="F117" s="59">
        <f>Segments!$F$97</f>
        <v>2</v>
      </c>
      <c r="G117" s="59" t="str">
        <f>Segments!$G$97</f>
        <v>Base</v>
      </c>
      <c r="H117" s="60">
        <f>Segments!$H$97</f>
        <v>46</v>
      </c>
      <c r="I117" s="26">
        <f>Segments!$Y$97</f>
        <v>666.80570166492623</v>
      </c>
      <c r="J117" s="29">
        <v>2</v>
      </c>
      <c r="K117" s="14">
        <f t="shared" si="39"/>
        <v>1426.2297754450396</v>
      </c>
      <c r="L117" s="14">
        <f t="shared" si="40"/>
        <v>666.80570166492623</v>
      </c>
      <c r="M117" s="14">
        <f t="shared" si="41"/>
        <v>1125.9447215139185</v>
      </c>
      <c r="N117" s="14">
        <f t="shared" si="42"/>
        <v>1267.2236926953044</v>
      </c>
      <c r="O117" s="14">
        <f t="shared" si="43"/>
        <v>1125.9447215139185</v>
      </c>
      <c r="P117" s="33">
        <f t="shared" si="44"/>
        <v>0.90574350132331194</v>
      </c>
      <c r="Q117" s="33">
        <f t="shared" si="45"/>
        <v>0.40574350132331194</v>
      </c>
      <c r="R117" s="51">
        <f t="shared" si="46"/>
        <v>59.779071087338586</v>
      </c>
      <c r="S117" s="51">
        <f>APPLICANTS_PER_YEAR*($H117/Segments!$AH$2)*Q117</f>
        <v>22.397041273046817</v>
      </c>
      <c r="T117" s="51">
        <f t="shared" si="47"/>
        <v>82.176112360385403</v>
      </c>
      <c r="U117" s="14">
        <f t="shared" si="48"/>
        <v>1125.9447215139185</v>
      </c>
      <c r="V117" s="44">
        <f t="shared" si="49"/>
        <v>92525.759946710619</v>
      </c>
      <c r="W117" s="44">
        <f t="shared" si="50"/>
        <v>61370.96029407013</v>
      </c>
      <c r="X117" s="44">
        <f t="shared" si="51"/>
        <v>20573.440972924258</v>
      </c>
      <c r="Y117" s="14">
        <f t="shared" si="52"/>
        <v>1022.7050358895398</v>
      </c>
      <c r="Z117" s="14">
        <f t="shared" si="53"/>
        <v>686.80987271487402</v>
      </c>
      <c r="AA117" s="14">
        <f t="shared" si="54"/>
        <v>1158.4730631593361</v>
      </c>
      <c r="AB117" s="14">
        <f t="shared" si="55"/>
        <v>1304.5367913672396</v>
      </c>
      <c r="AC117" s="14">
        <f t="shared" si="56"/>
        <v>1158.4730631593361</v>
      </c>
      <c r="AD117" s="33">
        <f t="shared" si="57"/>
        <v>0.866156831441939</v>
      </c>
      <c r="AE117" s="33">
        <f t="shared" si="58"/>
        <v>0.40598298536863003</v>
      </c>
      <c r="AF117" s="51">
        <f t="shared" si="59"/>
        <v>78.140950189417609</v>
      </c>
      <c r="AG117" s="51">
        <f>APPLICANTS_PER_YEAR*($H117/Segments!$AH$2)*AE117</f>
        <v>22.410260792348375</v>
      </c>
      <c r="AH117" s="51">
        <f t="shared" si="60"/>
        <v>100.55121098176599</v>
      </c>
      <c r="AI117" s="14">
        <f t="shared" si="61"/>
        <v>1158.4730631593359</v>
      </c>
      <c r="AJ117" s="44">
        <f t="shared" si="62"/>
        <v>116485.86939042711</v>
      </c>
      <c r="AK117" s="44">
        <f t="shared" si="63"/>
        <v>77346.712145598736</v>
      </c>
      <c r="AL117" s="44">
        <f t="shared" si="64"/>
        <v>25495.768975555653</v>
      </c>
      <c r="AM117" s="14">
        <f t="shared" si="65"/>
        <v>975.89994238818679</v>
      </c>
      <c r="AN117" s="14">
        <f t="shared" si="66"/>
        <v>707.41416889632023</v>
      </c>
      <c r="AO117" s="14">
        <f t="shared" si="67"/>
        <v>1191.9772550541161</v>
      </c>
      <c r="AP117" s="14">
        <f t="shared" si="68"/>
        <v>1342.968908831341</v>
      </c>
      <c r="AQ117" s="14">
        <f t="shared" si="69"/>
        <v>1191.9772550541161</v>
      </c>
      <c r="AR117" s="33">
        <f t="shared" si="70"/>
        <v>0.83979160137202469</v>
      </c>
      <c r="AS117" s="33">
        <f t="shared" si="71"/>
        <v>0.40621561779439058</v>
      </c>
      <c r="AT117" s="51">
        <f t="shared" si="72"/>
        <v>55.19753579108297</v>
      </c>
      <c r="AU117" s="51">
        <f>APPLICANTS_PER_YEAR*($H117/Segments!$AH$2)*AS117</f>
        <v>22.423102102250358</v>
      </c>
      <c r="AV117" s="51">
        <f t="shared" si="73"/>
        <v>77.620637893333324</v>
      </c>
      <c r="AW117" s="14">
        <f t="shared" si="74"/>
        <v>1191.9772550541163</v>
      </c>
      <c r="AX117" s="44">
        <f t="shared" si="75"/>
        <v>92522.034891644973</v>
      </c>
      <c r="AY117" s="44">
        <f t="shared" si="76"/>
        <v>61499.131729856374</v>
      </c>
      <c r="AZ117" s="44">
        <f t="shared" si="77"/>
        <v>20535.128874221176</v>
      </c>
    </row>
    <row r="118" spans="1:52" ht="15" customHeight="1" x14ac:dyDescent="0.35">
      <c r="A118" s="59" t="str">
        <f>Segments!$A$98</f>
        <v>Non-greek</v>
      </c>
      <c r="B118" s="59" t="str">
        <f>Segments!$B$98</f>
        <v>Off 1-3mi</v>
      </c>
      <c r="C118" s="59" t="str">
        <f>Segments!$C$98</f>
        <v>Yes</v>
      </c>
      <c r="D118" s="59" t="str">
        <f>Segments!$D$98</f>
        <v>2.0-3.0</v>
      </c>
      <c r="E118" s="59" t="str">
        <f>Segments!$E$98</f>
        <v>Senior</v>
      </c>
      <c r="F118" s="59">
        <f>Segments!$F$98</f>
        <v>3</v>
      </c>
      <c r="G118" s="59" t="str">
        <f>Segments!$G$98</f>
        <v>Base</v>
      </c>
      <c r="H118" s="60">
        <f>Segments!$H$98</f>
        <v>52</v>
      </c>
      <c r="I118" s="26">
        <f>Segments!$Y$98</f>
        <v>623.25492523579021</v>
      </c>
      <c r="J118" s="29">
        <v>3</v>
      </c>
      <c r="K118" s="14">
        <f t="shared" si="39"/>
        <v>1426.2297754450396</v>
      </c>
      <c r="L118" s="14">
        <f t="shared" si="40"/>
        <v>623.25492523579021</v>
      </c>
      <c r="M118" s="14">
        <f t="shared" si="41"/>
        <v>1055.1277638367928</v>
      </c>
      <c r="N118" s="14">
        <f t="shared" si="42"/>
        <v>1226.7251663199772</v>
      </c>
      <c r="O118" s="14">
        <f t="shared" si="43"/>
        <v>1069.6723315837799</v>
      </c>
      <c r="P118" s="33">
        <f t="shared" si="44"/>
        <v>0.91401304833719865</v>
      </c>
      <c r="Q118" s="33">
        <f t="shared" si="45"/>
        <v>0.41994125790944486</v>
      </c>
      <c r="R118" s="51">
        <f t="shared" si="46"/>
        <v>42.044600223511139</v>
      </c>
      <c r="S118" s="51">
        <f>APPLICANTS_PER_YEAR*($H118/Segments!$AH$2)*Q118</f>
        <v>26.204334493549361</v>
      </c>
      <c r="T118" s="51">
        <f t="shared" si="47"/>
        <v>68.248934717060507</v>
      </c>
      <c r="U118" s="14">
        <f t="shared" si="48"/>
        <v>1064.0879115501748</v>
      </c>
      <c r="V118" s="44">
        <f t="shared" si="49"/>
        <v>72622.866408601141</v>
      </c>
      <c r="W118" s="44">
        <f t="shared" si="50"/>
        <v>47640.862869044344</v>
      </c>
      <c r="X118" s="44">
        <f t="shared" si="51"/>
        <v>16713.521037900915</v>
      </c>
      <c r="Y118" s="14">
        <f t="shared" si="52"/>
        <v>1125.9447215139185</v>
      </c>
      <c r="Z118" s="14">
        <f t="shared" si="53"/>
        <v>641.95257299286391</v>
      </c>
      <c r="AA118" s="14">
        <f t="shared" si="54"/>
        <v>1085.5315967518966</v>
      </c>
      <c r="AB118" s="14">
        <f t="shared" si="55"/>
        <v>1262.80006732585</v>
      </c>
      <c r="AC118" s="14">
        <f t="shared" si="56"/>
        <v>1085.5315967518966</v>
      </c>
      <c r="AD118" s="33">
        <f t="shared" si="57"/>
        <v>0.92018865264607697</v>
      </c>
      <c r="AE118" s="33">
        <f t="shared" si="58"/>
        <v>0.42018865264607697</v>
      </c>
      <c r="AF118" s="51">
        <f t="shared" si="59"/>
        <v>75.617526112595669</v>
      </c>
      <c r="AG118" s="51">
        <f>APPLICANTS_PER_YEAR*($H118/Segments!$AH$2)*AE118</f>
        <v>26.219771925115204</v>
      </c>
      <c r="AH118" s="51">
        <f t="shared" si="60"/>
        <v>101.83729803771087</v>
      </c>
      <c r="AI118" s="14">
        <f t="shared" si="61"/>
        <v>1085.5315967518966</v>
      </c>
      <c r="AJ118" s="44">
        <f t="shared" si="62"/>
        <v>110547.60474777507</v>
      </c>
      <c r="AK118" s="44">
        <f t="shared" si="63"/>
        <v>73219.681362183575</v>
      </c>
      <c r="AL118" s="44">
        <f t="shared" si="64"/>
        <v>24581.921237163515</v>
      </c>
      <c r="AM118" s="14">
        <f t="shared" si="65"/>
        <v>1158.4730631593359</v>
      </c>
      <c r="AN118" s="14">
        <f t="shared" si="66"/>
        <v>661.21115018264982</v>
      </c>
      <c r="AO118" s="14">
        <f t="shared" si="67"/>
        <v>1116.8475446544535</v>
      </c>
      <c r="AP118" s="14">
        <f t="shared" si="68"/>
        <v>1299.9568028548235</v>
      </c>
      <c r="AQ118" s="14">
        <f t="shared" si="69"/>
        <v>1116.8475446544535</v>
      </c>
      <c r="AR118" s="33">
        <f t="shared" si="70"/>
        <v>0.92042897802382562</v>
      </c>
      <c r="AS118" s="33">
        <f t="shared" si="71"/>
        <v>0.42042897802382562</v>
      </c>
      <c r="AT118" s="51">
        <f t="shared" si="72"/>
        <v>92.55024836300494</v>
      </c>
      <c r="AU118" s="51">
        <f>APPLICANTS_PER_YEAR*($H118/Segments!$AH$2)*AS118</f>
        <v>26.234768228686718</v>
      </c>
      <c r="AV118" s="51">
        <f t="shared" si="73"/>
        <v>118.78501659169166</v>
      </c>
      <c r="AW118" s="14">
        <f t="shared" si="74"/>
        <v>1116.8475446544535</v>
      </c>
      <c r="AX118" s="44">
        <f t="shared" si="75"/>
        <v>132664.75412216934</v>
      </c>
      <c r="AY118" s="44">
        <f t="shared" si="76"/>
        <v>87967.014738464495</v>
      </c>
      <c r="AZ118" s="44">
        <f t="shared" si="77"/>
        <v>29130.716343468564</v>
      </c>
    </row>
    <row r="119" spans="1:52" ht="15" customHeight="1" x14ac:dyDescent="0.35">
      <c r="A119" s="59" t="str">
        <f>Segments!$A$99</f>
        <v>Non-greek</v>
      </c>
      <c r="B119" s="59" t="str">
        <f>Segments!$B$99</f>
        <v>Off 1-3mi</v>
      </c>
      <c r="C119" s="59" t="str">
        <f>Segments!$C$99</f>
        <v>Yes</v>
      </c>
      <c r="D119" s="59" t="str">
        <f>Segments!$D$99</f>
        <v>2.0-3.0</v>
      </c>
      <c r="E119" s="59" t="str">
        <f>Segments!$E$99</f>
        <v>Grad student</v>
      </c>
      <c r="F119" s="59">
        <f>Segments!$F$99</f>
        <v>3</v>
      </c>
      <c r="G119" s="59" t="str">
        <f>Segments!$G$99</f>
        <v>Grad</v>
      </c>
      <c r="H119" s="60">
        <f>Segments!$H$99</f>
        <v>31</v>
      </c>
      <c r="I119" s="26">
        <f>Segments!$Y$99</f>
        <v>742.09744049478275</v>
      </c>
      <c r="J119" s="29">
        <v>4</v>
      </c>
      <c r="K119" s="14">
        <f t="shared" si="39"/>
        <v>1426.2297754450396</v>
      </c>
      <c r="L119" s="14">
        <f t="shared" si="40"/>
        <v>742.09744049478275</v>
      </c>
      <c r="M119" s="14">
        <f t="shared" si="41"/>
        <v>1248.3749585689809</v>
      </c>
      <c r="N119" s="14">
        <f t="shared" si="42"/>
        <v>1334.342361176864</v>
      </c>
      <c r="O119" s="14">
        <f t="shared" si="43"/>
        <v>1248.3749585689809</v>
      </c>
      <c r="P119" s="33">
        <f t="shared" si="44"/>
        <v>0.88221339781645747</v>
      </c>
      <c r="Q119" s="33">
        <f t="shared" si="45"/>
        <v>0.38221339781645747</v>
      </c>
      <c r="R119" s="51">
        <f t="shared" si="46"/>
        <v>13.674307666155091</v>
      </c>
      <c r="S119" s="51">
        <f>APPLICANTS_PER_YEAR*($H119/Segments!$AH$2)*Q119</f>
        <v>14.218338398772216</v>
      </c>
      <c r="T119" s="51">
        <f t="shared" si="47"/>
        <v>27.892646064927305</v>
      </c>
      <c r="U119" s="14">
        <f t="shared" si="48"/>
        <v>1248.3749585689809</v>
      </c>
      <c r="V119" s="44">
        <f t="shared" si="49"/>
        <v>34820.480875682872</v>
      </c>
      <c r="W119" s="44">
        <f t="shared" si="50"/>
        <v>23182.948603818564</v>
      </c>
      <c r="X119" s="44">
        <f t="shared" si="51"/>
        <v>8115.6258831039595</v>
      </c>
      <c r="Y119" s="14">
        <f t="shared" si="52"/>
        <v>1248.3749585689809</v>
      </c>
      <c r="Z119" s="14">
        <f t="shared" si="53"/>
        <v>764.3603637096262</v>
      </c>
      <c r="AA119" s="14">
        <f t="shared" si="54"/>
        <v>1284.5762073260503</v>
      </c>
      <c r="AB119" s="14">
        <f t="shared" si="55"/>
        <v>1373.704429922308</v>
      </c>
      <c r="AC119" s="14">
        <f t="shared" si="56"/>
        <v>1284.5762073260503</v>
      </c>
      <c r="AD119" s="33">
        <f t="shared" si="57"/>
        <v>0.87374122009306376</v>
      </c>
      <c r="AE119" s="33">
        <f t="shared" si="58"/>
        <v>0.3824408295754344</v>
      </c>
      <c r="AF119" s="51">
        <f t="shared" si="59"/>
        <v>12.185477302196789</v>
      </c>
      <c r="AG119" s="51">
        <f>APPLICANTS_PER_YEAR*($H119/Segments!$AH$2)*AE119</f>
        <v>14.226798860206157</v>
      </c>
      <c r="AH119" s="51">
        <f t="shared" si="60"/>
        <v>26.412276162402947</v>
      </c>
      <c r="AI119" s="14">
        <f t="shared" si="61"/>
        <v>1284.5762073260505</v>
      </c>
      <c r="AJ119" s="44">
        <f t="shared" si="62"/>
        <v>33928.581539547828</v>
      </c>
      <c r="AK119" s="44">
        <f t="shared" si="63"/>
        <v>22611.116655560618</v>
      </c>
      <c r="AL119" s="44">
        <f t="shared" si="64"/>
        <v>7936.0566620059481</v>
      </c>
      <c r="AM119" s="14">
        <f t="shared" si="65"/>
        <v>1284.5762073260505</v>
      </c>
      <c r="AN119" s="14">
        <f t="shared" si="66"/>
        <v>787.29117462091494</v>
      </c>
      <c r="AO119" s="14">
        <f t="shared" si="67"/>
        <v>1321.8634935458317</v>
      </c>
      <c r="AP119" s="14">
        <f t="shared" si="68"/>
        <v>1414.2470402829952</v>
      </c>
      <c r="AQ119" s="14">
        <f t="shared" si="69"/>
        <v>1321.8634935458317</v>
      </c>
      <c r="AR119" s="33">
        <f t="shared" si="70"/>
        <v>0.87395366807083452</v>
      </c>
      <c r="AS119" s="33">
        <f t="shared" si="71"/>
        <v>0.38266174300024597</v>
      </c>
      <c r="AT119" s="51">
        <f t="shared" si="72"/>
        <v>11.54155281711596</v>
      </c>
      <c r="AU119" s="51">
        <f>APPLICANTS_PER_YEAR*($H119/Segments!$AH$2)*AS119</f>
        <v>14.235016839609148</v>
      </c>
      <c r="AV119" s="51">
        <f t="shared" si="73"/>
        <v>25.776569656725108</v>
      </c>
      <c r="AW119" s="14">
        <f t="shared" si="74"/>
        <v>1321.8634935458317</v>
      </c>
      <c r="AX119" s="44">
        <f t="shared" si="75"/>
        <v>34073.106418066134</v>
      </c>
      <c r="AY119" s="44">
        <f t="shared" si="76"/>
        <v>22728.905699069863</v>
      </c>
      <c r="AZ119" s="44">
        <f t="shared" si="77"/>
        <v>7969.8101452993633</v>
      </c>
    </row>
    <row r="120" spans="1:52" ht="15" customHeight="1" x14ac:dyDescent="0.35">
      <c r="A120" s="61" t="str">
        <f>Segments!$A$100</f>
        <v>Non-greek</v>
      </c>
      <c r="B120" s="61" t="str">
        <f>Segments!$B$100</f>
        <v>Off 1-3mi</v>
      </c>
      <c r="C120" s="61" t="str">
        <f>Segments!$C$100</f>
        <v>Yes</v>
      </c>
      <c r="D120" s="61" t="str">
        <f>Segments!$D$100</f>
        <v>3.0+</v>
      </c>
      <c r="E120" s="61" t="str">
        <f>Segments!$E$100</f>
        <v>Freshman</v>
      </c>
      <c r="F120" s="61">
        <f>Segments!$F$100</f>
        <v>1</v>
      </c>
      <c r="G120" s="61" t="str">
        <f>Segments!$G$100</f>
        <v>Base</v>
      </c>
      <c r="H120" s="62">
        <f>Segments!$H$100</f>
        <v>29</v>
      </c>
      <c r="I120" s="63">
        <f>Segments!$Y$100</f>
        <v>493.96171962695377</v>
      </c>
      <c r="J120" s="42">
        <v>0</v>
      </c>
      <c r="K120" s="40">
        <f t="shared" si="39"/>
        <v>844.88693186358148</v>
      </c>
      <c r="L120" s="40">
        <f t="shared" si="40"/>
        <v>493.96171962695377</v>
      </c>
      <c r="M120" s="40">
        <f t="shared" si="41"/>
        <v>844.88693186358148</v>
      </c>
      <c r="N120" s="40">
        <f t="shared" si="42"/>
        <v>1097.7262405118338</v>
      </c>
      <c r="O120" s="40">
        <f t="shared" si="43"/>
        <v>844.88693186358148</v>
      </c>
      <c r="P120" s="41">
        <f t="shared" si="44"/>
        <v>0.95</v>
      </c>
      <c r="Q120" s="41">
        <f t="shared" si="45"/>
        <v>0.4651650107819057</v>
      </c>
      <c r="R120" s="64">
        <f t="shared" si="46"/>
        <v>0</v>
      </c>
      <c r="S120" s="64">
        <f>APPLICANTS_PER_YEAR*($H120/Segments!$AH$2)*Q120</f>
        <v>16.187742375210316</v>
      </c>
      <c r="T120" s="64">
        <f t="shared" si="47"/>
        <v>16.187742375210316</v>
      </c>
      <c r="U120" s="40">
        <f t="shared" si="48"/>
        <v>844.88693186358148</v>
      </c>
      <c r="V120" s="65">
        <f t="shared" si="49"/>
        <v>13676.811989189529</v>
      </c>
      <c r="W120" s="65">
        <f t="shared" si="50"/>
        <v>8955.6600678014365</v>
      </c>
      <c r="X120" s="65">
        <f t="shared" si="51"/>
        <v>3792.0542924629185</v>
      </c>
      <c r="Y120" s="40">
        <f t="shared" si="52"/>
        <v>868.98353981948901</v>
      </c>
      <c r="Z120" s="40">
        <f t="shared" si="53"/>
        <v>508.78057121576239</v>
      </c>
      <c r="AA120" s="40">
        <f t="shared" si="54"/>
        <v>868.98353981948901</v>
      </c>
      <c r="AB120" s="40">
        <f t="shared" si="55"/>
        <v>1129.8456995661181</v>
      </c>
      <c r="AC120" s="40">
        <f t="shared" si="56"/>
        <v>868.98353981948901</v>
      </c>
      <c r="AD120" s="41">
        <f t="shared" si="57"/>
        <v>0.95</v>
      </c>
      <c r="AE120" s="41">
        <f t="shared" si="58"/>
        <v>0.46544149782877653</v>
      </c>
      <c r="AF120" s="64">
        <f t="shared" si="59"/>
        <v>0</v>
      </c>
      <c r="AG120" s="64">
        <f>APPLICANTS_PER_YEAR*($H120/Segments!$AH$2)*AE120</f>
        <v>16.197364124441421</v>
      </c>
      <c r="AH120" s="64">
        <f t="shared" si="60"/>
        <v>16.197364124441421</v>
      </c>
      <c r="AI120" s="40">
        <f t="shared" si="61"/>
        <v>868.98353981948901</v>
      </c>
      <c r="AJ120" s="65">
        <f t="shared" si="62"/>
        <v>14075.242812602304</v>
      </c>
      <c r="AK120" s="65">
        <f t="shared" si="63"/>
        <v>9229.8126719937645</v>
      </c>
      <c r="AL120" s="65">
        <f t="shared" si="64"/>
        <v>3881.7357756227802</v>
      </c>
      <c r="AM120" s="40">
        <f t="shared" si="65"/>
        <v>893.80304601407363</v>
      </c>
      <c r="AN120" s="40">
        <f t="shared" si="66"/>
        <v>524.04398835223526</v>
      </c>
      <c r="AO120" s="40">
        <f t="shared" si="67"/>
        <v>893.80304601407363</v>
      </c>
      <c r="AP120" s="40">
        <f t="shared" si="68"/>
        <v>1162.9281664535936</v>
      </c>
      <c r="AQ120" s="40">
        <f t="shared" si="69"/>
        <v>893.80304601407363</v>
      </c>
      <c r="AR120" s="41">
        <f t="shared" si="70"/>
        <v>0.95</v>
      </c>
      <c r="AS120" s="41">
        <f t="shared" si="71"/>
        <v>0.46571012217385283</v>
      </c>
      <c r="AT120" s="64">
        <f t="shared" si="72"/>
        <v>0</v>
      </c>
      <c r="AU120" s="64">
        <f>APPLICANTS_PER_YEAR*($H120/Segments!$AH$2)*AS120</f>
        <v>16.206712251650078</v>
      </c>
      <c r="AV120" s="64">
        <f t="shared" si="73"/>
        <v>16.206712251650078</v>
      </c>
      <c r="AW120" s="40">
        <f t="shared" si="74"/>
        <v>893.80304601407363</v>
      </c>
      <c r="AX120" s="65">
        <f t="shared" si="75"/>
        <v>14485.608776398445</v>
      </c>
      <c r="AY120" s="65">
        <f t="shared" si="76"/>
        <v>9512.1937416035526</v>
      </c>
      <c r="AZ120" s="65">
        <f t="shared" si="77"/>
        <v>3974.0784172375056</v>
      </c>
    </row>
    <row r="121" spans="1:52" ht="15" customHeight="1" x14ac:dyDescent="0.35">
      <c r="A121" s="61" t="str">
        <f>Segments!$A$101</f>
        <v>Non-greek</v>
      </c>
      <c r="B121" s="61" t="str">
        <f>Segments!$B$101</f>
        <v>Off 1-3mi</v>
      </c>
      <c r="C121" s="61" t="str">
        <f>Segments!$C$101</f>
        <v>Yes</v>
      </c>
      <c r="D121" s="61" t="str">
        <f>Segments!$D$101</f>
        <v>3.0+</v>
      </c>
      <c r="E121" s="61" t="str">
        <f>Segments!$E$101</f>
        <v>Sophomore</v>
      </c>
      <c r="F121" s="61">
        <f>Segments!$F$101</f>
        <v>1</v>
      </c>
      <c r="G121" s="61" t="str">
        <f>Segments!$G$101</f>
        <v>Sophomore</v>
      </c>
      <c r="H121" s="62">
        <f>Segments!$H$101</f>
        <v>30</v>
      </c>
      <c r="I121" s="63">
        <f>Segments!$Y$101</f>
        <v>488.936273035206</v>
      </c>
      <c r="J121" s="42">
        <v>1</v>
      </c>
      <c r="K121" s="40">
        <f t="shared" si="39"/>
        <v>1426.2297754450396</v>
      </c>
      <c r="L121" s="40">
        <f t="shared" si="40"/>
        <v>488.936273035206</v>
      </c>
      <c r="M121" s="40">
        <f t="shared" si="41"/>
        <v>836.71516392333501</v>
      </c>
      <c r="N121" s="40">
        <f t="shared" si="42"/>
        <v>1092.4047236962306</v>
      </c>
      <c r="O121" s="40">
        <f t="shared" si="43"/>
        <v>1069.6723315837799</v>
      </c>
      <c r="P121" s="41">
        <f t="shared" si="44"/>
        <v>0.86040474817590229</v>
      </c>
      <c r="Q121" s="41">
        <f t="shared" si="45"/>
        <v>0.46703059966078841</v>
      </c>
      <c r="R121" s="64">
        <f t="shared" si="46"/>
        <v>24.951737697101166</v>
      </c>
      <c r="S121" s="64">
        <f>APPLICANTS_PER_YEAR*($H121/Segments!$AH$2)*Q121</f>
        <v>16.813101587788381</v>
      </c>
      <c r="T121" s="64">
        <f t="shared" si="47"/>
        <v>41.764839284889547</v>
      </c>
      <c r="U121" s="40">
        <f t="shared" si="48"/>
        <v>975.89171150856794</v>
      </c>
      <c r="V121" s="65">
        <f t="shared" si="49"/>
        <v>40757.960490611134</v>
      </c>
      <c r="W121" s="65">
        <f t="shared" si="50"/>
        <v>22870.786247532447</v>
      </c>
      <c r="X121" s="65">
        <f t="shared" si="51"/>
        <v>9451.2510549060171</v>
      </c>
      <c r="Y121" s="40">
        <f t="shared" si="52"/>
        <v>844.88693186358148</v>
      </c>
      <c r="Z121" s="40">
        <f t="shared" si="53"/>
        <v>503.6043612262622</v>
      </c>
      <c r="AA121" s="40">
        <f t="shared" si="54"/>
        <v>860.56661884103505</v>
      </c>
      <c r="AB121" s="40">
        <f t="shared" si="55"/>
        <v>1124.3605772222274</v>
      </c>
      <c r="AC121" s="40">
        <f t="shared" si="56"/>
        <v>860.56661884103505</v>
      </c>
      <c r="AD121" s="41">
        <f t="shared" si="57"/>
        <v>0.95</v>
      </c>
      <c r="AE121" s="41">
        <f t="shared" si="58"/>
        <v>0.46730843455615662</v>
      </c>
      <c r="AF121" s="64">
        <f t="shared" si="59"/>
        <v>15.378355256449799</v>
      </c>
      <c r="AG121" s="64">
        <f>APPLICANTS_PER_YEAR*($H121/Segments!$AH$2)*AE121</f>
        <v>16.823103644021639</v>
      </c>
      <c r="AH121" s="64">
        <f t="shared" si="60"/>
        <v>32.201458900471437</v>
      </c>
      <c r="AI121" s="40">
        <f t="shared" si="61"/>
        <v>860.56661884103517</v>
      </c>
      <c r="AJ121" s="65">
        <f t="shared" si="62"/>
        <v>27711.500607727263</v>
      </c>
      <c r="AK121" s="65">
        <f t="shared" si="63"/>
        <v>18162.810556940734</v>
      </c>
      <c r="AL121" s="65">
        <f t="shared" si="64"/>
        <v>6808.7894337176022</v>
      </c>
      <c r="AM121" s="40">
        <f t="shared" si="65"/>
        <v>868.98353981948901</v>
      </c>
      <c r="AN121" s="40">
        <f t="shared" si="66"/>
        <v>518.71249206305004</v>
      </c>
      <c r="AO121" s="40">
        <f t="shared" si="67"/>
        <v>885.13361740626613</v>
      </c>
      <c r="AP121" s="40">
        <f t="shared" si="68"/>
        <v>1157.2745219454541</v>
      </c>
      <c r="AQ121" s="40">
        <f t="shared" si="69"/>
        <v>885.13361740626613</v>
      </c>
      <c r="AR121" s="41">
        <f t="shared" si="70"/>
        <v>0.95</v>
      </c>
      <c r="AS121" s="41">
        <f t="shared" si="71"/>
        <v>0.467578370290958</v>
      </c>
      <c r="AT121" s="64">
        <f t="shared" si="72"/>
        <v>15.387495918219349</v>
      </c>
      <c r="AU121" s="64">
        <f>APPLICANTS_PER_YEAR*($H121/Segments!$AH$2)*AS121</f>
        <v>16.832821330474488</v>
      </c>
      <c r="AV121" s="64">
        <f t="shared" si="73"/>
        <v>32.220317248693839</v>
      </c>
      <c r="AW121" s="40">
        <f t="shared" si="74"/>
        <v>885.13361740626601</v>
      </c>
      <c r="AX121" s="65">
        <f t="shared" si="75"/>
        <v>28519.285960313886</v>
      </c>
      <c r="AY121" s="65">
        <f t="shared" si="76"/>
        <v>18718.650781747907</v>
      </c>
      <c r="AZ121" s="65">
        <f t="shared" si="77"/>
        <v>6976.8472859739322</v>
      </c>
    </row>
    <row r="122" spans="1:52" ht="15" customHeight="1" x14ac:dyDescent="0.35">
      <c r="A122" s="61" t="str">
        <f>Segments!$A$102</f>
        <v>Non-greek</v>
      </c>
      <c r="B122" s="61" t="str">
        <f>Segments!$B$102</f>
        <v>Off 1-3mi</v>
      </c>
      <c r="C122" s="61" t="str">
        <f>Segments!$C$102</f>
        <v>Yes</v>
      </c>
      <c r="D122" s="61" t="str">
        <f>Segments!$D$102</f>
        <v>3.0+</v>
      </c>
      <c r="E122" s="61" t="str">
        <f>Segments!$E$102</f>
        <v>Junior</v>
      </c>
      <c r="F122" s="61">
        <f>Segments!$F$102</f>
        <v>2</v>
      </c>
      <c r="G122" s="61" t="str">
        <f>Segments!$G$102</f>
        <v>Base</v>
      </c>
      <c r="H122" s="62">
        <f>Segments!$H$102</f>
        <v>39</v>
      </c>
      <c r="I122" s="63">
        <f>Segments!$Y$102</f>
        <v>584.48694923790333</v>
      </c>
      <c r="J122" s="42">
        <v>2</v>
      </c>
      <c r="K122" s="40">
        <f t="shared" si="39"/>
        <v>1426.2297754450396</v>
      </c>
      <c r="L122" s="40">
        <f t="shared" si="40"/>
        <v>584.48694923790333</v>
      </c>
      <c r="M122" s="40">
        <f t="shared" si="41"/>
        <v>992.0880125263327</v>
      </c>
      <c r="N122" s="40">
        <f t="shared" si="42"/>
        <v>1189.5148016427315</v>
      </c>
      <c r="O122" s="40">
        <f t="shared" si="43"/>
        <v>1069.6723315837799</v>
      </c>
      <c r="P122" s="41">
        <f t="shared" si="44"/>
        <v>0.90037451820416525</v>
      </c>
      <c r="Q122" s="41">
        <f t="shared" si="45"/>
        <v>0.43298626836914955</v>
      </c>
      <c r="R122" s="64">
        <f t="shared" si="46"/>
        <v>27.011235546124958</v>
      </c>
      <c r="S122" s="64">
        <f>APPLICANTS_PER_YEAR*($H122/Segments!$AH$2)*Q122</f>
        <v>20.263757359676198</v>
      </c>
      <c r="T122" s="64">
        <f t="shared" si="47"/>
        <v>47.274992905801156</v>
      </c>
      <c r="U122" s="40">
        <f t="shared" si="48"/>
        <v>1036.4169100667755</v>
      </c>
      <c r="V122" s="65">
        <f t="shared" si="49"/>
        <v>48996.602070859168</v>
      </c>
      <c r="W122" s="65">
        <f t="shared" si="50"/>
        <v>30947.410344205869</v>
      </c>
      <c r="X122" s="65">
        <f t="shared" si="51"/>
        <v>11416.071660285004</v>
      </c>
      <c r="Y122" s="40">
        <f t="shared" si="52"/>
        <v>975.89171150856794</v>
      </c>
      <c r="Z122" s="40">
        <f t="shared" si="53"/>
        <v>602.02155771504044</v>
      </c>
      <c r="AA122" s="40">
        <f t="shared" si="54"/>
        <v>1020.6006529021228</v>
      </c>
      <c r="AB122" s="40">
        <f t="shared" si="55"/>
        <v>1224.4506405763709</v>
      </c>
      <c r="AC122" s="40">
        <f t="shared" si="56"/>
        <v>1020.6006529021228</v>
      </c>
      <c r="AD122" s="41">
        <f t="shared" si="57"/>
        <v>0.91949737937046139</v>
      </c>
      <c r="AE122" s="41">
        <f t="shared" si="58"/>
        <v>0.43324140676601397</v>
      </c>
      <c r="AF122" s="64">
        <f t="shared" si="59"/>
        <v>38.402660272284436</v>
      </c>
      <c r="AG122" s="64">
        <f>APPLICANTS_PER_YEAR*($H122/Segments!$AH$2)*AE122</f>
        <v>20.275697836649453</v>
      </c>
      <c r="AH122" s="64">
        <f t="shared" si="60"/>
        <v>58.678358108933892</v>
      </c>
      <c r="AI122" s="40">
        <f t="shared" si="61"/>
        <v>1020.6006529021226</v>
      </c>
      <c r="AJ122" s="65">
        <f t="shared" si="62"/>
        <v>59887.170597202494</v>
      </c>
      <c r="AK122" s="65">
        <f t="shared" si="63"/>
        <v>39564.712939249526</v>
      </c>
      <c r="AL122" s="65">
        <f t="shared" si="64"/>
        <v>13723.403516720758</v>
      </c>
      <c r="AM122" s="40">
        <f t="shared" si="65"/>
        <v>860.56661884103517</v>
      </c>
      <c r="AN122" s="40">
        <f t="shared" si="66"/>
        <v>620.08220444649157</v>
      </c>
      <c r="AO122" s="40">
        <f t="shared" si="67"/>
        <v>1049.9686724891862</v>
      </c>
      <c r="AP122" s="40">
        <f t="shared" si="68"/>
        <v>1260.4341021860218</v>
      </c>
      <c r="AQ122" s="40">
        <f t="shared" si="69"/>
        <v>1049.9686724891862</v>
      </c>
      <c r="AR122" s="41">
        <f t="shared" si="70"/>
        <v>0.86746228212143273</v>
      </c>
      <c r="AS122" s="41">
        <f t="shared" si="71"/>
        <v>0.43348926347351951</v>
      </c>
      <c r="AT122" s="64">
        <f t="shared" si="72"/>
        <v>27.933551025442473</v>
      </c>
      <c r="AU122" s="64">
        <f>APPLICANTS_PER_YEAR*($H122/Segments!$AH$2)*AS122</f>
        <v>20.287297530560711</v>
      </c>
      <c r="AV122" s="64">
        <f t="shared" si="73"/>
        <v>48.220848556003183</v>
      </c>
      <c r="AW122" s="40">
        <f t="shared" si="74"/>
        <v>1049.9686724891862</v>
      </c>
      <c r="AX122" s="65">
        <f t="shared" si="75"/>
        <v>50630.380344648758</v>
      </c>
      <c r="AY122" s="65">
        <f t="shared" si="76"/>
        <v>33488.996881633298</v>
      </c>
      <c r="AZ122" s="65">
        <f t="shared" si="77"/>
        <v>11786.277234502153</v>
      </c>
    </row>
    <row r="123" spans="1:52" ht="15" customHeight="1" x14ac:dyDescent="0.35">
      <c r="A123" s="61" t="str">
        <f>Segments!$A$103</f>
        <v>Non-greek</v>
      </c>
      <c r="B123" s="61" t="str">
        <f>Segments!$B$103</f>
        <v>Off 1-3mi</v>
      </c>
      <c r="C123" s="61" t="str">
        <f>Segments!$C$103</f>
        <v>Yes</v>
      </c>
      <c r="D123" s="61" t="str">
        <f>Segments!$D$103</f>
        <v>3.0+</v>
      </c>
      <c r="E123" s="61" t="str">
        <f>Segments!$E$103</f>
        <v>Senior</v>
      </c>
      <c r="F123" s="61">
        <f>Segments!$F$103</f>
        <v>3</v>
      </c>
      <c r="G123" s="61" t="str">
        <f>Segments!$G$103</f>
        <v>Base</v>
      </c>
      <c r="H123" s="62">
        <f>Segments!$H$103</f>
        <v>35</v>
      </c>
      <c r="I123" s="63">
        <f>Segments!$Y$103</f>
        <v>546.31261991160909</v>
      </c>
      <c r="J123" s="42">
        <v>3</v>
      </c>
      <c r="K123" s="40">
        <f t="shared" si="39"/>
        <v>1426.2297754450396</v>
      </c>
      <c r="L123" s="40">
        <f t="shared" si="40"/>
        <v>546.31261991160909</v>
      </c>
      <c r="M123" s="40">
        <f t="shared" si="41"/>
        <v>930.01357698436993</v>
      </c>
      <c r="N123" s="40">
        <f t="shared" si="42"/>
        <v>1151.7000716606976</v>
      </c>
      <c r="O123" s="40">
        <f t="shared" si="43"/>
        <v>1069.6723315837799</v>
      </c>
      <c r="P123" s="41">
        <f t="shared" si="44"/>
        <v>0.88561158937788265</v>
      </c>
      <c r="Q123" s="41">
        <f t="shared" si="45"/>
        <v>0.44624315398221087</v>
      </c>
      <c r="R123" s="64">
        <f t="shared" si="46"/>
        <v>34.538851985737423</v>
      </c>
      <c r="S123" s="64">
        <f>APPLICANTS_PER_YEAR*($H123/Segments!$AH$2)*Q123</f>
        <v>18.742212467252855</v>
      </c>
      <c r="T123" s="64">
        <f t="shared" si="47"/>
        <v>53.281064452990279</v>
      </c>
      <c r="U123" s="40">
        <f t="shared" si="48"/>
        <v>1020.5457970731284</v>
      </c>
      <c r="V123" s="65">
        <f t="shared" si="49"/>
        <v>54375.766391081692</v>
      </c>
      <c r="W123" s="65">
        <f t="shared" si="50"/>
        <v>32601.092062551517</v>
      </c>
      <c r="X123" s="65">
        <f t="shared" si="51"/>
        <v>12421.264370660048</v>
      </c>
      <c r="Y123" s="40">
        <f t="shared" si="52"/>
        <v>1036.4169100667755</v>
      </c>
      <c r="Z123" s="40">
        <f t="shared" si="53"/>
        <v>562.70199850895733</v>
      </c>
      <c r="AA123" s="40">
        <f t="shared" si="54"/>
        <v>956.66398429390097</v>
      </c>
      <c r="AB123" s="40">
        <f t="shared" si="55"/>
        <v>1185.4768404657775</v>
      </c>
      <c r="AC123" s="40">
        <f t="shared" si="56"/>
        <v>956.66398429390097</v>
      </c>
      <c r="AD123" s="41">
        <f t="shared" si="57"/>
        <v>0.9465066749351152</v>
      </c>
      <c r="AE123" s="41">
        <f t="shared" si="58"/>
        <v>0.44650667493511526</v>
      </c>
      <c r="AF123" s="64">
        <f t="shared" si="59"/>
        <v>44.746096342851011</v>
      </c>
      <c r="AG123" s="64">
        <f>APPLICANTS_PER_YEAR*($H123/Segments!$AH$2)*AE123</f>
        <v>18.753280347274842</v>
      </c>
      <c r="AH123" s="64">
        <f t="shared" si="60"/>
        <v>63.499376690125857</v>
      </c>
      <c r="AI123" s="40">
        <f t="shared" si="61"/>
        <v>956.66398429390085</v>
      </c>
      <c r="AJ123" s="65">
        <f t="shared" si="62"/>
        <v>60747.566704555058</v>
      </c>
      <c r="AK123" s="65">
        <f t="shared" si="63"/>
        <v>40018.973307719752</v>
      </c>
      <c r="AL123" s="65">
        <f t="shared" si="64"/>
        <v>13848.030225991452</v>
      </c>
      <c r="AM123" s="40">
        <f t="shared" si="65"/>
        <v>1020.6006529021226</v>
      </c>
      <c r="AN123" s="40">
        <f t="shared" si="66"/>
        <v>579.58305846422604</v>
      </c>
      <c r="AO123" s="40">
        <f t="shared" si="67"/>
        <v>984.11390382271804</v>
      </c>
      <c r="AP123" s="40">
        <f t="shared" si="68"/>
        <v>1220.2664137318363</v>
      </c>
      <c r="AQ123" s="40">
        <f t="shared" si="69"/>
        <v>984.11390382271804</v>
      </c>
      <c r="AR123" s="41">
        <f t="shared" si="70"/>
        <v>0.94676268528399188</v>
      </c>
      <c r="AS123" s="41">
        <f t="shared" si="71"/>
        <v>0.44676268528399188</v>
      </c>
      <c r="AT123" s="64">
        <f t="shared" si="72"/>
        <v>55.554479891269949</v>
      </c>
      <c r="AU123" s="64">
        <f>APPLICANTS_PER_YEAR*($H123/Segments!$AH$2)*AS123</f>
        <v>18.764032781927661</v>
      </c>
      <c r="AV123" s="64">
        <f t="shared" si="73"/>
        <v>74.318512673197603</v>
      </c>
      <c r="AW123" s="40">
        <f t="shared" si="74"/>
        <v>984.11390382271804</v>
      </c>
      <c r="AX123" s="65">
        <f t="shared" si="75"/>
        <v>73137.881633118639</v>
      </c>
      <c r="AY123" s="65">
        <f t="shared" si="76"/>
        <v>48242.600980721523</v>
      </c>
      <c r="AZ123" s="65">
        <f t="shared" si="77"/>
        <v>16424.838796008378</v>
      </c>
    </row>
    <row r="124" spans="1:52" ht="15" customHeight="1" x14ac:dyDescent="0.35">
      <c r="A124" s="61" t="str">
        <f>Segments!$A$104</f>
        <v>Non-greek</v>
      </c>
      <c r="B124" s="61" t="str">
        <f>Segments!$B$104</f>
        <v>Off 1-3mi</v>
      </c>
      <c r="C124" s="61" t="str">
        <f>Segments!$C$104</f>
        <v>Yes</v>
      </c>
      <c r="D124" s="61" t="str">
        <f>Segments!$D$104</f>
        <v>3.0+</v>
      </c>
      <c r="E124" s="61" t="str">
        <f>Segments!$E$104</f>
        <v>Grad student</v>
      </c>
      <c r="F124" s="61">
        <f>Segments!$F$104</f>
        <v>3</v>
      </c>
      <c r="G124" s="61" t="str">
        <f>Segments!$G$104</f>
        <v>Grad</v>
      </c>
      <c r="H124" s="62">
        <f>Segments!$H$104</f>
        <v>13</v>
      </c>
      <c r="I124" s="63">
        <f>Segments!$Y$104</f>
        <v>650.48374353885197</v>
      </c>
      <c r="J124" s="42">
        <v>4</v>
      </c>
      <c r="K124" s="40">
        <f t="shared" si="39"/>
        <v>1426.2297754450396</v>
      </c>
      <c r="L124" s="40">
        <f t="shared" si="40"/>
        <v>650.48374353885197</v>
      </c>
      <c r="M124" s="40">
        <f t="shared" si="41"/>
        <v>1099.4039451467554</v>
      </c>
      <c r="N124" s="40">
        <f t="shared" si="42"/>
        <v>1252.1991222685183</v>
      </c>
      <c r="O124" s="40">
        <f t="shared" si="43"/>
        <v>1099.4039451467554</v>
      </c>
      <c r="P124" s="41">
        <f t="shared" si="44"/>
        <v>0.91101073479629779</v>
      </c>
      <c r="Q124" s="41">
        <f t="shared" si="45"/>
        <v>0.41101073479629779</v>
      </c>
      <c r="R124" s="64">
        <f t="shared" si="46"/>
        <v>5.9215697761759358</v>
      </c>
      <c r="S124" s="64">
        <f>APPLICANTS_PER_YEAR*($H124/Segments!$AH$2)*Q124</f>
        <v>6.4117674628222456</v>
      </c>
      <c r="T124" s="64">
        <f t="shared" si="47"/>
        <v>12.333337238998181</v>
      </c>
      <c r="U124" s="40">
        <f t="shared" si="48"/>
        <v>1099.4039451467554</v>
      </c>
      <c r="V124" s="65">
        <f t="shared" si="49"/>
        <v>13559.319617379992</v>
      </c>
      <c r="W124" s="65">
        <f t="shared" si="50"/>
        <v>8985.351622856746</v>
      </c>
      <c r="X124" s="65">
        <f t="shared" si="51"/>
        <v>3216.3916245750015</v>
      </c>
      <c r="Y124" s="40">
        <f t="shared" si="52"/>
        <v>1099.4039451467554</v>
      </c>
      <c r="Z124" s="40">
        <f t="shared" si="53"/>
        <v>669.99825584501752</v>
      </c>
      <c r="AA124" s="40">
        <f t="shared" si="54"/>
        <v>1131.1360635011581</v>
      </c>
      <c r="AB124" s="40">
        <f t="shared" si="55"/>
        <v>1289.0530368686907</v>
      </c>
      <c r="AC124" s="40">
        <f t="shared" si="56"/>
        <v>1131.1360635011581</v>
      </c>
      <c r="AD124" s="41">
        <f t="shared" si="57"/>
        <v>0.90259418779892098</v>
      </c>
      <c r="AE124" s="41">
        <f t="shared" si="58"/>
        <v>0.41125309388011577</v>
      </c>
      <c r="AF124" s="64">
        <f t="shared" si="59"/>
        <v>5.5659992540418752</v>
      </c>
      <c r="AG124" s="64">
        <f>APPLICANTS_PER_YEAR*($H124/Segments!$AH$2)*AE124</f>
        <v>6.4155482645298063</v>
      </c>
      <c r="AH124" s="64">
        <f t="shared" si="60"/>
        <v>11.981547518571681</v>
      </c>
      <c r="AI124" s="40">
        <f t="shared" si="61"/>
        <v>1131.1360635011581</v>
      </c>
      <c r="AJ124" s="65">
        <f t="shared" si="62"/>
        <v>13552.760494809241</v>
      </c>
      <c r="AK124" s="65">
        <f t="shared" si="63"/>
        <v>8990.9298525392915</v>
      </c>
      <c r="AL124" s="65">
        <f t="shared" si="64"/>
        <v>3215.4814208235935</v>
      </c>
      <c r="AM124" s="40">
        <f t="shared" si="65"/>
        <v>1131.1360635011581</v>
      </c>
      <c r="AN124" s="40">
        <f t="shared" si="66"/>
        <v>690.09820352036797</v>
      </c>
      <c r="AO124" s="40">
        <f t="shared" si="67"/>
        <v>1163.8201454061925</v>
      </c>
      <c r="AP124" s="40">
        <f t="shared" si="68"/>
        <v>1327.0121810931992</v>
      </c>
      <c r="AQ124" s="40">
        <f t="shared" si="69"/>
        <v>1163.8201454061925</v>
      </c>
      <c r="AR124" s="41">
        <f t="shared" si="70"/>
        <v>0.90282004721764408</v>
      </c>
      <c r="AS124" s="41">
        <f t="shared" si="71"/>
        <v>0.41148852211460796</v>
      </c>
      <c r="AT124" s="64">
        <f t="shared" si="72"/>
        <v>5.4085906482286656</v>
      </c>
      <c r="AU124" s="64">
        <f>APPLICANTS_PER_YEAR*($H124/Segments!$AH$2)*AS124</f>
        <v>6.4192209449878836</v>
      </c>
      <c r="AV124" s="64">
        <f t="shared" si="73"/>
        <v>11.827811593216548</v>
      </c>
      <c r="AW124" s="40">
        <f t="shared" si="74"/>
        <v>1163.8201454061925</v>
      </c>
      <c r="AX124" s="65">
        <f t="shared" si="75"/>
        <v>13765.445408254334</v>
      </c>
      <c r="AY124" s="65">
        <f t="shared" si="76"/>
        <v>9141.8337159028561</v>
      </c>
      <c r="AZ124" s="65">
        <f t="shared" si="77"/>
        <v>3260.1845905247569</v>
      </c>
    </row>
    <row r="125" spans="1:52" ht="15" customHeight="1" x14ac:dyDescent="0.35">
      <c r="A125" s="59" t="str">
        <f>Segments!$A$105</f>
        <v>Non-greek</v>
      </c>
      <c r="B125" s="59" t="str">
        <f>Segments!$B$105</f>
        <v>Off 1-3mi</v>
      </c>
      <c r="C125" s="59" t="str">
        <f>Segments!$C$105</f>
        <v>No</v>
      </c>
      <c r="D125" s="59" t="str">
        <f>Segments!$D$105</f>
        <v>&lt;1.0</v>
      </c>
      <c r="E125" s="59" t="str">
        <f>Segments!$E$105</f>
        <v>Freshman</v>
      </c>
      <c r="F125" s="59">
        <f>Segments!$F$105</f>
        <v>1</v>
      </c>
      <c r="G125" s="59" t="str">
        <f>Segments!$G$105</f>
        <v>Base</v>
      </c>
      <c r="H125" s="60">
        <f>Segments!$H$105</f>
        <v>5</v>
      </c>
      <c r="I125" s="26">
        <f>Segments!$Y$105</f>
        <v>973.28207195701339</v>
      </c>
      <c r="J125" s="29">
        <v>0</v>
      </c>
      <c r="K125" s="14">
        <f t="shared" si="39"/>
        <v>1624.2991923998554</v>
      </c>
      <c r="L125" s="14">
        <f t="shared" si="40"/>
        <v>973.28207195701339</v>
      </c>
      <c r="M125" s="14">
        <f t="shared" si="41"/>
        <v>1624.2991923998554</v>
      </c>
      <c r="N125" s="14">
        <f t="shared" si="42"/>
        <v>1522.0459495140103</v>
      </c>
      <c r="O125" s="14">
        <f t="shared" si="43"/>
        <v>1624.2991923998554</v>
      </c>
      <c r="P125" s="33">
        <f t="shared" si="44"/>
        <v>0.81640927860341705</v>
      </c>
      <c r="Q125" s="33">
        <f t="shared" si="45"/>
        <v>0.31640927860341705</v>
      </c>
      <c r="R125" s="51">
        <f t="shared" si="46"/>
        <v>0</v>
      </c>
      <c r="S125" s="51">
        <f>APPLICANTS_PER_YEAR*($H125/Segments!$AH$2)*Q125</f>
        <v>1.8984556716205023</v>
      </c>
      <c r="T125" s="51">
        <f t="shared" si="47"/>
        <v>1.8984556716205023</v>
      </c>
      <c r="U125" s="14">
        <f t="shared" si="48"/>
        <v>1624.2991923998554</v>
      </c>
      <c r="V125" s="44">
        <f t="shared" si="49"/>
        <v>3083.6600142201069</v>
      </c>
      <c r="W125" s="44">
        <f t="shared" si="50"/>
        <v>2069.4608139445477</v>
      </c>
      <c r="X125" s="44">
        <f t="shared" si="51"/>
        <v>776.17034840822657</v>
      </c>
      <c r="Y125" s="14">
        <f t="shared" si="52"/>
        <v>1671.7781681718511</v>
      </c>
      <c r="Z125" s="14">
        <f t="shared" si="53"/>
        <v>1002.4805341157238</v>
      </c>
      <c r="AA125" s="14">
        <f t="shared" si="54"/>
        <v>1671.7781681718511</v>
      </c>
      <c r="AB125" s="14">
        <f t="shared" si="55"/>
        <v>1567.1215637043695</v>
      </c>
      <c r="AC125" s="14">
        <f t="shared" si="56"/>
        <v>1671.7781681718511</v>
      </c>
      <c r="AD125" s="33">
        <f t="shared" si="57"/>
        <v>0.81660865152665818</v>
      </c>
      <c r="AE125" s="33">
        <f t="shared" si="58"/>
        <v>0.31660865152665818</v>
      </c>
      <c r="AF125" s="51">
        <f t="shared" si="59"/>
        <v>0</v>
      </c>
      <c r="AG125" s="51">
        <f>APPLICANTS_PER_YEAR*($H125/Segments!$AH$2)*AE125</f>
        <v>1.8996519091599491</v>
      </c>
      <c r="AH125" s="51">
        <f t="shared" si="60"/>
        <v>1.8996519091599491</v>
      </c>
      <c r="AI125" s="14">
        <f t="shared" si="61"/>
        <v>1671.7781681718511</v>
      </c>
      <c r="AJ125" s="44">
        <f t="shared" si="62"/>
        <v>3175.7965888595795</v>
      </c>
      <c r="AK125" s="44">
        <f t="shared" si="63"/>
        <v>2132.8877477920551</v>
      </c>
      <c r="AL125" s="44">
        <f t="shared" si="64"/>
        <v>796.86277181674359</v>
      </c>
      <c r="AM125" s="14">
        <f t="shared" si="65"/>
        <v>1720.6815132170066</v>
      </c>
      <c r="AN125" s="14">
        <f t="shared" si="66"/>
        <v>1032.5549501391954</v>
      </c>
      <c r="AO125" s="14">
        <f t="shared" si="67"/>
        <v>1720.6815132170066</v>
      </c>
      <c r="AP125" s="14">
        <f t="shared" si="68"/>
        <v>1613.5492304816069</v>
      </c>
      <c r="AQ125" s="14">
        <f t="shared" si="69"/>
        <v>1720.6815132170066</v>
      </c>
      <c r="AR125" s="33">
        <f t="shared" si="70"/>
        <v>0.8168022887955444</v>
      </c>
      <c r="AS125" s="33">
        <f t="shared" si="71"/>
        <v>0.3168022887955444</v>
      </c>
      <c r="AT125" s="51">
        <f t="shared" si="72"/>
        <v>0</v>
      </c>
      <c r="AU125" s="51">
        <f>APPLICANTS_PER_YEAR*($H125/Segments!$AH$2)*AS125</f>
        <v>1.9008137327732664</v>
      </c>
      <c r="AV125" s="51">
        <f t="shared" si="73"/>
        <v>1.9008137327732664</v>
      </c>
      <c r="AW125" s="14">
        <f t="shared" si="74"/>
        <v>1720.6815132170066</v>
      </c>
      <c r="AX125" s="44">
        <f t="shared" si="75"/>
        <v>3270.6950500519706</v>
      </c>
      <c r="AY125" s="44">
        <f t="shared" si="76"/>
        <v>2198.2179845557102</v>
      </c>
      <c r="AZ125" s="44">
        <f t="shared" si="77"/>
        <v>818.17230918643838</v>
      </c>
    </row>
    <row r="126" spans="1:52" ht="15" customHeight="1" x14ac:dyDescent="0.35">
      <c r="A126" s="59" t="str">
        <f>Segments!$A$106</f>
        <v>Non-greek</v>
      </c>
      <c r="B126" s="59" t="str">
        <f>Segments!$B$106</f>
        <v>Off 1-3mi</v>
      </c>
      <c r="C126" s="59" t="str">
        <f>Segments!$C$106</f>
        <v>No</v>
      </c>
      <c r="D126" s="59" t="str">
        <f>Segments!$D$106</f>
        <v>&lt;1.0</v>
      </c>
      <c r="E126" s="59" t="str">
        <f>Segments!$E$106</f>
        <v>Sophomore</v>
      </c>
      <c r="F126" s="59">
        <f>Segments!$F$106</f>
        <v>1</v>
      </c>
      <c r="G126" s="59" t="str">
        <f>Segments!$G$106</f>
        <v>Sophomore</v>
      </c>
      <c r="H126" s="60">
        <f>Segments!$H$106</f>
        <v>5</v>
      </c>
      <c r="I126" s="26">
        <f>Segments!$Y$106</f>
        <v>963.38013648918104</v>
      </c>
      <c r="J126" s="29">
        <v>1</v>
      </c>
      <c r="K126" s="14">
        <f t="shared" si="39"/>
        <v>1426.2297754450396</v>
      </c>
      <c r="L126" s="14">
        <f t="shared" si="40"/>
        <v>963.38013648918104</v>
      </c>
      <c r="M126" s="14">
        <f t="shared" si="41"/>
        <v>1608.1978733777225</v>
      </c>
      <c r="N126" s="14">
        <f t="shared" si="42"/>
        <v>1514.4833085308994</v>
      </c>
      <c r="O126" s="14">
        <f t="shared" si="43"/>
        <v>1608.1978733777225</v>
      </c>
      <c r="P126" s="33">
        <f t="shared" si="44"/>
        <v>0.78078450778246367</v>
      </c>
      <c r="Q126" s="33">
        <f t="shared" si="45"/>
        <v>0.3190605487961008</v>
      </c>
      <c r="R126" s="51">
        <f t="shared" si="46"/>
        <v>3.9039225389123184</v>
      </c>
      <c r="S126" s="51">
        <f>APPLICANTS_PER_YEAR*($H126/Segments!$AH$2)*Q126</f>
        <v>1.9143632927766048</v>
      </c>
      <c r="T126" s="51">
        <f t="shared" si="47"/>
        <v>5.8182858316889234</v>
      </c>
      <c r="U126" s="14">
        <f t="shared" si="48"/>
        <v>1608.1978733777228</v>
      </c>
      <c r="V126" s="44">
        <f t="shared" si="49"/>
        <v>9356.9549012258612</v>
      </c>
      <c r="W126" s="44">
        <f t="shared" si="50"/>
        <v>6277.8475185054094</v>
      </c>
      <c r="X126" s="44">
        <f t="shared" si="51"/>
        <v>2040.4428994559312</v>
      </c>
      <c r="Y126" s="14">
        <f t="shared" si="52"/>
        <v>1624.2991923998554</v>
      </c>
      <c r="Z126" s="14">
        <f t="shared" si="53"/>
        <v>992.28154058385655</v>
      </c>
      <c r="AA126" s="14">
        <f t="shared" si="54"/>
        <v>1655.1938095790542</v>
      </c>
      <c r="AB126" s="14">
        <f t="shared" si="55"/>
        <v>1559.329117349693</v>
      </c>
      <c r="AC126" s="14">
        <f t="shared" si="56"/>
        <v>1655.1938095790542</v>
      </c>
      <c r="AD126" s="33">
        <f t="shared" si="57"/>
        <v>0.81355483519831018</v>
      </c>
      <c r="AE126" s="33">
        <f t="shared" si="58"/>
        <v>0.31926091767198661</v>
      </c>
      <c r="AF126" s="51">
        <f t="shared" si="59"/>
        <v>1.544497791056515</v>
      </c>
      <c r="AG126" s="51">
        <f>APPLICANTS_PER_YEAR*($H126/Segments!$AH$2)*AE126</f>
        <v>1.9155655060319197</v>
      </c>
      <c r="AH126" s="51">
        <f t="shared" si="60"/>
        <v>3.4600632970884346</v>
      </c>
      <c r="AI126" s="14">
        <f t="shared" si="61"/>
        <v>1655.1938095790542</v>
      </c>
      <c r="AJ126" s="44">
        <f t="shared" si="62"/>
        <v>5727.0753500924693</v>
      </c>
      <c r="AK126" s="44">
        <f t="shared" si="63"/>
        <v>3845.3597716268787</v>
      </c>
      <c r="AL126" s="44">
        <f t="shared" si="64"/>
        <v>1310.4797706199954</v>
      </c>
      <c r="AM126" s="14">
        <f t="shared" si="65"/>
        <v>1671.7781681718511</v>
      </c>
      <c r="AN126" s="14">
        <f t="shared" si="66"/>
        <v>1022.0499868013721</v>
      </c>
      <c r="AO126" s="14">
        <f t="shared" si="67"/>
        <v>1703.5996238664256</v>
      </c>
      <c r="AP126" s="14">
        <f t="shared" si="68"/>
        <v>1605.5200813422043</v>
      </c>
      <c r="AQ126" s="14">
        <f t="shared" si="69"/>
        <v>1703.5996238664256</v>
      </c>
      <c r="AR126" s="33">
        <f t="shared" si="70"/>
        <v>0.81374517400914681</v>
      </c>
      <c r="AS126" s="33">
        <f t="shared" si="71"/>
        <v>0.31945552295981638</v>
      </c>
      <c r="AT126" s="51">
        <f t="shared" si="72"/>
        <v>1.5458325733761706</v>
      </c>
      <c r="AU126" s="51">
        <f>APPLICANTS_PER_YEAR*($H126/Segments!$AH$2)*AS126</f>
        <v>1.9167331377588983</v>
      </c>
      <c r="AV126" s="51">
        <f t="shared" si="73"/>
        <v>3.4625657111350687</v>
      </c>
      <c r="AW126" s="14">
        <f t="shared" si="74"/>
        <v>1703.5996238664256</v>
      </c>
      <c r="AX126" s="44">
        <f t="shared" si="75"/>
        <v>5898.8256431024856</v>
      </c>
      <c r="AY126" s="44">
        <f t="shared" si="76"/>
        <v>3963.585068088219</v>
      </c>
      <c r="AZ126" s="44">
        <f t="shared" si="77"/>
        <v>1346.334794051887</v>
      </c>
    </row>
    <row r="127" spans="1:52" ht="15" customHeight="1" x14ac:dyDescent="0.35">
      <c r="A127" s="59" t="str">
        <f>Segments!$A$107</f>
        <v>Non-greek</v>
      </c>
      <c r="B127" s="59" t="str">
        <f>Segments!$B$107</f>
        <v>Off 1-3mi</v>
      </c>
      <c r="C127" s="59" t="str">
        <f>Segments!$C$107</f>
        <v>No</v>
      </c>
      <c r="D127" s="59" t="str">
        <f>Segments!$D$107</f>
        <v>&lt;1.0</v>
      </c>
      <c r="E127" s="59" t="str">
        <f>Segments!$E$107</f>
        <v>Junior</v>
      </c>
      <c r="F127" s="59">
        <f>Segments!$F$107</f>
        <v>2</v>
      </c>
      <c r="G127" s="59" t="str">
        <f>Segments!$G$107</f>
        <v>Base</v>
      </c>
      <c r="H127" s="60">
        <f>Segments!$H$107</f>
        <v>5</v>
      </c>
      <c r="I127" s="26">
        <f>Segments!$Y$107</f>
        <v>1151.649300710425</v>
      </c>
      <c r="J127" s="29">
        <v>2</v>
      </c>
      <c r="K127" s="14">
        <f t="shared" si="39"/>
        <v>1426.2297754450396</v>
      </c>
      <c r="L127" s="14">
        <f t="shared" si="40"/>
        <v>1151.649300710425</v>
      </c>
      <c r="M127" s="14">
        <f t="shared" si="41"/>
        <v>1914.3382117998851</v>
      </c>
      <c r="N127" s="14">
        <f t="shared" si="42"/>
        <v>1652.3577572490797</v>
      </c>
      <c r="O127" s="14">
        <f t="shared" si="43"/>
        <v>1782.7872193062994</v>
      </c>
      <c r="P127" s="33">
        <f t="shared" si="44"/>
        <v>0.73553231768816074</v>
      </c>
      <c r="Q127" s="33">
        <f t="shared" si="45"/>
        <v>0.27072526261293361</v>
      </c>
      <c r="R127" s="51">
        <f t="shared" si="46"/>
        <v>3.6776615884408037</v>
      </c>
      <c r="S127" s="51">
        <f>APPLICANTS_PER_YEAR*($H127/Segments!$AH$2)*Q127</f>
        <v>1.6243515756776017</v>
      </c>
      <c r="T127" s="51">
        <f t="shared" si="47"/>
        <v>5.3020131641184056</v>
      </c>
      <c r="U127" s="14">
        <f t="shared" si="48"/>
        <v>1823.089846878979</v>
      </c>
      <c r="V127" s="44">
        <f t="shared" si="49"/>
        <v>9666.0463675229548</v>
      </c>
      <c r="W127" s="44">
        <f t="shared" si="50"/>
        <v>6838.7869231521618</v>
      </c>
      <c r="X127" s="44">
        <f t="shared" si="51"/>
        <v>2082.3663563112414</v>
      </c>
      <c r="Y127" s="14">
        <f t="shared" si="52"/>
        <v>1608.1978733777228</v>
      </c>
      <c r="Z127" s="14">
        <f t="shared" si="53"/>
        <v>1186.1987797317379</v>
      </c>
      <c r="AA127" s="14">
        <f t="shared" si="54"/>
        <v>1970.518358153882</v>
      </c>
      <c r="AB127" s="14">
        <f t="shared" si="55"/>
        <v>1701.388936758419</v>
      </c>
      <c r="AC127" s="14">
        <f t="shared" si="56"/>
        <v>1970.518358153882</v>
      </c>
      <c r="AD127" s="33">
        <f t="shared" si="57"/>
        <v>0.70332011876709366</v>
      </c>
      <c r="AE127" s="33">
        <f t="shared" si="58"/>
        <v>0.27090890695803416</v>
      </c>
      <c r="AF127" s="51">
        <f t="shared" si="59"/>
        <v>4.092117482164352</v>
      </c>
      <c r="AG127" s="51">
        <f>APPLICANTS_PER_YEAR*($H127/Segments!$AH$2)*AE127</f>
        <v>1.6254534417482049</v>
      </c>
      <c r="AH127" s="51">
        <f t="shared" si="60"/>
        <v>5.7175709239125574</v>
      </c>
      <c r="AI127" s="14">
        <f t="shared" si="61"/>
        <v>1970.518358153882</v>
      </c>
      <c r="AJ127" s="44">
        <f t="shared" si="62"/>
        <v>11266.578469616546</v>
      </c>
      <c r="AK127" s="44">
        <f t="shared" si="63"/>
        <v>7596.0367313317101</v>
      </c>
      <c r="AL127" s="44">
        <f t="shared" si="64"/>
        <v>2396.4755899346073</v>
      </c>
      <c r="AM127" s="14">
        <f t="shared" si="65"/>
        <v>1655.1938095790542</v>
      </c>
      <c r="AN127" s="14">
        <f t="shared" si="66"/>
        <v>1221.7847431236899</v>
      </c>
      <c r="AO127" s="14">
        <f t="shared" si="67"/>
        <v>2028.3839088984982</v>
      </c>
      <c r="AP127" s="14">
        <f t="shared" si="68"/>
        <v>1751.8908829870454</v>
      </c>
      <c r="AQ127" s="14">
        <f t="shared" si="69"/>
        <v>2028.3839088984982</v>
      </c>
      <c r="AR127" s="33">
        <f t="shared" si="70"/>
        <v>0.70344742702722085</v>
      </c>
      <c r="AS127" s="33">
        <f t="shared" si="71"/>
        <v>0.27108725817443002</v>
      </c>
      <c r="AT127" s="51">
        <f t="shared" si="72"/>
        <v>2.4339726236881818</v>
      </c>
      <c r="AU127" s="51">
        <f>APPLICANTS_PER_YEAR*($H127/Segments!$AH$2)*AS127</f>
        <v>1.6265235490465801</v>
      </c>
      <c r="AV127" s="51">
        <f t="shared" si="73"/>
        <v>4.0604961727347622</v>
      </c>
      <c r="AW127" s="14">
        <f t="shared" si="74"/>
        <v>2028.383908898498</v>
      </c>
      <c r="AX127" s="44">
        <f t="shared" si="75"/>
        <v>8236.2450989191275</v>
      </c>
      <c r="AY127" s="44">
        <f t="shared" si="76"/>
        <v>5556.3785461626039</v>
      </c>
      <c r="AZ127" s="44">
        <f t="shared" si="77"/>
        <v>1793.9958326781446</v>
      </c>
    </row>
    <row r="128" spans="1:52" ht="15" customHeight="1" x14ac:dyDescent="0.35">
      <c r="A128" s="59" t="str">
        <f>Segments!$A$108</f>
        <v>Non-greek</v>
      </c>
      <c r="B128" s="59" t="str">
        <f>Segments!$B$108</f>
        <v>Off 1-3mi</v>
      </c>
      <c r="C128" s="59" t="str">
        <f>Segments!$C$108</f>
        <v>No</v>
      </c>
      <c r="D128" s="59" t="str">
        <f>Segments!$D$108</f>
        <v>&lt;1.0</v>
      </c>
      <c r="E128" s="59" t="str">
        <f>Segments!$E$108</f>
        <v>Senior</v>
      </c>
      <c r="F128" s="59">
        <f>Segments!$F$108</f>
        <v>3</v>
      </c>
      <c r="G128" s="59" t="str">
        <f>Segments!$G$108</f>
        <v>Base</v>
      </c>
      <c r="H128" s="60">
        <f>Segments!$H$108</f>
        <v>7</v>
      </c>
      <c r="I128" s="26">
        <f>Segments!$Y$108</f>
        <v>1076.4321556038676</v>
      </c>
      <c r="J128" s="29">
        <v>3</v>
      </c>
      <c r="K128" s="14">
        <f t="shared" si="39"/>
        <v>1426.2297754450396</v>
      </c>
      <c r="L128" s="14">
        <f t="shared" si="40"/>
        <v>1076.4321556038676</v>
      </c>
      <c r="M128" s="14">
        <f t="shared" si="41"/>
        <v>1792.0292699542078</v>
      </c>
      <c r="N128" s="14">
        <f t="shared" si="42"/>
        <v>1598.7011926178475</v>
      </c>
      <c r="O128" s="14">
        <f t="shared" si="43"/>
        <v>1782.7872193062994</v>
      </c>
      <c r="P128" s="33">
        <f t="shared" si="44"/>
        <v>0.71742638100900702</v>
      </c>
      <c r="Q128" s="33">
        <f t="shared" si="45"/>
        <v>0.28953589381521982</v>
      </c>
      <c r="R128" s="51">
        <f t="shared" si="46"/>
        <v>3.5871319050450352</v>
      </c>
      <c r="S128" s="51">
        <f>APPLICANTS_PER_YEAR*($H128/Segments!$AH$2)*Q128</f>
        <v>2.4321015080478467</v>
      </c>
      <c r="T128" s="51">
        <f t="shared" si="47"/>
        <v>6.0192334130928824</v>
      </c>
      <c r="U128" s="14">
        <f t="shared" si="48"/>
        <v>1786.5215163131807</v>
      </c>
      <c r="V128" s="44">
        <f t="shared" si="49"/>
        <v>10753.490004201658</v>
      </c>
      <c r="W128" s="44">
        <f t="shared" si="50"/>
        <v>7256.8119656910048</v>
      </c>
      <c r="X128" s="44">
        <f t="shared" si="51"/>
        <v>2366.1407149044207</v>
      </c>
      <c r="Y128" s="14">
        <f t="shared" si="52"/>
        <v>1823.089846878979</v>
      </c>
      <c r="Z128" s="14">
        <f t="shared" si="53"/>
        <v>1108.7251202719838</v>
      </c>
      <c r="AA128" s="14">
        <f t="shared" si="54"/>
        <v>1844.5401480528344</v>
      </c>
      <c r="AB128" s="14">
        <f t="shared" si="55"/>
        <v>1646.104560345866</v>
      </c>
      <c r="AC128" s="14">
        <f t="shared" si="56"/>
        <v>1844.5401480528344</v>
      </c>
      <c r="AD128" s="33">
        <f t="shared" si="57"/>
        <v>0.78619593242260166</v>
      </c>
      <c r="AE128" s="33">
        <f t="shared" si="58"/>
        <v>0.28972570379573126</v>
      </c>
      <c r="AF128" s="51">
        <f t="shared" si="59"/>
        <v>4.1684211832809783</v>
      </c>
      <c r="AG128" s="51">
        <f>APPLICANTS_PER_YEAR*($H128/Segments!$AH$2)*AE128</f>
        <v>2.4336959118841426</v>
      </c>
      <c r="AH128" s="51">
        <f t="shared" si="60"/>
        <v>6.6021170951651209</v>
      </c>
      <c r="AI128" s="14">
        <f t="shared" si="61"/>
        <v>1844.5401480528342</v>
      </c>
      <c r="AJ128" s="44">
        <f t="shared" si="62"/>
        <v>12177.87004417802</v>
      </c>
      <c r="AK128" s="44">
        <f t="shared" si="63"/>
        <v>8198.3250388330707</v>
      </c>
      <c r="AL128" s="44">
        <f t="shared" si="64"/>
        <v>2651.6189216668345</v>
      </c>
      <c r="AM128" s="14">
        <f t="shared" si="65"/>
        <v>1970.518358153882</v>
      </c>
      <c r="AN128" s="14">
        <f t="shared" si="66"/>
        <v>1141.9868738801431</v>
      </c>
      <c r="AO128" s="14">
        <f t="shared" si="67"/>
        <v>1898.6263524944191</v>
      </c>
      <c r="AP128" s="14">
        <f t="shared" si="68"/>
        <v>1694.9298428687878</v>
      </c>
      <c r="AQ128" s="14">
        <f t="shared" si="69"/>
        <v>1898.6263524944191</v>
      </c>
      <c r="AR128" s="33">
        <f t="shared" si="70"/>
        <v>0.78991004687224675</v>
      </c>
      <c r="AS128" s="33">
        <f t="shared" si="71"/>
        <v>0.28991004687224675</v>
      </c>
      <c r="AT128" s="51">
        <f t="shared" si="72"/>
        <v>4.5163667165031631</v>
      </c>
      <c r="AU128" s="51">
        <f>APPLICANTS_PER_YEAR*($H128/Segments!$AH$2)*AS128</f>
        <v>2.4352443937268728</v>
      </c>
      <c r="AV128" s="51">
        <f t="shared" si="73"/>
        <v>6.9516111102300364</v>
      </c>
      <c r="AW128" s="14">
        <f t="shared" si="74"/>
        <v>1898.6263524944191</v>
      </c>
      <c r="AX128" s="44">
        <f t="shared" si="75"/>
        <v>13198.512046175732</v>
      </c>
      <c r="AY128" s="44">
        <f t="shared" si="76"/>
        <v>8891.2864770263186</v>
      </c>
      <c r="AZ128" s="44">
        <f t="shared" si="77"/>
        <v>2856.258780099281</v>
      </c>
    </row>
    <row r="129" spans="1:52" ht="15" customHeight="1" x14ac:dyDescent="0.35">
      <c r="A129" s="59" t="str">
        <f>Segments!$A$109</f>
        <v>Non-greek</v>
      </c>
      <c r="B129" s="59" t="str">
        <f>Segments!$B$109</f>
        <v>Off 1-3mi</v>
      </c>
      <c r="C129" s="59" t="str">
        <f>Segments!$C$109</f>
        <v>No</v>
      </c>
      <c r="D129" s="59" t="str">
        <f>Segments!$D$109</f>
        <v>&lt;1.0</v>
      </c>
      <c r="E129" s="59" t="str">
        <f>Segments!$E$109</f>
        <v>Grad student</v>
      </c>
      <c r="F129" s="59">
        <f>Segments!$F$109</f>
        <v>3</v>
      </c>
      <c r="G129" s="59" t="str">
        <f>Segments!$G$109</f>
        <v>Grad</v>
      </c>
      <c r="H129" s="60">
        <f>Segments!$H$109</f>
        <v>1</v>
      </c>
      <c r="I129" s="26">
        <f>Segments!$Y$109</f>
        <v>1281.6866986453458</v>
      </c>
      <c r="J129" s="29">
        <v>4</v>
      </c>
      <c r="K129" s="14">
        <f t="shared" si="39"/>
        <v>1426.2297754450396</v>
      </c>
      <c r="L129" s="14">
        <f t="shared" si="40"/>
        <v>1281.6866986453458</v>
      </c>
      <c r="M129" s="14">
        <f t="shared" si="41"/>
        <v>2125.7891585122838</v>
      </c>
      <c r="N129" s="14">
        <f t="shared" si="42"/>
        <v>1741.2247971438021</v>
      </c>
      <c r="O129" s="14">
        <f t="shared" si="43"/>
        <v>1782.7872193062994</v>
      </c>
      <c r="P129" s="33">
        <f t="shared" si="44"/>
        <v>0.76306517623954306</v>
      </c>
      <c r="Q129" s="33">
        <f t="shared" si="45"/>
        <v>0.23957073147611452</v>
      </c>
      <c r="R129" s="51">
        <f t="shared" si="46"/>
        <v>0.38153258811977153</v>
      </c>
      <c r="S129" s="51">
        <f>APPLICANTS_PER_YEAR*($H129/Segments!$AH$2)*Q129</f>
        <v>0.28748487777133741</v>
      </c>
      <c r="T129" s="51">
        <f t="shared" si="47"/>
        <v>0.669017465891109</v>
      </c>
      <c r="U129" s="14">
        <f t="shared" si="48"/>
        <v>1930.1792914050775</v>
      </c>
      <c r="V129" s="44">
        <f t="shared" si="49"/>
        <v>1291.3236582513214</v>
      </c>
      <c r="W129" s="44">
        <f t="shared" si="50"/>
        <v>960.367281657337</v>
      </c>
      <c r="X129" s="44">
        <f t="shared" si="51"/>
        <v>286.01727094569418</v>
      </c>
      <c r="Y129" s="14">
        <f t="shared" si="52"/>
        <v>1930.1792914050775</v>
      </c>
      <c r="Z129" s="14">
        <f t="shared" si="53"/>
        <v>1320.1372996047062</v>
      </c>
      <c r="AA129" s="14">
        <f t="shared" si="54"/>
        <v>2188.3128332676524</v>
      </c>
      <c r="AB129" s="14">
        <f t="shared" si="55"/>
        <v>1792.9495331488465</v>
      </c>
      <c r="AC129" s="14">
        <f t="shared" si="56"/>
        <v>2188.3128332676524</v>
      </c>
      <c r="AD129" s="33">
        <f t="shared" si="57"/>
        <v>0.69962434274772578</v>
      </c>
      <c r="AE129" s="33">
        <f t="shared" si="58"/>
        <v>0.23974500040041458</v>
      </c>
      <c r="AF129" s="51">
        <f t="shared" si="59"/>
        <v>0.2340304524304081</v>
      </c>
      <c r="AG129" s="51">
        <f>APPLICANTS_PER_YEAR*($H129/Segments!$AH$2)*AE129</f>
        <v>0.28769400048049748</v>
      </c>
      <c r="AH129" s="51">
        <f t="shared" si="60"/>
        <v>0.52172445291090552</v>
      </c>
      <c r="AI129" s="14">
        <f t="shared" si="61"/>
        <v>2188.3128332676529</v>
      </c>
      <c r="AJ129" s="44">
        <f t="shared" si="62"/>
        <v>1141.6963157344799</v>
      </c>
      <c r="AK129" s="44">
        <f t="shared" si="63"/>
        <v>771.39765965197103</v>
      </c>
      <c r="AL129" s="44">
        <f t="shared" si="64"/>
        <v>255.44219930974262</v>
      </c>
      <c r="AM129" s="14">
        <f t="shared" si="65"/>
        <v>2188.3128332676529</v>
      </c>
      <c r="AN129" s="14">
        <f t="shared" si="66"/>
        <v>1359.7414185928474</v>
      </c>
      <c r="AO129" s="14">
        <f t="shared" si="67"/>
        <v>2252.7122182656817</v>
      </c>
      <c r="AP129" s="14">
        <f t="shared" si="68"/>
        <v>1846.225867110631</v>
      </c>
      <c r="AQ129" s="14">
        <f t="shared" si="69"/>
        <v>2252.7122182656817</v>
      </c>
      <c r="AR129" s="33">
        <f t="shared" si="70"/>
        <v>0.73108560605191997</v>
      </c>
      <c r="AS129" s="33">
        <f t="shared" si="71"/>
        <v>0.23991424115641724</v>
      </c>
      <c r="AT129" s="51">
        <f t="shared" si="72"/>
        <v>0.19071261892423788</v>
      </c>
      <c r="AU129" s="51">
        <f>APPLICANTS_PER_YEAR*($H129/Segments!$AH$2)*AS129</f>
        <v>0.2878970893877007</v>
      </c>
      <c r="AV129" s="51">
        <f t="shared" si="73"/>
        <v>0.47860970831193861</v>
      </c>
      <c r="AW129" s="14">
        <f t="shared" si="74"/>
        <v>2252.7122182656813</v>
      </c>
      <c r="AX129" s="44">
        <f t="shared" si="75"/>
        <v>1078.1699376948779</v>
      </c>
      <c r="AY129" s="44">
        <f t="shared" si="76"/>
        <v>728.87969698027052</v>
      </c>
      <c r="AZ129" s="44">
        <f t="shared" si="77"/>
        <v>243.24296480560125</v>
      </c>
    </row>
    <row r="130" spans="1:52" ht="15" customHeight="1" x14ac:dyDescent="0.35">
      <c r="A130" s="61" t="str">
        <f>Segments!$A$110</f>
        <v>Non-greek</v>
      </c>
      <c r="B130" s="61" t="str">
        <f>Segments!$B$110</f>
        <v>Off 1-3mi</v>
      </c>
      <c r="C130" s="61" t="str">
        <f>Segments!$C$110</f>
        <v>No</v>
      </c>
      <c r="D130" s="61" t="str">
        <f>Segments!$D$110</f>
        <v>1.0-2.0</v>
      </c>
      <c r="E130" s="61" t="str">
        <f>Segments!$E$110</f>
        <v>Freshman</v>
      </c>
      <c r="F130" s="61">
        <f>Segments!$F$110</f>
        <v>1</v>
      </c>
      <c r="G130" s="61" t="str">
        <f>Segments!$G$110</f>
        <v>Base</v>
      </c>
      <c r="H130" s="62">
        <f>Segments!$H$110</f>
        <v>14</v>
      </c>
      <c r="I130" s="63">
        <f>Segments!$Y$110</f>
        <v>883.17667144678626</v>
      </c>
      <c r="J130" s="42">
        <v>0</v>
      </c>
      <c r="K130" s="40">
        <f t="shared" si="39"/>
        <v>1477.7807865846094</v>
      </c>
      <c r="L130" s="40">
        <f t="shared" si="40"/>
        <v>883.17667144678626</v>
      </c>
      <c r="M130" s="40">
        <f t="shared" si="41"/>
        <v>1477.7807865846094</v>
      </c>
      <c r="N130" s="40">
        <f t="shared" si="42"/>
        <v>1451.7764839697472</v>
      </c>
      <c r="O130" s="40">
        <f t="shared" si="43"/>
        <v>1477.7807865846094</v>
      </c>
      <c r="P130" s="41">
        <f t="shared" si="44"/>
        <v>0.84104397167814848</v>
      </c>
      <c r="Q130" s="41">
        <f t="shared" si="45"/>
        <v>0.34104397167814848</v>
      </c>
      <c r="R130" s="64">
        <f t="shared" si="46"/>
        <v>0</v>
      </c>
      <c r="S130" s="64">
        <f>APPLICANTS_PER_YEAR*($H130/Segments!$AH$2)*Q130</f>
        <v>5.7295387241928948</v>
      </c>
      <c r="T130" s="64">
        <f t="shared" si="47"/>
        <v>5.7295387241928948</v>
      </c>
      <c r="U130" s="40">
        <f t="shared" si="48"/>
        <v>1477.7807865846091</v>
      </c>
      <c r="V130" s="65">
        <f t="shared" si="49"/>
        <v>8467.0022426047544</v>
      </c>
      <c r="W130" s="65">
        <f t="shared" si="50"/>
        <v>5667.4183320811253</v>
      </c>
      <c r="X130" s="65">
        <f t="shared" si="51"/>
        <v>2154.4377449321455</v>
      </c>
      <c r="Y130" s="40">
        <f t="shared" si="52"/>
        <v>1520.8642101821476</v>
      </c>
      <c r="Z130" s="40">
        <f t="shared" si="53"/>
        <v>909.67197159018986</v>
      </c>
      <c r="AA130" s="40">
        <f t="shared" si="54"/>
        <v>1520.8642101821476</v>
      </c>
      <c r="AB130" s="40">
        <f t="shared" si="55"/>
        <v>1494.7156504163581</v>
      </c>
      <c r="AC130" s="40">
        <f t="shared" si="56"/>
        <v>1520.8642101821476</v>
      </c>
      <c r="AD130" s="41">
        <f t="shared" si="57"/>
        <v>0.84125299860260849</v>
      </c>
      <c r="AE130" s="41">
        <f t="shared" si="58"/>
        <v>0.34125299860260849</v>
      </c>
      <c r="AF130" s="64">
        <f t="shared" si="59"/>
        <v>0</v>
      </c>
      <c r="AG130" s="64">
        <f>APPLICANTS_PER_YEAR*($H130/Segments!$AH$2)*AE130</f>
        <v>5.7330503765238232</v>
      </c>
      <c r="AH130" s="64">
        <f t="shared" si="60"/>
        <v>5.7330503765238232</v>
      </c>
      <c r="AI130" s="40">
        <f t="shared" si="61"/>
        <v>1520.8642101821476</v>
      </c>
      <c r="AJ130" s="65">
        <f t="shared" si="62"/>
        <v>8719.1911328263686</v>
      </c>
      <c r="AK130" s="65">
        <f t="shared" si="63"/>
        <v>5841.0186679469034</v>
      </c>
      <c r="AL130" s="65">
        <f t="shared" si="64"/>
        <v>2211.0860806966789</v>
      </c>
      <c r="AM130" s="40">
        <f t="shared" si="65"/>
        <v>1565.2401364876118</v>
      </c>
      <c r="AN130" s="40">
        <f t="shared" si="66"/>
        <v>936.96213073789545</v>
      </c>
      <c r="AO130" s="40">
        <f t="shared" si="67"/>
        <v>1565.2401364876118</v>
      </c>
      <c r="AP130" s="40">
        <f t="shared" si="68"/>
        <v>1538.9427431073093</v>
      </c>
      <c r="AQ130" s="40">
        <f t="shared" si="69"/>
        <v>1565.2401364876118</v>
      </c>
      <c r="AR130" s="41">
        <f t="shared" si="70"/>
        <v>0.84145601956340332</v>
      </c>
      <c r="AS130" s="41">
        <f t="shared" si="71"/>
        <v>0.34145601956340332</v>
      </c>
      <c r="AT130" s="64">
        <f t="shared" si="72"/>
        <v>0</v>
      </c>
      <c r="AU130" s="64">
        <f>APPLICANTS_PER_YEAR*($H130/Segments!$AH$2)*AS130</f>
        <v>5.7364611286651757</v>
      </c>
      <c r="AV130" s="64">
        <f t="shared" si="73"/>
        <v>5.7364611286651757</v>
      </c>
      <c r="AW130" s="40">
        <f t="shared" si="74"/>
        <v>1565.2401364876118</v>
      </c>
      <c r="AX130" s="65">
        <f t="shared" si="75"/>
        <v>8978.9391999877589</v>
      </c>
      <c r="AY130" s="65">
        <f t="shared" si="76"/>
        <v>6019.8284630503449</v>
      </c>
      <c r="AZ130" s="65">
        <f t="shared" si="77"/>
        <v>2269.4231315871907</v>
      </c>
    </row>
    <row r="131" spans="1:52" ht="15" customHeight="1" x14ac:dyDescent="0.35">
      <c r="A131" s="61" t="str">
        <f>Segments!$A$111</f>
        <v>Non-greek</v>
      </c>
      <c r="B131" s="61" t="str">
        <f>Segments!$B$111</f>
        <v>Off 1-3mi</v>
      </c>
      <c r="C131" s="61" t="str">
        <f>Segments!$C$111</f>
        <v>No</v>
      </c>
      <c r="D131" s="61" t="str">
        <f>Segments!$D$111</f>
        <v>1.0-2.0</v>
      </c>
      <c r="E131" s="61" t="str">
        <f>Segments!$E$111</f>
        <v>Sophomore</v>
      </c>
      <c r="F131" s="61">
        <f>Segments!$F$111</f>
        <v>1</v>
      </c>
      <c r="G131" s="61" t="str">
        <f>Segments!$G$111</f>
        <v>Sophomore</v>
      </c>
      <c r="H131" s="62">
        <f>Segments!$H$111</f>
        <v>11</v>
      </c>
      <c r="I131" s="63">
        <f>Segments!$Y$111</f>
        <v>874.19144644436039</v>
      </c>
      <c r="J131" s="42">
        <v>1</v>
      </c>
      <c r="K131" s="40">
        <f t="shared" si="39"/>
        <v>1426.2297754450396</v>
      </c>
      <c r="L131" s="40">
        <f t="shared" si="40"/>
        <v>874.19144644436039</v>
      </c>
      <c r="M131" s="40">
        <f t="shared" si="41"/>
        <v>1463.1701102456557</v>
      </c>
      <c r="N131" s="40">
        <f t="shared" si="42"/>
        <v>1444.5818695295727</v>
      </c>
      <c r="O131" s="40">
        <f t="shared" si="43"/>
        <v>1463.1701102456557</v>
      </c>
      <c r="P131" s="41">
        <f t="shared" si="44"/>
        <v>0.83579601419684979</v>
      </c>
      <c r="Q131" s="41">
        <f t="shared" si="45"/>
        <v>0.34356622109547297</v>
      </c>
      <c r="R131" s="64">
        <f t="shared" si="46"/>
        <v>11.701144198755896</v>
      </c>
      <c r="S131" s="64">
        <f>APPLICANTS_PER_YEAR*($H131/Segments!$AH$2)*Q131</f>
        <v>4.5350741184602432</v>
      </c>
      <c r="T131" s="64">
        <f t="shared" si="47"/>
        <v>16.236218317216139</v>
      </c>
      <c r="U131" s="40">
        <f t="shared" si="48"/>
        <v>1463.1701102456557</v>
      </c>
      <c r="V131" s="65">
        <f t="shared" si="49"/>
        <v>23756.349345173672</v>
      </c>
      <c r="W131" s="65">
        <f t="shared" si="50"/>
        <v>15896.790756575227</v>
      </c>
      <c r="X131" s="65">
        <f t="shared" si="51"/>
        <v>5160.2967169694421</v>
      </c>
      <c r="Y131" s="40">
        <f t="shared" si="52"/>
        <v>1477.7807865846091</v>
      </c>
      <c r="Z131" s="40">
        <f t="shared" si="53"/>
        <v>900.41718983769124</v>
      </c>
      <c r="AA131" s="40">
        <f t="shared" si="54"/>
        <v>1505.8152135530254</v>
      </c>
      <c r="AB131" s="40">
        <f t="shared" si="55"/>
        <v>1487.3021376654035</v>
      </c>
      <c r="AC131" s="40">
        <f t="shared" si="56"/>
        <v>1505.8152135530254</v>
      </c>
      <c r="AD131" s="41">
        <f t="shared" si="57"/>
        <v>0.83808510161899497</v>
      </c>
      <c r="AE131" s="41">
        <f t="shared" si="58"/>
        <v>0.34377628949129269</v>
      </c>
      <c r="AF131" s="64">
        <f t="shared" si="59"/>
        <v>4.8018410438951689</v>
      </c>
      <c r="AG131" s="64">
        <f>APPLICANTS_PER_YEAR*($H131/Segments!$AH$2)*AE131</f>
        <v>4.5378470212850637</v>
      </c>
      <c r="AH131" s="64">
        <f t="shared" si="60"/>
        <v>9.3396880651802334</v>
      </c>
      <c r="AI131" s="40">
        <f t="shared" si="61"/>
        <v>1505.8152135530252</v>
      </c>
      <c r="AJ131" s="65">
        <f t="shared" si="62"/>
        <v>14063.844378388014</v>
      </c>
      <c r="AK131" s="65">
        <f t="shared" si="63"/>
        <v>9418.7695634034371</v>
      </c>
      <c r="AL131" s="65">
        <f t="shared" si="64"/>
        <v>3197.4670922010228</v>
      </c>
      <c r="AM131" s="40">
        <f t="shared" si="65"/>
        <v>1520.8642101821476</v>
      </c>
      <c r="AN131" s="40">
        <f t="shared" si="66"/>
        <v>927.42970553282191</v>
      </c>
      <c r="AO131" s="40">
        <f t="shared" si="67"/>
        <v>1549.7396699596159</v>
      </c>
      <c r="AP131" s="40">
        <f t="shared" si="68"/>
        <v>1531.303761358012</v>
      </c>
      <c r="AQ131" s="40">
        <f t="shared" si="69"/>
        <v>1549.7396699596159</v>
      </c>
      <c r="AR131" s="41">
        <f t="shared" si="70"/>
        <v>0.83828445735863955</v>
      </c>
      <c r="AS131" s="41">
        <f t="shared" si="71"/>
        <v>0.34398032282463198</v>
      </c>
      <c r="AT131" s="64">
        <f t="shared" si="72"/>
        <v>4.805927023894017</v>
      </c>
      <c r="AU131" s="64">
        <f>APPLICANTS_PER_YEAR*($H131/Segments!$AH$2)*AS131</f>
        <v>4.5405402612851429</v>
      </c>
      <c r="AV131" s="64">
        <f t="shared" si="73"/>
        <v>9.346467285179159</v>
      </c>
      <c r="AW131" s="40">
        <f t="shared" si="74"/>
        <v>1549.7396699596161</v>
      </c>
      <c r="AX131" s="65">
        <f t="shared" si="75"/>
        <v>14484.591125821898</v>
      </c>
      <c r="AY131" s="65">
        <f t="shared" si="76"/>
        <v>9708.3743703137643</v>
      </c>
      <c r="AZ131" s="65">
        <f t="shared" si="77"/>
        <v>3284.3135128247341</v>
      </c>
    </row>
    <row r="132" spans="1:52" ht="15" customHeight="1" x14ac:dyDescent="0.35">
      <c r="A132" s="61" t="str">
        <f>Segments!$A$112</f>
        <v>Non-greek</v>
      </c>
      <c r="B132" s="61" t="str">
        <f>Segments!$B$112</f>
        <v>Off 1-3mi</v>
      </c>
      <c r="C132" s="61" t="str">
        <f>Segments!$C$112</f>
        <v>No</v>
      </c>
      <c r="D132" s="61" t="str">
        <f>Segments!$D$112</f>
        <v>1.0-2.0</v>
      </c>
      <c r="E132" s="61" t="str">
        <f>Segments!$E$112</f>
        <v>Junior</v>
      </c>
      <c r="F132" s="61">
        <f>Segments!$F$112</f>
        <v>2</v>
      </c>
      <c r="G132" s="61" t="str">
        <f>Segments!$G$112</f>
        <v>Base</v>
      </c>
      <c r="H132" s="62">
        <f>Segments!$H$112</f>
        <v>14</v>
      </c>
      <c r="I132" s="63">
        <f>Segments!$Y$112</f>
        <v>1045.0308552692363</v>
      </c>
      <c r="J132" s="42">
        <v>2</v>
      </c>
      <c r="K132" s="40">
        <f t="shared" si="39"/>
        <v>1426.2297754450396</v>
      </c>
      <c r="L132" s="40">
        <f t="shared" si="40"/>
        <v>1045.0308552692363</v>
      </c>
      <c r="M132" s="40">
        <f t="shared" si="41"/>
        <v>1740.9683075756684</v>
      </c>
      <c r="N132" s="40">
        <f t="shared" si="42"/>
        <v>1575.7604000515357</v>
      </c>
      <c r="O132" s="40">
        <f t="shared" si="43"/>
        <v>1740.9683075756684</v>
      </c>
      <c r="P132" s="41">
        <f t="shared" si="44"/>
        <v>0.73137474419951443</v>
      </c>
      <c r="Q132" s="41">
        <f t="shared" si="45"/>
        <v>0.29757835406996846</v>
      </c>
      <c r="R132" s="64">
        <f t="shared" si="46"/>
        <v>8.0451221861946589</v>
      </c>
      <c r="S132" s="64">
        <f>APPLICANTS_PER_YEAR*($H132/Segments!$AH$2)*Q132</f>
        <v>4.9993163483754701</v>
      </c>
      <c r="T132" s="64">
        <f t="shared" si="47"/>
        <v>13.04443853457013</v>
      </c>
      <c r="U132" s="40">
        <f t="shared" si="48"/>
        <v>1740.9683075756682</v>
      </c>
      <c r="V132" s="65">
        <f t="shared" si="49"/>
        <v>22709.954078805389</v>
      </c>
      <c r="W132" s="65">
        <f t="shared" si="50"/>
        <v>15267.661649283466</v>
      </c>
      <c r="X132" s="65">
        <f t="shared" si="51"/>
        <v>4982.6807965673397</v>
      </c>
      <c r="Y132" s="40">
        <f t="shared" si="52"/>
        <v>1463.1701102456557</v>
      </c>
      <c r="Z132" s="40">
        <f t="shared" si="53"/>
        <v>1076.3817809273135</v>
      </c>
      <c r="AA132" s="40">
        <f t="shared" si="54"/>
        <v>1791.9473568029387</v>
      </c>
      <c r="AB132" s="40">
        <f t="shared" si="55"/>
        <v>1622.4674223513575</v>
      </c>
      <c r="AC132" s="40">
        <f t="shared" si="56"/>
        <v>1791.9473568029387</v>
      </c>
      <c r="AD132" s="41">
        <f t="shared" si="57"/>
        <v>0.73036032909494308</v>
      </c>
      <c r="AE132" s="41">
        <f t="shared" si="58"/>
        <v>0.29777092836601837</v>
      </c>
      <c r="AF132" s="64">
        <f t="shared" si="59"/>
        <v>11.858289753419323</v>
      </c>
      <c r="AG132" s="64">
        <f>APPLICANTS_PER_YEAR*($H132/Segments!$AH$2)*AE132</f>
        <v>5.0025515965491092</v>
      </c>
      <c r="AH132" s="64">
        <f t="shared" si="60"/>
        <v>16.860841349968432</v>
      </c>
      <c r="AI132" s="40">
        <f t="shared" si="61"/>
        <v>1791.9473568029387</v>
      </c>
      <c r="AJ132" s="65">
        <f t="shared" si="62"/>
        <v>30213.740090549625</v>
      </c>
      <c r="AK132" s="65">
        <f t="shared" si="63"/>
        <v>20326.546733037339</v>
      </c>
      <c r="AL132" s="65">
        <f t="shared" si="64"/>
        <v>6486.4283129017031</v>
      </c>
      <c r="AM132" s="40">
        <f t="shared" si="65"/>
        <v>1505.8152135530252</v>
      </c>
      <c r="AN132" s="40">
        <f t="shared" si="66"/>
        <v>1108.6732343551328</v>
      </c>
      <c r="AO132" s="40">
        <f t="shared" si="67"/>
        <v>1844.4557775070266</v>
      </c>
      <c r="AP132" s="40">
        <f t="shared" si="68"/>
        <v>1670.5754608244779</v>
      </c>
      <c r="AQ132" s="40">
        <f t="shared" si="69"/>
        <v>1844.4557775070266</v>
      </c>
      <c r="AR132" s="41">
        <f t="shared" si="70"/>
        <v>0.73049140014331482</v>
      </c>
      <c r="AS132" s="41">
        <f t="shared" si="71"/>
        <v>0.29795795797313651</v>
      </c>
      <c r="AT132" s="64">
        <f t="shared" si="72"/>
        <v>6.8225618116353157</v>
      </c>
      <c r="AU132" s="64">
        <f>APPLICANTS_PER_YEAR*($H132/Segments!$AH$2)*AS132</f>
        <v>5.005693693948694</v>
      </c>
      <c r="AV132" s="64">
        <f t="shared" si="73"/>
        <v>11.828255505584011</v>
      </c>
      <c r="AW132" s="40">
        <f t="shared" si="74"/>
        <v>1844.4557775070264</v>
      </c>
      <c r="AX132" s="65">
        <f t="shared" si="75"/>
        <v>21816.694205103722</v>
      </c>
      <c r="AY132" s="65">
        <f t="shared" si="76"/>
        <v>14687.3107227333</v>
      </c>
      <c r="AZ132" s="65">
        <f t="shared" si="77"/>
        <v>4808.2099801231961</v>
      </c>
    </row>
    <row r="133" spans="1:52" ht="15" customHeight="1" x14ac:dyDescent="0.35">
      <c r="A133" s="61" t="str">
        <f>Segments!$A$113</f>
        <v>Non-greek</v>
      </c>
      <c r="B133" s="61" t="str">
        <f>Segments!$B$113</f>
        <v>Off 1-3mi</v>
      </c>
      <c r="C133" s="61" t="str">
        <f>Segments!$C$113</f>
        <v>No</v>
      </c>
      <c r="D133" s="61" t="str">
        <f>Segments!$D$113</f>
        <v>1.0-2.0</v>
      </c>
      <c r="E133" s="61" t="str">
        <f>Segments!$E$113</f>
        <v>Senior</v>
      </c>
      <c r="F133" s="61">
        <f>Segments!$F$113</f>
        <v>3</v>
      </c>
      <c r="G133" s="61" t="str">
        <f>Segments!$G$113</f>
        <v>Base</v>
      </c>
      <c r="H133" s="62">
        <f>Segments!$H$113</f>
        <v>17</v>
      </c>
      <c r="I133" s="63">
        <f>Segments!$Y$113</f>
        <v>976.77723202375114</v>
      </c>
      <c r="J133" s="42">
        <v>3</v>
      </c>
      <c r="K133" s="40">
        <f t="shared" si="39"/>
        <v>1426.2297754450396</v>
      </c>
      <c r="L133" s="40">
        <f t="shared" si="40"/>
        <v>976.77723202375114</v>
      </c>
      <c r="M133" s="40">
        <f t="shared" si="41"/>
        <v>1629.9825951498317</v>
      </c>
      <c r="N133" s="40">
        <f t="shared" si="42"/>
        <v>1524.7064342554168</v>
      </c>
      <c r="O133" s="40">
        <f t="shared" si="43"/>
        <v>1629.9825951498317</v>
      </c>
      <c r="P133" s="41">
        <f t="shared" si="44"/>
        <v>0.77261823640430716</v>
      </c>
      <c r="Q133" s="41">
        <f t="shared" si="45"/>
        <v>0.31547658010447566</v>
      </c>
      <c r="R133" s="64">
        <f t="shared" si="46"/>
        <v>10.8166553096603</v>
      </c>
      <c r="S133" s="64">
        <f>APPLICANTS_PER_YEAR*($H133/Segments!$AH$2)*Q133</f>
        <v>6.435722234131303</v>
      </c>
      <c r="T133" s="64">
        <f t="shared" si="47"/>
        <v>17.252377543791603</v>
      </c>
      <c r="U133" s="40">
        <f t="shared" si="48"/>
        <v>1629.9825951498317</v>
      </c>
      <c r="V133" s="65">
        <f t="shared" si="49"/>
        <v>28121.075121334117</v>
      </c>
      <c r="W133" s="65">
        <f t="shared" si="50"/>
        <v>18873.937133019906</v>
      </c>
      <c r="X133" s="65">
        <f t="shared" si="51"/>
        <v>6187.977837671111</v>
      </c>
      <c r="Y133" s="40">
        <f t="shared" si="52"/>
        <v>1740.9683075756682</v>
      </c>
      <c r="Z133" s="40">
        <f t="shared" si="53"/>
        <v>1006.0805489844637</v>
      </c>
      <c r="AA133" s="40">
        <f t="shared" si="54"/>
        <v>1677.6320730043267</v>
      </c>
      <c r="AB133" s="40">
        <f t="shared" si="55"/>
        <v>1569.8628854785909</v>
      </c>
      <c r="AC133" s="40">
        <f t="shared" si="56"/>
        <v>1677.6320730043267</v>
      </c>
      <c r="AD133" s="41">
        <f t="shared" si="57"/>
        <v>0.81567560500900649</v>
      </c>
      <c r="AE133" s="41">
        <f t="shared" si="58"/>
        <v>0.31567560500900649</v>
      </c>
      <c r="AF133" s="64">
        <f t="shared" si="59"/>
        <v>10.640030293688289</v>
      </c>
      <c r="AG133" s="64">
        <f>APPLICANTS_PER_YEAR*($H133/Segments!$AH$2)*AE133</f>
        <v>6.4397823421837321</v>
      </c>
      <c r="AH133" s="64">
        <f t="shared" si="60"/>
        <v>17.07981263587202</v>
      </c>
      <c r="AI133" s="40">
        <f t="shared" si="61"/>
        <v>1677.6320730043267</v>
      </c>
      <c r="AJ133" s="65">
        <f t="shared" si="62"/>
        <v>28653.64147884347</v>
      </c>
      <c r="AK133" s="65">
        <f t="shared" si="63"/>
        <v>19245.707346039893</v>
      </c>
      <c r="AL133" s="65">
        <f t="shared" si="64"/>
        <v>6296.2545397879521</v>
      </c>
      <c r="AM133" s="40">
        <f t="shared" si="65"/>
        <v>1791.9473568029387</v>
      </c>
      <c r="AN133" s="40">
        <f t="shared" si="66"/>
        <v>1036.2629654539976</v>
      </c>
      <c r="AO133" s="40">
        <f t="shared" si="67"/>
        <v>1726.7110351944564</v>
      </c>
      <c r="AP133" s="40">
        <f t="shared" si="68"/>
        <v>1616.3738155283506</v>
      </c>
      <c r="AQ133" s="40">
        <f t="shared" si="69"/>
        <v>1726.7110351944564</v>
      </c>
      <c r="AR133" s="41">
        <f t="shared" si="70"/>
        <v>0.81586890402266277</v>
      </c>
      <c r="AS133" s="41">
        <f t="shared" si="71"/>
        <v>0.31586890402266277</v>
      </c>
      <c r="AT133" s="64">
        <f t="shared" si="72"/>
        <v>13.756236153098738</v>
      </c>
      <c r="AU133" s="64">
        <f>APPLICANTS_PER_YEAR*($H133/Segments!$AH$2)*AS133</f>
        <v>6.4437256420623203</v>
      </c>
      <c r="AV133" s="64">
        <f t="shared" si="73"/>
        <v>20.199961795161059</v>
      </c>
      <c r="AW133" s="40">
        <f t="shared" si="74"/>
        <v>1726.7110351944564</v>
      </c>
      <c r="AX133" s="65">
        <f t="shared" si="75"/>
        <v>34879.496942211023</v>
      </c>
      <c r="AY133" s="65">
        <f t="shared" si="76"/>
        <v>23444.368989340386</v>
      </c>
      <c r="AZ133" s="65">
        <f t="shared" si="77"/>
        <v>7546.7431251196685</v>
      </c>
    </row>
    <row r="134" spans="1:52" ht="15" customHeight="1" x14ac:dyDescent="0.35">
      <c r="A134" s="61" t="str">
        <f>Segments!$A$114</f>
        <v>Non-greek</v>
      </c>
      <c r="B134" s="61" t="str">
        <f>Segments!$B$114</f>
        <v>Off 1-3mi</v>
      </c>
      <c r="C134" s="61" t="str">
        <f>Segments!$C$114</f>
        <v>No</v>
      </c>
      <c r="D134" s="61" t="str">
        <f>Segments!$D$114</f>
        <v>1.0-2.0</v>
      </c>
      <c r="E134" s="61" t="str">
        <f>Segments!$E$114</f>
        <v>Grad student</v>
      </c>
      <c r="F134" s="61">
        <f>Segments!$F$114</f>
        <v>3</v>
      </c>
      <c r="G134" s="61" t="str">
        <f>Segments!$G$114</f>
        <v>Grad</v>
      </c>
      <c r="H134" s="62">
        <f>Segments!$H$114</f>
        <v>11</v>
      </c>
      <c r="I134" s="63">
        <f>Segments!$Y$114</f>
        <v>1163.0295316866902</v>
      </c>
      <c r="J134" s="42">
        <v>4</v>
      </c>
      <c r="K134" s="40">
        <f t="shared" si="39"/>
        <v>1426.2297754450396</v>
      </c>
      <c r="L134" s="40">
        <f t="shared" si="40"/>
        <v>1163.0295316866902</v>
      </c>
      <c r="M134" s="40">
        <f t="shared" si="41"/>
        <v>1932.8433545661328</v>
      </c>
      <c r="N134" s="40">
        <f t="shared" si="42"/>
        <v>1660.3248909636009</v>
      </c>
      <c r="O134" s="40">
        <f t="shared" si="43"/>
        <v>1782.7872193062994</v>
      </c>
      <c r="P134" s="41">
        <f t="shared" si="44"/>
        <v>0.73812097439205848</v>
      </c>
      <c r="Q134" s="41">
        <f t="shared" si="45"/>
        <v>0.26793218752374093</v>
      </c>
      <c r="R134" s="64">
        <f t="shared" si="46"/>
        <v>4.0596653591563214</v>
      </c>
      <c r="S134" s="64">
        <f>APPLICANTS_PER_YEAR*($H134/Segments!$AH$2)*Q134</f>
        <v>3.5367048753133807</v>
      </c>
      <c r="T134" s="64">
        <f t="shared" si="47"/>
        <v>7.5963702344697026</v>
      </c>
      <c r="U134" s="40">
        <f t="shared" si="48"/>
        <v>1852.6500944378963</v>
      </c>
      <c r="V134" s="65">
        <f t="shared" si="49"/>
        <v>14073.41603227552</v>
      </c>
      <c r="W134" s="65">
        <f t="shared" si="50"/>
        <v>9894.9792662716936</v>
      </c>
      <c r="X134" s="65">
        <f t="shared" si="51"/>
        <v>3139.4770347081908</v>
      </c>
      <c r="Y134" s="40">
        <f t="shared" si="52"/>
        <v>1852.6500944378963</v>
      </c>
      <c r="Z134" s="40">
        <f t="shared" si="53"/>
        <v>1197.9204176372909</v>
      </c>
      <c r="AA134" s="40">
        <f t="shared" si="54"/>
        <v>1989.5786552031168</v>
      </c>
      <c r="AB134" s="40">
        <f t="shared" si="55"/>
        <v>1709.5976743666336</v>
      </c>
      <c r="AC134" s="40">
        <f t="shared" si="56"/>
        <v>1989.5786552031168</v>
      </c>
      <c r="AD134" s="41">
        <f t="shared" si="57"/>
        <v>0.74594208116024319</v>
      </c>
      <c r="AE134" s="41">
        <f t="shared" si="58"/>
        <v>0.26811495036684296</v>
      </c>
      <c r="AF134" s="64">
        <f t="shared" si="59"/>
        <v>2.8332261109820274</v>
      </c>
      <c r="AG134" s="64">
        <f>APPLICANTS_PER_YEAR*($H134/Segments!$AH$2)*AE134</f>
        <v>3.5391173448423272</v>
      </c>
      <c r="AH134" s="64">
        <f t="shared" si="60"/>
        <v>6.372343455824355</v>
      </c>
      <c r="AI134" s="40">
        <f t="shared" si="61"/>
        <v>1989.5786552031166</v>
      </c>
      <c r="AJ134" s="65">
        <f t="shared" si="62"/>
        <v>12678.278523331401</v>
      </c>
      <c r="AK134" s="65">
        <f t="shared" si="63"/>
        <v>8549.5875740008942</v>
      </c>
      <c r="AL134" s="65">
        <f t="shared" si="64"/>
        <v>2858.5667751116898</v>
      </c>
      <c r="AM134" s="40">
        <f t="shared" si="65"/>
        <v>1989.5786552031166</v>
      </c>
      <c r="AN134" s="40">
        <f t="shared" si="66"/>
        <v>1233.8580301664097</v>
      </c>
      <c r="AO134" s="40">
        <f t="shared" si="67"/>
        <v>2048.0160148592099</v>
      </c>
      <c r="AP134" s="40">
        <f t="shared" si="68"/>
        <v>1760.3484750236835</v>
      </c>
      <c r="AQ134" s="40">
        <f t="shared" si="69"/>
        <v>2048.0160148592099</v>
      </c>
      <c r="AR134" s="41">
        <f t="shared" si="70"/>
        <v>0.7594809270756272</v>
      </c>
      <c r="AS134" s="41">
        <f t="shared" si="71"/>
        <v>0.26829244495705429</v>
      </c>
      <c r="AT134" s="64">
        <f t="shared" si="72"/>
        <v>2.4198366577368935</v>
      </c>
      <c r="AU134" s="64">
        <f>APPLICANTS_PER_YEAR*($H134/Segments!$AH$2)*AS134</f>
        <v>3.5414602734331169</v>
      </c>
      <c r="AV134" s="64">
        <f t="shared" si="73"/>
        <v>5.9612969311700104</v>
      </c>
      <c r="AW134" s="40">
        <f t="shared" si="74"/>
        <v>2048.0160148592099</v>
      </c>
      <c r="AX134" s="65">
        <f t="shared" si="75"/>
        <v>12208.831584367243</v>
      </c>
      <c r="AY134" s="65">
        <f t="shared" si="76"/>
        <v>8238.0413793781518</v>
      </c>
      <c r="AZ134" s="65">
        <f t="shared" si="77"/>
        <v>2769.0854723638913</v>
      </c>
    </row>
    <row r="135" spans="1:52" ht="15" customHeight="1" x14ac:dyDescent="0.35">
      <c r="A135" s="59" t="str">
        <f>Segments!$A$115</f>
        <v>Non-greek</v>
      </c>
      <c r="B135" s="59" t="str">
        <f>Segments!$B$115</f>
        <v>Off 1-3mi</v>
      </c>
      <c r="C135" s="59" t="str">
        <f>Segments!$C$115</f>
        <v>No</v>
      </c>
      <c r="D135" s="59" t="str">
        <f>Segments!$D$115</f>
        <v>2.0-3.0</v>
      </c>
      <c r="E135" s="59" t="str">
        <f>Segments!$E$115</f>
        <v>Freshman</v>
      </c>
      <c r="F135" s="59">
        <f>Segments!$F$115</f>
        <v>1</v>
      </c>
      <c r="G135" s="59" t="str">
        <f>Segments!$G$115</f>
        <v>Base</v>
      </c>
      <c r="H135" s="60">
        <f>Segments!$H$115</f>
        <v>24</v>
      </c>
      <c r="I135" s="26">
        <f>Segments!$Y$115</f>
        <v>867.87980379464852</v>
      </c>
      <c r="J135" s="29">
        <v>0</v>
      </c>
      <c r="K135" s="14">
        <f t="shared" si="39"/>
        <v>1452.9068872437631</v>
      </c>
      <c r="L135" s="14">
        <f t="shared" si="40"/>
        <v>867.87980379464852</v>
      </c>
      <c r="M135" s="14">
        <f t="shared" si="41"/>
        <v>1452.9068872437631</v>
      </c>
      <c r="N135" s="14">
        <f t="shared" si="42"/>
        <v>1439.5065347320322</v>
      </c>
      <c r="O135" s="14">
        <f t="shared" si="43"/>
        <v>1452.9068872437631</v>
      </c>
      <c r="P135" s="33">
        <f t="shared" si="44"/>
        <v>0.84534550480028714</v>
      </c>
      <c r="Q135" s="33">
        <f t="shared" si="45"/>
        <v>0.34534550480028714</v>
      </c>
      <c r="R135" s="51">
        <f t="shared" si="46"/>
        <v>0</v>
      </c>
      <c r="S135" s="51">
        <f>APPLICANTS_PER_YEAR*($H135/Segments!$AH$2)*Q135</f>
        <v>9.9459505382482689</v>
      </c>
      <c r="T135" s="51">
        <f t="shared" si="47"/>
        <v>9.9459505382482689</v>
      </c>
      <c r="U135" s="14">
        <f t="shared" si="48"/>
        <v>1452.9068872437631</v>
      </c>
      <c r="V135" s="44">
        <f t="shared" si="49"/>
        <v>14450.540037206723</v>
      </c>
      <c r="W135" s="44">
        <f t="shared" si="50"/>
        <v>9667.7163538885306</v>
      </c>
      <c r="X135" s="44">
        <f t="shared" si="51"/>
        <v>3684.4887425554784</v>
      </c>
      <c r="Y135" s="14">
        <f t="shared" si="52"/>
        <v>1495.244093861076</v>
      </c>
      <c r="Z135" s="14">
        <f t="shared" si="53"/>
        <v>893.91619790848802</v>
      </c>
      <c r="AA135" s="14">
        <f t="shared" si="54"/>
        <v>1495.244093861076</v>
      </c>
      <c r="AB135" s="14">
        <f t="shared" si="55"/>
        <v>1482.0723658680417</v>
      </c>
      <c r="AC135" s="14">
        <f t="shared" si="56"/>
        <v>1495.244093861076</v>
      </c>
      <c r="AD135" s="33">
        <f t="shared" si="57"/>
        <v>0.8455563141529463</v>
      </c>
      <c r="AE135" s="33">
        <f t="shared" si="58"/>
        <v>0.3455563141529463</v>
      </c>
      <c r="AF135" s="51">
        <f t="shared" si="59"/>
        <v>0</v>
      </c>
      <c r="AG135" s="51">
        <f>APPLICANTS_PER_YEAR*($H135/Segments!$AH$2)*AE135</f>
        <v>9.9520218476048523</v>
      </c>
      <c r="AH135" s="51">
        <f t="shared" si="60"/>
        <v>9.9520218476048523</v>
      </c>
      <c r="AI135" s="14">
        <f t="shared" si="61"/>
        <v>1495.244093861076</v>
      </c>
      <c r="AJ135" s="44">
        <f t="shared" si="62"/>
        <v>14880.701889607548</v>
      </c>
      <c r="AK135" s="44">
        <f t="shared" si="63"/>
        <v>9963.8263552947137</v>
      </c>
      <c r="AL135" s="44">
        <f t="shared" si="64"/>
        <v>3781.118206414309</v>
      </c>
      <c r="AM135" s="14">
        <f t="shared" si="65"/>
        <v>1538.8514166769082</v>
      </c>
      <c r="AN135" s="14">
        <f t="shared" si="66"/>
        <v>920.73368384574258</v>
      </c>
      <c r="AO135" s="14">
        <f t="shared" si="67"/>
        <v>1538.8514166769082</v>
      </c>
      <c r="AP135" s="14">
        <f t="shared" si="68"/>
        <v>1525.914916768565</v>
      </c>
      <c r="AQ135" s="14">
        <f t="shared" si="69"/>
        <v>1538.8514166769082</v>
      </c>
      <c r="AR135" s="33">
        <f t="shared" si="70"/>
        <v>0.84576106774821402</v>
      </c>
      <c r="AS135" s="33">
        <f t="shared" si="71"/>
        <v>0.34576106774821402</v>
      </c>
      <c r="AT135" s="51">
        <f t="shared" si="72"/>
        <v>0</v>
      </c>
      <c r="AU135" s="51">
        <f>APPLICANTS_PER_YEAR*($H135/Segments!$AH$2)*AS135</f>
        <v>9.9579187511485632</v>
      </c>
      <c r="AV135" s="51">
        <f t="shared" si="73"/>
        <v>9.9579187511485632</v>
      </c>
      <c r="AW135" s="14">
        <f t="shared" si="74"/>
        <v>1538.8514166769082</v>
      </c>
      <c r="AX135" s="44">
        <f t="shared" si="75"/>
        <v>15323.757377358515</v>
      </c>
      <c r="AY135" s="44">
        <f t="shared" si="76"/>
        <v>10268.822161003409</v>
      </c>
      <c r="AZ135" s="44">
        <f t="shared" si="77"/>
        <v>3880.627996329993</v>
      </c>
    </row>
    <row r="136" spans="1:52" ht="15" customHeight="1" x14ac:dyDescent="0.35">
      <c r="A136" s="59" t="str">
        <f>Segments!$A$116</f>
        <v>Non-greek</v>
      </c>
      <c r="B136" s="59" t="str">
        <f>Segments!$B$116</f>
        <v>Off 1-3mi</v>
      </c>
      <c r="C136" s="59" t="str">
        <f>Segments!$C$116</f>
        <v>No</v>
      </c>
      <c r="D136" s="59" t="str">
        <f>Segments!$D$116</f>
        <v>2.0-3.0</v>
      </c>
      <c r="E136" s="59" t="str">
        <f>Segments!$E$116</f>
        <v>Sophomore</v>
      </c>
      <c r="F136" s="59">
        <f>Segments!$F$116</f>
        <v>1</v>
      </c>
      <c r="G136" s="59" t="str">
        <f>Segments!$G$116</f>
        <v>Sophomore</v>
      </c>
      <c r="H136" s="60">
        <f>Segments!$H$116</f>
        <v>20</v>
      </c>
      <c r="I136" s="26">
        <f>Segments!$Y$116</f>
        <v>859.05020540933162</v>
      </c>
      <c r="J136" s="29">
        <v>1</v>
      </c>
      <c r="K136" s="14">
        <f t="shared" si="39"/>
        <v>1426.2297754450396</v>
      </c>
      <c r="L136" s="14">
        <f t="shared" si="40"/>
        <v>859.05020540933162</v>
      </c>
      <c r="M136" s="14">
        <f t="shared" si="41"/>
        <v>1438.5492719168253</v>
      </c>
      <c r="N136" s="14">
        <f t="shared" si="42"/>
        <v>1432.3762791433537</v>
      </c>
      <c r="O136" s="14">
        <f t="shared" si="43"/>
        <v>1438.5492719168253</v>
      </c>
      <c r="P136" s="33">
        <f t="shared" si="44"/>
        <v>0.84525384976023188</v>
      </c>
      <c r="Q136" s="33">
        <f t="shared" si="45"/>
        <v>0.34784519163597027</v>
      </c>
      <c r="R136" s="51">
        <f t="shared" si="46"/>
        <v>20.286092394245564</v>
      </c>
      <c r="S136" s="51">
        <f>APPLICANTS_PER_YEAR*($H136/Segments!$AH$2)*Q136</f>
        <v>8.3482845992632875</v>
      </c>
      <c r="T136" s="51">
        <f t="shared" si="47"/>
        <v>28.634376993508852</v>
      </c>
      <c r="U136" s="14">
        <f t="shared" si="48"/>
        <v>1438.5492719168253</v>
      </c>
      <c r="V136" s="44">
        <f t="shared" si="49"/>
        <v>41191.962175804052</v>
      </c>
      <c r="W136" s="44">
        <f t="shared" si="50"/>
        <v>27550.171530607066</v>
      </c>
      <c r="X136" s="44">
        <f t="shared" si="51"/>
        <v>8987.0051616995879</v>
      </c>
      <c r="Y136" s="14">
        <f t="shared" si="52"/>
        <v>1452.9068872437631</v>
      </c>
      <c r="Z136" s="14">
        <f t="shared" si="53"/>
        <v>884.82171157161156</v>
      </c>
      <c r="AA136" s="14">
        <f t="shared" si="54"/>
        <v>1480.4557500743301</v>
      </c>
      <c r="AB136" s="14">
        <f t="shared" si="55"/>
        <v>1474.7251181641866</v>
      </c>
      <c r="AC136" s="14">
        <f t="shared" si="56"/>
        <v>1480.4557500743301</v>
      </c>
      <c r="AD136" s="33">
        <f t="shared" si="57"/>
        <v>0.84236868983981572</v>
      </c>
      <c r="AE136" s="33">
        <f t="shared" si="58"/>
        <v>0.3480570508227061</v>
      </c>
      <c r="AF136" s="51">
        <f t="shared" si="59"/>
        <v>8.3781573241158043</v>
      </c>
      <c r="AG136" s="51">
        <f>APPLICANTS_PER_YEAR*($H136/Segments!$AH$2)*AE136</f>
        <v>8.3533692197449465</v>
      </c>
      <c r="AH136" s="51">
        <f t="shared" si="60"/>
        <v>16.731526543860753</v>
      </c>
      <c r="AI136" s="14">
        <f t="shared" si="61"/>
        <v>1480.4557500743299</v>
      </c>
      <c r="AJ136" s="44">
        <f t="shared" si="62"/>
        <v>24770.284679379933</v>
      </c>
      <c r="AK136" s="44">
        <f t="shared" si="63"/>
        <v>16580.94810819409</v>
      </c>
      <c r="AL136" s="44">
        <f t="shared" si="64"/>
        <v>5657.8863380589328</v>
      </c>
      <c r="AM136" s="14">
        <f t="shared" si="65"/>
        <v>1495.244093861076</v>
      </c>
      <c r="AN136" s="14">
        <f t="shared" si="66"/>
        <v>911.36636291875993</v>
      </c>
      <c r="AO136" s="14">
        <f t="shared" si="67"/>
        <v>1523.6194225765601</v>
      </c>
      <c r="AP136" s="14">
        <f t="shared" si="68"/>
        <v>1518.344163353225</v>
      </c>
      <c r="AQ136" s="14">
        <f t="shared" si="69"/>
        <v>1523.6194225765601</v>
      </c>
      <c r="AR136" s="33">
        <f t="shared" si="70"/>
        <v>0.84256970857979496</v>
      </c>
      <c r="AS136" s="33">
        <f t="shared" si="71"/>
        <v>0.3482628249409262</v>
      </c>
      <c r="AT136" s="51">
        <f t="shared" si="72"/>
        <v>8.3852721479161723</v>
      </c>
      <c r="AU136" s="51">
        <f>APPLICANTS_PER_YEAR*($H136/Segments!$AH$2)*AS136</f>
        <v>8.3583077985822278</v>
      </c>
      <c r="AV136" s="51">
        <f t="shared" si="73"/>
        <v>16.7435799464984</v>
      </c>
      <c r="AW136" s="14">
        <f t="shared" si="74"/>
        <v>1523.6194225765601</v>
      </c>
      <c r="AX136" s="44">
        <f t="shared" si="75"/>
        <v>25510.843609948362</v>
      </c>
      <c r="AY136" s="44">
        <f t="shared" si="76"/>
        <v>17090.679825049301</v>
      </c>
      <c r="AZ136" s="44">
        <f t="shared" si="77"/>
        <v>5811.0995397375191</v>
      </c>
    </row>
    <row r="137" spans="1:52" ht="15" customHeight="1" x14ac:dyDescent="0.35">
      <c r="A137" s="59" t="str">
        <f>Segments!$A$117</f>
        <v>Non-greek</v>
      </c>
      <c r="B137" s="59" t="str">
        <f>Segments!$B$117</f>
        <v>Off 1-3mi</v>
      </c>
      <c r="C137" s="59" t="str">
        <f>Segments!$C$117</f>
        <v>No</v>
      </c>
      <c r="D137" s="59" t="str">
        <f>Segments!$D$117</f>
        <v>2.0-3.0</v>
      </c>
      <c r="E137" s="59" t="str">
        <f>Segments!$E$117</f>
        <v>Junior</v>
      </c>
      <c r="F137" s="59">
        <f>Segments!$F$117</f>
        <v>2</v>
      </c>
      <c r="G137" s="59" t="str">
        <f>Segments!$G$117</f>
        <v>Base</v>
      </c>
      <c r="H137" s="60">
        <f>Segments!$H$117</f>
        <v>24</v>
      </c>
      <c r="I137" s="26">
        <f>Segments!$Y$117</f>
        <v>1026.9306277583955</v>
      </c>
      <c r="J137" s="29">
        <v>2</v>
      </c>
      <c r="K137" s="14">
        <f t="shared" si="39"/>
        <v>1426.2297754450396</v>
      </c>
      <c r="L137" s="14">
        <f t="shared" si="40"/>
        <v>1026.9306277583955</v>
      </c>
      <c r="M137" s="14">
        <f t="shared" si="41"/>
        <v>1711.5359265556135</v>
      </c>
      <c r="N137" s="14">
        <f t="shared" si="42"/>
        <v>1562.3839157510329</v>
      </c>
      <c r="O137" s="14">
        <f t="shared" si="43"/>
        <v>1711.5359265556135</v>
      </c>
      <c r="P137" s="33">
        <f t="shared" si="44"/>
        <v>0.74225514841167994</v>
      </c>
      <c r="Q137" s="33">
        <f t="shared" si="45"/>
        <v>0.30226781033108507</v>
      </c>
      <c r="R137" s="51">
        <f t="shared" si="46"/>
        <v>14.845102968233599</v>
      </c>
      <c r="S137" s="51">
        <f>APPLICANTS_PER_YEAR*($H137/Segments!$AH$2)*Q137</f>
        <v>8.7053129375352487</v>
      </c>
      <c r="T137" s="51">
        <f t="shared" si="47"/>
        <v>23.550415905768848</v>
      </c>
      <c r="U137" s="14">
        <f t="shared" si="48"/>
        <v>1711.5359265556137</v>
      </c>
      <c r="V137" s="44">
        <f t="shared" si="49"/>
        <v>40307.382908050145</v>
      </c>
      <c r="W137" s="44">
        <f t="shared" si="50"/>
        <v>27086.800596892412</v>
      </c>
      <c r="X137" s="44">
        <f t="shared" si="51"/>
        <v>8828.2174657327705</v>
      </c>
      <c r="Y137" s="14">
        <f t="shared" si="52"/>
        <v>1438.5492719168253</v>
      </c>
      <c r="Z137" s="14">
        <f t="shared" si="53"/>
        <v>1057.7385465911475</v>
      </c>
      <c r="AA137" s="14">
        <f t="shared" si="54"/>
        <v>1761.6320043522821</v>
      </c>
      <c r="AB137" s="14">
        <f t="shared" si="55"/>
        <v>1608.6847977536415</v>
      </c>
      <c r="AC137" s="14">
        <f t="shared" si="56"/>
        <v>1761.6320043522821</v>
      </c>
      <c r="AD137" s="33">
        <f t="shared" si="57"/>
        <v>0.73508525261793145</v>
      </c>
      <c r="AE137" s="33">
        <f t="shared" si="58"/>
        <v>0.30246203395089721</v>
      </c>
      <c r="AF137" s="51">
        <f t="shared" si="59"/>
        <v>21.048708245830539</v>
      </c>
      <c r="AG137" s="51">
        <f>APPLICANTS_PER_YEAR*($H137/Segments!$AH$2)*AE137</f>
        <v>8.7109065777858383</v>
      </c>
      <c r="AH137" s="51">
        <f t="shared" si="60"/>
        <v>29.759614823616378</v>
      </c>
      <c r="AI137" s="14">
        <f t="shared" si="61"/>
        <v>1761.6320043522821</v>
      </c>
      <c r="AJ137" s="44">
        <f t="shared" si="62"/>
        <v>52425.489910479206</v>
      </c>
      <c r="AK137" s="44">
        <f t="shared" si="63"/>
        <v>35255.238738321677</v>
      </c>
      <c r="AL137" s="44">
        <f t="shared" si="64"/>
        <v>11258.471967499807</v>
      </c>
      <c r="AM137" s="14">
        <f t="shared" si="65"/>
        <v>1480.4557500743299</v>
      </c>
      <c r="AN137" s="14">
        <f t="shared" si="66"/>
        <v>1089.4707029888818</v>
      </c>
      <c r="AO137" s="14">
        <f t="shared" si="67"/>
        <v>1813.2309644828504</v>
      </c>
      <c r="AP137" s="14">
        <f t="shared" si="68"/>
        <v>1656.3745066786087</v>
      </c>
      <c r="AQ137" s="14">
        <f t="shared" si="69"/>
        <v>1813.2309644828504</v>
      </c>
      <c r="AR137" s="33">
        <f t="shared" si="70"/>
        <v>0.73521699662929452</v>
      </c>
      <c r="AS137" s="33">
        <f t="shared" si="71"/>
        <v>0.30265066650935935</v>
      </c>
      <c r="AT137" s="51">
        <f t="shared" si="72"/>
        <v>12.301302694600622</v>
      </c>
      <c r="AU137" s="51">
        <f>APPLICANTS_PER_YEAR*($H137/Segments!$AH$2)*AS137</f>
        <v>8.7163391954695477</v>
      </c>
      <c r="AV137" s="51">
        <f t="shared" si="73"/>
        <v>21.01764189007017</v>
      </c>
      <c r="AW137" s="14">
        <f t="shared" si="74"/>
        <v>1813.2309644828504</v>
      </c>
      <c r="AX137" s="44">
        <f t="shared" si="75"/>
        <v>38109.839075487092</v>
      </c>
      <c r="AY137" s="44">
        <f t="shared" si="76"/>
        <v>25645.877695360519</v>
      </c>
      <c r="AZ137" s="44">
        <f t="shared" si="77"/>
        <v>8394.1866673708355</v>
      </c>
    </row>
    <row r="138" spans="1:52" ht="15" customHeight="1" x14ac:dyDescent="0.35">
      <c r="A138" s="59" t="str">
        <f>Segments!$A$118</f>
        <v>Non-greek</v>
      </c>
      <c r="B138" s="59" t="str">
        <f>Segments!$B$118</f>
        <v>Off 1-3mi</v>
      </c>
      <c r="C138" s="59" t="str">
        <f>Segments!$C$118</f>
        <v>No</v>
      </c>
      <c r="D138" s="59" t="str">
        <f>Segments!$D$118</f>
        <v>2.0-3.0</v>
      </c>
      <c r="E138" s="59" t="str">
        <f>Segments!$E$118</f>
        <v>Senior</v>
      </c>
      <c r="F138" s="59">
        <f>Segments!$F$118</f>
        <v>3</v>
      </c>
      <c r="G138" s="59" t="str">
        <f>Segments!$G$118</f>
        <v>Base</v>
      </c>
      <c r="H138" s="60">
        <f>Segments!$H$118</f>
        <v>16</v>
      </c>
      <c r="I138" s="26">
        <f>Segments!$Y$118</f>
        <v>959.85917641047035</v>
      </c>
      <c r="J138" s="29">
        <v>3</v>
      </c>
      <c r="K138" s="14">
        <f t="shared" si="39"/>
        <v>1426.2297754450396</v>
      </c>
      <c r="L138" s="14">
        <f t="shared" si="40"/>
        <v>959.85917641047035</v>
      </c>
      <c r="M138" s="14">
        <f t="shared" si="41"/>
        <v>1602.4725177969185</v>
      </c>
      <c r="N138" s="14">
        <f t="shared" si="42"/>
        <v>1511.7850439842123</v>
      </c>
      <c r="O138" s="14">
        <f t="shared" si="43"/>
        <v>1602.4725177969185</v>
      </c>
      <c r="P138" s="33">
        <f t="shared" si="44"/>
        <v>0.78293474963015464</v>
      </c>
      <c r="Q138" s="33">
        <f t="shared" si="45"/>
        <v>0.32000649193694053</v>
      </c>
      <c r="R138" s="51">
        <f t="shared" si="46"/>
        <v>18.790433991123713</v>
      </c>
      <c r="S138" s="51">
        <f>APPLICANTS_PER_YEAR*($H138/Segments!$AH$2)*Q138</f>
        <v>6.1441246451892582</v>
      </c>
      <c r="T138" s="51">
        <f t="shared" si="47"/>
        <v>24.934558636312971</v>
      </c>
      <c r="U138" s="14">
        <f t="shared" si="48"/>
        <v>1602.4725177969185</v>
      </c>
      <c r="V138" s="44">
        <f t="shared" si="49"/>
        <v>39956.944958087348</v>
      </c>
      <c r="W138" s="44">
        <f t="shared" si="50"/>
        <v>26805.704706827146</v>
      </c>
      <c r="X138" s="44">
        <f t="shared" si="51"/>
        <v>8548.7595670787086</v>
      </c>
      <c r="Y138" s="14">
        <f t="shared" si="52"/>
        <v>1711.5359265556137</v>
      </c>
      <c r="Z138" s="14">
        <f t="shared" si="53"/>
        <v>988.6549517027845</v>
      </c>
      <c r="AA138" s="14">
        <f t="shared" si="54"/>
        <v>1649.296693330826</v>
      </c>
      <c r="AB138" s="14">
        <f t="shared" si="55"/>
        <v>1556.5488537622628</v>
      </c>
      <c r="AC138" s="14">
        <f t="shared" si="56"/>
        <v>1649.296693330826</v>
      </c>
      <c r="AD138" s="33">
        <f t="shared" si="57"/>
        <v>0.82020721857062606</v>
      </c>
      <c r="AE138" s="33">
        <f t="shared" si="58"/>
        <v>0.32020721857062606</v>
      </c>
      <c r="AF138" s="51">
        <f t="shared" si="59"/>
        <v>19.316221126252099</v>
      </c>
      <c r="AG138" s="51">
        <f>APPLICANTS_PER_YEAR*($H138/Segments!$AH$2)*AE138</f>
        <v>6.1479785965560199</v>
      </c>
      <c r="AH138" s="51">
        <f t="shared" si="60"/>
        <v>25.464199722808118</v>
      </c>
      <c r="AI138" s="14">
        <f t="shared" si="61"/>
        <v>1649.296693330826</v>
      </c>
      <c r="AJ138" s="44">
        <f t="shared" si="62"/>
        <v>41998.020401143163</v>
      </c>
      <c r="AK138" s="44">
        <f t="shared" si="63"/>
        <v>28196.344004755272</v>
      </c>
      <c r="AL138" s="44">
        <f t="shared" si="64"/>
        <v>8955.5037421350189</v>
      </c>
      <c r="AM138" s="14">
        <f t="shared" si="65"/>
        <v>1761.6320043522821</v>
      </c>
      <c r="AN138" s="14">
        <f t="shared" si="66"/>
        <v>1018.314600253868</v>
      </c>
      <c r="AO138" s="14">
        <f t="shared" si="67"/>
        <v>1697.5255941307507</v>
      </c>
      <c r="AP138" s="14">
        <f t="shared" si="68"/>
        <v>1602.6553575667176</v>
      </c>
      <c r="AQ138" s="14">
        <f t="shared" si="69"/>
        <v>1697.5255941307507</v>
      </c>
      <c r="AR138" s="33">
        <f t="shared" si="70"/>
        <v>0.82040217158476514</v>
      </c>
      <c r="AS138" s="33">
        <f t="shared" si="71"/>
        <v>0.32040217158476514</v>
      </c>
      <c r="AT138" s="51">
        <f t="shared" si="72"/>
        <v>24.414852626821045</v>
      </c>
      <c r="AU138" s="51">
        <f>APPLICANTS_PER_YEAR*($H138/Segments!$AH$2)*AS138</f>
        <v>6.1517216944274908</v>
      </c>
      <c r="AV138" s="51">
        <f t="shared" si="73"/>
        <v>30.566574321248535</v>
      </c>
      <c r="AW138" s="14">
        <f t="shared" si="74"/>
        <v>1697.5255941307507</v>
      </c>
      <c r="AX138" s="44">
        <f t="shared" si="75"/>
        <v>51887.542235219167</v>
      </c>
      <c r="AY138" s="44">
        <f t="shared" si="76"/>
        <v>34861.555580401029</v>
      </c>
      <c r="AZ138" s="44">
        <f t="shared" si="77"/>
        <v>10937.364687091183</v>
      </c>
    </row>
    <row r="139" spans="1:52" ht="15" customHeight="1" x14ac:dyDescent="0.35">
      <c r="A139" s="59" t="str">
        <f>Segments!$A$119</f>
        <v>Non-greek</v>
      </c>
      <c r="B139" s="59" t="str">
        <f>Segments!$B$119</f>
        <v>Off 1-3mi</v>
      </c>
      <c r="C139" s="59" t="str">
        <f>Segments!$C$119</f>
        <v>No</v>
      </c>
      <c r="D139" s="59" t="str">
        <f>Segments!$D$119</f>
        <v>2.0-3.0</v>
      </c>
      <c r="E139" s="59" t="str">
        <f>Segments!$E$119</f>
        <v>Grad student</v>
      </c>
      <c r="F139" s="59">
        <f>Segments!$F$119</f>
        <v>3</v>
      </c>
      <c r="G139" s="59" t="str">
        <f>Segments!$G$119</f>
        <v>Grad</v>
      </c>
      <c r="H139" s="60">
        <f>Segments!$H$119</f>
        <v>13</v>
      </c>
      <c r="I139" s="26">
        <f>Segments!$Y$119</f>
        <v>1142.8855340054617</v>
      </c>
      <c r="J139" s="29">
        <v>4</v>
      </c>
      <c r="K139" s="14">
        <f t="shared" si="39"/>
        <v>1426.2297754450396</v>
      </c>
      <c r="L139" s="14">
        <f t="shared" si="40"/>
        <v>1142.8855340054617</v>
      </c>
      <c r="M139" s="14">
        <f t="shared" si="41"/>
        <v>1900.0876439174174</v>
      </c>
      <c r="N139" s="14">
        <f t="shared" si="42"/>
        <v>1646.1960921197185</v>
      </c>
      <c r="O139" s="14">
        <f t="shared" si="43"/>
        <v>1782.7872193062994</v>
      </c>
      <c r="P139" s="33">
        <f t="shared" si="44"/>
        <v>0.73351310550412629</v>
      </c>
      <c r="Q139" s="33">
        <f t="shared" si="45"/>
        <v>0.27288538619030001</v>
      </c>
      <c r="R139" s="51">
        <f t="shared" si="46"/>
        <v>4.7678351857768213</v>
      </c>
      <c r="S139" s="51">
        <f>APPLICANTS_PER_YEAR*($H139/Segments!$AH$2)*Q139</f>
        <v>4.25701202456868</v>
      </c>
      <c r="T139" s="51">
        <f t="shared" si="47"/>
        <v>9.0248472103455022</v>
      </c>
      <c r="U139" s="14">
        <f t="shared" si="48"/>
        <v>1838.1177203572333</v>
      </c>
      <c r="V139" s="44">
        <f t="shared" si="49"/>
        <v>16588.731580852611</v>
      </c>
      <c r="W139" s="44">
        <f t="shared" si="50"/>
        <v>11552.091402111033</v>
      </c>
      <c r="X139" s="44">
        <f t="shared" si="51"/>
        <v>3705.2968717784493</v>
      </c>
      <c r="Y139" s="14">
        <f t="shared" si="52"/>
        <v>1838.1177203572333</v>
      </c>
      <c r="Z139" s="14">
        <f t="shared" si="53"/>
        <v>1177.1721000256257</v>
      </c>
      <c r="AA139" s="14">
        <f t="shared" si="54"/>
        <v>1955.84027323494</v>
      </c>
      <c r="AB139" s="14">
        <f t="shared" si="55"/>
        <v>1695.0404014988258</v>
      </c>
      <c r="AC139" s="14">
        <f t="shared" si="56"/>
        <v>1955.84027323494</v>
      </c>
      <c r="AD139" s="33">
        <f t="shared" si="57"/>
        <v>0.75385616859948423</v>
      </c>
      <c r="AE139" s="33">
        <f t="shared" si="58"/>
        <v>0.27306971813016845</v>
      </c>
      <c r="AF139" s="51">
        <f t="shared" si="59"/>
        <v>3.4017183700934019</v>
      </c>
      <c r="AG139" s="51">
        <f>APPLICANTS_PER_YEAR*($H139/Segments!$AH$2)*AE139</f>
        <v>4.2598876028306281</v>
      </c>
      <c r="AH139" s="51">
        <f t="shared" si="60"/>
        <v>7.66160597292403</v>
      </c>
      <c r="AI139" s="14">
        <f t="shared" si="61"/>
        <v>1955.8402732349402</v>
      </c>
      <c r="AJ139" s="44">
        <f t="shared" si="62"/>
        <v>14984.877519502184</v>
      </c>
      <c r="AK139" s="44">
        <f t="shared" si="63"/>
        <v>10101.312247841761</v>
      </c>
      <c r="AL139" s="44">
        <f t="shared" si="64"/>
        <v>3383.4792513726225</v>
      </c>
      <c r="AM139" s="14">
        <f t="shared" si="65"/>
        <v>1955.8402732349402</v>
      </c>
      <c r="AN139" s="14">
        <f t="shared" si="66"/>
        <v>1212.4872630263944</v>
      </c>
      <c r="AO139" s="14">
        <f t="shared" si="67"/>
        <v>2013.2654814319881</v>
      </c>
      <c r="AP139" s="14">
        <f t="shared" si="68"/>
        <v>1745.3498695910737</v>
      </c>
      <c r="AQ139" s="14">
        <f t="shared" si="69"/>
        <v>2013.2654814319881</v>
      </c>
      <c r="AR139" s="33">
        <f t="shared" si="70"/>
        <v>0.76444047099124102</v>
      </c>
      <c r="AS139" s="33">
        <f t="shared" si="71"/>
        <v>0.27324873754289569</v>
      </c>
      <c r="AT139" s="51">
        <f t="shared" si="72"/>
        <v>2.9284208392456756</v>
      </c>
      <c r="AU139" s="51">
        <f>APPLICANTS_PER_YEAR*($H139/Segments!$AH$2)*AS139</f>
        <v>4.2626803056691731</v>
      </c>
      <c r="AV139" s="51">
        <f t="shared" si="73"/>
        <v>7.1911011449148488</v>
      </c>
      <c r="AW139" s="14">
        <f t="shared" si="74"/>
        <v>2013.2654814319881</v>
      </c>
      <c r="AX139" s="44">
        <f t="shared" si="75"/>
        <v>14477.595708543113</v>
      </c>
      <c r="AY139" s="44">
        <f t="shared" si="76"/>
        <v>9765.4127707850294</v>
      </c>
      <c r="AZ139" s="44">
        <f t="shared" si="77"/>
        <v>3287.0213685771041</v>
      </c>
    </row>
    <row r="140" spans="1:52" ht="15" customHeight="1" x14ac:dyDescent="0.35">
      <c r="A140" s="61" t="str">
        <f>Segments!$A$120</f>
        <v>Non-greek</v>
      </c>
      <c r="B140" s="61" t="str">
        <f>Segments!$B$120</f>
        <v>Off 1-3mi</v>
      </c>
      <c r="C140" s="61" t="str">
        <f>Segments!$C$120</f>
        <v>No</v>
      </c>
      <c r="D140" s="61" t="str">
        <f>Segments!$D$120</f>
        <v>3.0+</v>
      </c>
      <c r="E140" s="61" t="str">
        <f>Segments!$E$120</f>
        <v>Freshman</v>
      </c>
      <c r="F140" s="61">
        <f>Segments!$F$120</f>
        <v>1</v>
      </c>
      <c r="G140" s="61" t="str">
        <f>Segments!$G$120</f>
        <v>Base</v>
      </c>
      <c r="H140" s="62">
        <f>Segments!$H$120</f>
        <v>12</v>
      </c>
      <c r="I140" s="63">
        <f>Segments!$Y$120</f>
        <v>760.73797443325952</v>
      </c>
      <c r="J140" s="42">
        <v>0</v>
      </c>
      <c r="K140" s="40">
        <f t="shared" si="39"/>
        <v>1278.6859199624726</v>
      </c>
      <c r="L140" s="40">
        <f t="shared" si="40"/>
        <v>760.73797443325952</v>
      </c>
      <c r="M140" s="40">
        <f t="shared" si="41"/>
        <v>1278.6859199624726</v>
      </c>
      <c r="N140" s="40">
        <f t="shared" si="42"/>
        <v>1350.4443463145053</v>
      </c>
      <c r="O140" s="40">
        <f t="shared" si="43"/>
        <v>1278.6859199624726</v>
      </c>
      <c r="P140" s="41">
        <f t="shared" si="44"/>
        <v>0.87656845006159212</v>
      </c>
      <c r="Q140" s="41">
        <f t="shared" si="45"/>
        <v>0.37656845006159212</v>
      </c>
      <c r="R140" s="64">
        <f t="shared" si="46"/>
        <v>0</v>
      </c>
      <c r="S140" s="64">
        <f>APPLICANTS_PER_YEAR*($H140/Segments!$AH$2)*Q140</f>
        <v>5.4225856808869262</v>
      </c>
      <c r="T140" s="64">
        <f t="shared" si="47"/>
        <v>5.4225856808869262</v>
      </c>
      <c r="U140" s="40">
        <f t="shared" si="48"/>
        <v>1278.6859199624726</v>
      </c>
      <c r="V140" s="65">
        <f t="shared" si="49"/>
        <v>6933.7839599402296</v>
      </c>
      <c r="W140" s="65">
        <f t="shared" si="50"/>
        <v>4620.1868687169635</v>
      </c>
      <c r="X140" s="65">
        <f t="shared" si="51"/>
        <v>1797.183962666523</v>
      </c>
      <c r="Y140" s="40">
        <f t="shared" si="52"/>
        <v>1315.7964975613468</v>
      </c>
      <c r="Z140" s="40">
        <f t="shared" si="53"/>
        <v>783.56011366625728</v>
      </c>
      <c r="AA140" s="40">
        <f t="shared" si="54"/>
        <v>1315.7964975613468</v>
      </c>
      <c r="AB140" s="40">
        <f t="shared" si="55"/>
        <v>1390.2974457092762</v>
      </c>
      <c r="AC140" s="40">
        <f t="shared" si="56"/>
        <v>1315.7964975613468</v>
      </c>
      <c r="AD140" s="41">
        <f t="shared" si="57"/>
        <v>0.87679316874883628</v>
      </c>
      <c r="AE140" s="41">
        <f t="shared" si="58"/>
        <v>0.37679316874883628</v>
      </c>
      <c r="AF140" s="64">
        <f t="shared" si="59"/>
        <v>0</v>
      </c>
      <c r="AG140" s="64">
        <f>APPLICANTS_PER_YEAR*($H140/Segments!$AH$2)*AE140</f>
        <v>5.4258216299832416</v>
      </c>
      <c r="AH140" s="64">
        <f t="shared" si="60"/>
        <v>5.4258216299832416</v>
      </c>
      <c r="AI140" s="40">
        <f t="shared" si="61"/>
        <v>1315.7964975613468</v>
      </c>
      <c r="AJ140" s="65">
        <f t="shared" si="62"/>
        <v>7139.2770971245473</v>
      </c>
      <c r="AK140" s="65">
        <f t="shared" si="63"/>
        <v>4761.6323026972077</v>
      </c>
      <c r="AL140" s="65">
        <f t="shared" si="64"/>
        <v>1843.3600431051443</v>
      </c>
      <c r="AM140" s="40">
        <f t="shared" si="65"/>
        <v>1354.0203924881871</v>
      </c>
      <c r="AN140" s="40">
        <f t="shared" si="66"/>
        <v>807.06691707624498</v>
      </c>
      <c r="AO140" s="40">
        <f t="shared" si="67"/>
        <v>1354.0203924881871</v>
      </c>
      <c r="AP140" s="40">
        <f t="shared" si="68"/>
        <v>1431.3458289757621</v>
      </c>
      <c r="AQ140" s="40">
        <f t="shared" si="69"/>
        <v>1354.0203924881871</v>
      </c>
      <c r="AR140" s="41">
        <f t="shared" si="70"/>
        <v>0.87701144437711021</v>
      </c>
      <c r="AS140" s="41">
        <f t="shared" si="71"/>
        <v>0.37701144437711015</v>
      </c>
      <c r="AT140" s="64">
        <f t="shared" si="72"/>
        <v>0</v>
      </c>
      <c r="AU140" s="64">
        <f>APPLICANTS_PER_YEAR*($H140/Segments!$AH$2)*AS140</f>
        <v>5.4289647990303855</v>
      </c>
      <c r="AV140" s="64">
        <f t="shared" si="73"/>
        <v>5.4289647990303855</v>
      </c>
      <c r="AW140" s="40">
        <f t="shared" si="74"/>
        <v>1354.0203924881871</v>
      </c>
      <c r="AX140" s="65">
        <f t="shared" si="75"/>
        <v>7350.9290479876745</v>
      </c>
      <c r="AY140" s="65">
        <f t="shared" si="76"/>
        <v>4907.3224292611785</v>
      </c>
      <c r="AZ140" s="65">
        <f t="shared" si="77"/>
        <v>1890.9115227056063</v>
      </c>
    </row>
    <row r="141" spans="1:52" ht="15" customHeight="1" x14ac:dyDescent="0.35">
      <c r="A141" s="61" t="str">
        <f>Segments!$A$121</f>
        <v>Non-greek</v>
      </c>
      <c r="B141" s="61" t="str">
        <f>Segments!$B$121</f>
        <v>Off 1-3mi</v>
      </c>
      <c r="C141" s="61" t="str">
        <f>Segments!$C$121</f>
        <v>No</v>
      </c>
      <c r="D141" s="61" t="str">
        <f>Segments!$D$121</f>
        <v>3.0+</v>
      </c>
      <c r="E141" s="61" t="str">
        <f>Segments!$E$121</f>
        <v>Sophomore</v>
      </c>
      <c r="F141" s="61">
        <f>Segments!$F$121</f>
        <v>1</v>
      </c>
      <c r="G141" s="61" t="str">
        <f>Segments!$G$121</f>
        <v>Sophomore</v>
      </c>
      <c r="H141" s="62">
        <f>Segments!$H$121</f>
        <v>18</v>
      </c>
      <c r="I141" s="63">
        <f>Segments!$Y$121</f>
        <v>752.99841100369667</v>
      </c>
      <c r="J141" s="42">
        <v>1</v>
      </c>
      <c r="K141" s="40">
        <f t="shared" si="39"/>
        <v>1426.2297754450396</v>
      </c>
      <c r="L141" s="40">
        <f t="shared" si="40"/>
        <v>752.99841100369667</v>
      </c>
      <c r="M141" s="40">
        <f t="shared" si="41"/>
        <v>1266.1007864523363</v>
      </c>
      <c r="N141" s="40">
        <f t="shared" si="42"/>
        <v>1343.7822146288081</v>
      </c>
      <c r="O141" s="40">
        <f t="shared" si="43"/>
        <v>1266.1007864523363</v>
      </c>
      <c r="P141" s="41">
        <f t="shared" si="44"/>
        <v>0.87890402452525751</v>
      </c>
      <c r="Q141" s="41">
        <f t="shared" si="45"/>
        <v>0.37890402452525751</v>
      </c>
      <c r="R141" s="64">
        <f t="shared" si="46"/>
        <v>10.546848294303089</v>
      </c>
      <c r="S141" s="64">
        <f>APPLICANTS_PER_YEAR*($H141/Segments!$AH$2)*Q141</f>
        <v>8.184326929745561</v>
      </c>
      <c r="T141" s="64">
        <f t="shared" si="47"/>
        <v>18.731175224048648</v>
      </c>
      <c r="U141" s="40">
        <f t="shared" si="48"/>
        <v>1266.1007864523363</v>
      </c>
      <c r="V141" s="65">
        <f t="shared" si="49"/>
        <v>23715.555682344511</v>
      </c>
      <c r="W141" s="65">
        <f t="shared" si="50"/>
        <v>15797.090601533298</v>
      </c>
      <c r="X141" s="65">
        <f t="shared" si="51"/>
        <v>5424.14809836941</v>
      </c>
      <c r="Y141" s="40">
        <f t="shared" si="52"/>
        <v>1278.6859199624726</v>
      </c>
      <c r="Z141" s="40">
        <f t="shared" si="53"/>
        <v>775.58836333380759</v>
      </c>
      <c r="AA141" s="40">
        <f t="shared" si="54"/>
        <v>1302.8338100459064</v>
      </c>
      <c r="AB141" s="40">
        <f t="shared" si="55"/>
        <v>1383.4321752490428</v>
      </c>
      <c r="AC141" s="40">
        <f t="shared" si="56"/>
        <v>1302.8338100459064</v>
      </c>
      <c r="AD141" s="41">
        <f t="shared" si="57"/>
        <v>0.87346437978393365</v>
      </c>
      <c r="AE141" s="41">
        <f t="shared" si="58"/>
        <v>0.37912985784381775</v>
      </c>
      <c r="AF141" s="64">
        <f t="shared" si="59"/>
        <v>4.7364354385811387</v>
      </c>
      <c r="AG141" s="64">
        <f>APPLICANTS_PER_YEAR*($H141/Segments!$AH$2)*AE141</f>
        <v>8.1892049294264631</v>
      </c>
      <c r="AH141" s="64">
        <f t="shared" si="60"/>
        <v>12.925640368007603</v>
      </c>
      <c r="AI141" s="40">
        <f t="shared" si="61"/>
        <v>1302.8338100459064</v>
      </c>
      <c r="AJ141" s="65">
        <f t="shared" si="62"/>
        <v>16839.961287934515</v>
      </c>
      <c r="AK141" s="65">
        <f t="shared" si="63"/>
        <v>11227.973409032142</v>
      </c>
      <c r="AL141" s="65">
        <f t="shared" si="64"/>
        <v>4019.4166710962363</v>
      </c>
      <c r="AM141" s="40">
        <f t="shared" si="65"/>
        <v>1315.7964975613468</v>
      </c>
      <c r="AN141" s="40">
        <f t="shared" si="66"/>
        <v>798.85601423382172</v>
      </c>
      <c r="AO141" s="40">
        <f t="shared" si="67"/>
        <v>1340.6688243472834</v>
      </c>
      <c r="AP141" s="40">
        <f t="shared" si="68"/>
        <v>1424.2713209530536</v>
      </c>
      <c r="AQ141" s="40">
        <f t="shared" si="69"/>
        <v>1340.6688243472834</v>
      </c>
      <c r="AR141" s="41">
        <f t="shared" si="70"/>
        <v>0.87367835693134166</v>
      </c>
      <c r="AS141" s="41">
        <f t="shared" si="71"/>
        <v>0.37934921716665176</v>
      </c>
      <c r="AT141" s="64">
        <f t="shared" si="72"/>
        <v>4.7404229266862927</v>
      </c>
      <c r="AU141" s="64">
        <f>APPLICANTS_PER_YEAR*($H141/Segments!$AH$2)*AS141</f>
        <v>8.193943090799678</v>
      </c>
      <c r="AV141" s="64">
        <f t="shared" si="73"/>
        <v>12.934366017485971</v>
      </c>
      <c r="AW141" s="40">
        <f t="shared" si="74"/>
        <v>1340.6688243472834</v>
      </c>
      <c r="AX141" s="65">
        <f t="shared" si="75"/>
        <v>17340.701282340371</v>
      </c>
      <c r="AY141" s="65">
        <f t="shared" si="76"/>
        <v>11572.619613374662</v>
      </c>
      <c r="AZ141" s="65">
        <f t="shared" si="77"/>
        <v>4125.416181742924</v>
      </c>
    </row>
    <row r="142" spans="1:52" ht="15" customHeight="1" x14ac:dyDescent="0.35">
      <c r="A142" s="61" t="str">
        <f>Segments!$A$122</f>
        <v>Non-greek</v>
      </c>
      <c r="B142" s="61" t="str">
        <f>Segments!$B$122</f>
        <v>Off 1-3mi</v>
      </c>
      <c r="C142" s="61" t="str">
        <f>Segments!$C$122</f>
        <v>No</v>
      </c>
      <c r="D142" s="61" t="str">
        <f>Segments!$D$122</f>
        <v>3.0+</v>
      </c>
      <c r="E142" s="61" t="str">
        <f>Segments!$E$122</f>
        <v>Junior</v>
      </c>
      <c r="F142" s="61">
        <f>Segments!$F$122</f>
        <v>2</v>
      </c>
      <c r="G142" s="61" t="str">
        <f>Segments!$G$122</f>
        <v>Base</v>
      </c>
      <c r="H142" s="62">
        <f>Segments!$H$122</f>
        <v>15</v>
      </c>
      <c r="I142" s="63">
        <f>Segments!$Y$122</f>
        <v>900.1535952658777</v>
      </c>
      <c r="J142" s="42">
        <v>2</v>
      </c>
      <c r="K142" s="40">
        <f t="shared" si="39"/>
        <v>1426.2297754450396</v>
      </c>
      <c r="L142" s="40">
        <f t="shared" si="40"/>
        <v>900.1535952658777</v>
      </c>
      <c r="M142" s="40">
        <f t="shared" si="41"/>
        <v>1505.3865882295156</v>
      </c>
      <c r="N142" s="40">
        <f t="shared" si="42"/>
        <v>1465.2737545211669</v>
      </c>
      <c r="O142" s="40">
        <f t="shared" si="43"/>
        <v>1505.3865882295156</v>
      </c>
      <c r="P142" s="41">
        <f t="shared" si="44"/>
        <v>0.81966194780227142</v>
      </c>
      <c r="Q142" s="41">
        <f t="shared" si="45"/>
        <v>0.33631217081976017</v>
      </c>
      <c r="R142" s="64">
        <f t="shared" si="46"/>
        <v>14.753915060440885</v>
      </c>
      <c r="S142" s="64">
        <f>APPLICANTS_PER_YEAR*($H142/Segments!$AH$2)*Q142</f>
        <v>6.0536190747556828</v>
      </c>
      <c r="T142" s="64">
        <f t="shared" si="47"/>
        <v>20.807534135196569</v>
      </c>
      <c r="U142" s="40">
        <f t="shared" si="48"/>
        <v>1505.3865882295156</v>
      </c>
      <c r="V142" s="65">
        <f t="shared" si="49"/>
        <v>31323.382821252748</v>
      </c>
      <c r="W142" s="65">
        <f t="shared" si="50"/>
        <v>20977.57385966443</v>
      </c>
      <c r="X142" s="65">
        <f t="shared" si="51"/>
        <v>6806.5668065781583</v>
      </c>
      <c r="Y142" s="40">
        <f t="shared" si="52"/>
        <v>1266.1007864523363</v>
      </c>
      <c r="Z142" s="40">
        <f t="shared" si="53"/>
        <v>927.15820312385404</v>
      </c>
      <c r="AA142" s="40">
        <f t="shared" si="54"/>
        <v>1549.298185876401</v>
      </c>
      <c r="AB142" s="40">
        <f t="shared" si="55"/>
        <v>1508.6234983759546</v>
      </c>
      <c r="AC142" s="40">
        <f t="shared" si="56"/>
        <v>1549.298185876401</v>
      </c>
      <c r="AD142" s="41">
        <f t="shared" si="57"/>
        <v>0.76941622512118668</v>
      </c>
      <c r="AE142" s="41">
        <f t="shared" si="58"/>
        <v>0.33651927152658268</v>
      </c>
      <c r="AF142" s="64">
        <f t="shared" si="59"/>
        <v>14.412070132971008</v>
      </c>
      <c r="AG142" s="64">
        <f>APPLICANTS_PER_YEAR*($H142/Segments!$AH$2)*AE142</f>
        <v>6.0573468874784879</v>
      </c>
      <c r="AH142" s="64">
        <f t="shared" si="60"/>
        <v>20.469417020449498</v>
      </c>
      <c r="AI142" s="40">
        <f t="shared" si="61"/>
        <v>1549.2981858764008</v>
      </c>
      <c r="AJ142" s="65">
        <f t="shared" si="62"/>
        <v>31713.230655729931</v>
      </c>
      <c r="AK142" s="65">
        <f t="shared" si="63"/>
        <v>21255.794452113529</v>
      </c>
      <c r="AL142" s="65">
        <f t="shared" si="64"/>
        <v>6883.0848855687163</v>
      </c>
      <c r="AM142" s="40">
        <f t="shared" si="65"/>
        <v>1302.8338100459064</v>
      </c>
      <c r="AN142" s="40">
        <f t="shared" si="66"/>
        <v>954.97294921756964</v>
      </c>
      <c r="AO142" s="40">
        <f t="shared" si="67"/>
        <v>1594.5271314526931</v>
      </c>
      <c r="AP142" s="40">
        <f t="shared" si="68"/>
        <v>1553.273492613627</v>
      </c>
      <c r="AQ142" s="40">
        <f t="shared" si="69"/>
        <v>1594.5271314526931</v>
      </c>
      <c r="AR142" s="41">
        <f t="shared" si="70"/>
        <v>0.7695529918982712</v>
      </c>
      <c r="AS142" s="41">
        <f t="shared" si="71"/>
        <v>0.33672042012071857</v>
      </c>
      <c r="AT142" s="64">
        <f t="shared" si="72"/>
        <v>9.9469652174013223</v>
      </c>
      <c r="AU142" s="64">
        <f>APPLICANTS_PER_YEAR*($H142/Segments!$AH$2)*AS142</f>
        <v>6.0609675621729338</v>
      </c>
      <c r="AV142" s="64">
        <f t="shared" si="73"/>
        <v>16.007932779574254</v>
      </c>
      <c r="AW142" s="40">
        <f t="shared" si="74"/>
        <v>1594.5271314526933</v>
      </c>
      <c r="AX142" s="65">
        <f t="shared" si="75"/>
        <v>25525.083135502075</v>
      </c>
      <c r="AY142" s="65">
        <f t="shared" si="76"/>
        <v>17121.599910673031</v>
      </c>
      <c r="AZ142" s="65">
        <f t="shared" si="77"/>
        <v>5634.1767599815803</v>
      </c>
    </row>
    <row r="143" spans="1:52" ht="15" customHeight="1" x14ac:dyDescent="0.35">
      <c r="A143" s="61" t="str">
        <f>Segments!$A$123</f>
        <v>Non-greek</v>
      </c>
      <c r="B143" s="61" t="str">
        <f>Segments!$B$123</f>
        <v>Off 1-3mi</v>
      </c>
      <c r="C143" s="61" t="str">
        <f>Segments!$C$123</f>
        <v>No</v>
      </c>
      <c r="D143" s="61" t="str">
        <f>Segments!$D$123</f>
        <v>3.0+</v>
      </c>
      <c r="E143" s="61" t="str">
        <f>Segments!$E$123</f>
        <v>Senior</v>
      </c>
      <c r="F143" s="61">
        <f>Segments!$F$123</f>
        <v>3</v>
      </c>
      <c r="G143" s="61" t="str">
        <f>Segments!$G$123</f>
        <v>Base</v>
      </c>
      <c r="H143" s="62">
        <f>Segments!$H$123</f>
        <v>15</v>
      </c>
      <c r="I143" s="63">
        <f>Segments!$Y$123</f>
        <v>841.36227437371372</v>
      </c>
      <c r="J143" s="42">
        <v>3</v>
      </c>
      <c r="K143" s="40">
        <f t="shared" si="39"/>
        <v>1426.2297754450396</v>
      </c>
      <c r="L143" s="40">
        <f t="shared" si="40"/>
        <v>841.36227437371372</v>
      </c>
      <c r="M143" s="40">
        <f t="shared" si="41"/>
        <v>1409.7873171079723</v>
      </c>
      <c r="N143" s="40">
        <f t="shared" si="42"/>
        <v>1417.9847138471446</v>
      </c>
      <c r="O143" s="40">
        <f t="shared" si="43"/>
        <v>1409.7873171079723</v>
      </c>
      <c r="P143" s="41">
        <f t="shared" si="44"/>
        <v>0.85289050955878487</v>
      </c>
      <c r="Q143" s="41">
        <f t="shared" si="45"/>
        <v>0.35289050955878493</v>
      </c>
      <c r="R143" s="64">
        <f t="shared" si="46"/>
        <v>12.793357643381773</v>
      </c>
      <c r="S143" s="64">
        <f>APPLICANTS_PER_YEAR*($H143/Segments!$AH$2)*Q143</f>
        <v>6.3520291720581286</v>
      </c>
      <c r="T143" s="64">
        <f t="shared" si="47"/>
        <v>19.145386815439903</v>
      </c>
      <c r="U143" s="40">
        <f t="shared" si="48"/>
        <v>1409.7873171079723</v>
      </c>
      <c r="V143" s="65">
        <f t="shared" si="49"/>
        <v>26990.923513533366</v>
      </c>
      <c r="W143" s="65">
        <f t="shared" si="50"/>
        <v>18041.190938179392</v>
      </c>
      <c r="X143" s="65">
        <f t="shared" si="51"/>
        <v>5956.4183654314165</v>
      </c>
      <c r="Y143" s="40">
        <f t="shared" si="52"/>
        <v>1505.3865882295156</v>
      </c>
      <c r="Z143" s="40">
        <f t="shared" si="53"/>
        <v>866.6031426049251</v>
      </c>
      <c r="AA143" s="40">
        <f t="shared" si="54"/>
        <v>1450.8309366212113</v>
      </c>
      <c r="AB143" s="40">
        <f t="shared" si="55"/>
        <v>1459.8954857709391</v>
      </c>
      <c r="AC143" s="40">
        <f t="shared" si="56"/>
        <v>1450.8309366212113</v>
      </c>
      <c r="AD143" s="41">
        <f t="shared" si="57"/>
        <v>0.85310451989134717</v>
      </c>
      <c r="AE143" s="41">
        <f t="shared" si="58"/>
        <v>0.35310451989134722</v>
      </c>
      <c r="AF143" s="64">
        <f t="shared" si="59"/>
        <v>17.751001418529686</v>
      </c>
      <c r="AG143" s="64">
        <f>APPLICANTS_PER_YEAR*($H143/Segments!$AH$2)*AE143</f>
        <v>6.3558813580442504</v>
      </c>
      <c r="AH143" s="64">
        <f t="shared" si="60"/>
        <v>24.106882776573936</v>
      </c>
      <c r="AI143" s="40">
        <f t="shared" si="61"/>
        <v>1450.8309366212113</v>
      </c>
      <c r="AJ143" s="65">
        <f t="shared" si="62"/>
        <v>34975.011317754514</v>
      </c>
      <c r="AK143" s="65">
        <f t="shared" si="63"/>
        <v>23398.032417298022</v>
      </c>
      <c r="AL143" s="65">
        <f t="shared" si="64"/>
        <v>7574.0576541692499</v>
      </c>
      <c r="AM143" s="40">
        <f t="shared" si="65"/>
        <v>1549.2981858764008</v>
      </c>
      <c r="AN143" s="40">
        <f t="shared" si="66"/>
        <v>892.60123688307283</v>
      </c>
      <c r="AO143" s="40">
        <f t="shared" si="67"/>
        <v>1493.1058647198477</v>
      </c>
      <c r="AP143" s="40">
        <f t="shared" si="68"/>
        <v>1503.0633138767985</v>
      </c>
      <c r="AQ143" s="40">
        <f t="shared" si="69"/>
        <v>1493.1058647198477</v>
      </c>
      <c r="AR143" s="41">
        <f t="shared" si="70"/>
        <v>0.85331238513541652</v>
      </c>
      <c r="AS143" s="41">
        <f t="shared" si="71"/>
        <v>0.35331238513541652</v>
      </c>
      <c r="AT143" s="64">
        <f t="shared" si="72"/>
        <v>17.466807060051252</v>
      </c>
      <c r="AU143" s="64">
        <f>APPLICANTS_PER_YEAR*($H143/Segments!$AH$2)*AS143</f>
        <v>6.3596229324374978</v>
      </c>
      <c r="AV143" s="64">
        <f t="shared" si="73"/>
        <v>23.826429992488748</v>
      </c>
      <c r="AW143" s="40">
        <f t="shared" si="74"/>
        <v>1493.1058647198479</v>
      </c>
      <c r="AX143" s="65">
        <f t="shared" si="75"/>
        <v>35575.382357121831</v>
      </c>
      <c r="AY143" s="65">
        <f t="shared" si="76"/>
        <v>23819.600987619811</v>
      </c>
      <c r="AZ143" s="65">
        <f t="shared" si="77"/>
        <v>7691.6120990807622</v>
      </c>
    </row>
    <row r="144" spans="1:52" ht="15" customHeight="1" x14ac:dyDescent="0.35">
      <c r="A144" s="61" t="str">
        <f>Segments!$A$124</f>
        <v>Non-greek</v>
      </c>
      <c r="B144" s="61" t="str">
        <f>Segments!$B$124</f>
        <v>Off 1-3mi</v>
      </c>
      <c r="C144" s="61" t="str">
        <f>Segments!$C$124</f>
        <v>No</v>
      </c>
      <c r="D144" s="61" t="str">
        <f>Segments!$D$124</f>
        <v>3.0+</v>
      </c>
      <c r="E144" s="61" t="str">
        <f>Segments!$E$124</f>
        <v>Grad student</v>
      </c>
      <c r="F144" s="61">
        <f>Segments!$F$124</f>
        <v>3</v>
      </c>
      <c r="G144" s="61" t="str">
        <f>Segments!$G$124</f>
        <v>Grad</v>
      </c>
      <c r="H144" s="62">
        <f>Segments!$H$124</f>
        <v>5</v>
      </c>
      <c r="I144" s="63">
        <f>Segments!$Y$124</f>
        <v>1001.7935920929772</v>
      </c>
      <c r="J144" s="42">
        <v>4</v>
      </c>
      <c r="K144" s="40">
        <f t="shared" si="39"/>
        <v>1426.2297754450396</v>
      </c>
      <c r="L144" s="40">
        <f t="shared" si="40"/>
        <v>1001.7935920929772</v>
      </c>
      <c r="M144" s="40">
        <f t="shared" si="41"/>
        <v>1670.6611468891047</v>
      </c>
      <c r="N144" s="40">
        <f t="shared" si="42"/>
        <v>1543.6148069944136</v>
      </c>
      <c r="O144" s="40">
        <f t="shared" si="43"/>
        <v>1670.6611468891047</v>
      </c>
      <c r="P144" s="41">
        <f t="shared" si="44"/>
        <v>0.7574329189581599</v>
      </c>
      <c r="Q144" s="41">
        <f t="shared" si="45"/>
        <v>0.30884778400705282</v>
      </c>
      <c r="R144" s="64">
        <f t="shared" si="46"/>
        <v>1.8935822973953997</v>
      </c>
      <c r="S144" s="64">
        <f>APPLICANTS_PER_YEAR*($H144/Segments!$AH$2)*Q144</f>
        <v>1.8530867040423169</v>
      </c>
      <c r="T144" s="64">
        <f t="shared" si="47"/>
        <v>3.7466690014377164</v>
      </c>
      <c r="U144" s="40">
        <f t="shared" si="48"/>
        <v>1670.6611468891047</v>
      </c>
      <c r="V144" s="65">
        <f t="shared" si="49"/>
        <v>6259.4143309557921</v>
      </c>
      <c r="W144" s="65">
        <f t="shared" si="50"/>
        <v>4203.7956770137416</v>
      </c>
      <c r="X144" s="65">
        <f t="shared" si="51"/>
        <v>1412.6456547195671</v>
      </c>
      <c r="Y144" s="40">
        <f t="shared" si="52"/>
        <v>1670.6611468891047</v>
      </c>
      <c r="Z144" s="40">
        <f t="shared" si="53"/>
        <v>1031.8473998557665</v>
      </c>
      <c r="AA144" s="40">
        <f t="shared" si="54"/>
        <v>1719.5309812957778</v>
      </c>
      <c r="AB144" s="40">
        <f t="shared" si="55"/>
        <v>1589.3456747617849</v>
      </c>
      <c r="AC144" s="40">
        <f t="shared" si="56"/>
        <v>1719.5309812957778</v>
      </c>
      <c r="AD144" s="41">
        <f t="shared" si="57"/>
        <v>0.80026883211670763</v>
      </c>
      <c r="AE144" s="41">
        <f t="shared" si="58"/>
        <v>0.30904437008220209</v>
      </c>
      <c r="AF144" s="64">
        <f t="shared" si="59"/>
        <v>1.4991712130542163</v>
      </c>
      <c r="AG144" s="64">
        <f>APPLICANTS_PER_YEAR*($H144/Segments!$AH$2)*AE144</f>
        <v>1.8542662204932125</v>
      </c>
      <c r="AH144" s="64">
        <f t="shared" si="60"/>
        <v>3.3534374335474286</v>
      </c>
      <c r="AI144" s="40">
        <f t="shared" si="61"/>
        <v>1719.530981295778</v>
      </c>
      <c r="AJ144" s="65">
        <f t="shared" si="62"/>
        <v>5766.3395608218052</v>
      </c>
      <c r="AK144" s="65">
        <f t="shared" si="63"/>
        <v>3875.4639799510987</v>
      </c>
      <c r="AL144" s="65">
        <f t="shared" si="64"/>
        <v>1314.8599686583905</v>
      </c>
      <c r="AM144" s="40">
        <f t="shared" si="65"/>
        <v>1719.530981295778</v>
      </c>
      <c r="AN144" s="40">
        <f t="shared" si="66"/>
        <v>1062.8028218514394</v>
      </c>
      <c r="AO144" s="40">
        <f t="shared" si="67"/>
        <v>1769.8669107346509</v>
      </c>
      <c r="AP144" s="40">
        <f t="shared" si="68"/>
        <v>1636.4482616516073</v>
      </c>
      <c r="AQ144" s="40">
        <f t="shared" si="69"/>
        <v>1769.8669107346509</v>
      </c>
      <c r="AR144" s="41">
        <f t="shared" si="70"/>
        <v>0.80045338144674838</v>
      </c>
      <c r="AS144" s="41">
        <f t="shared" si="71"/>
        <v>0.30923529872298283</v>
      </c>
      <c r="AT144" s="64">
        <f t="shared" si="72"/>
        <v>1.3421351665765724</v>
      </c>
      <c r="AU144" s="64">
        <f>APPLICANTS_PER_YEAR*($H144/Segments!$AH$2)*AS144</f>
        <v>1.855411792337897</v>
      </c>
      <c r="AV144" s="64">
        <f t="shared" si="73"/>
        <v>3.1975469589144696</v>
      </c>
      <c r="AW144" s="40">
        <f t="shared" si="74"/>
        <v>1769.8669107346507</v>
      </c>
      <c r="AX144" s="65">
        <f t="shared" si="75"/>
        <v>5659.232558102929</v>
      </c>
      <c r="AY144" s="65">
        <f t="shared" si="76"/>
        <v>3806.1653626492016</v>
      </c>
      <c r="AZ144" s="65">
        <f t="shared" si="77"/>
        <v>1294.8653052647908</v>
      </c>
    </row>
    <row r="145" spans="1:52" ht="15" customHeight="1" x14ac:dyDescent="0.35">
      <c r="A145" s="59" t="str">
        <f>Segments!$A$125</f>
        <v>Non-greek</v>
      </c>
      <c r="B145" s="59" t="str">
        <f>Segments!$B$125</f>
        <v>Off 3-6mi</v>
      </c>
      <c r="C145" s="59" t="str">
        <f>Segments!$C$125</f>
        <v>Yes</v>
      </c>
      <c r="D145" s="59" t="str">
        <f>Segments!$D$125</f>
        <v>&lt;1.0</v>
      </c>
      <c r="E145" s="59" t="str">
        <f>Segments!$E$125</f>
        <v>Freshman</v>
      </c>
      <c r="F145" s="59">
        <f>Segments!$F$125</f>
        <v>1</v>
      </c>
      <c r="G145" s="59" t="str">
        <f>Segments!$G$125</f>
        <v>Base</v>
      </c>
      <c r="H145" s="60">
        <f>Segments!$H$125</f>
        <v>11</v>
      </c>
      <c r="I145" s="26">
        <f>Segments!$Y$125</f>
        <v>724.93010578381279</v>
      </c>
      <c r="J145" s="29">
        <v>0</v>
      </c>
      <c r="K145" s="14">
        <f t="shared" si="39"/>
        <v>1220.4595339695134</v>
      </c>
      <c r="L145" s="14">
        <f t="shared" si="40"/>
        <v>724.93010578381279</v>
      </c>
      <c r="M145" s="14">
        <f t="shared" si="41"/>
        <v>1220.4595339695134</v>
      </c>
      <c r="N145" s="14">
        <f t="shared" si="42"/>
        <v>1319.3391251202613</v>
      </c>
      <c r="O145" s="14">
        <f t="shared" si="43"/>
        <v>1220.4595339695134</v>
      </c>
      <c r="P145" s="33">
        <f t="shared" si="44"/>
        <v>0.88747315200014809</v>
      </c>
      <c r="Q145" s="33">
        <f t="shared" si="45"/>
        <v>0.38747315200014809</v>
      </c>
      <c r="R145" s="51">
        <f t="shared" si="46"/>
        <v>0</v>
      </c>
      <c r="S145" s="51">
        <f>APPLICANTS_PER_YEAR*($H145/Segments!$AH$2)*Q145</f>
        <v>5.1146456064019556</v>
      </c>
      <c r="T145" s="51">
        <f t="shared" si="47"/>
        <v>5.1146456064019556</v>
      </c>
      <c r="U145" s="14">
        <f t="shared" si="48"/>
        <v>1220.4595339695134</v>
      </c>
      <c r="V145" s="44">
        <f t="shared" si="49"/>
        <v>6242.2179932085501</v>
      </c>
      <c r="W145" s="44">
        <f t="shared" si="50"/>
        <v>4152.6918501551654</v>
      </c>
      <c r="X145" s="44">
        <f t="shared" si="51"/>
        <v>1628.4158827668034</v>
      </c>
      <c r="Y145" s="14">
        <f t="shared" si="52"/>
        <v>1255.8233199885988</v>
      </c>
      <c r="Z145" s="14">
        <f t="shared" si="53"/>
        <v>746.67800895732717</v>
      </c>
      <c r="AA145" s="14">
        <f t="shared" si="54"/>
        <v>1255.8233199885988</v>
      </c>
      <c r="AB145" s="14">
        <f t="shared" si="55"/>
        <v>1358.2434943764549</v>
      </c>
      <c r="AC145" s="14">
        <f t="shared" si="56"/>
        <v>1255.8233199885988</v>
      </c>
      <c r="AD145" s="33">
        <f t="shared" si="57"/>
        <v>0.88770317134295396</v>
      </c>
      <c r="AE145" s="33">
        <f t="shared" si="58"/>
        <v>0.38770317134295401</v>
      </c>
      <c r="AF145" s="51">
        <f t="shared" si="59"/>
        <v>0</v>
      </c>
      <c r="AG145" s="51">
        <f>APPLICANTS_PER_YEAR*($H145/Segments!$AH$2)*AE145</f>
        <v>5.117681861726993</v>
      </c>
      <c r="AH145" s="51">
        <f t="shared" si="60"/>
        <v>5.117681861726993</v>
      </c>
      <c r="AI145" s="14">
        <f t="shared" si="61"/>
        <v>1255.8233199885988</v>
      </c>
      <c r="AJ145" s="44">
        <f t="shared" si="62"/>
        <v>6426.904226239425</v>
      </c>
      <c r="AK145" s="44">
        <f t="shared" si="63"/>
        <v>4279.8117633502998</v>
      </c>
      <c r="AL145" s="44">
        <f t="shared" si="64"/>
        <v>1669.9222304553459</v>
      </c>
      <c r="AM145" s="14">
        <f t="shared" si="65"/>
        <v>1292.2480195882567</v>
      </c>
      <c r="AN145" s="14">
        <f t="shared" si="66"/>
        <v>769.07834922604695</v>
      </c>
      <c r="AO145" s="14">
        <f t="shared" si="67"/>
        <v>1292.2480195882567</v>
      </c>
      <c r="AP145" s="14">
        <f t="shared" si="68"/>
        <v>1398.3146631952957</v>
      </c>
      <c r="AQ145" s="14">
        <f t="shared" si="69"/>
        <v>1292.2480195882567</v>
      </c>
      <c r="AR145" s="33">
        <f t="shared" si="70"/>
        <v>0.88792660064247109</v>
      </c>
      <c r="AS145" s="33">
        <f t="shared" si="71"/>
        <v>0.38792660064247109</v>
      </c>
      <c r="AT145" s="51">
        <f t="shared" si="72"/>
        <v>0</v>
      </c>
      <c r="AU145" s="51">
        <f>APPLICANTS_PER_YEAR*($H145/Segments!$AH$2)*AS145</f>
        <v>5.1206311284806185</v>
      </c>
      <c r="AV145" s="51">
        <f t="shared" si="73"/>
        <v>5.1206311284806185</v>
      </c>
      <c r="AW145" s="14">
        <f t="shared" si="74"/>
        <v>1292.2480195882567</v>
      </c>
      <c r="AX145" s="44">
        <f t="shared" si="75"/>
        <v>6617.1254348210596</v>
      </c>
      <c r="AY145" s="44">
        <f t="shared" si="76"/>
        <v>4410.7465195218711</v>
      </c>
      <c r="AZ145" s="44">
        <f t="shared" si="77"/>
        <v>1712.664498181545</v>
      </c>
    </row>
    <row r="146" spans="1:52" ht="15" customHeight="1" x14ac:dyDescent="0.35">
      <c r="A146" s="59" t="str">
        <f>Segments!$A$126</f>
        <v>Non-greek</v>
      </c>
      <c r="B146" s="59" t="str">
        <f>Segments!$B$126</f>
        <v>Off 3-6mi</v>
      </c>
      <c r="C146" s="59" t="str">
        <f>Segments!$C$126</f>
        <v>Yes</v>
      </c>
      <c r="D146" s="59" t="str">
        <f>Segments!$D$126</f>
        <v>&lt;1.0</v>
      </c>
      <c r="E146" s="59" t="str">
        <f>Segments!$E$126</f>
        <v>Sophomore</v>
      </c>
      <c r="F146" s="59">
        <f>Segments!$F$126</f>
        <v>1</v>
      </c>
      <c r="G146" s="59" t="str">
        <f>Segments!$G$126</f>
        <v>Sophomore</v>
      </c>
      <c r="H146" s="60">
        <f>Segments!$H$126</f>
        <v>11</v>
      </c>
      <c r="I146" s="26">
        <f>Segments!$Y$126</f>
        <v>717.55484291502614</v>
      </c>
      <c r="J146" s="29">
        <v>1</v>
      </c>
      <c r="K146" s="14">
        <f t="shared" si="39"/>
        <v>1426.2297754450396</v>
      </c>
      <c r="L146" s="14">
        <f t="shared" si="40"/>
        <v>717.55484291502614</v>
      </c>
      <c r="M146" s="14">
        <f t="shared" si="41"/>
        <v>1208.4667815719438</v>
      </c>
      <c r="N146" s="14">
        <f t="shared" si="42"/>
        <v>1312.8409296309067</v>
      </c>
      <c r="O146" s="14">
        <f t="shared" si="43"/>
        <v>1208.4667815719438</v>
      </c>
      <c r="P146" s="33">
        <f t="shared" si="44"/>
        <v>0.88975125458965798</v>
      </c>
      <c r="Q146" s="33">
        <f t="shared" si="45"/>
        <v>0.38975125458965798</v>
      </c>
      <c r="R146" s="51">
        <f t="shared" si="46"/>
        <v>9.7872638004862385</v>
      </c>
      <c r="S146" s="51">
        <f>APPLICANTS_PER_YEAR*($H146/Segments!$AH$2)*Q146</f>
        <v>5.1447165605834861</v>
      </c>
      <c r="T146" s="51">
        <f t="shared" si="47"/>
        <v>14.931980361069725</v>
      </c>
      <c r="U146" s="14">
        <f t="shared" si="48"/>
        <v>1208.4667815719438</v>
      </c>
      <c r="V146" s="44">
        <f t="shared" si="49"/>
        <v>18044.802249437402</v>
      </c>
      <c r="W146" s="44">
        <f t="shared" si="50"/>
        <v>12000.256601085359</v>
      </c>
      <c r="X146" s="44">
        <f t="shared" si="51"/>
        <v>4055.3278136220383</v>
      </c>
      <c r="Y146" s="14">
        <f t="shared" si="52"/>
        <v>1220.4595339695134</v>
      </c>
      <c r="Z146" s="14">
        <f t="shared" si="53"/>
        <v>739.08148820247698</v>
      </c>
      <c r="AA146" s="14">
        <f t="shared" si="54"/>
        <v>1243.4707850191021</v>
      </c>
      <c r="AB146" s="14">
        <f t="shared" si="55"/>
        <v>1351.5470063023959</v>
      </c>
      <c r="AC146" s="14">
        <f t="shared" si="56"/>
        <v>1243.4707850191021</v>
      </c>
      <c r="AD146" s="33">
        <f t="shared" si="57"/>
        <v>0.88432603924854336</v>
      </c>
      <c r="AE146" s="33">
        <f t="shared" si="58"/>
        <v>0.38998241303459064</v>
      </c>
      <c r="AF146" s="51">
        <f t="shared" si="59"/>
        <v>4.5230142912694058</v>
      </c>
      <c r="AG146" s="51">
        <f>APPLICANTS_PER_YEAR*($H146/Segments!$AH$2)*AE146</f>
        <v>5.1477678520565968</v>
      </c>
      <c r="AH146" s="51">
        <f t="shared" si="60"/>
        <v>9.6707821433260026</v>
      </c>
      <c r="AI146" s="14">
        <f t="shared" si="61"/>
        <v>1243.4707850191021</v>
      </c>
      <c r="AJ146" s="44">
        <f t="shared" si="62"/>
        <v>12025.3350635103</v>
      </c>
      <c r="AK146" s="44">
        <f t="shared" si="63"/>
        <v>8005.1955855998813</v>
      </c>
      <c r="AL146" s="44">
        <f t="shared" si="64"/>
        <v>2818.9366287946341</v>
      </c>
      <c r="AM146" s="14">
        <f t="shared" si="65"/>
        <v>1255.8233199885988</v>
      </c>
      <c r="AN146" s="14">
        <f t="shared" si="66"/>
        <v>761.25393284855124</v>
      </c>
      <c r="AO146" s="14">
        <f t="shared" si="67"/>
        <v>1279.5249085696753</v>
      </c>
      <c r="AP146" s="14">
        <f t="shared" si="68"/>
        <v>1391.4139288069264</v>
      </c>
      <c r="AQ146" s="14">
        <f t="shared" si="69"/>
        <v>1279.5249085696753</v>
      </c>
      <c r="AR146" s="33">
        <f t="shared" si="70"/>
        <v>0.8845449459639888</v>
      </c>
      <c r="AS146" s="33">
        <f t="shared" si="71"/>
        <v>0.390206949894914</v>
      </c>
      <c r="AT146" s="51">
        <f t="shared" si="72"/>
        <v>4.5268196258421884</v>
      </c>
      <c r="AU146" s="51">
        <f>APPLICANTS_PER_YEAR*($H146/Segments!$AH$2)*AS146</f>
        <v>5.1507317386128655</v>
      </c>
      <c r="AV146" s="51">
        <f t="shared" si="73"/>
        <v>9.6775513644550539</v>
      </c>
      <c r="AW146" s="14">
        <f t="shared" si="74"/>
        <v>1279.5249085696751</v>
      </c>
      <c r="AX146" s="44">
        <f t="shared" si="75"/>
        <v>12382.668024782688</v>
      </c>
      <c r="AY146" s="44">
        <f t="shared" si="76"/>
        <v>8251.1229209195062</v>
      </c>
      <c r="AZ146" s="44">
        <f t="shared" si="77"/>
        <v>2893.3107119303954</v>
      </c>
    </row>
    <row r="147" spans="1:52" ht="15" customHeight="1" x14ac:dyDescent="0.35">
      <c r="A147" s="59" t="str">
        <f>Segments!$A$127</f>
        <v>Non-greek</v>
      </c>
      <c r="B147" s="59" t="str">
        <f>Segments!$B$127</f>
        <v>Off 3-6mi</v>
      </c>
      <c r="C147" s="59" t="str">
        <f>Segments!$C$127</f>
        <v>Yes</v>
      </c>
      <c r="D147" s="59" t="str">
        <f>Segments!$D$127</f>
        <v>&lt;1.0</v>
      </c>
      <c r="E147" s="59" t="str">
        <f>Segments!$E$127</f>
        <v>Junior</v>
      </c>
      <c r="F147" s="59">
        <f>Segments!$F$127</f>
        <v>2</v>
      </c>
      <c r="G147" s="59" t="str">
        <f>Segments!$G$127</f>
        <v>Base</v>
      </c>
      <c r="H147" s="60">
        <f>Segments!$H$127</f>
        <v>5</v>
      </c>
      <c r="I147" s="26">
        <f>Segments!$Y$127</f>
        <v>857.78344577042151</v>
      </c>
      <c r="J147" s="29">
        <v>2</v>
      </c>
      <c r="K147" s="14">
        <f t="shared" si="39"/>
        <v>1426.2297754450396</v>
      </c>
      <c r="L147" s="14">
        <f t="shared" si="40"/>
        <v>857.78344577042151</v>
      </c>
      <c r="M147" s="14">
        <f t="shared" si="41"/>
        <v>1436.4894219878177</v>
      </c>
      <c r="N147" s="14">
        <f t="shared" si="42"/>
        <v>1431.3504063473974</v>
      </c>
      <c r="O147" s="14">
        <f t="shared" si="43"/>
        <v>1436.4894219878177</v>
      </c>
      <c r="P147" s="33">
        <f t="shared" si="44"/>
        <v>0.84604677345047508</v>
      </c>
      <c r="Q147" s="33">
        <f t="shared" si="45"/>
        <v>0.34820483662923107</v>
      </c>
      <c r="R147" s="51">
        <f t="shared" si="46"/>
        <v>9.3065145079552263</v>
      </c>
      <c r="S147" s="51">
        <f>APPLICANTS_PER_YEAR*($H147/Segments!$AH$2)*Q147</f>
        <v>2.0892290197753862</v>
      </c>
      <c r="T147" s="51">
        <f t="shared" si="47"/>
        <v>11.395743527730612</v>
      </c>
      <c r="U147" s="14">
        <f t="shared" si="48"/>
        <v>1436.4894219878177</v>
      </c>
      <c r="V147" s="44">
        <f t="shared" si="49"/>
        <v>16369.865033271162</v>
      </c>
      <c r="W147" s="44">
        <f t="shared" si="50"/>
        <v>10948.089768372674</v>
      </c>
      <c r="X147" s="44">
        <f t="shared" si="51"/>
        <v>3479.0905258828529</v>
      </c>
      <c r="Y147" s="14">
        <f t="shared" si="52"/>
        <v>1208.4667815719438</v>
      </c>
      <c r="Z147" s="14">
        <f t="shared" si="53"/>
        <v>883.51694914353413</v>
      </c>
      <c r="AA147" s="14">
        <f t="shared" si="54"/>
        <v>1478.334104647452</v>
      </c>
      <c r="AB147" s="14">
        <f t="shared" si="55"/>
        <v>1473.6680228759806</v>
      </c>
      <c r="AC147" s="14">
        <f t="shared" si="56"/>
        <v>1478.334104647452</v>
      </c>
      <c r="AD147" s="33">
        <f t="shared" si="57"/>
        <v>0.78142270427028626</v>
      </c>
      <c r="AE147" s="33">
        <f t="shared" si="58"/>
        <v>0.34841684772315096</v>
      </c>
      <c r="AF147" s="51">
        <f t="shared" si="59"/>
        <v>11.66818847385791</v>
      </c>
      <c r="AG147" s="51">
        <f>APPLICANTS_PER_YEAR*($H147/Segments!$AH$2)*AE147</f>
        <v>2.0905010863389055</v>
      </c>
      <c r="AH147" s="51">
        <f t="shared" si="60"/>
        <v>13.758689560196816</v>
      </c>
      <c r="AI147" s="14">
        <f t="shared" si="61"/>
        <v>1478.334104647452</v>
      </c>
      <c r="AJ147" s="44">
        <f t="shared" si="62"/>
        <v>20339.940012095805</v>
      </c>
      <c r="AK147" s="44">
        <f t="shared" si="63"/>
        <v>13614.759675370655</v>
      </c>
      <c r="AL147" s="44">
        <f t="shared" si="64"/>
        <v>4279.851047459324</v>
      </c>
      <c r="AM147" s="14">
        <f t="shared" si="65"/>
        <v>1243.4707850191021</v>
      </c>
      <c r="AN147" s="14">
        <f t="shared" si="66"/>
        <v>910.02245761784013</v>
      </c>
      <c r="AO147" s="14">
        <f t="shared" si="67"/>
        <v>1521.4341277868755</v>
      </c>
      <c r="AP147" s="14">
        <f t="shared" si="68"/>
        <v>1517.2549083402412</v>
      </c>
      <c r="AQ147" s="14">
        <f t="shared" si="69"/>
        <v>1521.4341277868755</v>
      </c>
      <c r="AR147" s="33">
        <f t="shared" si="70"/>
        <v>0.78156128013929638</v>
      </c>
      <c r="AS147" s="33">
        <f t="shared" si="71"/>
        <v>0.348622769508386</v>
      </c>
      <c r="AT147" s="51">
        <f t="shared" si="72"/>
        <v>7.5583088718861191</v>
      </c>
      <c r="AU147" s="51">
        <f>APPLICANTS_PER_YEAR*($H147/Segments!$AH$2)*AS147</f>
        <v>2.0917366170503158</v>
      </c>
      <c r="AV147" s="51">
        <f t="shared" si="73"/>
        <v>9.6500454889364349</v>
      </c>
      <c r="AW147" s="14">
        <f t="shared" si="74"/>
        <v>1521.4341277868755</v>
      </c>
      <c r="AX147" s="44">
        <f t="shared" si="75"/>
        <v>14681.908541563676</v>
      </c>
      <c r="AY147" s="44">
        <f t="shared" si="76"/>
        <v>9835.5690854017939</v>
      </c>
      <c r="AZ147" s="44">
        <f t="shared" si="77"/>
        <v>3131.5604212037856</v>
      </c>
    </row>
    <row r="148" spans="1:52" ht="15" customHeight="1" x14ac:dyDescent="0.35">
      <c r="A148" s="59" t="str">
        <f>Segments!$A$128</f>
        <v>Non-greek</v>
      </c>
      <c r="B148" s="59" t="str">
        <f>Segments!$B$128</f>
        <v>Off 3-6mi</v>
      </c>
      <c r="C148" s="59" t="str">
        <f>Segments!$C$128</f>
        <v>Yes</v>
      </c>
      <c r="D148" s="59" t="str">
        <f>Segments!$D$128</f>
        <v>&lt;1.0</v>
      </c>
      <c r="E148" s="59" t="str">
        <f>Segments!$E$128</f>
        <v>Senior</v>
      </c>
      <c r="F148" s="59">
        <f>Segments!$F$128</f>
        <v>3</v>
      </c>
      <c r="G148" s="59" t="str">
        <f>Segments!$G$128</f>
        <v>Base</v>
      </c>
      <c r="H148" s="60">
        <f>Segments!$H$128</f>
        <v>4</v>
      </c>
      <c r="I148" s="26">
        <f>Segments!$Y$128</f>
        <v>801.75942711238417</v>
      </c>
      <c r="J148" s="29">
        <v>3</v>
      </c>
      <c r="K148" s="14">
        <f t="shared" si="39"/>
        <v>1426.2297754450396</v>
      </c>
      <c r="L148" s="14">
        <f t="shared" si="40"/>
        <v>801.75942711238417</v>
      </c>
      <c r="M148" s="14">
        <f t="shared" si="41"/>
        <v>1345.3900000368819</v>
      </c>
      <c r="N148" s="14">
        <f t="shared" si="42"/>
        <v>1385.2202993165399</v>
      </c>
      <c r="O148" s="14">
        <f t="shared" si="43"/>
        <v>1345.3900000368819</v>
      </c>
      <c r="P148" s="33">
        <f t="shared" si="44"/>
        <v>0.86437688261546197</v>
      </c>
      <c r="Q148" s="33">
        <f t="shared" si="45"/>
        <v>0.36437688261546197</v>
      </c>
      <c r="R148" s="51">
        <f t="shared" si="46"/>
        <v>4.32188441307731</v>
      </c>
      <c r="S148" s="51">
        <f>APPLICANTS_PER_YEAR*($H148/Segments!$AH$2)*Q148</f>
        <v>1.7490090365542175</v>
      </c>
      <c r="T148" s="51">
        <f t="shared" si="47"/>
        <v>6.0708934496315274</v>
      </c>
      <c r="U148" s="14">
        <f t="shared" si="48"/>
        <v>1345.3900000368819</v>
      </c>
      <c r="V148" s="44">
        <f t="shared" si="49"/>
        <v>8167.7193384236671</v>
      </c>
      <c r="W148" s="44">
        <f t="shared" si="50"/>
        <v>5451.4835807453283</v>
      </c>
      <c r="X148" s="44">
        <f t="shared" si="51"/>
        <v>1791.2005242399553</v>
      </c>
      <c r="Y148" s="14">
        <f t="shared" si="52"/>
        <v>1436.4894219878177</v>
      </c>
      <c r="Z148" s="14">
        <f t="shared" si="53"/>
        <v>825.81220992575572</v>
      </c>
      <c r="AA148" s="14">
        <f t="shared" si="54"/>
        <v>1384.5017000379883</v>
      </c>
      <c r="AB148" s="14">
        <f t="shared" si="55"/>
        <v>1426.1332599763982</v>
      </c>
      <c r="AC148" s="14">
        <f t="shared" si="56"/>
        <v>1384.5017000379883</v>
      </c>
      <c r="AD148" s="33">
        <f t="shared" si="57"/>
        <v>0.8645959571614994</v>
      </c>
      <c r="AE148" s="33">
        <f t="shared" si="58"/>
        <v>0.3645959571614994</v>
      </c>
      <c r="AF148" s="51">
        <f t="shared" si="59"/>
        <v>9.8527137829252105</v>
      </c>
      <c r="AG148" s="51">
        <f>APPLICANTS_PER_YEAR*($H148/Segments!$AH$2)*AE148</f>
        <v>1.750060594375197</v>
      </c>
      <c r="AH148" s="51">
        <f t="shared" si="60"/>
        <v>11.602774377300408</v>
      </c>
      <c r="AI148" s="14">
        <f t="shared" si="61"/>
        <v>1384.5017000379883</v>
      </c>
      <c r="AJ148" s="44">
        <f t="shared" si="62"/>
        <v>16064.060850529626</v>
      </c>
      <c r="AK148" s="44">
        <f t="shared" si="63"/>
        <v>10731.518279762991</v>
      </c>
      <c r="AL148" s="44">
        <f t="shared" si="64"/>
        <v>3396.7181685383557</v>
      </c>
      <c r="AM148" s="14">
        <f t="shared" si="65"/>
        <v>1478.334104647452</v>
      </c>
      <c r="AN148" s="14">
        <f t="shared" si="66"/>
        <v>850.58657622352837</v>
      </c>
      <c r="AO148" s="14">
        <f t="shared" si="67"/>
        <v>1424.7867510391279</v>
      </c>
      <c r="AP148" s="14">
        <f t="shared" si="68"/>
        <v>1468.2733230670274</v>
      </c>
      <c r="AQ148" s="14">
        <f t="shared" si="69"/>
        <v>1424.7867510391279</v>
      </c>
      <c r="AR148" s="33">
        <f t="shared" si="70"/>
        <v>0.86480874553283504</v>
      </c>
      <c r="AS148" s="33">
        <f t="shared" si="71"/>
        <v>0.36480874553283504</v>
      </c>
      <c r="AT148" s="51">
        <f t="shared" si="72"/>
        <v>11.898635058729521</v>
      </c>
      <c r="AU148" s="51">
        <f>APPLICANTS_PER_YEAR*($H148/Segments!$AH$2)*AS148</f>
        <v>1.7510819785576082</v>
      </c>
      <c r="AV148" s="51">
        <f t="shared" si="73"/>
        <v>13.649717037287129</v>
      </c>
      <c r="AW148" s="14">
        <f t="shared" si="74"/>
        <v>1424.7867510391279</v>
      </c>
      <c r="AX148" s="44">
        <f t="shared" si="75"/>
        <v>19447.93599015976</v>
      </c>
      <c r="AY148" s="44">
        <f t="shared" si="76"/>
        <v>13003.498010905947</v>
      </c>
      <c r="AZ148" s="44">
        <f t="shared" si="77"/>
        <v>4079.753436456007</v>
      </c>
    </row>
    <row r="149" spans="1:52" ht="15" customHeight="1" x14ac:dyDescent="0.35">
      <c r="A149" s="59" t="str">
        <f>Segments!$A$129</f>
        <v>Non-greek</v>
      </c>
      <c r="B149" s="59" t="str">
        <f>Segments!$B$129</f>
        <v>Off 3-6mi</v>
      </c>
      <c r="C149" s="59" t="str">
        <f>Segments!$C$129</f>
        <v>Yes</v>
      </c>
      <c r="D149" s="59" t="str">
        <f>Segments!$D$129</f>
        <v>&lt;1.0</v>
      </c>
      <c r="E149" s="59" t="str">
        <f>Segments!$E$129</f>
        <v>Grad student</v>
      </c>
      <c r="F149" s="59">
        <f>Segments!$F$129</f>
        <v>3</v>
      </c>
      <c r="G149" s="59" t="str">
        <f>Segments!$G$129</f>
        <v>Grad</v>
      </c>
      <c r="H149" s="60">
        <f>Segments!$H$129</f>
        <v>2</v>
      </c>
      <c r="I149" s="26">
        <f>Segments!$Y$129</f>
        <v>954.6392570063831</v>
      </c>
      <c r="J149" s="29">
        <v>4</v>
      </c>
      <c r="K149" s="14">
        <f t="shared" si="39"/>
        <v>1426.2297754450396</v>
      </c>
      <c r="L149" s="14">
        <f t="shared" si="40"/>
        <v>954.6392570063831</v>
      </c>
      <c r="M149" s="14">
        <f t="shared" si="41"/>
        <v>1593.9845219027752</v>
      </c>
      <c r="N149" s="14">
        <f t="shared" si="42"/>
        <v>1507.7759073338</v>
      </c>
      <c r="O149" s="14">
        <f t="shared" si="43"/>
        <v>1593.9845219027752</v>
      </c>
      <c r="P149" s="33">
        <f t="shared" si="44"/>
        <v>0.78612565699431258</v>
      </c>
      <c r="Q149" s="33">
        <f t="shared" si="45"/>
        <v>0.32141199360274364</v>
      </c>
      <c r="R149" s="51">
        <f t="shared" si="46"/>
        <v>0.78612565699431258</v>
      </c>
      <c r="S149" s="51">
        <f>APPLICANTS_PER_YEAR*($H149/Segments!$AH$2)*Q149</f>
        <v>0.77138878464658467</v>
      </c>
      <c r="T149" s="51">
        <f t="shared" si="47"/>
        <v>1.5575144416408973</v>
      </c>
      <c r="U149" s="14">
        <f t="shared" si="48"/>
        <v>1593.9845219027752</v>
      </c>
      <c r="V149" s="44">
        <f t="shared" si="49"/>
        <v>2482.6539126156335</v>
      </c>
      <c r="W149" s="44">
        <f t="shared" si="50"/>
        <v>1665.2881608661512</v>
      </c>
      <c r="X149" s="44">
        <f t="shared" si="51"/>
        <v>562.69196034169897</v>
      </c>
      <c r="Y149" s="14">
        <f t="shared" si="52"/>
        <v>1593.9845219027752</v>
      </c>
      <c r="Z149" s="14">
        <f t="shared" si="53"/>
        <v>983.27843471657468</v>
      </c>
      <c r="AA149" s="14">
        <f t="shared" si="54"/>
        <v>1640.5540575598586</v>
      </c>
      <c r="AB149" s="14">
        <f t="shared" si="55"/>
        <v>1552.4178743085308</v>
      </c>
      <c r="AC149" s="14">
        <f t="shared" si="56"/>
        <v>1640.5540575598586</v>
      </c>
      <c r="AD149" s="33">
        <f t="shared" si="57"/>
        <v>0.81284851366529332</v>
      </c>
      <c r="AE149" s="33">
        <f t="shared" si="58"/>
        <v>0.32161325416631625</v>
      </c>
      <c r="AF149" s="51">
        <f t="shared" si="59"/>
        <v>0.63301164945001631</v>
      </c>
      <c r="AG149" s="51">
        <f>APPLICANTS_PER_YEAR*($H149/Segments!$AH$2)*AE149</f>
        <v>0.77187180999915894</v>
      </c>
      <c r="AH149" s="51">
        <f t="shared" si="60"/>
        <v>1.4048834594491753</v>
      </c>
      <c r="AI149" s="14">
        <f t="shared" si="61"/>
        <v>1640.5540575598586</v>
      </c>
      <c r="AJ149" s="44">
        <f t="shared" si="62"/>
        <v>2304.7872597980754</v>
      </c>
      <c r="AK149" s="44">
        <f t="shared" si="63"/>
        <v>1547.1586020423586</v>
      </c>
      <c r="AL149" s="44">
        <f t="shared" si="64"/>
        <v>527.31966658415547</v>
      </c>
      <c r="AM149" s="14">
        <f t="shared" si="65"/>
        <v>1640.5540575598586</v>
      </c>
      <c r="AN149" s="14">
        <f t="shared" si="66"/>
        <v>1012.7767877580718</v>
      </c>
      <c r="AO149" s="14">
        <f t="shared" si="67"/>
        <v>1688.5206792866543</v>
      </c>
      <c r="AP149" s="14">
        <f t="shared" si="68"/>
        <v>1598.3988782625061</v>
      </c>
      <c r="AQ149" s="14">
        <f t="shared" si="69"/>
        <v>1688.5206792866543</v>
      </c>
      <c r="AR149" s="33">
        <f t="shared" si="70"/>
        <v>0.81303730745427005</v>
      </c>
      <c r="AS149" s="33">
        <f t="shared" si="71"/>
        <v>0.32180872614158973</v>
      </c>
      <c r="AT149" s="51">
        <f t="shared" si="72"/>
        <v>0.57111133257879887</v>
      </c>
      <c r="AU149" s="51">
        <f>APPLICANTS_PER_YEAR*($H149/Segments!$AH$2)*AS149</f>
        <v>0.77234094273981535</v>
      </c>
      <c r="AV149" s="51">
        <f t="shared" si="73"/>
        <v>1.3434522753186142</v>
      </c>
      <c r="AW149" s="14">
        <f t="shared" si="74"/>
        <v>1688.5206792866545</v>
      </c>
      <c r="AX149" s="44">
        <f t="shared" si="75"/>
        <v>2268.4469485101881</v>
      </c>
      <c r="AY149" s="44">
        <f t="shared" si="76"/>
        <v>1523.891353491874</v>
      </c>
      <c r="AZ149" s="44">
        <f t="shared" si="77"/>
        <v>520.55802020795068</v>
      </c>
    </row>
    <row r="150" spans="1:52" ht="15" customHeight="1" x14ac:dyDescent="0.35">
      <c r="A150" s="61" t="str">
        <f>Segments!$A$130</f>
        <v>Non-greek</v>
      </c>
      <c r="B150" s="61" t="str">
        <f>Segments!$B$130</f>
        <v>Off 3-6mi</v>
      </c>
      <c r="C150" s="61" t="str">
        <f>Segments!$C$130</f>
        <v>Yes</v>
      </c>
      <c r="D150" s="61" t="str">
        <f>Segments!$D$130</f>
        <v>1.0-2.0</v>
      </c>
      <c r="E150" s="61" t="str">
        <f>Segments!$E$130</f>
        <v>Freshman</v>
      </c>
      <c r="F150" s="61">
        <f>Segments!$F$130</f>
        <v>1</v>
      </c>
      <c r="G150" s="61" t="str">
        <f>Segments!$G$130</f>
        <v>Base</v>
      </c>
      <c r="H150" s="62">
        <f>Segments!$H$130</f>
        <v>16</v>
      </c>
      <c r="I150" s="63">
        <f>Segments!$Y$130</f>
        <v>657.81686142677847</v>
      </c>
      <c r="J150" s="42">
        <v>0</v>
      </c>
      <c r="K150" s="40">
        <f t="shared" si="39"/>
        <v>1111.3281665198383</v>
      </c>
      <c r="L150" s="40">
        <f t="shared" si="40"/>
        <v>657.81686142677847</v>
      </c>
      <c r="M150" s="40">
        <f t="shared" si="41"/>
        <v>1111.3281665198383</v>
      </c>
      <c r="N150" s="40">
        <f t="shared" si="42"/>
        <v>1258.971533189427</v>
      </c>
      <c r="O150" s="40">
        <f t="shared" si="43"/>
        <v>1111.3281665198383</v>
      </c>
      <c r="P150" s="41">
        <f t="shared" si="44"/>
        <v>0.90863649922868195</v>
      </c>
      <c r="Q150" s="41">
        <f t="shared" si="45"/>
        <v>0.40863649922868189</v>
      </c>
      <c r="R150" s="64">
        <f t="shared" si="46"/>
        <v>0</v>
      </c>
      <c r="S150" s="64">
        <f>APPLICANTS_PER_YEAR*($H150/Segments!$AH$2)*Q150</f>
        <v>7.8458207851906918</v>
      </c>
      <c r="T150" s="64">
        <f t="shared" si="47"/>
        <v>7.8458207851906918</v>
      </c>
      <c r="U150" s="40">
        <f t="shared" si="48"/>
        <v>1111.3281665198383</v>
      </c>
      <c r="V150" s="65">
        <f t="shared" si="49"/>
        <v>8719.2816280492098</v>
      </c>
      <c r="W150" s="65">
        <f t="shared" si="50"/>
        <v>5780.4467887388591</v>
      </c>
      <c r="X150" s="65">
        <f t="shared" si="51"/>
        <v>2306.1810200166042</v>
      </c>
      <c r="Y150" s="40">
        <f t="shared" si="52"/>
        <v>1143.4180115154336</v>
      </c>
      <c r="Z150" s="40">
        <f t="shared" si="53"/>
        <v>677.55136726958187</v>
      </c>
      <c r="AA150" s="40">
        <f t="shared" si="54"/>
        <v>1143.4180115154336</v>
      </c>
      <c r="AB150" s="40">
        <f t="shared" si="55"/>
        <v>1296.0324526097231</v>
      </c>
      <c r="AC150" s="40">
        <f t="shared" si="56"/>
        <v>1143.4180115154336</v>
      </c>
      <c r="AD150" s="41">
        <f t="shared" si="57"/>
        <v>0.90887755387103975</v>
      </c>
      <c r="AE150" s="41">
        <f t="shared" si="58"/>
        <v>0.40887755387103975</v>
      </c>
      <c r="AF150" s="64">
        <f t="shared" si="59"/>
        <v>0</v>
      </c>
      <c r="AG150" s="64">
        <f>APPLICANTS_PER_YEAR*($H150/Segments!$AH$2)*AE150</f>
        <v>7.8504490343239626</v>
      </c>
      <c r="AH150" s="64">
        <f t="shared" si="60"/>
        <v>7.8504490343239626</v>
      </c>
      <c r="AI150" s="40">
        <f t="shared" si="61"/>
        <v>1143.4180115154336</v>
      </c>
      <c r="AJ150" s="65">
        <f t="shared" si="62"/>
        <v>8976.3448243299608</v>
      </c>
      <c r="AK150" s="65">
        <f t="shared" si="63"/>
        <v>5957.3723741127342</v>
      </c>
      <c r="AL150" s="65">
        <f t="shared" si="64"/>
        <v>2363.9714471944894</v>
      </c>
      <c r="AM150" s="40">
        <f t="shared" si="65"/>
        <v>1176.4705518608964</v>
      </c>
      <c r="AN150" s="40">
        <f t="shared" si="66"/>
        <v>697.87790828766924</v>
      </c>
      <c r="AO150" s="40">
        <f t="shared" si="67"/>
        <v>1176.4705518608964</v>
      </c>
      <c r="AP150" s="40">
        <f t="shared" si="68"/>
        <v>1334.2048180305987</v>
      </c>
      <c r="AQ150" s="40">
        <f t="shared" si="69"/>
        <v>1176.4705518608964</v>
      </c>
      <c r="AR150" s="41">
        <f t="shared" si="70"/>
        <v>0.90911171359826581</v>
      </c>
      <c r="AS150" s="41">
        <f t="shared" si="71"/>
        <v>0.40911171359826581</v>
      </c>
      <c r="AT150" s="64">
        <f t="shared" si="72"/>
        <v>0</v>
      </c>
      <c r="AU150" s="64">
        <f>APPLICANTS_PER_YEAR*($H150/Segments!$AH$2)*AS150</f>
        <v>7.8549449010867036</v>
      </c>
      <c r="AV150" s="64">
        <f t="shared" si="73"/>
        <v>7.8549449010867036</v>
      </c>
      <c r="AW150" s="40">
        <f t="shared" si="74"/>
        <v>1176.4705518608964</v>
      </c>
      <c r="AX150" s="65">
        <f t="shared" si="75"/>
        <v>9241.1113626184087</v>
      </c>
      <c r="AY150" s="65">
        <f t="shared" si="76"/>
        <v>6139.6076193595163</v>
      </c>
      <c r="AZ150" s="65">
        <f t="shared" si="77"/>
        <v>2423.4814657754255</v>
      </c>
    </row>
    <row r="151" spans="1:52" ht="15" customHeight="1" x14ac:dyDescent="0.35">
      <c r="A151" s="61" t="str">
        <f>Segments!$A$131</f>
        <v>Non-greek</v>
      </c>
      <c r="B151" s="61" t="str">
        <f>Segments!$B$131</f>
        <v>Off 3-6mi</v>
      </c>
      <c r="C151" s="61" t="str">
        <f>Segments!$C$131</f>
        <v>Yes</v>
      </c>
      <c r="D151" s="61" t="str">
        <f>Segments!$D$131</f>
        <v>1.0-2.0</v>
      </c>
      <c r="E151" s="61" t="str">
        <f>Segments!$E$131</f>
        <v>Sophomore</v>
      </c>
      <c r="F151" s="61">
        <f>Segments!$F$131</f>
        <v>1</v>
      </c>
      <c r="G151" s="61" t="str">
        <f>Segments!$G$131</f>
        <v>Sophomore</v>
      </c>
      <c r="H151" s="62">
        <f>Segments!$H$131</f>
        <v>33</v>
      </c>
      <c r="I151" s="63">
        <f>Segments!$Y$131</f>
        <v>651.12439240964886</v>
      </c>
      <c r="J151" s="42">
        <v>1</v>
      </c>
      <c r="K151" s="40">
        <f t="shared" si="39"/>
        <v>1426.2297754450396</v>
      </c>
      <c r="L151" s="40">
        <f t="shared" si="40"/>
        <v>651.12439240964886</v>
      </c>
      <c r="M151" s="40">
        <f t="shared" si="41"/>
        <v>1100.4456901554338</v>
      </c>
      <c r="N151" s="40">
        <f t="shared" si="42"/>
        <v>1252.7922451707011</v>
      </c>
      <c r="O151" s="40">
        <f t="shared" si="43"/>
        <v>1100.4456901554338</v>
      </c>
      <c r="P151" s="41">
        <f t="shared" si="44"/>
        <v>0.91080280094426547</v>
      </c>
      <c r="Q151" s="41">
        <f t="shared" si="45"/>
        <v>0.41080280094426552</v>
      </c>
      <c r="R151" s="64">
        <f t="shared" si="46"/>
        <v>14.572844815108247</v>
      </c>
      <c r="S151" s="64">
        <f>APPLICANTS_PER_YEAR*($H151/Segments!$AH$2)*Q151</f>
        <v>16.267790917392915</v>
      </c>
      <c r="T151" s="64">
        <f t="shared" si="47"/>
        <v>30.840635732501163</v>
      </c>
      <c r="U151" s="40">
        <f t="shared" si="48"/>
        <v>1100.4456901554338</v>
      </c>
      <c r="V151" s="65">
        <f t="shared" si="49"/>
        <v>33938.444673484577</v>
      </c>
      <c r="W151" s="65">
        <f t="shared" si="50"/>
        <v>22490.821027194383</v>
      </c>
      <c r="X151" s="65">
        <f t="shared" si="51"/>
        <v>8064.4372449922466</v>
      </c>
      <c r="Y151" s="40">
        <f t="shared" si="52"/>
        <v>1111.3281665198383</v>
      </c>
      <c r="Z151" s="40">
        <f t="shared" si="53"/>
        <v>670.65812418193832</v>
      </c>
      <c r="AA151" s="40">
        <f t="shared" si="54"/>
        <v>1132.2090608600968</v>
      </c>
      <c r="AB151" s="40">
        <f t="shared" si="55"/>
        <v>1289.664290761807</v>
      </c>
      <c r="AC151" s="40">
        <f t="shared" si="56"/>
        <v>1132.2090608600968</v>
      </c>
      <c r="AD151" s="41">
        <f t="shared" si="57"/>
        <v>0.90540830488668889</v>
      </c>
      <c r="AE151" s="41">
        <f t="shared" si="58"/>
        <v>0.41104504522207913</v>
      </c>
      <c r="AF151" s="64">
        <f t="shared" si="59"/>
        <v>7.1036712975642544</v>
      </c>
      <c r="AG151" s="64">
        <f>APPLICANTS_PER_YEAR*($H151/Segments!$AH$2)*AE151</f>
        <v>16.277383790794335</v>
      </c>
      <c r="AH151" s="64">
        <f t="shared" si="60"/>
        <v>23.38105508835859</v>
      </c>
      <c r="AI151" s="40">
        <f t="shared" si="61"/>
        <v>1132.2090608600968</v>
      </c>
      <c r="AJ151" s="65">
        <f t="shared" si="62"/>
        <v>26472.242423508666</v>
      </c>
      <c r="AK151" s="65">
        <f t="shared" si="63"/>
        <v>17562.377892587516</v>
      </c>
      <c r="AL151" s="65">
        <f t="shared" si="64"/>
        <v>6522.8385641063796</v>
      </c>
      <c r="AM151" s="40">
        <f t="shared" si="65"/>
        <v>1143.4180115154336</v>
      </c>
      <c r="AN151" s="40">
        <f t="shared" si="66"/>
        <v>690.7778679073964</v>
      </c>
      <c r="AO151" s="40">
        <f t="shared" si="67"/>
        <v>1164.9253326858995</v>
      </c>
      <c r="AP151" s="40">
        <f t="shared" si="68"/>
        <v>1327.6421104581391</v>
      </c>
      <c r="AQ151" s="40">
        <f t="shared" si="69"/>
        <v>1164.9253326858995</v>
      </c>
      <c r="AR151" s="41">
        <f t="shared" si="70"/>
        <v>0.90563745931631012</v>
      </c>
      <c r="AS151" s="41">
        <f t="shared" si="71"/>
        <v>0.41128036181229954</v>
      </c>
      <c r="AT151" s="64">
        <f t="shared" si="72"/>
        <v>7.1096607179373335</v>
      </c>
      <c r="AU151" s="64">
        <f>APPLICANTS_PER_YEAR*($H151/Segments!$AH$2)*AS151</f>
        <v>16.286702327767063</v>
      </c>
      <c r="AV151" s="64">
        <f t="shared" si="73"/>
        <v>23.396363045704398</v>
      </c>
      <c r="AW151" s="40">
        <f t="shared" si="74"/>
        <v>1164.9253326858995</v>
      </c>
      <c r="AX151" s="65">
        <f t="shared" si="75"/>
        <v>27255.016004657282</v>
      </c>
      <c r="AY151" s="65">
        <f t="shared" si="76"/>
        <v>18101.092555278974</v>
      </c>
      <c r="AZ151" s="65">
        <f t="shared" si="77"/>
        <v>6690.3405684520503</v>
      </c>
    </row>
    <row r="152" spans="1:52" ht="15" customHeight="1" x14ac:dyDescent="0.35">
      <c r="A152" s="61" t="str">
        <f>Segments!$A$132</f>
        <v>Non-greek</v>
      </c>
      <c r="B152" s="61" t="str">
        <f>Segments!$B$132</f>
        <v>Off 3-6mi</v>
      </c>
      <c r="C152" s="61" t="str">
        <f>Segments!$C$132</f>
        <v>Yes</v>
      </c>
      <c r="D152" s="61" t="str">
        <f>Segments!$D$132</f>
        <v>1.0-2.0</v>
      </c>
      <c r="E152" s="61" t="str">
        <f>Segments!$E$132</f>
        <v>Junior</v>
      </c>
      <c r="F152" s="61">
        <f>Segments!$F$132</f>
        <v>2</v>
      </c>
      <c r="G152" s="61" t="str">
        <f>Segments!$G$132</f>
        <v>Base</v>
      </c>
      <c r="H152" s="62">
        <f>Segments!$H$132</f>
        <v>27</v>
      </c>
      <c r="I152" s="63">
        <f>Segments!$Y$132</f>
        <v>778.37078302941904</v>
      </c>
      <c r="J152" s="42">
        <v>2</v>
      </c>
      <c r="K152" s="40">
        <f t="shared" si="39"/>
        <v>1426.2297754450396</v>
      </c>
      <c r="L152" s="40">
        <f t="shared" si="40"/>
        <v>778.37078302941904</v>
      </c>
      <c r="M152" s="40">
        <f t="shared" si="41"/>
        <v>1307.3582413874401</v>
      </c>
      <c r="N152" s="40">
        <f t="shared" si="42"/>
        <v>1365.5010988791735</v>
      </c>
      <c r="O152" s="40">
        <f t="shared" si="43"/>
        <v>1307.3582413874401</v>
      </c>
      <c r="P152" s="41">
        <f t="shared" si="44"/>
        <v>0.87128993434697999</v>
      </c>
      <c r="Q152" s="41">
        <f t="shared" si="45"/>
        <v>0.37128993434697999</v>
      </c>
      <c r="R152" s="64">
        <f t="shared" si="46"/>
        <v>28.752567833450339</v>
      </c>
      <c r="S152" s="64">
        <f>APPLICANTS_PER_YEAR*($H152/Segments!$AH$2)*Q152</f>
        <v>12.02979387284215</v>
      </c>
      <c r="T152" s="64">
        <f t="shared" si="47"/>
        <v>40.782361706292491</v>
      </c>
      <c r="U152" s="40">
        <f t="shared" si="48"/>
        <v>1307.3582413874401</v>
      </c>
      <c r="V152" s="65">
        <f t="shared" si="49"/>
        <v>53317.156679965032</v>
      </c>
      <c r="W152" s="65">
        <f t="shared" si="50"/>
        <v>35553.054672929786</v>
      </c>
      <c r="X152" s="65">
        <f t="shared" si="51"/>
        <v>11743.788449125126</v>
      </c>
      <c r="Y152" s="40">
        <f t="shared" si="52"/>
        <v>1100.4456901554338</v>
      </c>
      <c r="Z152" s="40">
        <f t="shared" si="53"/>
        <v>801.72190652030167</v>
      </c>
      <c r="AA152" s="40">
        <f t="shared" si="54"/>
        <v>1345.3289886290634</v>
      </c>
      <c r="AB152" s="40">
        <f t="shared" si="55"/>
        <v>1405.8131843145786</v>
      </c>
      <c r="AC152" s="40">
        <f t="shared" si="56"/>
        <v>1345.3289886290634</v>
      </c>
      <c r="AD152" s="41">
        <f t="shared" si="57"/>
        <v>0.80475286893728604</v>
      </c>
      <c r="AE152" s="41">
        <f t="shared" si="58"/>
        <v>0.3715121740073184</v>
      </c>
      <c r="AF152" s="64">
        <f t="shared" si="59"/>
        <v>24.81909008558009</v>
      </c>
      <c r="AG152" s="64">
        <f>APPLICANTS_PER_YEAR*($H152/Segments!$AH$2)*AE152</f>
        <v>12.036994437837116</v>
      </c>
      <c r="AH152" s="64">
        <f t="shared" si="60"/>
        <v>36.856084523417209</v>
      </c>
      <c r="AI152" s="40">
        <f t="shared" si="61"/>
        <v>1345.3289886290634</v>
      </c>
      <c r="AJ152" s="65">
        <f t="shared" si="62"/>
        <v>49583.558916716145</v>
      </c>
      <c r="AK152" s="65">
        <f t="shared" si="63"/>
        <v>33094.129993105926</v>
      </c>
      <c r="AL152" s="65">
        <f t="shared" si="64"/>
        <v>10976.119301035242</v>
      </c>
      <c r="AM152" s="40">
        <f t="shared" si="65"/>
        <v>1132.2090608600968</v>
      </c>
      <c r="AN152" s="40">
        <f t="shared" si="66"/>
        <v>825.77356371591065</v>
      </c>
      <c r="AO152" s="40">
        <f t="shared" si="67"/>
        <v>1384.4388582879353</v>
      </c>
      <c r="AP152" s="40">
        <f t="shared" si="68"/>
        <v>1447.3343333250853</v>
      </c>
      <c r="AQ152" s="40">
        <f t="shared" si="69"/>
        <v>1384.4388582879353</v>
      </c>
      <c r="AR152" s="41">
        <f t="shared" si="70"/>
        <v>0.80489502969653226</v>
      </c>
      <c r="AS152" s="41">
        <f t="shared" si="71"/>
        <v>0.37172803946848088</v>
      </c>
      <c r="AT152" s="64">
        <f t="shared" si="72"/>
        <v>18.819295029680642</v>
      </c>
      <c r="AU152" s="64">
        <f>APPLICANTS_PER_YEAR*($H152/Segments!$AH$2)*AS152</f>
        <v>12.043988478778779</v>
      </c>
      <c r="AV152" s="64">
        <f t="shared" si="73"/>
        <v>30.863283508459421</v>
      </c>
      <c r="AW152" s="40">
        <f t="shared" si="74"/>
        <v>1384.4388582879353</v>
      </c>
      <c r="AX152" s="65">
        <f t="shared" si="75"/>
        <v>42728.328983468426</v>
      </c>
      <c r="AY152" s="65">
        <f t="shared" si="76"/>
        <v>28544.413644045639</v>
      </c>
      <c r="AZ152" s="65">
        <f t="shared" si="77"/>
        <v>9577.6153580719638</v>
      </c>
    </row>
    <row r="153" spans="1:52" ht="15" customHeight="1" x14ac:dyDescent="0.35">
      <c r="A153" s="61" t="str">
        <f>Segments!$A$133</f>
        <v>Non-greek</v>
      </c>
      <c r="B153" s="61" t="str">
        <f>Segments!$B$133</f>
        <v>Off 3-6mi</v>
      </c>
      <c r="C153" s="61" t="str">
        <f>Segments!$C$133</f>
        <v>Yes</v>
      </c>
      <c r="D153" s="61" t="str">
        <f>Segments!$D$133</f>
        <v>1.0-2.0</v>
      </c>
      <c r="E153" s="61" t="str">
        <f>Segments!$E$133</f>
        <v>Senior</v>
      </c>
      <c r="F153" s="61">
        <f>Segments!$F$133</f>
        <v>3</v>
      </c>
      <c r="G153" s="61" t="str">
        <f>Segments!$G$133</f>
        <v>Base</v>
      </c>
      <c r="H153" s="62">
        <f>Segments!$H$133</f>
        <v>25</v>
      </c>
      <c r="I153" s="63">
        <f>Segments!$Y$133</f>
        <v>727.53340736504583</v>
      </c>
      <c r="J153" s="42">
        <v>3</v>
      </c>
      <c r="K153" s="40">
        <f t="shared" ref="K153:K216" si="78">IF($J153=0,M153,CURRENT_FLAT)</f>
        <v>1426.2297754450396</v>
      </c>
      <c r="L153" s="40">
        <f t="shared" ref="L153:L216" si="79">$I153*(1+LOSS_TREND)^0</f>
        <v>727.53340736504583</v>
      </c>
      <c r="M153" s="40">
        <f t="shared" ref="M153:M216" si="80">L153*GROSS_MULT+POLICY_FEE</f>
        <v>1224.6927052930823</v>
      </c>
      <c r="N153" s="40">
        <f t="shared" ref="N153:N216" si="81">M153^MARKET_RISK_WEIGHT*(CURRENT_FLAT*(1+LOSS_TREND)^0)^(1-MARKET_RISK_WEIGHT)</f>
        <v>1321.6252124030211</v>
      </c>
      <c r="O153" s="40">
        <f t="shared" ref="O153:O216" si="82">MEDIAN(K153*(1-CAP_DOWN),M153,K153*(1+CAP_UP))</f>
        <v>1224.6927052930823</v>
      </c>
      <c r="P153" s="41">
        <f t="shared" ref="P153:P216" si="83">MEDIAN(RET_FLOOR,BASE_RETENTION-ELAST_MARKET*(O153/N153-1)-ELAST_INCREASE*MAX(O153/K153-1,0),RET_CEIL)</f>
        <v>0.88667170775809168</v>
      </c>
      <c r="Q153" s="41">
        <f t="shared" ref="Q153:Q216" si="84">MEDIAN(CONV_FLOOR,BASE_CONVERSION-ELAST_MARKET*(M153/N153-1),CONV_CEIL)</f>
        <v>0.38667170775809162</v>
      </c>
      <c r="R153" s="64">
        <f t="shared" ref="R153:R216" si="85">IF($J153=0,0,IF($J153=4,$H153*GRAD_CONTINUE,$H152)*P153)</f>
        <v>23.940136109468476</v>
      </c>
      <c r="S153" s="64">
        <f>APPLICANTS_PER_YEAR*($H153/Segments!$AH$2)*Q153</f>
        <v>11.600151232742748</v>
      </c>
      <c r="T153" s="64">
        <f t="shared" ref="T153:T216" si="86">R153+S153</f>
        <v>35.540287342211222</v>
      </c>
      <c r="U153" s="40">
        <f t="shared" ref="U153:U216" si="87">IFERROR((R153*O153+S153*M153)/T153,M153)</f>
        <v>1224.6927052930823</v>
      </c>
      <c r="V153" s="65">
        <f t="shared" ref="V153:V216" si="88">R153*O153+S153*M153</f>
        <v>43525.930652026153</v>
      </c>
      <c r="W153" s="65">
        <f t="shared" ref="W153:W216" si="89">T153*L153*(1+LAE_RATIO)</f>
        <v>28959.555910669151</v>
      </c>
      <c r="X153" s="65">
        <f t="shared" ref="X153:X216" si="90">R153*O153*(PREMIUM_TAX+OTHER_VARIABLE+COMMISSION_RN)+S153*M153*(PREMIUM_TAX+OTHER_VARIABLE+COMMISSION_NB)+T153*FIXED_PER_POLICY+S153*NB_ACQUISITION</f>
        <v>9724.4421417220165</v>
      </c>
      <c r="Y153" s="40">
        <f t="shared" ref="Y153:Y216" si="91">IF($J153=0,AA153,IF($J153=4,U153,U152))</f>
        <v>1307.3582413874401</v>
      </c>
      <c r="Z153" s="40">
        <f t="shared" ref="Z153:Z216" si="92">$I153*(1+LOSS_TREND)^1</f>
        <v>749.35940958599724</v>
      </c>
      <c r="AA153" s="40">
        <f t="shared" ref="AA153:AA216" si="93">Z153*GROSS_MULT+POLICY_FEE</f>
        <v>1260.1834864518748</v>
      </c>
      <c r="AB153" s="40">
        <f t="shared" ref="AB153:AB216" si="94">AA153^MARKET_RISK_WEIGHT*(CURRENT_FLAT*(1+LOSS_TREND)^1)^(1-MARKET_RISK_WEIGHT)</f>
        <v>1360.5993338337553</v>
      </c>
      <c r="AC153" s="40">
        <f t="shared" ref="AC153:AC216" si="95">MEDIAN(Y153*(1-CAP_DOWN),AA153,Y153*(1+CAP_UP))</f>
        <v>1260.1834864518748</v>
      </c>
      <c r="AD153" s="41">
        <f t="shared" ref="AD153:AD216" si="96">MEDIAN(RET_FLOOR,BASE_RETENTION-ELAST_MARKET*(AC153/AB153-1)-ELAST_INCREASE*MAX(AC153/Y153-1,0),RET_CEIL)</f>
        <v>0.88690132902642949</v>
      </c>
      <c r="AE153" s="41">
        <f t="shared" ref="AE153:AE216" si="97">MEDIAN(CONV_FLOOR,BASE_CONVERSION-ELAST_MARKET*(AA153/AB153-1),CONV_CEIL)</f>
        <v>0.38690132902642949</v>
      </c>
      <c r="AF153" s="64">
        <f t="shared" ref="AF153:AF216" si="98">IF($J153=0,0,IF($J153=4,T153*GRAD_CONTINUE,T152)*AD153)</f>
        <v>36.169930798147377</v>
      </c>
      <c r="AG153" s="64">
        <f>APPLICANTS_PER_YEAR*($H153/Segments!$AH$2)*AE153</f>
        <v>11.607039870792885</v>
      </c>
      <c r="AH153" s="64">
        <f t="shared" ref="AH153:AH216" si="99">AF153+AG153</f>
        <v>47.776970668940265</v>
      </c>
      <c r="AI153" s="40">
        <f t="shared" ref="AI153:AI216" si="100">IFERROR((AF153*AC153+AG153*AA153)/AH153,AA153)</f>
        <v>1260.1834864518746</v>
      </c>
      <c r="AJ153" s="65">
        <f t="shared" ref="AJ153:AJ216" si="101">AF153*AC153+AG153*AA153</f>
        <v>60207.749469694099</v>
      </c>
      <c r="AK153" s="65">
        <f t="shared" ref="AK153:AK216" si="102">AH153*Z153*(1+LAE_RATIO)</f>
        <v>40098.37723615874</v>
      </c>
      <c r="AL153" s="65">
        <f t="shared" ref="AL153:AL216" si="103">AF153*AC153*(PREMIUM_TAX+OTHER_VARIABLE+COMMISSION_RN)+AG153*AA153*(PREMIUM_TAX+OTHER_VARIABLE+COMMISSION_NB)+AH153*FIXED_PER_POLICY+AG153*NB_ACQUISITION</f>
        <v>13136.925058932473</v>
      </c>
      <c r="AM153" s="40">
        <f t="shared" ref="AM153:AM216" si="104">IF($J153=0,AO153,IF($J153=4,AI153,AI152))</f>
        <v>1345.3289886290634</v>
      </c>
      <c r="AN153" s="40">
        <f t="shared" ref="AN153:AN216" si="105">$I153*(1+LOSS_TREND)^2</f>
        <v>771.84019187357706</v>
      </c>
      <c r="AO153" s="40">
        <f t="shared" ref="AO153:AO216" si="106">AN153*GROSS_MULT+POLICY_FEE</f>
        <v>1296.7389910454308</v>
      </c>
      <c r="AP153" s="40">
        <f t="shared" ref="AP153:AP216" si="107">AO153^MARKET_RISK_WEIGHT*(CURRENT_FLAT*(1+LOSS_TREND)^2)^(1-MARKET_RISK_WEIGHT)</f>
        <v>1400.7423491114039</v>
      </c>
      <c r="AQ153" s="40">
        <f t="shared" ref="AQ153:AQ216" si="108">MEDIAN(AM153*(1-CAP_DOWN),AO153,AM153*(1+CAP_UP))</f>
        <v>1296.7389910454308</v>
      </c>
      <c r="AR153" s="41">
        <f t="shared" ref="AR153:AR216" si="109">MEDIAN(RET_FLOOR,BASE_RETENTION-ELAST_MARKET*(AQ153/AP153-1)-ELAST_INCREASE*MAX(AQ153/AM153-1,0),RET_CEIL)</f>
        <v>0.8871243712778264</v>
      </c>
      <c r="AS153" s="41">
        <f t="shared" ref="AS153:AS216" si="110">MEDIAN(CONV_FLOOR,BASE_CONVERSION-ELAST_MARKET*(AO153/AP153-1),CONV_CEIL)</f>
        <v>0.3871243712778264</v>
      </c>
      <c r="AT153" s="64">
        <f t="shared" ref="AT153:AT216" si="111">IF($J153=0,0,IF($J153=4,AH153*GRAD_CONTINUE,AH152)*AR153)</f>
        <v>32.695930810598917</v>
      </c>
      <c r="AU153" s="64">
        <f>APPLICANTS_PER_YEAR*($H153/Segments!$AH$2)*AS153</f>
        <v>11.613731138334792</v>
      </c>
      <c r="AV153" s="64">
        <f t="shared" ref="AV153:AV216" si="112">AT153+AU153</f>
        <v>44.309661948933709</v>
      </c>
      <c r="AW153" s="40">
        <f t="shared" ref="AW153:AW216" si="113">IFERROR((AT153*AQ153+AU153*AO153)/AV153,AO153)</f>
        <v>1296.7389910454308</v>
      </c>
      <c r="AX153" s="65">
        <f t="shared" ref="AX153:AX216" si="114">AT153*AQ153+AU153*AO153</f>
        <v>57458.066329224413</v>
      </c>
      <c r="AY153" s="65">
        <f t="shared" ref="AY153:AY216" si="115">AV153*AN153*(1+LAE_RATIO)</f>
        <v>38303.975338180528</v>
      </c>
      <c r="AZ153" s="65">
        <f t="shared" ref="AZ153:AZ216" si="116">AT153*AQ153*(PREMIUM_TAX+OTHER_VARIABLE+COMMISSION_RN)+AU153*AO153*(PREMIUM_TAX+OTHER_VARIABLE+COMMISSION_NB)+AV153*FIXED_PER_POLICY+AU153*NB_ACQUISITION</f>
        <v>12563.210283611357</v>
      </c>
    </row>
    <row r="154" spans="1:52" ht="15" customHeight="1" x14ac:dyDescent="0.35">
      <c r="A154" s="61" t="str">
        <f>Segments!$A$134</f>
        <v>Non-greek</v>
      </c>
      <c r="B154" s="61" t="str">
        <f>Segments!$B$134</f>
        <v>Off 3-6mi</v>
      </c>
      <c r="C154" s="61" t="str">
        <f>Segments!$C$134</f>
        <v>Yes</v>
      </c>
      <c r="D154" s="61" t="str">
        <f>Segments!$D$134</f>
        <v>1.0-2.0</v>
      </c>
      <c r="E154" s="61" t="str">
        <f>Segments!$E$134</f>
        <v>Grad student</v>
      </c>
      <c r="F154" s="61">
        <f>Segments!$F$134</f>
        <v>3</v>
      </c>
      <c r="G154" s="61" t="str">
        <f>Segments!$G$134</f>
        <v>Grad</v>
      </c>
      <c r="H154" s="62">
        <f>Segments!$H$134</f>
        <v>13</v>
      </c>
      <c r="I154" s="63">
        <f>Segments!$Y$134</f>
        <v>866.25978812087692</v>
      </c>
      <c r="J154" s="42">
        <v>4</v>
      </c>
      <c r="K154" s="40">
        <f t="shared" si="78"/>
        <v>1426.2297754450396</v>
      </c>
      <c r="L154" s="40">
        <f t="shared" si="79"/>
        <v>866.25978812087692</v>
      </c>
      <c r="M154" s="40">
        <f t="shared" si="80"/>
        <v>1450.2726154623531</v>
      </c>
      <c r="N154" s="40">
        <f t="shared" si="81"/>
        <v>1438.2009549033689</v>
      </c>
      <c r="O154" s="40">
        <f t="shared" si="82"/>
        <v>1450.2726154623531</v>
      </c>
      <c r="P154" s="41">
        <f t="shared" si="83"/>
        <v>0.84074592189730424</v>
      </c>
      <c r="Q154" s="41">
        <f t="shared" si="84"/>
        <v>0.34580320798778941</v>
      </c>
      <c r="R154" s="64">
        <f t="shared" si="85"/>
        <v>5.4648484923324778</v>
      </c>
      <c r="S154" s="64">
        <f>APPLICANTS_PER_YEAR*($H154/Segments!$AH$2)*Q154</f>
        <v>5.3945300446095148</v>
      </c>
      <c r="T154" s="64">
        <f t="shared" si="86"/>
        <v>10.859378536941993</v>
      </c>
      <c r="U154" s="40">
        <f t="shared" si="87"/>
        <v>1450.2726154623531</v>
      </c>
      <c r="V154" s="65">
        <f t="shared" si="88"/>
        <v>15749.059313066606</v>
      </c>
      <c r="W154" s="65">
        <f t="shared" si="89"/>
        <v>10535.888104600062</v>
      </c>
      <c r="X154" s="65">
        <f t="shared" si="90"/>
        <v>3602.446903918179</v>
      </c>
      <c r="Y154" s="40">
        <f t="shared" si="91"/>
        <v>1450.2726154623531</v>
      </c>
      <c r="Z154" s="40">
        <f t="shared" si="92"/>
        <v>892.24758176450325</v>
      </c>
      <c r="AA154" s="40">
        <f t="shared" si="93"/>
        <v>1492.5307939262239</v>
      </c>
      <c r="AB154" s="40">
        <f t="shared" si="94"/>
        <v>1480.7270561579508</v>
      </c>
      <c r="AC154" s="40">
        <f t="shared" si="95"/>
        <v>1492.5307939262239</v>
      </c>
      <c r="AD154" s="41">
        <f t="shared" si="96"/>
        <v>0.83727278086582502</v>
      </c>
      <c r="AE154" s="41">
        <f t="shared" si="97"/>
        <v>0.3460142087904774</v>
      </c>
      <c r="AF154" s="64">
        <f t="shared" si="98"/>
        <v>4.5461310330500382</v>
      </c>
      <c r="AG154" s="64">
        <f>APPLICANTS_PER_YEAR*($H154/Segments!$AH$2)*AE154</f>
        <v>5.3978216571314475</v>
      </c>
      <c r="AH154" s="64">
        <f t="shared" si="99"/>
        <v>9.9439526901814865</v>
      </c>
      <c r="AI154" s="40">
        <f t="shared" si="100"/>
        <v>1492.5307939262236</v>
      </c>
      <c r="AJ154" s="65">
        <f t="shared" si="101"/>
        <v>14841.655603441381</v>
      </c>
      <c r="AK154" s="65">
        <f t="shared" si="102"/>
        <v>9937.163869914466</v>
      </c>
      <c r="AL154" s="65">
        <f t="shared" si="103"/>
        <v>3420.8720308010065</v>
      </c>
      <c r="AM154" s="40">
        <f t="shared" si="104"/>
        <v>1492.5307939262236</v>
      </c>
      <c r="AN154" s="40">
        <f t="shared" si="105"/>
        <v>919.01500921743832</v>
      </c>
      <c r="AO154" s="40">
        <f t="shared" si="106"/>
        <v>1536.0567177440105</v>
      </c>
      <c r="AP154" s="40">
        <f t="shared" si="107"/>
        <v>1524.5286845844767</v>
      </c>
      <c r="AQ154" s="40">
        <f t="shared" si="108"/>
        <v>1536.0567177440105</v>
      </c>
      <c r="AR154" s="41">
        <f t="shared" si="109"/>
        <v>0.83747039958707714</v>
      </c>
      <c r="AS154" s="41">
        <f t="shared" si="110"/>
        <v>0.34621914848959501</v>
      </c>
      <c r="AT154" s="64">
        <f t="shared" si="111"/>
        <v>4.1638830164606402</v>
      </c>
      <c r="AU154" s="64">
        <f>APPLICANTS_PER_YEAR*($H154/Segments!$AH$2)*AS154</f>
        <v>5.4010187164376822</v>
      </c>
      <c r="AV154" s="64">
        <f t="shared" si="112"/>
        <v>9.5649017328983224</v>
      </c>
      <c r="AW154" s="40">
        <f t="shared" si="113"/>
        <v>1536.0567177440105</v>
      </c>
      <c r="AX154" s="65">
        <f t="shared" si="114"/>
        <v>14692.231561379795</v>
      </c>
      <c r="AY154" s="65">
        <f t="shared" si="115"/>
        <v>9845.1228447302583</v>
      </c>
      <c r="AZ154" s="65">
        <f t="shared" si="116"/>
        <v>3393.524755541273</v>
      </c>
    </row>
    <row r="155" spans="1:52" ht="15" customHeight="1" x14ac:dyDescent="0.35">
      <c r="A155" s="59" t="str">
        <f>Segments!$A$135</f>
        <v>Non-greek</v>
      </c>
      <c r="B155" s="59" t="str">
        <f>Segments!$B$135</f>
        <v>Off 3-6mi</v>
      </c>
      <c r="C155" s="59" t="str">
        <f>Segments!$C$135</f>
        <v>Yes</v>
      </c>
      <c r="D155" s="59" t="str">
        <f>Segments!$D$135</f>
        <v>2.0-3.0</v>
      </c>
      <c r="E155" s="59" t="str">
        <f>Segments!$E$135</f>
        <v>Freshman</v>
      </c>
      <c r="F155" s="59">
        <f>Segments!$F$135</f>
        <v>1</v>
      </c>
      <c r="G155" s="59" t="str">
        <f>Segments!$G$135</f>
        <v>Base</v>
      </c>
      <c r="H155" s="60">
        <f>Segments!$H$135</f>
        <v>46</v>
      </c>
      <c r="I155" s="26">
        <f>Segments!$Y$135</f>
        <v>646.42328889037287</v>
      </c>
      <c r="J155" s="29">
        <v>0</v>
      </c>
      <c r="K155" s="14">
        <f t="shared" si="78"/>
        <v>1092.8013293366992</v>
      </c>
      <c r="L155" s="14">
        <f t="shared" si="79"/>
        <v>646.42328889037287</v>
      </c>
      <c r="M155" s="14">
        <f t="shared" si="80"/>
        <v>1092.8013293366992</v>
      </c>
      <c r="N155" s="14">
        <f t="shared" si="81"/>
        <v>1248.433336043988</v>
      </c>
      <c r="O155" s="14">
        <f t="shared" si="82"/>
        <v>1092.8013293366992</v>
      </c>
      <c r="P155" s="33">
        <f t="shared" si="83"/>
        <v>0.91233092397246152</v>
      </c>
      <c r="Q155" s="33">
        <f t="shared" si="84"/>
        <v>0.41233092397246157</v>
      </c>
      <c r="R155" s="51">
        <f t="shared" si="85"/>
        <v>0</v>
      </c>
      <c r="S155" s="51">
        <f>APPLICANTS_PER_YEAR*($H155/Segments!$AH$2)*Q155</f>
        <v>22.760667003279877</v>
      </c>
      <c r="T155" s="51">
        <f t="shared" si="86"/>
        <v>22.760667003279877</v>
      </c>
      <c r="U155" s="14">
        <f t="shared" si="87"/>
        <v>1092.8013293366992</v>
      </c>
      <c r="V155" s="44">
        <f t="shared" si="88"/>
        <v>24872.887157774196</v>
      </c>
      <c r="W155" s="44">
        <f t="shared" si="89"/>
        <v>16478.588248190619</v>
      </c>
      <c r="X155" s="44">
        <f t="shared" si="90"/>
        <v>6595.7567384890144</v>
      </c>
      <c r="Y155" s="14">
        <f t="shared" si="91"/>
        <v>1124.3353692168002</v>
      </c>
      <c r="Z155" s="14">
        <f t="shared" si="92"/>
        <v>665.8159875570841</v>
      </c>
      <c r="AA155" s="14">
        <f t="shared" si="93"/>
        <v>1124.3353692168002</v>
      </c>
      <c r="AB155" s="14">
        <f t="shared" si="94"/>
        <v>1285.1721280038259</v>
      </c>
      <c r="AC155" s="14">
        <f t="shared" si="95"/>
        <v>1124.3353692168002</v>
      </c>
      <c r="AD155" s="33">
        <f t="shared" si="96"/>
        <v>0.91257401451618891</v>
      </c>
      <c r="AE155" s="33">
        <f t="shared" si="97"/>
        <v>0.41257401451618891</v>
      </c>
      <c r="AF155" s="51">
        <f t="shared" si="98"/>
        <v>0</v>
      </c>
      <c r="AG155" s="51">
        <f>APPLICANTS_PER_YEAR*($H155/Segments!$AH$2)*AE155</f>
        <v>22.774085601293628</v>
      </c>
      <c r="AH155" s="51">
        <f t="shared" si="99"/>
        <v>22.774085601293628</v>
      </c>
      <c r="AI155" s="14">
        <f t="shared" si="100"/>
        <v>1124.3353692168002</v>
      </c>
      <c r="AJ155" s="44">
        <f t="shared" si="101"/>
        <v>25605.709943105485</v>
      </c>
      <c r="AK155" s="44">
        <f t="shared" si="102"/>
        <v>16982.952330775075</v>
      </c>
      <c r="AL155" s="44">
        <f t="shared" si="103"/>
        <v>6760.5128793138419</v>
      </c>
      <c r="AM155" s="14">
        <f t="shared" si="104"/>
        <v>1156.8154302933042</v>
      </c>
      <c r="AN155" s="14">
        <f t="shared" si="105"/>
        <v>685.79046718379652</v>
      </c>
      <c r="AO155" s="14">
        <f t="shared" si="106"/>
        <v>1156.8154302933042</v>
      </c>
      <c r="AP155" s="14">
        <f t="shared" si="107"/>
        <v>1323.0126923848959</v>
      </c>
      <c r="AQ155" s="14">
        <f t="shared" si="108"/>
        <v>1156.8154302933042</v>
      </c>
      <c r="AR155" s="33">
        <f t="shared" si="109"/>
        <v>0.91281015407040433</v>
      </c>
      <c r="AS155" s="33">
        <f t="shared" si="110"/>
        <v>0.41281015407040439</v>
      </c>
      <c r="AT155" s="51">
        <f t="shared" si="111"/>
        <v>0</v>
      </c>
      <c r="AU155" s="51">
        <f>APPLICANTS_PER_YEAR*($H155/Segments!$AH$2)*AS155</f>
        <v>22.787120504686321</v>
      </c>
      <c r="AV155" s="51">
        <f t="shared" si="112"/>
        <v>22.787120504686321</v>
      </c>
      <c r="AW155" s="14">
        <f t="shared" si="113"/>
        <v>1156.8154302933042</v>
      </c>
      <c r="AX155" s="44">
        <f t="shared" si="114"/>
        <v>26360.49261177408</v>
      </c>
      <c r="AY155" s="44">
        <f t="shared" si="115"/>
        <v>17502.452818684178</v>
      </c>
      <c r="AZ155" s="44">
        <f t="shared" si="116"/>
        <v>6930.1707677482791</v>
      </c>
    </row>
    <row r="156" spans="1:52" ht="15" customHeight="1" x14ac:dyDescent="0.35">
      <c r="A156" s="59" t="str">
        <f>Segments!$A$136</f>
        <v>Non-greek</v>
      </c>
      <c r="B156" s="59" t="str">
        <f>Segments!$B$136</f>
        <v>Off 3-6mi</v>
      </c>
      <c r="C156" s="59" t="str">
        <f>Segments!$C$136</f>
        <v>Yes</v>
      </c>
      <c r="D156" s="59" t="str">
        <f>Segments!$D$136</f>
        <v>2.0-3.0</v>
      </c>
      <c r="E156" s="59" t="str">
        <f>Segments!$E$136</f>
        <v>Sophomore</v>
      </c>
      <c r="F156" s="59">
        <f>Segments!$F$136</f>
        <v>1</v>
      </c>
      <c r="G156" s="59" t="str">
        <f>Segments!$G$136</f>
        <v>Sophomore</v>
      </c>
      <c r="H156" s="60">
        <f>Segments!$H$136</f>
        <v>52</v>
      </c>
      <c r="I156" s="26">
        <f>Segments!$Y$136</f>
        <v>639.84673531364251</v>
      </c>
      <c r="J156" s="29">
        <v>1</v>
      </c>
      <c r="K156" s="14">
        <f t="shared" si="78"/>
        <v>1426.2297754450396</v>
      </c>
      <c r="L156" s="14">
        <f t="shared" si="79"/>
        <v>639.84673531364251</v>
      </c>
      <c r="M156" s="14">
        <f t="shared" si="80"/>
        <v>1082.1073405151112</v>
      </c>
      <c r="N156" s="14">
        <f t="shared" si="81"/>
        <v>1242.3098282112624</v>
      </c>
      <c r="O156" s="14">
        <f t="shared" si="82"/>
        <v>1082.1073405151112</v>
      </c>
      <c r="P156" s="33">
        <f t="shared" si="83"/>
        <v>0.91447767056903118</v>
      </c>
      <c r="Q156" s="33">
        <f t="shared" si="84"/>
        <v>0.41447767056903123</v>
      </c>
      <c r="R156" s="51">
        <f t="shared" si="85"/>
        <v>42.065972846175434</v>
      </c>
      <c r="S156" s="51">
        <f>APPLICANTS_PER_YEAR*($H156/Segments!$AH$2)*Q156</f>
        <v>25.863406643507549</v>
      </c>
      <c r="T156" s="51">
        <f t="shared" si="86"/>
        <v>67.929379489682987</v>
      </c>
      <c r="U156" s="14">
        <f t="shared" si="87"/>
        <v>1082.1073405151112</v>
      </c>
      <c r="V156" s="44">
        <f t="shared" si="88"/>
        <v>73506.880182422596</v>
      </c>
      <c r="W156" s="44">
        <f t="shared" si="89"/>
        <v>48680.118702157793</v>
      </c>
      <c r="X156" s="44">
        <f t="shared" si="90"/>
        <v>16877.517486647557</v>
      </c>
      <c r="Y156" s="14">
        <f t="shared" si="91"/>
        <v>1092.8013293366992</v>
      </c>
      <c r="Z156" s="14">
        <f t="shared" si="92"/>
        <v>659.04213737305179</v>
      </c>
      <c r="AA156" s="14">
        <f t="shared" si="93"/>
        <v>1113.3205607305645</v>
      </c>
      <c r="AB156" s="14">
        <f t="shared" si="94"/>
        <v>1278.8613925398527</v>
      </c>
      <c r="AC156" s="14">
        <f t="shared" si="95"/>
        <v>1113.3205607305645</v>
      </c>
      <c r="AD156" s="33">
        <f t="shared" si="96"/>
        <v>0.90908894213720093</v>
      </c>
      <c r="AE156" s="33">
        <f t="shared" si="97"/>
        <v>0.41472196000870731</v>
      </c>
      <c r="AF156" s="51">
        <f t="shared" si="98"/>
        <v>20.691470688348797</v>
      </c>
      <c r="AG156" s="51">
        <f>APPLICANTS_PER_YEAR*($H156/Segments!$AH$2)*AE156</f>
        <v>25.878650304543335</v>
      </c>
      <c r="AH156" s="51">
        <f t="shared" si="99"/>
        <v>46.570120992892129</v>
      </c>
      <c r="AI156" s="14">
        <f t="shared" si="100"/>
        <v>1113.3205607305645</v>
      </c>
      <c r="AJ156" s="44">
        <f t="shared" si="101"/>
        <v>51847.4732170969</v>
      </c>
      <c r="AK156" s="44">
        <f t="shared" si="102"/>
        <v>34374.67272610253</v>
      </c>
      <c r="AL156" s="44">
        <f t="shared" si="103"/>
        <v>12385.934286882894</v>
      </c>
      <c r="AM156" s="14">
        <f t="shared" si="104"/>
        <v>1124.3353692168002</v>
      </c>
      <c r="AN156" s="14">
        <f t="shared" si="105"/>
        <v>678.81340149424329</v>
      </c>
      <c r="AO156" s="14">
        <f t="shared" si="106"/>
        <v>1145.4701775524813</v>
      </c>
      <c r="AP156" s="14">
        <f t="shared" si="107"/>
        <v>1316.5091066388202</v>
      </c>
      <c r="AQ156" s="14">
        <f t="shared" si="108"/>
        <v>1145.4701775524813</v>
      </c>
      <c r="AR156" s="33">
        <f t="shared" si="109"/>
        <v>0.90931998498333177</v>
      </c>
      <c r="AS156" s="33">
        <f t="shared" si="110"/>
        <v>0.41495926546342637</v>
      </c>
      <c r="AT156" s="51">
        <f t="shared" si="111"/>
        <v>20.708931176977433</v>
      </c>
      <c r="AU156" s="51">
        <f>APPLICANTS_PER_YEAR*($H156/Segments!$AH$2)*AS156</f>
        <v>25.893458164917806</v>
      </c>
      <c r="AV156" s="51">
        <f t="shared" si="112"/>
        <v>46.60238934189524</v>
      </c>
      <c r="AW156" s="14">
        <f t="shared" si="113"/>
        <v>1145.4701775524813</v>
      </c>
      <c r="AX156" s="44">
        <f t="shared" si="114"/>
        <v>53381.647193830606</v>
      </c>
      <c r="AY156" s="44">
        <f t="shared" si="115"/>
        <v>35430.445598162696</v>
      </c>
      <c r="AZ156" s="44">
        <f t="shared" si="116"/>
        <v>12706.622004851401</v>
      </c>
    </row>
    <row r="157" spans="1:52" ht="15" customHeight="1" x14ac:dyDescent="0.35">
      <c r="A157" s="59" t="str">
        <f>Segments!$A$137</f>
        <v>Non-greek</v>
      </c>
      <c r="B157" s="59" t="str">
        <f>Segments!$B$137</f>
        <v>Off 3-6mi</v>
      </c>
      <c r="C157" s="59" t="str">
        <f>Segments!$C$137</f>
        <v>Yes</v>
      </c>
      <c r="D157" s="59" t="str">
        <f>Segments!$D$137</f>
        <v>2.0-3.0</v>
      </c>
      <c r="E157" s="59" t="str">
        <f>Segments!$E$137</f>
        <v>Junior</v>
      </c>
      <c r="F157" s="59">
        <f>Segments!$F$137</f>
        <v>2</v>
      </c>
      <c r="G157" s="59" t="str">
        <f>Segments!$G$137</f>
        <v>Base</v>
      </c>
      <c r="H157" s="60">
        <f>Segments!$H$137</f>
        <v>38</v>
      </c>
      <c r="I157" s="26">
        <f>Segments!$Y$137</f>
        <v>764.88918275935407</v>
      </c>
      <c r="J157" s="29">
        <v>2</v>
      </c>
      <c r="K157" s="14">
        <f t="shared" si="78"/>
        <v>1426.2297754450396</v>
      </c>
      <c r="L157" s="14">
        <f t="shared" si="79"/>
        <v>764.88918275935407</v>
      </c>
      <c r="M157" s="14">
        <f t="shared" si="80"/>
        <v>1285.4361083274566</v>
      </c>
      <c r="N157" s="14">
        <f t="shared" si="81"/>
        <v>1354.0041551372042</v>
      </c>
      <c r="O157" s="14">
        <f t="shared" si="82"/>
        <v>1285.4361083274566</v>
      </c>
      <c r="P157" s="33">
        <f t="shared" si="83"/>
        <v>0.87532047134035551</v>
      </c>
      <c r="Q157" s="33">
        <f t="shared" si="84"/>
        <v>0.37532047134035545</v>
      </c>
      <c r="R157" s="51">
        <f t="shared" si="85"/>
        <v>45.516664509698487</v>
      </c>
      <c r="S157" s="51">
        <f>APPLICANTS_PER_YEAR*($H157/Segments!$AH$2)*Q157</f>
        <v>17.11461349312021</v>
      </c>
      <c r="T157" s="51">
        <f t="shared" si="86"/>
        <v>62.631278002818696</v>
      </c>
      <c r="U157" s="14">
        <f t="shared" si="87"/>
        <v>1285.4361083274566</v>
      </c>
      <c r="V157" s="44">
        <f t="shared" si="88"/>
        <v>80508.50625551831</v>
      </c>
      <c r="W157" s="44">
        <f t="shared" si="89"/>
        <v>53654.705492359899</v>
      </c>
      <c r="X157" s="44">
        <f t="shared" si="90"/>
        <v>17666.589555421717</v>
      </c>
      <c r="Y157" s="14">
        <f t="shared" si="91"/>
        <v>1082.1073405151112</v>
      </c>
      <c r="Z157" s="14">
        <f t="shared" si="92"/>
        <v>787.83585824213469</v>
      </c>
      <c r="AA157" s="14">
        <f t="shared" si="93"/>
        <v>1322.7491915772803</v>
      </c>
      <c r="AB157" s="14">
        <f t="shared" si="94"/>
        <v>1393.9657854293171</v>
      </c>
      <c r="AC157" s="14">
        <f t="shared" si="95"/>
        <v>1322.7491915772803</v>
      </c>
      <c r="AD157" s="33">
        <f t="shared" si="96"/>
        <v>0.80882981694490064</v>
      </c>
      <c r="AE157" s="33">
        <f t="shared" si="97"/>
        <v>0.37554459894082093</v>
      </c>
      <c r="AF157" s="51">
        <f t="shared" si="98"/>
        <v>54.943307577820981</v>
      </c>
      <c r="AG157" s="51">
        <f>APPLICANTS_PER_YEAR*($H157/Segments!$AH$2)*AE157</f>
        <v>17.124833711701434</v>
      </c>
      <c r="AH157" s="51">
        <f t="shared" si="99"/>
        <v>72.068141289522416</v>
      </c>
      <c r="AI157" s="14">
        <f t="shared" si="100"/>
        <v>1322.7491915772803</v>
      </c>
      <c r="AJ157" s="44">
        <f t="shared" si="101"/>
        <v>95328.075629192987</v>
      </c>
      <c r="AK157" s="44">
        <f t="shared" si="102"/>
        <v>63591.209858115879</v>
      </c>
      <c r="AL157" s="44">
        <f t="shared" si="103"/>
        <v>20679.305060682156</v>
      </c>
      <c r="AM157" s="14">
        <f t="shared" si="104"/>
        <v>1113.3205607305645</v>
      </c>
      <c r="AN157" s="14">
        <f t="shared" si="105"/>
        <v>811.47093398939865</v>
      </c>
      <c r="AO157" s="14">
        <f t="shared" si="106"/>
        <v>1361.1816673245985</v>
      </c>
      <c r="AP157" s="14">
        <f t="shared" si="107"/>
        <v>1435.1259579539765</v>
      </c>
      <c r="AQ157" s="14">
        <f t="shared" si="108"/>
        <v>1361.1816673245985</v>
      </c>
      <c r="AR157" s="33">
        <f t="shared" si="109"/>
        <v>0.80897261271778398</v>
      </c>
      <c r="AS157" s="33">
        <f t="shared" si="110"/>
        <v>0.3757622998941495</v>
      </c>
      <c r="AT157" s="51">
        <f t="shared" si="111"/>
        <v>37.673952454203267</v>
      </c>
      <c r="AU157" s="51">
        <f>APPLICANTS_PER_YEAR*($H157/Segments!$AH$2)*AS157</f>
        <v>17.134760875173217</v>
      </c>
      <c r="AV157" s="51">
        <f t="shared" si="112"/>
        <v>54.808713329376488</v>
      </c>
      <c r="AW157" s="14">
        <f t="shared" si="113"/>
        <v>1361.1816673245985</v>
      </c>
      <c r="AX157" s="44">
        <f t="shared" si="114"/>
        <v>74604.615793596633</v>
      </c>
      <c r="AY157" s="44">
        <f t="shared" si="115"/>
        <v>49812.75913168391</v>
      </c>
      <c r="AZ157" s="44">
        <f t="shared" si="116"/>
        <v>16441.138956661303</v>
      </c>
    </row>
    <row r="158" spans="1:52" ht="15" customHeight="1" x14ac:dyDescent="0.35">
      <c r="A158" s="59" t="str">
        <f>Segments!$A$138</f>
        <v>Non-greek</v>
      </c>
      <c r="B158" s="59" t="str">
        <f>Segments!$B$138</f>
        <v>Off 3-6mi</v>
      </c>
      <c r="C158" s="59" t="str">
        <f>Segments!$C$138</f>
        <v>Yes</v>
      </c>
      <c r="D158" s="59" t="str">
        <f>Segments!$D$138</f>
        <v>2.0-3.0</v>
      </c>
      <c r="E158" s="59" t="str">
        <f>Segments!$E$138</f>
        <v>Senior</v>
      </c>
      <c r="F158" s="59">
        <f>Segments!$F$138</f>
        <v>3</v>
      </c>
      <c r="G158" s="59" t="str">
        <f>Segments!$G$138</f>
        <v>Base</v>
      </c>
      <c r="H158" s="60">
        <f>Segments!$H$138</f>
        <v>44</v>
      </c>
      <c r="I158" s="26">
        <f>Segments!$Y$138</f>
        <v>714.9323246997385</v>
      </c>
      <c r="J158" s="29">
        <v>3</v>
      </c>
      <c r="K158" s="14">
        <f t="shared" si="78"/>
        <v>1426.2297754450396</v>
      </c>
      <c r="L158" s="14">
        <f t="shared" si="79"/>
        <v>714.9323246997385</v>
      </c>
      <c r="M158" s="14">
        <f t="shared" si="80"/>
        <v>1204.20236250328</v>
      </c>
      <c r="N158" s="14">
        <f t="shared" si="81"/>
        <v>1310.5225160459622</v>
      </c>
      <c r="O158" s="14">
        <f t="shared" si="82"/>
        <v>1204.20236250328</v>
      </c>
      <c r="P158" s="33">
        <f t="shared" si="83"/>
        <v>0.89056403161369002</v>
      </c>
      <c r="Q158" s="33">
        <f t="shared" si="84"/>
        <v>0.39056403161369008</v>
      </c>
      <c r="R158" s="51">
        <f t="shared" si="85"/>
        <v>33.841433201320221</v>
      </c>
      <c r="S158" s="51">
        <f>APPLICANTS_PER_YEAR*($H158/Segments!$AH$2)*Q158</f>
        <v>20.621780869202837</v>
      </c>
      <c r="T158" s="51">
        <f t="shared" si="86"/>
        <v>54.463214070523058</v>
      </c>
      <c r="U158" s="14">
        <f t="shared" si="87"/>
        <v>1204.20236250328</v>
      </c>
      <c r="V158" s="44">
        <f t="shared" si="88"/>
        <v>65584.731053245749</v>
      </c>
      <c r="W158" s="44">
        <f t="shared" si="89"/>
        <v>43610.013715585585</v>
      </c>
      <c r="X158" s="44">
        <f t="shared" si="90"/>
        <v>14869.470875664147</v>
      </c>
      <c r="Y158" s="14">
        <f t="shared" si="91"/>
        <v>1285.4361083274566</v>
      </c>
      <c r="Z158" s="14">
        <f t="shared" si="92"/>
        <v>736.38029444073072</v>
      </c>
      <c r="AA158" s="14">
        <f t="shared" si="93"/>
        <v>1239.0784333783786</v>
      </c>
      <c r="AB158" s="14">
        <f t="shared" si="94"/>
        <v>1349.1578382346215</v>
      </c>
      <c r="AC158" s="14">
        <f t="shared" si="95"/>
        <v>1239.0784333783786</v>
      </c>
      <c r="AD158" s="33">
        <f t="shared" si="96"/>
        <v>0.89079559920145535</v>
      </c>
      <c r="AE158" s="33">
        <f t="shared" si="97"/>
        <v>0.39079559920145529</v>
      </c>
      <c r="AF158" s="51">
        <f t="shared" si="98"/>
        <v>55.791666817273807</v>
      </c>
      <c r="AG158" s="51">
        <f>APPLICANTS_PER_YEAR*($H158/Segments!$AH$2)*AE158</f>
        <v>20.634007637836842</v>
      </c>
      <c r="AH158" s="51">
        <f t="shared" si="99"/>
        <v>76.425674455110652</v>
      </c>
      <c r="AI158" s="14">
        <f t="shared" si="100"/>
        <v>1239.0784333783786</v>
      </c>
      <c r="AJ158" s="44">
        <f t="shared" si="101"/>
        <v>94697.404973724479</v>
      </c>
      <c r="AK158" s="44">
        <f t="shared" si="102"/>
        <v>63031.763937056123</v>
      </c>
      <c r="AL158" s="44">
        <f t="shared" si="103"/>
        <v>20837.02360511935</v>
      </c>
      <c r="AM158" s="14">
        <f t="shared" si="104"/>
        <v>1322.7491915772803</v>
      </c>
      <c r="AN158" s="14">
        <f t="shared" si="105"/>
        <v>758.47170327395258</v>
      </c>
      <c r="AO158" s="14">
        <f t="shared" si="106"/>
        <v>1275.00078637973</v>
      </c>
      <c r="AP158" s="14">
        <f t="shared" si="107"/>
        <v>1388.9518818311792</v>
      </c>
      <c r="AQ158" s="14">
        <f t="shared" si="108"/>
        <v>1275.00078637973</v>
      </c>
      <c r="AR158" s="33">
        <f t="shared" si="109"/>
        <v>0.89102053387955282</v>
      </c>
      <c r="AS158" s="33">
        <f t="shared" si="110"/>
        <v>0.39102053387955282</v>
      </c>
      <c r="AT158" s="51">
        <f t="shared" si="111"/>
        <v>64.214193727497303</v>
      </c>
      <c r="AU158" s="51">
        <f>APPLICANTS_PER_YEAR*($H158/Segments!$AH$2)*AS158</f>
        <v>20.645884188840391</v>
      </c>
      <c r="AV158" s="51">
        <f t="shared" si="112"/>
        <v>84.860077916337701</v>
      </c>
      <c r="AW158" s="14">
        <f t="shared" si="113"/>
        <v>1275.0007863797298</v>
      </c>
      <c r="AX158" s="44">
        <f t="shared" si="114"/>
        <v>108196.66607557572</v>
      </c>
      <c r="AY158" s="44">
        <f t="shared" si="115"/>
        <v>72087.643977624786</v>
      </c>
      <c r="AZ158" s="44">
        <f t="shared" si="116"/>
        <v>23583.841701501246</v>
      </c>
    </row>
    <row r="159" spans="1:52" ht="15" customHeight="1" x14ac:dyDescent="0.35">
      <c r="A159" s="59" t="str">
        <f>Segments!$A$139</f>
        <v>Non-greek</v>
      </c>
      <c r="B159" s="59" t="str">
        <f>Segments!$B$139</f>
        <v>Off 3-6mi</v>
      </c>
      <c r="C159" s="59" t="str">
        <f>Segments!$C$139</f>
        <v>Yes</v>
      </c>
      <c r="D159" s="59" t="str">
        <f>Segments!$D$139</f>
        <v>2.0-3.0</v>
      </c>
      <c r="E159" s="59" t="str">
        <f>Segments!$E$139</f>
        <v>Grad student</v>
      </c>
      <c r="F159" s="59">
        <f>Segments!$F$139</f>
        <v>3</v>
      </c>
      <c r="G159" s="59" t="str">
        <f>Segments!$G$139</f>
        <v>Grad</v>
      </c>
      <c r="H159" s="60">
        <f>Segments!$H$139</f>
        <v>19</v>
      </c>
      <c r="I159" s="26">
        <f>Segments!$Y$139</f>
        <v>851.25592563258613</v>
      </c>
      <c r="J159" s="29">
        <v>4</v>
      </c>
      <c r="K159" s="14">
        <f t="shared" si="78"/>
        <v>1426.2297754450396</v>
      </c>
      <c r="L159" s="14">
        <f t="shared" si="79"/>
        <v>851.25592563258613</v>
      </c>
      <c r="M159" s="14">
        <f t="shared" si="80"/>
        <v>1425.8751653605025</v>
      </c>
      <c r="N159" s="14">
        <f t="shared" si="81"/>
        <v>1426.0524593803582</v>
      </c>
      <c r="O159" s="14">
        <f t="shared" si="82"/>
        <v>1425.8751653605025</v>
      </c>
      <c r="P159" s="33">
        <f t="shared" si="83"/>
        <v>0.85006216251677469</v>
      </c>
      <c r="Q159" s="33">
        <f t="shared" si="84"/>
        <v>0.35006216251677469</v>
      </c>
      <c r="R159" s="51">
        <f t="shared" si="85"/>
        <v>8.0755905439093603</v>
      </c>
      <c r="S159" s="51">
        <f>APPLICANTS_PER_YEAR*($H159/Segments!$AH$2)*Q159</f>
        <v>7.9814173053824629</v>
      </c>
      <c r="T159" s="51">
        <f t="shared" si="86"/>
        <v>16.057007849291821</v>
      </c>
      <c r="U159" s="14">
        <f t="shared" si="87"/>
        <v>1425.8751653605025</v>
      </c>
      <c r="V159" s="44">
        <f t="shared" si="88"/>
        <v>22895.288722303863</v>
      </c>
      <c r="W159" s="44">
        <f t="shared" si="89"/>
        <v>15308.857849195245</v>
      </c>
      <c r="X159" s="44">
        <f t="shared" si="90"/>
        <v>5246.202823340147</v>
      </c>
      <c r="Y159" s="14">
        <f t="shared" si="91"/>
        <v>1425.8751653605025</v>
      </c>
      <c r="Z159" s="14">
        <f t="shared" si="92"/>
        <v>876.7936034015637</v>
      </c>
      <c r="AA159" s="14">
        <f t="shared" si="93"/>
        <v>1467.4014203213176</v>
      </c>
      <c r="AB159" s="14">
        <f t="shared" si="94"/>
        <v>1468.2088223881449</v>
      </c>
      <c r="AC159" s="14">
        <f t="shared" si="95"/>
        <v>1467.4014203213176</v>
      </c>
      <c r="AD159" s="33">
        <f t="shared" si="96"/>
        <v>0.84153795796600428</v>
      </c>
      <c r="AE159" s="33">
        <f t="shared" si="97"/>
        <v>0.35027496159078853</v>
      </c>
      <c r="AF159" s="51">
        <f t="shared" si="98"/>
        <v>6.7562907982685712</v>
      </c>
      <c r="AG159" s="51">
        <f>APPLICANTS_PER_YEAR*($H159/Segments!$AH$2)*AE159</f>
        <v>7.9862691242699784</v>
      </c>
      <c r="AH159" s="51">
        <f t="shared" si="99"/>
        <v>14.74255992253855</v>
      </c>
      <c r="AI159" s="14">
        <f t="shared" si="100"/>
        <v>1467.4014203213173</v>
      </c>
      <c r="AJ159" s="44">
        <f t="shared" si="101"/>
        <v>21633.253369505201</v>
      </c>
      <c r="AK159" s="44">
        <f t="shared" si="102"/>
        <v>14477.324106387581</v>
      </c>
      <c r="AL159" s="44">
        <f t="shared" si="103"/>
        <v>4993.3600063547756</v>
      </c>
      <c r="AM159" s="14">
        <f t="shared" si="104"/>
        <v>1467.4014203213173</v>
      </c>
      <c r="AN159" s="14">
        <f t="shared" si="105"/>
        <v>903.0974115036106</v>
      </c>
      <c r="AO159" s="14">
        <f t="shared" si="106"/>
        <v>1510.1734629309572</v>
      </c>
      <c r="AP159" s="14">
        <f t="shared" si="107"/>
        <v>1511.6296138198832</v>
      </c>
      <c r="AQ159" s="14">
        <f t="shared" si="108"/>
        <v>1510.1734629309572</v>
      </c>
      <c r="AR159" s="33">
        <f t="shared" si="109"/>
        <v>0.84173720315936962</v>
      </c>
      <c r="AS159" s="33">
        <f t="shared" si="110"/>
        <v>0.35048164936556325</v>
      </c>
      <c r="AT159" s="51">
        <f t="shared" si="111"/>
        <v>6.2046805783035062</v>
      </c>
      <c r="AU159" s="51">
        <f>APPLICANTS_PER_YEAR*($H159/Segments!$AH$2)*AS159</f>
        <v>7.9909816055348424</v>
      </c>
      <c r="AV159" s="51">
        <f t="shared" si="112"/>
        <v>14.195662183838348</v>
      </c>
      <c r="AW159" s="14">
        <f t="shared" si="113"/>
        <v>1510.1734629309574</v>
      </c>
      <c r="AX159" s="44">
        <f t="shared" si="114"/>
        <v>21437.912318765193</v>
      </c>
      <c r="AY159" s="44">
        <f t="shared" si="115"/>
        <v>14358.473665540598</v>
      </c>
      <c r="AZ159" s="44">
        <f t="shared" si="116"/>
        <v>4957.8251047824433</v>
      </c>
    </row>
    <row r="160" spans="1:52" ht="15" customHeight="1" x14ac:dyDescent="0.35">
      <c r="A160" s="61" t="str">
        <f>Segments!$A$140</f>
        <v>Non-greek</v>
      </c>
      <c r="B160" s="61" t="str">
        <f>Segments!$B$140</f>
        <v>Off 3-6mi</v>
      </c>
      <c r="C160" s="61" t="str">
        <f>Segments!$C$140</f>
        <v>Yes</v>
      </c>
      <c r="D160" s="61" t="str">
        <f>Segments!$D$140</f>
        <v>3.0+</v>
      </c>
      <c r="E160" s="61" t="str">
        <f>Segments!$E$140</f>
        <v>Freshman</v>
      </c>
      <c r="F160" s="61">
        <f>Segments!$F$140</f>
        <v>1</v>
      </c>
      <c r="G160" s="61" t="str">
        <f>Segments!$G$140</f>
        <v>Base</v>
      </c>
      <c r="H160" s="62">
        <f>Segments!$H$140</f>
        <v>26</v>
      </c>
      <c r="I160" s="63">
        <f>Segments!$Y$140</f>
        <v>566.62079387816289</v>
      </c>
      <c r="J160" s="42">
        <v>0</v>
      </c>
      <c r="K160" s="40">
        <f t="shared" si="78"/>
        <v>963.03625107215032</v>
      </c>
      <c r="L160" s="40">
        <f t="shared" si="79"/>
        <v>566.62079387816289</v>
      </c>
      <c r="M160" s="40">
        <f t="shared" si="80"/>
        <v>963.03625107215032</v>
      </c>
      <c r="N160" s="40">
        <f t="shared" si="81"/>
        <v>1171.9688460501268</v>
      </c>
      <c r="O160" s="40">
        <f t="shared" si="82"/>
        <v>963.03625107215032</v>
      </c>
      <c r="P160" s="41">
        <f t="shared" si="83"/>
        <v>0.93913743555647389</v>
      </c>
      <c r="Q160" s="41">
        <f t="shared" si="84"/>
        <v>0.43913743555647383</v>
      </c>
      <c r="R160" s="64">
        <f t="shared" si="85"/>
        <v>0</v>
      </c>
      <c r="S160" s="64">
        <f>APPLICANTS_PER_YEAR*($H160/Segments!$AH$2)*Q160</f>
        <v>13.701087989361984</v>
      </c>
      <c r="T160" s="64">
        <f t="shared" si="86"/>
        <v>13.701087989361984</v>
      </c>
      <c r="U160" s="40">
        <f t="shared" si="87"/>
        <v>963.03625107215032</v>
      </c>
      <c r="V160" s="65">
        <f t="shared" si="88"/>
        <v>13194.644412884831</v>
      </c>
      <c r="W160" s="65">
        <f t="shared" si="89"/>
        <v>8694.9199159500731</v>
      </c>
      <c r="X160" s="65">
        <f t="shared" si="90"/>
        <v>3572.1493080074915</v>
      </c>
      <c r="Y160" s="40">
        <f t="shared" si="91"/>
        <v>990.67733860431485</v>
      </c>
      <c r="Z160" s="40">
        <f t="shared" si="92"/>
        <v>583.61941769450777</v>
      </c>
      <c r="AA160" s="40">
        <f t="shared" si="93"/>
        <v>990.67733860431485</v>
      </c>
      <c r="AB160" s="40">
        <f t="shared" si="94"/>
        <v>1206.367076689929</v>
      </c>
      <c r="AC160" s="40">
        <f t="shared" si="95"/>
        <v>990.67733860431485</v>
      </c>
      <c r="AD160" s="41">
        <f t="shared" si="96"/>
        <v>0.93939639611080517</v>
      </c>
      <c r="AE160" s="41">
        <f t="shared" si="97"/>
        <v>0.43939639611080522</v>
      </c>
      <c r="AF160" s="64">
        <f t="shared" si="98"/>
        <v>0</v>
      </c>
      <c r="AG160" s="64">
        <f>APPLICANTS_PER_YEAR*($H160/Segments!$AH$2)*AE160</f>
        <v>13.709167558657123</v>
      </c>
      <c r="AH160" s="64">
        <f t="shared" si="99"/>
        <v>13.709167558657123</v>
      </c>
      <c r="AI160" s="40">
        <f t="shared" si="100"/>
        <v>990.67733860431485</v>
      </c>
      <c r="AJ160" s="65">
        <f t="shared" si="101"/>
        <v>13581.361631491051</v>
      </c>
      <c r="AK160" s="65">
        <f t="shared" si="102"/>
        <v>8961.0487541790972</v>
      </c>
      <c r="AL160" s="65">
        <f t="shared" si="103"/>
        <v>3659.1375455935658</v>
      </c>
      <c r="AM160" s="40">
        <f t="shared" si="104"/>
        <v>1019.1476587624442</v>
      </c>
      <c r="AN160" s="40">
        <f t="shared" si="105"/>
        <v>601.12800022534293</v>
      </c>
      <c r="AO160" s="40">
        <f t="shared" si="106"/>
        <v>1019.1476587624442</v>
      </c>
      <c r="AP160" s="40">
        <f t="shared" si="107"/>
        <v>1241.7967811019146</v>
      </c>
      <c r="AQ160" s="40">
        <f t="shared" si="108"/>
        <v>1019.1476587624442</v>
      </c>
      <c r="AR160" s="41">
        <f t="shared" si="109"/>
        <v>0.93964797047625681</v>
      </c>
      <c r="AS160" s="41">
        <f t="shared" si="110"/>
        <v>0.43964797047625681</v>
      </c>
      <c r="AT160" s="64">
        <f t="shared" si="111"/>
        <v>0</v>
      </c>
      <c r="AU160" s="64">
        <f>APPLICANTS_PER_YEAR*($H160/Segments!$AH$2)*AS160</f>
        <v>13.717016678859212</v>
      </c>
      <c r="AV160" s="64">
        <f t="shared" si="112"/>
        <v>13.717016678859212</v>
      </c>
      <c r="AW160" s="40">
        <f t="shared" si="113"/>
        <v>1019.1476587624442</v>
      </c>
      <c r="AX160" s="65">
        <f t="shared" si="114"/>
        <v>13979.665433464763</v>
      </c>
      <c r="AY160" s="65">
        <f t="shared" si="115"/>
        <v>9235.164741846751</v>
      </c>
      <c r="AZ160" s="65">
        <f t="shared" si="116"/>
        <v>3748.7108076447716</v>
      </c>
    </row>
    <row r="161" spans="1:52" ht="15" customHeight="1" x14ac:dyDescent="0.35">
      <c r="A161" s="61" t="str">
        <f>Segments!$A$141</f>
        <v>Non-greek</v>
      </c>
      <c r="B161" s="61" t="str">
        <f>Segments!$B$141</f>
        <v>Off 3-6mi</v>
      </c>
      <c r="C161" s="61" t="str">
        <f>Segments!$C$141</f>
        <v>Yes</v>
      </c>
      <c r="D161" s="61" t="str">
        <f>Segments!$D$141</f>
        <v>3.0+</v>
      </c>
      <c r="E161" s="61" t="str">
        <f>Segments!$E$141</f>
        <v>Sophomore</v>
      </c>
      <c r="F161" s="61">
        <f>Segments!$F$141</f>
        <v>1</v>
      </c>
      <c r="G161" s="61" t="str">
        <f>Segments!$G$141</f>
        <v>Sophomore</v>
      </c>
      <c r="H161" s="62">
        <f>Segments!$H$141</f>
        <v>29</v>
      </c>
      <c r="I161" s="63">
        <f>Segments!$Y$141</f>
        <v>560.85613150805261</v>
      </c>
      <c r="J161" s="42">
        <v>1</v>
      </c>
      <c r="K161" s="40">
        <f t="shared" si="78"/>
        <v>1426.2297754450396</v>
      </c>
      <c r="L161" s="40">
        <f t="shared" si="79"/>
        <v>560.85613150805261</v>
      </c>
      <c r="M161" s="40">
        <f t="shared" si="80"/>
        <v>953.66246064728193</v>
      </c>
      <c r="N161" s="40">
        <f t="shared" si="81"/>
        <v>1166.2511723892658</v>
      </c>
      <c r="O161" s="40">
        <f t="shared" si="82"/>
        <v>1069.6723315837799</v>
      </c>
      <c r="P161" s="41">
        <f t="shared" si="83"/>
        <v>0.89140567790711311</v>
      </c>
      <c r="Q161" s="41">
        <f t="shared" si="84"/>
        <v>0.44114190698152067</v>
      </c>
      <c r="R161" s="64">
        <f t="shared" si="85"/>
        <v>23.176547625584941</v>
      </c>
      <c r="S161" s="64">
        <f>APPLICANTS_PER_YEAR*($H161/Segments!$AH$2)*Q161</f>
        <v>15.351738362956919</v>
      </c>
      <c r="T161" s="64">
        <f t="shared" si="86"/>
        <v>38.52828598854186</v>
      </c>
      <c r="U161" s="40">
        <f t="shared" si="87"/>
        <v>1023.4477685012912</v>
      </c>
      <c r="V161" s="65">
        <f t="shared" si="88"/>
        <v>39431.68831915273</v>
      </c>
      <c r="W161" s="65">
        <f t="shared" si="89"/>
        <v>24201.884485149836</v>
      </c>
      <c r="X161" s="65">
        <f t="shared" si="90"/>
        <v>9119.3614515497029</v>
      </c>
      <c r="Y161" s="40">
        <f t="shared" si="91"/>
        <v>963.03625107215032</v>
      </c>
      <c r="Z161" s="40">
        <f t="shared" si="92"/>
        <v>577.68181545329423</v>
      </c>
      <c r="AA161" s="40">
        <f t="shared" si="93"/>
        <v>981.0223344667005</v>
      </c>
      <c r="AB161" s="40">
        <f t="shared" si="94"/>
        <v>1200.4741403740445</v>
      </c>
      <c r="AC161" s="40">
        <f t="shared" si="95"/>
        <v>981.0223344667005</v>
      </c>
      <c r="AD161" s="41">
        <f t="shared" si="96"/>
        <v>0.93579920759655999</v>
      </c>
      <c r="AE161" s="41">
        <f t="shared" si="97"/>
        <v>0.44140213792483984</v>
      </c>
      <c r="AF161" s="64">
        <f t="shared" si="98"/>
        <v>12.821467283655689</v>
      </c>
      <c r="AG161" s="64">
        <f>APPLICANTS_PER_YEAR*($H161/Segments!$AH$2)*AE161</f>
        <v>15.360794399784425</v>
      </c>
      <c r="AH161" s="64">
        <f t="shared" si="99"/>
        <v>28.182261683440114</v>
      </c>
      <c r="AI161" s="40">
        <f t="shared" si="100"/>
        <v>981.0223344667005</v>
      </c>
      <c r="AJ161" s="65">
        <f t="shared" si="101"/>
        <v>27647.428147239865</v>
      </c>
      <c r="AK161" s="65">
        <f t="shared" si="102"/>
        <v>18234.025704013839</v>
      </c>
      <c r="AL161" s="65">
        <f t="shared" si="103"/>
        <v>6700.4538968386314</v>
      </c>
      <c r="AM161" s="40">
        <f t="shared" si="104"/>
        <v>990.67733860431485</v>
      </c>
      <c r="AN161" s="40">
        <f t="shared" si="105"/>
        <v>595.01226991689305</v>
      </c>
      <c r="AO161" s="40">
        <f t="shared" si="106"/>
        <v>1009.2030045007015</v>
      </c>
      <c r="AP161" s="40">
        <f t="shared" si="107"/>
        <v>1235.7233172493684</v>
      </c>
      <c r="AQ161" s="40">
        <f t="shared" si="108"/>
        <v>1009.2030045007015</v>
      </c>
      <c r="AR161" s="41">
        <f t="shared" si="109"/>
        <v>0.93604494809306804</v>
      </c>
      <c r="AS161" s="41">
        <f t="shared" si="110"/>
        <v>0.4416549479914666</v>
      </c>
      <c r="AT161" s="64">
        <f t="shared" si="111"/>
        <v>12.83239703584238</v>
      </c>
      <c r="AU161" s="64">
        <f>APPLICANTS_PER_YEAR*($H161/Segments!$AH$2)*AS161</f>
        <v>15.369592190103036</v>
      </c>
      <c r="AV161" s="64">
        <f t="shared" si="112"/>
        <v>28.201989225945418</v>
      </c>
      <c r="AW161" s="40">
        <f t="shared" si="113"/>
        <v>1009.2030045007015</v>
      </c>
      <c r="AX161" s="65">
        <f t="shared" si="114"/>
        <v>28461.532259720527</v>
      </c>
      <c r="AY161" s="65">
        <f t="shared" si="115"/>
        <v>18794.193180561731</v>
      </c>
      <c r="AZ161" s="65">
        <f t="shared" si="116"/>
        <v>6870.3955379257513</v>
      </c>
    </row>
    <row r="162" spans="1:52" ht="15" customHeight="1" x14ac:dyDescent="0.35">
      <c r="A162" s="61" t="str">
        <f>Segments!$A$142</f>
        <v>Non-greek</v>
      </c>
      <c r="B162" s="61" t="str">
        <f>Segments!$B$142</f>
        <v>Off 3-6mi</v>
      </c>
      <c r="C162" s="61" t="str">
        <f>Segments!$C$142</f>
        <v>Yes</v>
      </c>
      <c r="D162" s="61" t="str">
        <f>Segments!$D$142</f>
        <v>3.0+</v>
      </c>
      <c r="E162" s="61" t="str">
        <f>Segments!$E$142</f>
        <v>Junior</v>
      </c>
      <c r="F162" s="61">
        <f>Segments!$F$142</f>
        <v>2</v>
      </c>
      <c r="G162" s="61" t="str">
        <f>Segments!$G$142</f>
        <v>Base</v>
      </c>
      <c r="H162" s="62">
        <f>Segments!$H$142</f>
        <v>24</v>
      </c>
      <c r="I162" s="63">
        <f>Segments!$Y$142</f>
        <v>670.46179092323086</v>
      </c>
      <c r="J162" s="42">
        <v>2</v>
      </c>
      <c r="K162" s="40">
        <f t="shared" si="78"/>
        <v>1426.2297754450396</v>
      </c>
      <c r="L162" s="40">
        <f t="shared" si="79"/>
        <v>670.46179092323086</v>
      </c>
      <c r="M162" s="40">
        <f t="shared" si="80"/>
        <v>1131.889807675366</v>
      </c>
      <c r="N162" s="40">
        <f t="shared" si="81"/>
        <v>1270.5648138640415</v>
      </c>
      <c r="O162" s="40">
        <f t="shared" si="82"/>
        <v>1131.889807675366</v>
      </c>
      <c r="P162" s="41">
        <f t="shared" si="83"/>
        <v>0.90457218894915603</v>
      </c>
      <c r="Q162" s="41">
        <f t="shared" si="84"/>
        <v>0.40457218894915603</v>
      </c>
      <c r="R162" s="64">
        <f t="shared" si="85"/>
        <v>26.232593479525526</v>
      </c>
      <c r="S162" s="64">
        <f>APPLICANTS_PER_YEAR*($H162/Segments!$AH$2)*Q162</f>
        <v>11.651679041735692</v>
      </c>
      <c r="T162" s="64">
        <f t="shared" si="86"/>
        <v>37.884272521261217</v>
      </c>
      <c r="U162" s="40">
        <f t="shared" si="87"/>
        <v>1131.889807675366</v>
      </c>
      <c r="V162" s="65">
        <f t="shared" si="88"/>
        <v>42880.821938011512</v>
      </c>
      <c r="W162" s="65">
        <f t="shared" si="89"/>
        <v>28447.952066719965</v>
      </c>
      <c r="X162" s="65">
        <f t="shared" si="90"/>
        <v>9615.0473589903777</v>
      </c>
      <c r="Y162" s="40">
        <f t="shared" si="91"/>
        <v>1023.4477685012912</v>
      </c>
      <c r="Z162" s="40">
        <f t="shared" si="92"/>
        <v>690.57564465092776</v>
      </c>
      <c r="AA162" s="40">
        <f t="shared" si="93"/>
        <v>1164.5965019056271</v>
      </c>
      <c r="AB162" s="40">
        <f t="shared" si="94"/>
        <v>1307.9799974077773</v>
      </c>
      <c r="AC162" s="40">
        <f t="shared" si="95"/>
        <v>1164.5965019056271</v>
      </c>
      <c r="AD162" s="41">
        <f t="shared" si="96"/>
        <v>0.86343656212637843</v>
      </c>
      <c r="AE162" s="41">
        <f t="shared" si="97"/>
        <v>0.40481104290062347</v>
      </c>
      <c r="AF162" s="64">
        <f t="shared" si="98"/>
        <v>33.266730798568503</v>
      </c>
      <c r="AG162" s="64">
        <f>APPLICANTS_PER_YEAR*($H162/Segments!$AH$2)*AE162</f>
        <v>11.658558035537954</v>
      </c>
      <c r="AH162" s="64">
        <f t="shared" si="99"/>
        <v>44.925288834106453</v>
      </c>
      <c r="AI162" s="40">
        <f t="shared" si="100"/>
        <v>1164.5965019056271</v>
      </c>
      <c r="AJ162" s="65">
        <f t="shared" si="101"/>
        <v>52319.834223300306</v>
      </c>
      <c r="AK162" s="65">
        <f t="shared" si="102"/>
        <v>34747.227533471254</v>
      </c>
      <c r="AL162" s="65">
        <f t="shared" si="103"/>
        <v>11553.631452465128</v>
      </c>
      <c r="AM162" s="40">
        <f t="shared" si="104"/>
        <v>981.0223344667005</v>
      </c>
      <c r="AN162" s="40">
        <f t="shared" si="105"/>
        <v>711.29291399045565</v>
      </c>
      <c r="AO162" s="40">
        <f t="shared" si="106"/>
        <v>1198.2843969627959</v>
      </c>
      <c r="AP162" s="40">
        <f t="shared" si="107"/>
        <v>1346.5172652369799</v>
      </c>
      <c r="AQ162" s="40">
        <f t="shared" si="108"/>
        <v>1198.2843969627959</v>
      </c>
      <c r="AR162" s="41">
        <f t="shared" si="109"/>
        <v>0.83860357753611381</v>
      </c>
      <c r="AS162" s="41">
        <f t="shared" si="110"/>
        <v>0.40504306261089634</v>
      </c>
      <c r="AT162" s="64">
        <f t="shared" si="111"/>
        <v>23.633745470791819</v>
      </c>
      <c r="AU162" s="64">
        <f>APPLICANTS_PER_YEAR*($H162/Segments!$AH$2)*AS162</f>
        <v>11.665240203193813</v>
      </c>
      <c r="AV162" s="64">
        <f t="shared" si="112"/>
        <v>35.298985673985634</v>
      </c>
      <c r="AW162" s="40">
        <f t="shared" si="113"/>
        <v>1198.2843969627959</v>
      </c>
      <c r="AX162" s="65">
        <f t="shared" si="114"/>
        <v>42298.223761750247</v>
      </c>
      <c r="AY162" s="65">
        <f t="shared" si="115"/>
        <v>28120.868586671382</v>
      </c>
      <c r="AZ162" s="65">
        <f t="shared" si="116"/>
        <v>9481.2146458112147</v>
      </c>
    </row>
    <row r="163" spans="1:52" ht="15" customHeight="1" x14ac:dyDescent="0.35">
      <c r="A163" s="61" t="str">
        <f>Segments!$A$143</f>
        <v>Non-greek</v>
      </c>
      <c r="B163" s="61" t="str">
        <f>Segments!$B$143</f>
        <v>Off 3-6mi</v>
      </c>
      <c r="C163" s="61" t="str">
        <f>Segments!$C$143</f>
        <v>Yes</v>
      </c>
      <c r="D163" s="61" t="str">
        <f>Segments!$D$143</f>
        <v>3.0+</v>
      </c>
      <c r="E163" s="61" t="str">
        <f>Segments!$E$143</f>
        <v>Senior</v>
      </c>
      <c r="F163" s="61">
        <f>Segments!$F$143</f>
        <v>3</v>
      </c>
      <c r="G163" s="61" t="str">
        <f>Segments!$G$143</f>
        <v>Base</v>
      </c>
      <c r="H163" s="62">
        <f>Segments!$H$143</f>
        <v>24</v>
      </c>
      <c r="I163" s="63">
        <f>Segments!$Y$143</f>
        <v>626.67222600519062</v>
      </c>
      <c r="J163" s="42">
        <v>3</v>
      </c>
      <c r="K163" s="40">
        <f t="shared" si="78"/>
        <v>1426.2297754450396</v>
      </c>
      <c r="L163" s="40">
        <f t="shared" si="79"/>
        <v>626.67222600519062</v>
      </c>
      <c r="M163" s="40">
        <f t="shared" si="80"/>
        <v>1060.6845612994148</v>
      </c>
      <c r="N163" s="40">
        <f t="shared" si="81"/>
        <v>1229.9511793888751</v>
      </c>
      <c r="O163" s="40">
        <f t="shared" si="82"/>
        <v>1069.6723315837799</v>
      </c>
      <c r="P163" s="41">
        <f t="shared" si="83"/>
        <v>0.91515658933907151</v>
      </c>
      <c r="Q163" s="41">
        <f t="shared" si="84"/>
        <v>0.41881029951675142</v>
      </c>
      <c r="R163" s="64">
        <f t="shared" si="85"/>
        <v>21.963758144137717</v>
      </c>
      <c r="S163" s="64">
        <f>APPLICANTS_PER_YEAR*($H163/Segments!$AH$2)*Q163</f>
        <v>12.061736626082439</v>
      </c>
      <c r="T163" s="64">
        <f t="shared" si="86"/>
        <v>34.025494770220156</v>
      </c>
      <c r="U163" s="40">
        <f t="shared" si="87"/>
        <v>1066.4862465978645</v>
      </c>
      <c r="V163" s="65">
        <f t="shared" si="88"/>
        <v>36287.722206127364</v>
      </c>
      <c r="W163" s="65">
        <f t="shared" si="89"/>
        <v>23881.57245441166</v>
      </c>
      <c r="X163" s="65">
        <f t="shared" si="90"/>
        <v>8288.2122317756221</v>
      </c>
      <c r="Y163" s="40">
        <f t="shared" si="91"/>
        <v>1131.889807675366</v>
      </c>
      <c r="Z163" s="40">
        <f t="shared" si="92"/>
        <v>645.47239278534641</v>
      </c>
      <c r="AA163" s="40">
        <f t="shared" si="93"/>
        <v>1091.2550981383974</v>
      </c>
      <c r="AB163" s="40">
        <f t="shared" si="94"/>
        <v>1266.12476832985</v>
      </c>
      <c r="AC163" s="40">
        <f t="shared" si="95"/>
        <v>1091.2550981383974</v>
      </c>
      <c r="AD163" s="41">
        <f t="shared" si="96"/>
        <v>0.91905704499491137</v>
      </c>
      <c r="AE163" s="41">
        <f t="shared" si="97"/>
        <v>0.41905704499491142</v>
      </c>
      <c r="AF163" s="64">
        <f t="shared" si="98"/>
        <v>34.817807555172251</v>
      </c>
      <c r="AG163" s="64">
        <f>APPLICANTS_PER_YEAR*($H163/Segments!$AH$2)*AE163</f>
        <v>12.068842895853448</v>
      </c>
      <c r="AH163" s="64">
        <f t="shared" si="99"/>
        <v>46.886650451025702</v>
      </c>
      <c r="AI163" s="40">
        <f t="shared" si="100"/>
        <v>1091.2550981383972</v>
      </c>
      <c r="AJ163" s="65">
        <f t="shared" si="101"/>
        <v>51165.29633931478</v>
      </c>
      <c r="AK163" s="65">
        <f t="shared" si="102"/>
        <v>33895.723071071348</v>
      </c>
      <c r="AL163" s="65">
        <f t="shared" si="103"/>
        <v>11370.651611402945</v>
      </c>
      <c r="AM163" s="40">
        <f t="shared" si="104"/>
        <v>1164.5965019056271</v>
      </c>
      <c r="AN163" s="40">
        <f t="shared" si="105"/>
        <v>664.83656456890674</v>
      </c>
      <c r="AO163" s="40">
        <f t="shared" si="106"/>
        <v>1122.7427510825491</v>
      </c>
      <c r="AP163" s="40">
        <f t="shared" si="107"/>
        <v>1303.3831556730102</v>
      </c>
      <c r="AQ163" s="40">
        <f t="shared" si="108"/>
        <v>1122.7427510825491</v>
      </c>
      <c r="AR163" s="41">
        <f t="shared" si="109"/>
        <v>0.91929673895362951</v>
      </c>
      <c r="AS163" s="41">
        <f t="shared" si="110"/>
        <v>0.41929673895362951</v>
      </c>
      <c r="AT163" s="64">
        <f t="shared" si="111"/>
        <v>41.299671521743967</v>
      </c>
      <c r="AU163" s="64">
        <f>APPLICANTS_PER_YEAR*($H163/Segments!$AH$2)*AS163</f>
        <v>12.075746081864528</v>
      </c>
      <c r="AV163" s="64">
        <f t="shared" si="112"/>
        <v>53.375417603608497</v>
      </c>
      <c r="AW163" s="40">
        <f t="shared" si="113"/>
        <v>1122.7427510825491</v>
      </c>
      <c r="AX163" s="65">
        <f t="shared" si="114"/>
        <v>59926.863200455329</v>
      </c>
      <c r="AY163" s="65">
        <f t="shared" si="115"/>
        <v>39744.240784655485</v>
      </c>
      <c r="AZ163" s="65">
        <f t="shared" si="116"/>
        <v>13170.107622211284</v>
      </c>
    </row>
    <row r="164" spans="1:52" ht="15" customHeight="1" x14ac:dyDescent="0.35">
      <c r="A164" s="61" t="str">
        <f>Segments!$A$144</f>
        <v>Non-greek</v>
      </c>
      <c r="B164" s="61" t="str">
        <f>Segments!$B$144</f>
        <v>Off 3-6mi</v>
      </c>
      <c r="C164" s="61" t="str">
        <f>Segments!$C$144</f>
        <v>Yes</v>
      </c>
      <c r="D164" s="61" t="str">
        <f>Segments!$D$144</f>
        <v>3.0+</v>
      </c>
      <c r="E164" s="61" t="str">
        <f>Segments!$E$144</f>
        <v>Grad student</v>
      </c>
      <c r="F164" s="61">
        <f>Segments!$F$144</f>
        <v>3</v>
      </c>
      <c r="G164" s="61" t="str">
        <f>Segments!$G$144</f>
        <v>Grad</v>
      </c>
      <c r="H164" s="62">
        <f>Segments!$H$144</f>
        <v>9</v>
      </c>
      <c r="I164" s="63">
        <f>Segments!$Y$144</f>
        <v>746.16635363399848</v>
      </c>
      <c r="J164" s="42">
        <v>4</v>
      </c>
      <c r="K164" s="40">
        <f t="shared" si="78"/>
        <v>1426.2297754450396</v>
      </c>
      <c r="L164" s="40">
        <f t="shared" si="79"/>
        <v>746.16635363399848</v>
      </c>
      <c r="M164" s="40">
        <f t="shared" si="80"/>
        <v>1254.9913285443956</v>
      </c>
      <c r="N164" s="40">
        <f t="shared" si="81"/>
        <v>1337.8736863752667</v>
      </c>
      <c r="O164" s="40">
        <f t="shared" si="82"/>
        <v>1254.9913285443956</v>
      </c>
      <c r="P164" s="41">
        <f t="shared" si="83"/>
        <v>0.8809754047317524</v>
      </c>
      <c r="Q164" s="41">
        <f t="shared" si="84"/>
        <v>0.38097540473175245</v>
      </c>
      <c r="R164" s="64">
        <f t="shared" si="85"/>
        <v>3.9643893212928858</v>
      </c>
      <c r="S164" s="64">
        <f>APPLICANTS_PER_YEAR*($H164/Segments!$AH$2)*Q164</f>
        <v>4.1145343711029261</v>
      </c>
      <c r="T164" s="64">
        <f t="shared" si="86"/>
        <v>8.0789236923958114</v>
      </c>
      <c r="U164" s="40">
        <f t="shared" si="87"/>
        <v>1254.9913285443956</v>
      </c>
      <c r="V164" s="65">
        <f t="shared" si="88"/>
        <v>10138.979177928613</v>
      </c>
      <c r="W164" s="65">
        <f t="shared" si="89"/>
        <v>6751.6075567833786</v>
      </c>
      <c r="X164" s="65">
        <f t="shared" si="90"/>
        <v>2361.4385712396188</v>
      </c>
      <c r="Y164" s="40">
        <f t="shared" si="91"/>
        <v>1254.9913285443956</v>
      </c>
      <c r="Z164" s="40">
        <f t="shared" si="92"/>
        <v>768.55134424301843</v>
      </c>
      <c r="AA164" s="40">
        <f t="shared" si="93"/>
        <v>1291.3910684007276</v>
      </c>
      <c r="AB164" s="40">
        <f t="shared" si="94"/>
        <v>1377.3434594543971</v>
      </c>
      <c r="AC164" s="40">
        <f t="shared" si="95"/>
        <v>1291.3910684007276</v>
      </c>
      <c r="AD164" s="41">
        <f t="shared" si="96"/>
        <v>0.87250104273795148</v>
      </c>
      <c r="AE164" s="41">
        <f t="shared" si="97"/>
        <v>0.38120223589246127</v>
      </c>
      <c r="AF164" s="64">
        <f t="shared" si="98"/>
        <v>3.5244346729078435</v>
      </c>
      <c r="AG164" s="64">
        <f>APPLICANTS_PER_YEAR*($H164/Segments!$AH$2)*AE164</f>
        <v>4.1169841476385809</v>
      </c>
      <c r="AH164" s="64">
        <f t="shared" si="99"/>
        <v>7.6414188205464244</v>
      </c>
      <c r="AI164" s="40">
        <f t="shared" si="100"/>
        <v>1291.3910684007278</v>
      </c>
      <c r="AJ164" s="65">
        <f t="shared" si="101"/>
        <v>9868.0600147628757</v>
      </c>
      <c r="AK164" s="65">
        <f t="shared" si="102"/>
        <v>6577.5614312294374</v>
      </c>
      <c r="AL164" s="65">
        <f t="shared" si="103"/>
        <v>2306.8986023873504</v>
      </c>
      <c r="AM164" s="40">
        <f t="shared" si="104"/>
        <v>1291.3910684007278</v>
      </c>
      <c r="AN164" s="40">
        <f t="shared" si="105"/>
        <v>791.60788457030901</v>
      </c>
      <c r="AO164" s="40">
        <f t="shared" si="106"/>
        <v>1328.8828004527495</v>
      </c>
      <c r="AP164" s="40">
        <f t="shared" si="107"/>
        <v>1417.9970078119786</v>
      </c>
      <c r="AQ164" s="40">
        <f t="shared" si="108"/>
        <v>1328.8828004527495</v>
      </c>
      <c r="AR164" s="41">
        <f t="shared" si="109"/>
        <v>0.87271294991401094</v>
      </c>
      <c r="AS164" s="41">
        <f t="shared" si="110"/>
        <v>0.38142256537506225</v>
      </c>
      <c r="AT164" s="64">
        <f t="shared" si="111"/>
        <v>3.3343825802037563</v>
      </c>
      <c r="AU164" s="64">
        <f>APPLICANTS_PER_YEAR*($H164/Segments!$AH$2)*AS164</f>
        <v>4.119363706050672</v>
      </c>
      <c r="AV164" s="64">
        <f t="shared" si="112"/>
        <v>7.4537462862544288</v>
      </c>
      <c r="AW164" s="40">
        <f t="shared" si="113"/>
        <v>1328.8828004527495</v>
      </c>
      <c r="AX164" s="65">
        <f t="shared" si="114"/>
        <v>9905.155238742067</v>
      </c>
      <c r="AY164" s="65">
        <f t="shared" si="115"/>
        <v>6608.4976493599452</v>
      </c>
      <c r="AZ164" s="65">
        <f t="shared" si="116"/>
        <v>2315.7286637209077</v>
      </c>
    </row>
    <row r="165" spans="1:52" ht="15" customHeight="1" x14ac:dyDescent="0.35">
      <c r="A165" s="59" t="str">
        <f>Segments!$A$145</f>
        <v>Non-greek</v>
      </c>
      <c r="B165" s="59" t="str">
        <f>Segments!$B$145</f>
        <v>Off 3-6mi</v>
      </c>
      <c r="C165" s="59" t="str">
        <f>Segments!$C$145</f>
        <v>No</v>
      </c>
      <c r="D165" s="59" t="str">
        <f>Segments!$D$145</f>
        <v>&lt;1.0</v>
      </c>
      <c r="E165" s="59" t="str">
        <f>Segments!$E$145</f>
        <v>Freshman</v>
      </c>
      <c r="F165" s="59">
        <f>Segments!$F$145</f>
        <v>1</v>
      </c>
      <c r="G165" s="59" t="str">
        <f>Segments!$G$145</f>
        <v>Base</v>
      </c>
      <c r="H165" s="60">
        <f>Segments!$H$145</f>
        <v>1</v>
      </c>
      <c r="I165" s="26">
        <f>Segments!$Y$145</f>
        <v>1116.4465552030069</v>
      </c>
      <c r="J165" s="29">
        <v>0</v>
      </c>
      <c r="K165" s="14">
        <f t="shared" si="78"/>
        <v>1857.0958032110539</v>
      </c>
      <c r="L165" s="14">
        <f t="shared" si="79"/>
        <v>1116.4465552030069</v>
      </c>
      <c r="M165" s="14">
        <f t="shared" si="80"/>
        <v>1857.0958032110539</v>
      </c>
      <c r="N165" s="14">
        <f t="shared" si="81"/>
        <v>1627.4659229592573</v>
      </c>
      <c r="O165" s="14">
        <f t="shared" si="82"/>
        <v>1857.0958032110539</v>
      </c>
      <c r="P165" s="33">
        <f t="shared" si="83"/>
        <v>0.77945170863109214</v>
      </c>
      <c r="Q165" s="33">
        <f t="shared" si="84"/>
        <v>0.27945170863109214</v>
      </c>
      <c r="R165" s="51">
        <f t="shared" si="85"/>
        <v>0</v>
      </c>
      <c r="S165" s="51">
        <f>APPLICANTS_PER_YEAR*($H165/Segments!$AH$2)*Q165</f>
        <v>0.33534205035731057</v>
      </c>
      <c r="T165" s="51">
        <f t="shared" si="86"/>
        <v>0.33534205035731057</v>
      </c>
      <c r="U165" s="14">
        <f t="shared" si="87"/>
        <v>1857.0958032110539</v>
      </c>
      <c r="V165" s="44">
        <f t="shared" si="88"/>
        <v>622.76231435875138</v>
      </c>
      <c r="W165" s="44">
        <f t="shared" si="89"/>
        <v>419.31845416846863</v>
      </c>
      <c r="X165" s="44">
        <f t="shared" si="90"/>
        <v>154.58915068243928</v>
      </c>
      <c r="Y165" s="14">
        <f t="shared" si="91"/>
        <v>1911.5586773073856</v>
      </c>
      <c r="Z165" s="14">
        <f t="shared" si="92"/>
        <v>1149.9399518590972</v>
      </c>
      <c r="AA165" s="14">
        <f t="shared" si="93"/>
        <v>1911.5586773073856</v>
      </c>
      <c r="AB165" s="14">
        <f t="shared" si="94"/>
        <v>1675.7420923813763</v>
      </c>
      <c r="AC165" s="14">
        <f t="shared" si="95"/>
        <v>1911.5586773073856</v>
      </c>
      <c r="AD165" s="33">
        <f t="shared" si="96"/>
        <v>0.77963816269874409</v>
      </c>
      <c r="AE165" s="33">
        <f t="shared" si="97"/>
        <v>0.27963816269874409</v>
      </c>
      <c r="AF165" s="51">
        <f t="shared" si="98"/>
        <v>0</v>
      </c>
      <c r="AG165" s="51">
        <f>APPLICANTS_PER_YEAR*($H165/Segments!$AH$2)*AE165</f>
        <v>0.33556579523849289</v>
      </c>
      <c r="AH165" s="51">
        <f t="shared" si="99"/>
        <v>0.33556579523849289</v>
      </c>
      <c r="AI165" s="14">
        <f t="shared" si="100"/>
        <v>1911.5586773073856</v>
      </c>
      <c r="AJ165" s="44">
        <f t="shared" si="101"/>
        <v>641.45370769569445</v>
      </c>
      <c r="AK165" s="44">
        <f t="shared" si="102"/>
        <v>432.18617615276571</v>
      </c>
      <c r="AL165" s="44">
        <f t="shared" si="103"/>
        <v>158.78609130956775</v>
      </c>
      <c r="AM165" s="14">
        <f t="shared" si="104"/>
        <v>1967.655437626607</v>
      </c>
      <c r="AN165" s="14">
        <f t="shared" si="105"/>
        <v>1184.4381504148701</v>
      </c>
      <c r="AO165" s="14">
        <f t="shared" si="106"/>
        <v>1967.655437626607</v>
      </c>
      <c r="AP165" s="14">
        <f t="shared" si="107"/>
        <v>1725.4663703569061</v>
      </c>
      <c r="AQ165" s="14">
        <f t="shared" si="108"/>
        <v>1967.655437626607</v>
      </c>
      <c r="AR165" s="33">
        <f t="shared" si="109"/>
        <v>0.77981924439952865</v>
      </c>
      <c r="AS165" s="33">
        <f t="shared" si="110"/>
        <v>0.27981924439952865</v>
      </c>
      <c r="AT165" s="51">
        <f t="shared" si="111"/>
        <v>0</v>
      </c>
      <c r="AU165" s="51">
        <f>APPLICANTS_PER_YEAR*($H165/Segments!$AH$2)*AS165</f>
        <v>0.3357830932794344</v>
      </c>
      <c r="AV165" s="51">
        <f t="shared" si="112"/>
        <v>0.3357830932794344</v>
      </c>
      <c r="AW165" s="14">
        <f t="shared" si="113"/>
        <v>1967.655437626607</v>
      </c>
      <c r="AX165" s="44">
        <f t="shared" si="114"/>
        <v>660.70542935436129</v>
      </c>
      <c r="AY165" s="44">
        <f t="shared" si="115"/>
        <v>445.44002265781438</v>
      </c>
      <c r="AZ165" s="44">
        <f t="shared" si="116"/>
        <v>163.10825537295148</v>
      </c>
    </row>
    <row r="166" spans="1:52" ht="15" customHeight="1" x14ac:dyDescent="0.35">
      <c r="A166" s="59" t="str">
        <f>Segments!$A$146</f>
        <v>Non-greek</v>
      </c>
      <c r="B166" s="59" t="str">
        <f>Segments!$B$146</f>
        <v>Off 3-6mi</v>
      </c>
      <c r="C166" s="59" t="str">
        <f>Segments!$C$146</f>
        <v>No</v>
      </c>
      <c r="D166" s="59" t="str">
        <f>Segments!$D$146</f>
        <v>&lt;1.0</v>
      </c>
      <c r="E166" s="59" t="str">
        <f>Segments!$E$146</f>
        <v>Sophomore</v>
      </c>
      <c r="F166" s="59">
        <f>Segments!$F$146</f>
        <v>1</v>
      </c>
      <c r="G166" s="59" t="str">
        <f>Segments!$G$146</f>
        <v>Sophomore</v>
      </c>
      <c r="H166" s="60">
        <f>Segments!$H$146</f>
        <v>4</v>
      </c>
      <c r="I166" s="26">
        <f>Segments!$Y$146</f>
        <v>1105.0880990458159</v>
      </c>
      <c r="J166" s="29">
        <v>1</v>
      </c>
      <c r="K166" s="14">
        <f t="shared" si="78"/>
        <v>1426.2297754450396</v>
      </c>
      <c r="L166" s="14">
        <f t="shared" si="79"/>
        <v>1105.0880990458159</v>
      </c>
      <c r="M166" s="14">
        <f t="shared" si="80"/>
        <v>1838.6260679981783</v>
      </c>
      <c r="N166" s="14">
        <f t="shared" si="81"/>
        <v>1619.3527238030749</v>
      </c>
      <c r="O166" s="14">
        <f t="shared" si="82"/>
        <v>1782.7872193062994</v>
      </c>
      <c r="P166" s="33">
        <f t="shared" si="83"/>
        <v>0.72453709185748116</v>
      </c>
      <c r="Q166" s="33">
        <f t="shared" si="84"/>
        <v>0.28229599056092713</v>
      </c>
      <c r="R166" s="51">
        <f t="shared" si="85"/>
        <v>0.72453709185748116</v>
      </c>
      <c r="S166" s="51">
        <f>APPLICANTS_PER_YEAR*($H166/Segments!$AH$2)*Q166</f>
        <v>1.3550207546924502</v>
      </c>
      <c r="T166" s="51">
        <f t="shared" si="86"/>
        <v>2.0795578465499314</v>
      </c>
      <c r="U166" s="14">
        <f t="shared" si="87"/>
        <v>1819.1712992303828</v>
      </c>
      <c r="V166" s="44">
        <f t="shared" si="88"/>
        <v>3783.0719495329759</v>
      </c>
      <c r="W166" s="44">
        <f t="shared" si="89"/>
        <v>2573.8659827996353</v>
      </c>
      <c r="X166" s="44">
        <f t="shared" si="90"/>
        <v>877.66545113900588</v>
      </c>
      <c r="Y166" s="14">
        <f t="shared" si="91"/>
        <v>1857.0958032110539</v>
      </c>
      <c r="Z166" s="14">
        <f t="shared" si="92"/>
        <v>1138.2407420171903</v>
      </c>
      <c r="AA166" s="14">
        <f t="shared" si="93"/>
        <v>1892.5348500381235</v>
      </c>
      <c r="AB166" s="14">
        <f t="shared" si="94"/>
        <v>1667.3827517452426</v>
      </c>
      <c r="AC166" s="14">
        <f t="shared" si="95"/>
        <v>1892.5348500381235</v>
      </c>
      <c r="AD166" s="33">
        <f t="shared" si="96"/>
        <v>0.77675846494555267</v>
      </c>
      <c r="AE166" s="33">
        <f t="shared" si="97"/>
        <v>0.28248337909900556</v>
      </c>
      <c r="AF166" s="51">
        <f t="shared" si="98"/>
        <v>0.26047977626723878</v>
      </c>
      <c r="AG166" s="51">
        <f>APPLICANTS_PER_YEAR*($H166/Segments!$AH$2)*AE166</f>
        <v>1.3559202196752267</v>
      </c>
      <c r="AH166" s="51">
        <f t="shared" si="99"/>
        <v>1.6163999959424655</v>
      </c>
      <c r="AI166" s="14">
        <f t="shared" si="100"/>
        <v>1892.5348500381235</v>
      </c>
      <c r="AJ166" s="44">
        <f t="shared" si="101"/>
        <v>3059.0933239225974</v>
      </c>
      <c r="AK166" s="44">
        <f t="shared" si="102"/>
        <v>2060.6346104715117</v>
      </c>
      <c r="AL166" s="44">
        <f t="shared" si="103"/>
        <v>734.20906306833592</v>
      </c>
      <c r="AM166" s="14">
        <f t="shared" si="104"/>
        <v>1911.5586773073856</v>
      </c>
      <c r="AN166" s="14">
        <f t="shared" si="105"/>
        <v>1172.387964277706</v>
      </c>
      <c r="AO166" s="14">
        <f t="shared" si="106"/>
        <v>1948.0608955392672</v>
      </c>
      <c r="AP166" s="14">
        <f t="shared" si="107"/>
        <v>1716.8535013280443</v>
      </c>
      <c r="AQ166" s="14">
        <f t="shared" si="108"/>
        <v>1948.0608955392672</v>
      </c>
      <c r="AR166" s="33">
        <f t="shared" si="109"/>
        <v>0.77693671116439944</v>
      </c>
      <c r="AS166" s="33">
        <f t="shared" si="110"/>
        <v>0.28266536893439764</v>
      </c>
      <c r="AT166" s="51">
        <f t="shared" si="111"/>
        <v>0.26071338533186095</v>
      </c>
      <c r="AU166" s="51">
        <f>APPLICANTS_PER_YEAR*($H166/Segments!$AH$2)*AS166</f>
        <v>1.3567937708851086</v>
      </c>
      <c r="AV166" s="51">
        <f t="shared" si="112"/>
        <v>1.6175071562169694</v>
      </c>
      <c r="AW166" s="14">
        <f t="shared" si="113"/>
        <v>1948.0608955392672</v>
      </c>
      <c r="AX166" s="44">
        <f t="shared" si="114"/>
        <v>3151.0024392812029</v>
      </c>
      <c r="AY166" s="44">
        <f t="shared" si="115"/>
        <v>2123.9074327316544</v>
      </c>
      <c r="AZ166" s="44">
        <f t="shared" si="116"/>
        <v>754.3185395136536</v>
      </c>
    </row>
    <row r="167" spans="1:52" ht="15" customHeight="1" x14ac:dyDescent="0.35">
      <c r="A167" s="59" t="str">
        <f>Segments!$A$147</f>
        <v>Non-greek</v>
      </c>
      <c r="B167" s="59" t="str">
        <f>Segments!$B$147</f>
        <v>Off 3-6mi</v>
      </c>
      <c r="C167" s="59" t="str">
        <f>Segments!$C$147</f>
        <v>No</v>
      </c>
      <c r="D167" s="59" t="str">
        <f>Segments!$D$147</f>
        <v>&lt;1.0</v>
      </c>
      <c r="E167" s="59" t="str">
        <f>Segments!$E$147</f>
        <v>Junior</v>
      </c>
      <c r="F167" s="59">
        <f>Segments!$F$147</f>
        <v>2</v>
      </c>
      <c r="G167" s="59" t="str">
        <f>Segments!$G$147</f>
        <v>Base</v>
      </c>
      <c r="H167" s="60">
        <f>Segments!$H$147</f>
        <v>4</v>
      </c>
      <c r="I167" s="26">
        <f>Segments!$Y$147</f>
        <v>1321.0506302605493</v>
      </c>
      <c r="J167" s="29">
        <v>2</v>
      </c>
      <c r="K167" s="14">
        <f t="shared" si="78"/>
        <v>1426.2297754450396</v>
      </c>
      <c r="L167" s="14">
        <f t="shared" si="79"/>
        <v>1321.0506302605493</v>
      </c>
      <c r="M167" s="14">
        <f t="shared" si="80"/>
        <v>2189.7979801169927</v>
      </c>
      <c r="N167" s="14">
        <f t="shared" si="81"/>
        <v>1767.2450541597959</v>
      </c>
      <c r="O167" s="14">
        <f t="shared" si="82"/>
        <v>1782.7872193062994</v>
      </c>
      <c r="P167" s="33">
        <f t="shared" si="83"/>
        <v>0.77060271363897159</v>
      </c>
      <c r="Q167" s="33">
        <f t="shared" si="84"/>
        <v>0.23044868905911531</v>
      </c>
      <c r="R167" s="51">
        <f t="shared" si="85"/>
        <v>3.0824108545558864</v>
      </c>
      <c r="S167" s="51">
        <f>APPLICANTS_PER_YEAR*($H167/Segments!$AH$2)*Q167</f>
        <v>1.1061537074837535</v>
      </c>
      <c r="T167" s="51">
        <f t="shared" si="86"/>
        <v>4.1885645620396401</v>
      </c>
      <c r="U167" s="14">
        <f t="shared" si="87"/>
        <v>1890.2742725409039</v>
      </c>
      <c r="V167" s="44">
        <f t="shared" si="88"/>
        <v>7917.53583050009</v>
      </c>
      <c r="W167" s="44">
        <f t="shared" si="89"/>
        <v>6197.302557117805</v>
      </c>
      <c r="X167" s="44">
        <f t="shared" si="90"/>
        <v>1692.6182662945434</v>
      </c>
      <c r="Y167" s="14">
        <f t="shared" si="91"/>
        <v>1819.1712992303828</v>
      </c>
      <c r="Z167" s="14">
        <f t="shared" si="92"/>
        <v>1360.6821491683659</v>
      </c>
      <c r="AA167" s="14">
        <f t="shared" si="93"/>
        <v>2254.2419195205025</v>
      </c>
      <c r="AB167" s="14">
        <f t="shared" si="94"/>
        <v>1819.7579385942561</v>
      </c>
      <c r="AC167" s="14">
        <f t="shared" si="95"/>
        <v>2254.2419195205025</v>
      </c>
      <c r="AD167" s="33">
        <f t="shared" si="96"/>
        <v>0.65887278514145242</v>
      </c>
      <c r="AE167" s="33">
        <f t="shared" si="97"/>
        <v>0.23062039139615431</v>
      </c>
      <c r="AF167" s="51">
        <f t="shared" si="98"/>
        <v>1.3701640702191145</v>
      </c>
      <c r="AG167" s="51">
        <f>APPLICANTS_PER_YEAR*($H167/Segments!$AH$2)*AE167</f>
        <v>1.1069778787015407</v>
      </c>
      <c r="AH167" s="51">
        <f t="shared" si="99"/>
        <v>2.4771419489206554</v>
      </c>
      <c r="AI167" s="14">
        <f t="shared" si="100"/>
        <v>2254.2419195205025</v>
      </c>
      <c r="AJ167" s="44">
        <f t="shared" si="101"/>
        <v>5584.0772218596567</v>
      </c>
      <c r="AK167" s="44">
        <f t="shared" si="102"/>
        <v>3775.0751705547691</v>
      </c>
      <c r="AL167" s="44">
        <f t="shared" si="103"/>
        <v>1219.9467387127079</v>
      </c>
      <c r="AM167" s="14">
        <f t="shared" si="104"/>
        <v>1892.5348500381235</v>
      </c>
      <c r="AN167" s="14">
        <f t="shared" si="105"/>
        <v>1401.5026136434167</v>
      </c>
      <c r="AO167" s="14">
        <f t="shared" si="106"/>
        <v>2320.6191771061176</v>
      </c>
      <c r="AP167" s="14">
        <f t="shared" si="107"/>
        <v>1873.8460717145456</v>
      </c>
      <c r="AQ167" s="14">
        <f t="shared" si="108"/>
        <v>2320.6191771061176</v>
      </c>
      <c r="AR167" s="33">
        <f t="shared" si="109"/>
        <v>0.6629282567474547</v>
      </c>
      <c r="AS167" s="33">
        <f t="shared" si="110"/>
        <v>0.23078713824589114</v>
      </c>
      <c r="AT167" s="51">
        <f t="shared" si="111"/>
        <v>1.0715572315167314</v>
      </c>
      <c r="AU167" s="51">
        <f>APPLICANTS_PER_YEAR*($H167/Segments!$AH$2)*AS167</f>
        <v>1.1077782635802775</v>
      </c>
      <c r="AV167" s="51">
        <f t="shared" si="112"/>
        <v>2.1793354950970087</v>
      </c>
      <c r="AW167" s="14">
        <f t="shared" si="113"/>
        <v>2320.6191771061176</v>
      </c>
      <c r="AX167" s="44">
        <f t="shared" si="114"/>
        <v>5057.4077432701743</v>
      </c>
      <c r="AY167" s="44">
        <f t="shared" si="115"/>
        <v>3420.8657194704469</v>
      </c>
      <c r="AZ167" s="44">
        <f t="shared" si="116"/>
        <v>1117.1068318551097</v>
      </c>
    </row>
    <row r="168" spans="1:52" ht="15" customHeight="1" x14ac:dyDescent="0.35">
      <c r="A168" s="59" t="str">
        <f>Segments!$A$148</f>
        <v>Non-greek</v>
      </c>
      <c r="B168" s="59" t="str">
        <f>Segments!$B$148</f>
        <v>Off 3-6mi</v>
      </c>
      <c r="C168" s="59" t="str">
        <f>Segments!$C$148</f>
        <v>No</v>
      </c>
      <c r="D168" s="59" t="str">
        <f>Segments!$D$148</f>
        <v>&lt;1.0</v>
      </c>
      <c r="E168" s="59" t="str">
        <f>Segments!$E$148</f>
        <v>Senior</v>
      </c>
      <c r="F168" s="59">
        <f>Segments!$F$148</f>
        <v>3</v>
      </c>
      <c r="G168" s="59" t="str">
        <f>Segments!$G$148</f>
        <v>Base</v>
      </c>
      <c r="H168" s="60">
        <f>Segments!$H$148</f>
        <v>1</v>
      </c>
      <c r="I168" s="26">
        <f>Segments!$Y$148</f>
        <v>1234.7694534403834</v>
      </c>
      <c r="J168" s="29">
        <v>3</v>
      </c>
      <c r="K168" s="14">
        <f t="shared" si="78"/>
        <v>1426.2297754450396</v>
      </c>
      <c r="L168" s="14">
        <f t="shared" si="79"/>
        <v>1234.7694534403834</v>
      </c>
      <c r="M168" s="14">
        <f t="shared" si="80"/>
        <v>2049.4980601569318</v>
      </c>
      <c r="N168" s="14">
        <f t="shared" si="81"/>
        <v>1709.6944633801284</v>
      </c>
      <c r="O168" s="14">
        <f t="shared" si="82"/>
        <v>1782.7872193062994</v>
      </c>
      <c r="P168" s="33">
        <f t="shared" si="83"/>
        <v>0.75362402976328768</v>
      </c>
      <c r="Q168" s="33">
        <f t="shared" si="84"/>
        <v>0.25062446710361352</v>
      </c>
      <c r="R168" s="51">
        <f t="shared" si="85"/>
        <v>3.0144961190531507</v>
      </c>
      <c r="S168" s="51">
        <f>APPLICANTS_PER_YEAR*($H168/Segments!$AH$2)*Q168</f>
        <v>0.30074936052433621</v>
      </c>
      <c r="T168" s="51">
        <f t="shared" si="86"/>
        <v>3.3152454795774871</v>
      </c>
      <c r="U168" s="14">
        <f t="shared" si="87"/>
        <v>1806.9824456703388</v>
      </c>
      <c r="V168" s="44">
        <f t="shared" si="88"/>
        <v>5990.5903846844631</v>
      </c>
      <c r="W168" s="44">
        <f t="shared" si="89"/>
        <v>4584.7915106992268</v>
      </c>
      <c r="X168" s="44">
        <f t="shared" si="90"/>
        <v>1227.6187093946037</v>
      </c>
      <c r="Y168" s="14">
        <f t="shared" si="91"/>
        <v>1890.2742725409039</v>
      </c>
      <c r="Z168" s="14">
        <f t="shared" si="92"/>
        <v>1271.8125370435948</v>
      </c>
      <c r="AA168" s="14">
        <f t="shared" si="93"/>
        <v>2109.7330019616397</v>
      </c>
      <c r="AB168" s="14">
        <f t="shared" si="94"/>
        <v>1760.4638441063878</v>
      </c>
      <c r="AC168" s="14">
        <f t="shared" si="95"/>
        <v>2109.7330019616397</v>
      </c>
      <c r="AD168" s="33">
        <f t="shared" si="96"/>
        <v>0.71597228630064325</v>
      </c>
      <c r="AE168" s="33">
        <f t="shared" si="97"/>
        <v>0.2508019508538839</v>
      </c>
      <c r="AF168" s="51">
        <f t="shared" si="98"/>
        <v>2.9988961458013734</v>
      </c>
      <c r="AG168" s="51">
        <f>APPLICANTS_PER_YEAR*($H168/Segments!$AH$2)*AE168</f>
        <v>0.30096234102466068</v>
      </c>
      <c r="AH168" s="51">
        <f t="shared" si="99"/>
        <v>3.2998584868260341</v>
      </c>
      <c r="AI168" s="14">
        <f t="shared" si="100"/>
        <v>2109.7330019616397</v>
      </c>
      <c r="AJ168" s="44">
        <f t="shared" si="101"/>
        <v>6961.8203514600827</v>
      </c>
      <c r="AK168" s="44">
        <f t="shared" si="102"/>
        <v>4700.4175612968629</v>
      </c>
      <c r="AL168" s="44">
        <f t="shared" si="103"/>
        <v>1411.5285311003504</v>
      </c>
      <c r="AM168" s="14">
        <f t="shared" si="104"/>
        <v>2254.2419195205025</v>
      </c>
      <c r="AN168" s="14">
        <f t="shared" si="105"/>
        <v>1309.9669131549026</v>
      </c>
      <c r="AO168" s="14">
        <f t="shared" si="106"/>
        <v>2171.7749920204888</v>
      </c>
      <c r="AP168" s="14">
        <f t="shared" si="107"/>
        <v>1812.7561540044469</v>
      </c>
      <c r="AQ168" s="14">
        <f t="shared" si="108"/>
        <v>2171.7749920204888</v>
      </c>
      <c r="AR168" s="33">
        <f t="shared" si="109"/>
        <v>0.75097431548557825</v>
      </c>
      <c r="AS168" s="33">
        <f t="shared" si="110"/>
        <v>0.25097431548557825</v>
      </c>
      <c r="AT168" s="51">
        <f t="shared" si="111"/>
        <v>1.8602699794513005</v>
      </c>
      <c r="AU168" s="51">
        <f>APPLICANTS_PER_YEAR*($H168/Segments!$AH$2)*AS168</f>
        <v>0.30116917858269387</v>
      </c>
      <c r="AV168" s="51">
        <f t="shared" si="112"/>
        <v>2.1614391580339944</v>
      </c>
      <c r="AW168" s="14">
        <f t="shared" si="113"/>
        <v>2171.7749920204888</v>
      </c>
      <c r="AX168" s="44">
        <f t="shared" si="114"/>
        <v>4694.1595101920502</v>
      </c>
      <c r="AY168" s="44">
        <f t="shared" si="115"/>
        <v>3171.1834356405543</v>
      </c>
      <c r="AZ168" s="44">
        <f t="shared" si="116"/>
        <v>960.84666921600842</v>
      </c>
    </row>
    <row r="169" spans="1:52" ht="15" customHeight="1" x14ac:dyDescent="0.35">
      <c r="A169" s="59" t="str">
        <f>Segments!$A$149</f>
        <v>Non-greek</v>
      </c>
      <c r="B169" s="59" t="str">
        <f>Segments!$B$149</f>
        <v>Off 3-6mi</v>
      </c>
      <c r="C169" s="59" t="str">
        <f>Segments!$C$149</f>
        <v>No</v>
      </c>
      <c r="D169" s="59" t="str">
        <f>Segments!$D$149</f>
        <v>&lt;1.0</v>
      </c>
      <c r="E169" s="59" t="str">
        <f>Segments!$E$149</f>
        <v>Grad student</v>
      </c>
      <c r="F169" s="59">
        <f>Segments!$F$149</f>
        <v>3</v>
      </c>
      <c r="G169" s="59" t="str">
        <f>Segments!$G$149</f>
        <v>Grad</v>
      </c>
      <c r="H169" s="60">
        <f>Segments!$H$149</f>
        <v>4</v>
      </c>
      <c r="I169" s="26">
        <f>Segments!$Y$149</f>
        <v>1470.2158200395893</v>
      </c>
      <c r="J169" s="29">
        <v>4</v>
      </c>
      <c r="K169" s="14">
        <f t="shared" si="78"/>
        <v>1426.2297754450396</v>
      </c>
      <c r="L169" s="14">
        <f t="shared" si="79"/>
        <v>1470.2158200395893</v>
      </c>
      <c r="M169" s="14">
        <f t="shared" si="80"/>
        <v>2432.3522075639144</v>
      </c>
      <c r="N169" s="14">
        <f t="shared" si="81"/>
        <v>1862.5501718872242</v>
      </c>
      <c r="O169" s="14">
        <f t="shared" si="82"/>
        <v>1782.7872193062994</v>
      </c>
      <c r="P169" s="33">
        <f t="shared" si="83"/>
        <v>0.79641229637323141</v>
      </c>
      <c r="Q169" s="33">
        <f t="shared" si="84"/>
        <v>0.19703713105904153</v>
      </c>
      <c r="R169" s="51">
        <f t="shared" si="85"/>
        <v>1.5928245927464628</v>
      </c>
      <c r="S169" s="51">
        <f>APPLICANTS_PER_YEAR*($H169/Segments!$AH$2)*Q169</f>
        <v>0.94577822908339926</v>
      </c>
      <c r="T169" s="51">
        <f t="shared" si="86"/>
        <v>2.538602821829862</v>
      </c>
      <c r="U169" s="14">
        <f t="shared" si="87"/>
        <v>2024.7882204026575</v>
      </c>
      <c r="V169" s="44">
        <f t="shared" si="88"/>
        <v>5140.1330899220511</v>
      </c>
      <c r="W169" s="44">
        <f t="shared" si="89"/>
        <v>4180.1693129855748</v>
      </c>
      <c r="X169" s="44">
        <f t="shared" si="90"/>
        <v>1126.4179678771413</v>
      </c>
      <c r="Y169" s="14">
        <f t="shared" si="91"/>
        <v>2024.7882204026575</v>
      </c>
      <c r="Z169" s="14">
        <f t="shared" si="92"/>
        <v>1514.322294640777</v>
      </c>
      <c r="AA169" s="14">
        <f t="shared" si="93"/>
        <v>2504.0727737908319</v>
      </c>
      <c r="AB169" s="14">
        <f t="shared" si="94"/>
        <v>1917.9480296289539</v>
      </c>
      <c r="AC169" s="14">
        <f t="shared" si="95"/>
        <v>2504.0727737908319</v>
      </c>
      <c r="AD169" s="33">
        <f t="shared" si="96"/>
        <v>0.62618749958962316</v>
      </c>
      <c r="AE169" s="33">
        <f t="shared" si="97"/>
        <v>0.19720004528087509</v>
      </c>
      <c r="AF169" s="51">
        <f t="shared" si="98"/>
        <v>0.79482067672640144</v>
      </c>
      <c r="AG169" s="51">
        <f>APPLICANTS_PER_YEAR*($H169/Segments!$AH$2)*AE169</f>
        <v>0.94656021734820039</v>
      </c>
      <c r="AH169" s="51">
        <f t="shared" si="99"/>
        <v>1.7413808940746018</v>
      </c>
      <c r="AI169" s="14">
        <f t="shared" si="100"/>
        <v>2504.0727737908319</v>
      </c>
      <c r="AJ169" s="44">
        <f t="shared" si="101"/>
        <v>4360.544485651747</v>
      </c>
      <c r="AK169" s="44">
        <f t="shared" si="102"/>
        <v>2953.4533407216982</v>
      </c>
      <c r="AL169" s="44">
        <f t="shared" si="103"/>
        <v>965.593479518908</v>
      </c>
      <c r="AM169" s="14">
        <f t="shared" si="104"/>
        <v>2504.0727737908319</v>
      </c>
      <c r="AN169" s="14">
        <f t="shared" si="105"/>
        <v>1559.7519634800003</v>
      </c>
      <c r="AO169" s="14">
        <f t="shared" si="106"/>
        <v>2577.9449570045567</v>
      </c>
      <c r="AP169" s="14">
        <f t="shared" si="107"/>
        <v>1975.0077053616787</v>
      </c>
      <c r="AQ169" s="14">
        <f t="shared" si="108"/>
        <v>2577.9449570045567</v>
      </c>
      <c r="AR169" s="33">
        <f t="shared" si="109"/>
        <v>0.68850800936693679</v>
      </c>
      <c r="AS169" s="33">
        <f t="shared" si="110"/>
        <v>0.19735825333591206</v>
      </c>
      <c r="AT169" s="51">
        <f t="shared" si="111"/>
        <v>0.59947734646446038</v>
      </c>
      <c r="AU169" s="51">
        <f>APPLICANTS_PER_YEAR*($H169/Segments!$AH$2)*AS169</f>
        <v>0.9473196160123778</v>
      </c>
      <c r="AV169" s="51">
        <f t="shared" si="112"/>
        <v>1.5467969624768383</v>
      </c>
      <c r="AW169" s="14">
        <f t="shared" si="113"/>
        <v>2577.9449570045563</v>
      </c>
      <c r="AX169" s="44">
        <f t="shared" si="114"/>
        <v>3987.5574289271312</v>
      </c>
      <c r="AY169" s="44">
        <f t="shared" si="115"/>
        <v>2702.133951247527</v>
      </c>
      <c r="AZ169" s="44">
        <f t="shared" si="116"/>
        <v>893.74210765404507</v>
      </c>
    </row>
    <row r="170" spans="1:52" ht="15" customHeight="1" x14ac:dyDescent="0.35">
      <c r="A170" s="61" t="str">
        <f>Segments!$A$150</f>
        <v>Non-greek</v>
      </c>
      <c r="B170" s="61" t="str">
        <f>Segments!$B$150</f>
        <v>Off 3-6mi</v>
      </c>
      <c r="C170" s="61" t="str">
        <f>Segments!$C$150</f>
        <v>No</v>
      </c>
      <c r="D170" s="61" t="str">
        <f>Segments!$D$150</f>
        <v>1.0-2.0</v>
      </c>
      <c r="E170" s="61" t="str">
        <f>Segments!$E$150</f>
        <v>Freshman</v>
      </c>
      <c r="F170" s="61">
        <f>Segments!$F$150</f>
        <v>1</v>
      </c>
      <c r="G170" s="61" t="str">
        <f>Segments!$G$150</f>
        <v>Base</v>
      </c>
      <c r="H170" s="62">
        <f>Segments!$H$150</f>
        <v>14</v>
      </c>
      <c r="I170" s="63">
        <f>Segments!$Y$150</f>
        <v>1013.0871418290872</v>
      </c>
      <c r="J170" s="42">
        <v>0</v>
      </c>
      <c r="K170" s="40">
        <f t="shared" si="78"/>
        <v>1689.0253392012203</v>
      </c>
      <c r="L170" s="40">
        <f t="shared" si="79"/>
        <v>1013.0871418290872</v>
      </c>
      <c r="M170" s="40">
        <f t="shared" si="80"/>
        <v>1689.0253392012203</v>
      </c>
      <c r="N170" s="40">
        <f t="shared" si="81"/>
        <v>1552.0754589419739</v>
      </c>
      <c r="O170" s="40">
        <f t="shared" si="82"/>
        <v>1689.0253392012203</v>
      </c>
      <c r="P170" s="41">
        <f t="shared" si="83"/>
        <v>0.80588169393754761</v>
      </c>
      <c r="Q170" s="41">
        <f t="shared" si="84"/>
        <v>0.30588169393754761</v>
      </c>
      <c r="R170" s="64">
        <f t="shared" si="85"/>
        <v>0</v>
      </c>
      <c r="S170" s="64">
        <f>APPLICANTS_PER_YEAR*($H170/Segments!$AH$2)*Q170</f>
        <v>5.1388124581507997</v>
      </c>
      <c r="T170" s="64">
        <f t="shared" si="86"/>
        <v>5.1388124581507997</v>
      </c>
      <c r="U170" s="40">
        <f t="shared" si="87"/>
        <v>1689.02533920122</v>
      </c>
      <c r="V170" s="65">
        <f t="shared" si="88"/>
        <v>8679.5844552196104</v>
      </c>
      <c r="W170" s="65">
        <f t="shared" si="89"/>
        <v>5830.792604698544</v>
      </c>
      <c r="X170" s="65">
        <f t="shared" si="90"/>
        <v>2175.4734785859787</v>
      </c>
      <c r="Y170" s="40">
        <f t="shared" si="91"/>
        <v>1738.4460993772568</v>
      </c>
      <c r="Z170" s="40">
        <f t="shared" si="92"/>
        <v>1043.4797560839597</v>
      </c>
      <c r="AA170" s="40">
        <f t="shared" si="93"/>
        <v>1738.4460993772568</v>
      </c>
      <c r="AB170" s="40">
        <f t="shared" si="94"/>
        <v>1598.0632958791944</v>
      </c>
      <c r="AC170" s="40">
        <f t="shared" si="95"/>
        <v>1738.4460993772568</v>
      </c>
      <c r="AD170" s="41">
        <f t="shared" si="96"/>
        <v>0.80607720799918969</v>
      </c>
      <c r="AE170" s="41">
        <f t="shared" si="97"/>
        <v>0.30607720799918969</v>
      </c>
      <c r="AF170" s="64">
        <f t="shared" si="98"/>
        <v>0</v>
      </c>
      <c r="AG170" s="64">
        <f>APPLICANTS_PER_YEAR*($H170/Segments!$AH$2)*AE170</f>
        <v>5.1420970943863873</v>
      </c>
      <c r="AH170" s="64">
        <f t="shared" si="99"/>
        <v>5.1420970943863873</v>
      </c>
      <c r="AI170" s="40">
        <f t="shared" si="100"/>
        <v>1738.446099377257</v>
      </c>
      <c r="AJ170" s="65">
        <f t="shared" si="101"/>
        <v>8939.2586363551418</v>
      </c>
      <c r="AK170" s="65">
        <f t="shared" si="102"/>
        <v>6009.5551284275871</v>
      </c>
      <c r="AL170" s="65">
        <f t="shared" si="103"/>
        <v>2233.7883037909392</v>
      </c>
      <c r="AM170" s="40">
        <f t="shared" si="104"/>
        <v>1789.3494823585745</v>
      </c>
      <c r="AN170" s="40">
        <f t="shared" si="105"/>
        <v>1074.7841487664784</v>
      </c>
      <c r="AO170" s="40">
        <f t="shared" si="106"/>
        <v>1789.3494823585745</v>
      </c>
      <c r="AP170" s="40">
        <f t="shared" si="107"/>
        <v>1645.430564381664</v>
      </c>
      <c r="AQ170" s="40">
        <f t="shared" si="108"/>
        <v>1789.3494823585745</v>
      </c>
      <c r="AR170" s="41">
        <f t="shared" si="109"/>
        <v>0.80626709473729941</v>
      </c>
      <c r="AS170" s="41">
        <f t="shared" si="110"/>
        <v>0.30626709473729941</v>
      </c>
      <c r="AT170" s="64">
        <f t="shared" si="111"/>
        <v>0</v>
      </c>
      <c r="AU170" s="64">
        <f>APPLICANTS_PER_YEAR*($H170/Segments!$AH$2)*AS170</f>
        <v>5.1452871915866298</v>
      </c>
      <c r="AV170" s="64">
        <f t="shared" si="112"/>
        <v>5.1452871915866298</v>
      </c>
      <c r="AW170" s="40">
        <f t="shared" si="113"/>
        <v>1789.3494823585745</v>
      </c>
      <c r="AX170" s="65">
        <f t="shared" si="114"/>
        <v>9206.7169728517401</v>
      </c>
      <c r="AY170" s="65">
        <f t="shared" si="115"/>
        <v>6193.6818880927212</v>
      </c>
      <c r="AZ170" s="65">
        <f t="shared" si="116"/>
        <v>2293.8425255401885</v>
      </c>
    </row>
    <row r="171" spans="1:52" ht="15" customHeight="1" x14ac:dyDescent="0.35">
      <c r="A171" s="61" t="str">
        <f>Segments!$A$151</f>
        <v>Non-greek</v>
      </c>
      <c r="B171" s="61" t="str">
        <f>Segments!$B$151</f>
        <v>Off 3-6mi</v>
      </c>
      <c r="C171" s="61" t="str">
        <f>Segments!$C$151</f>
        <v>No</v>
      </c>
      <c r="D171" s="61" t="str">
        <f>Segments!$D$151</f>
        <v>1.0-2.0</v>
      </c>
      <c r="E171" s="61" t="str">
        <f>Segments!$E$151</f>
        <v>Sophomore</v>
      </c>
      <c r="F171" s="61">
        <f>Segments!$F$151</f>
        <v>1</v>
      </c>
      <c r="G171" s="61" t="str">
        <f>Segments!$G$151</f>
        <v>Sophomore</v>
      </c>
      <c r="H171" s="62">
        <f>Segments!$H$151</f>
        <v>11</v>
      </c>
      <c r="I171" s="63">
        <f>Segments!$Y$151</f>
        <v>1002.7802392458395</v>
      </c>
      <c r="J171" s="42">
        <v>1</v>
      </c>
      <c r="K171" s="40">
        <f t="shared" si="78"/>
        <v>1426.2297754450396</v>
      </c>
      <c r="L171" s="40">
        <f t="shared" si="79"/>
        <v>1002.7802392458395</v>
      </c>
      <c r="M171" s="40">
        <f t="shared" si="80"/>
        <v>1672.265512078327</v>
      </c>
      <c r="N171" s="40">
        <f t="shared" si="81"/>
        <v>1544.3558093185509</v>
      </c>
      <c r="O171" s="40">
        <f t="shared" si="82"/>
        <v>1672.265512078327</v>
      </c>
      <c r="P171" s="41">
        <f t="shared" si="83"/>
        <v>0.75683567247410743</v>
      </c>
      <c r="Q171" s="41">
        <f t="shared" si="84"/>
        <v>0.30858800737887715</v>
      </c>
      <c r="R171" s="64">
        <f t="shared" si="85"/>
        <v>10.595699414637505</v>
      </c>
      <c r="S171" s="64">
        <f>APPLICANTS_PER_YEAR*($H171/Segments!$AH$2)*Q171</f>
        <v>4.0733616974011788</v>
      </c>
      <c r="T171" s="64">
        <f t="shared" si="86"/>
        <v>14.669061112038683</v>
      </c>
      <c r="U171" s="40">
        <f t="shared" si="87"/>
        <v>1672.265512078327</v>
      </c>
      <c r="V171" s="65">
        <f t="shared" si="88"/>
        <v>24530.564992231641</v>
      </c>
      <c r="W171" s="65">
        <f t="shared" si="89"/>
        <v>16475.025964815031</v>
      </c>
      <c r="X171" s="65">
        <f t="shared" si="90"/>
        <v>5269.9030281750529</v>
      </c>
      <c r="Y171" s="40">
        <f t="shared" si="91"/>
        <v>1689.02533920122</v>
      </c>
      <c r="Z171" s="40">
        <f t="shared" si="92"/>
        <v>1032.8636464232147</v>
      </c>
      <c r="AA171" s="40">
        <f t="shared" si="93"/>
        <v>1721.1834774406766</v>
      </c>
      <c r="AB171" s="40">
        <f t="shared" si="94"/>
        <v>1590.1091843850932</v>
      </c>
      <c r="AC171" s="40">
        <f t="shared" si="95"/>
        <v>1721.1834774406766</v>
      </c>
      <c r="AD171" s="41">
        <f t="shared" si="96"/>
        <v>0.80307265970003794</v>
      </c>
      <c r="AE171" s="41">
        <f t="shared" si="97"/>
        <v>0.30878449909517658</v>
      </c>
      <c r="AF171" s="64">
        <f t="shared" si="98"/>
        <v>4.1268397884668522</v>
      </c>
      <c r="AG171" s="64">
        <f>APPLICANTS_PER_YEAR*($H171/Segments!$AH$2)*AE171</f>
        <v>4.0759553880563315</v>
      </c>
      <c r="AH171" s="64">
        <f t="shared" si="99"/>
        <v>8.2027951765231837</v>
      </c>
      <c r="AI171" s="40">
        <f t="shared" si="100"/>
        <v>1721.1834774406764</v>
      </c>
      <c r="AJ171" s="65">
        <f t="shared" si="101"/>
        <v>14118.51552666178</v>
      </c>
      <c r="AK171" s="65">
        <f t="shared" si="102"/>
        <v>9489.0532093128732</v>
      </c>
      <c r="AL171" s="65">
        <f t="shared" si="103"/>
        <v>3179.8955701757236</v>
      </c>
      <c r="AM171" s="40">
        <f t="shared" si="104"/>
        <v>1738.446099377257</v>
      </c>
      <c r="AN171" s="40">
        <f t="shared" si="105"/>
        <v>1063.8495558159111</v>
      </c>
      <c r="AO171" s="40">
        <f t="shared" si="106"/>
        <v>1771.568981763897</v>
      </c>
      <c r="AP171" s="40">
        <f t="shared" si="107"/>
        <v>1637.2349540909677</v>
      </c>
      <c r="AQ171" s="40">
        <f t="shared" si="108"/>
        <v>1771.568981763897</v>
      </c>
      <c r="AR171" s="41">
        <f t="shared" si="109"/>
        <v>0.80325938963120069</v>
      </c>
      <c r="AS171" s="41">
        <f t="shared" si="110"/>
        <v>0.30897533602698002</v>
      </c>
      <c r="AT171" s="64">
        <f t="shared" si="111"/>
        <v>4.1304377734611801</v>
      </c>
      <c r="AU171" s="64">
        <f>APPLICANTS_PER_YEAR*($H171/Segments!$AH$2)*AS171</f>
        <v>4.0784744355561369</v>
      </c>
      <c r="AV171" s="64">
        <f t="shared" si="112"/>
        <v>8.208912209017317</v>
      </c>
      <c r="AW171" s="40">
        <f t="shared" si="113"/>
        <v>1771.568981763897</v>
      </c>
      <c r="AX171" s="65">
        <f t="shared" si="114"/>
        <v>14542.654243518031</v>
      </c>
      <c r="AY171" s="65">
        <f t="shared" si="115"/>
        <v>9781.0133201702683</v>
      </c>
      <c r="AZ171" s="65">
        <f t="shared" si="116"/>
        <v>3267.5872151973472</v>
      </c>
    </row>
    <row r="172" spans="1:52" ht="15" customHeight="1" x14ac:dyDescent="0.35">
      <c r="A172" s="61" t="str">
        <f>Segments!$A$152</f>
        <v>Non-greek</v>
      </c>
      <c r="B172" s="61" t="str">
        <f>Segments!$B$152</f>
        <v>Off 3-6mi</v>
      </c>
      <c r="C172" s="61" t="str">
        <f>Segments!$C$152</f>
        <v>No</v>
      </c>
      <c r="D172" s="61" t="str">
        <f>Segments!$D$152</f>
        <v>1.0-2.0</v>
      </c>
      <c r="E172" s="61" t="str">
        <f>Segments!$E$152</f>
        <v>Junior</v>
      </c>
      <c r="F172" s="61">
        <f>Segments!$F$152</f>
        <v>2</v>
      </c>
      <c r="G172" s="61" t="str">
        <f>Segments!$G$152</f>
        <v>Base</v>
      </c>
      <c r="H172" s="62">
        <f>Segments!$H$152</f>
        <v>16</v>
      </c>
      <c r="I172" s="63">
        <f>Segments!$Y$152</f>
        <v>1198.7491931298221</v>
      </c>
      <c r="J172" s="42">
        <v>2</v>
      </c>
      <c r="K172" s="40">
        <f t="shared" si="78"/>
        <v>1426.2297754450396</v>
      </c>
      <c r="L172" s="40">
        <f t="shared" si="79"/>
        <v>1198.7491931298221</v>
      </c>
      <c r="M172" s="40">
        <f t="shared" si="80"/>
        <v>1990.9263087650208</v>
      </c>
      <c r="N172" s="40">
        <f t="shared" si="81"/>
        <v>1685.0870548068303</v>
      </c>
      <c r="O172" s="40">
        <f t="shared" si="82"/>
        <v>1782.7872193062994</v>
      </c>
      <c r="P172" s="41">
        <f t="shared" si="83"/>
        <v>0.74601035100211222</v>
      </c>
      <c r="Q172" s="41">
        <f t="shared" si="84"/>
        <v>0.25925120067661711</v>
      </c>
      <c r="R172" s="64">
        <f t="shared" si="85"/>
        <v>8.2061138610232351</v>
      </c>
      <c r="S172" s="64">
        <f>APPLICANTS_PER_YEAR*($H172/Segments!$AH$2)*Q172</f>
        <v>4.9776230529910483</v>
      </c>
      <c r="T172" s="64">
        <f t="shared" si="86"/>
        <v>13.183736914014283</v>
      </c>
      <c r="U172" s="40">
        <f t="shared" si="87"/>
        <v>1861.3717615097314</v>
      </c>
      <c r="V172" s="65">
        <f t="shared" si="88"/>
        <v>24539.835602919637</v>
      </c>
      <c r="W172" s="65">
        <f t="shared" si="89"/>
        <v>17700.47326668373</v>
      </c>
      <c r="X172" s="65">
        <f t="shared" si="90"/>
        <v>5372.9970677529027</v>
      </c>
      <c r="Y172" s="40">
        <f t="shared" si="91"/>
        <v>1672.265512078327</v>
      </c>
      <c r="Z172" s="40">
        <f t="shared" si="92"/>
        <v>1234.7116689237168</v>
      </c>
      <c r="AA172" s="40">
        <f t="shared" si="93"/>
        <v>2049.4040980279715</v>
      </c>
      <c r="AB172" s="40">
        <f t="shared" si="94"/>
        <v>1735.1105961645137</v>
      </c>
      <c r="AC172" s="40">
        <f t="shared" si="95"/>
        <v>2049.4040980279715</v>
      </c>
      <c r="AD172" s="41">
        <f t="shared" si="96"/>
        <v>0.69177361442069796</v>
      </c>
      <c r="AE172" s="41">
        <f t="shared" si="97"/>
        <v>0.25943127701536484</v>
      </c>
      <c r="AF172" s="64">
        <f t="shared" si="98"/>
        <v>10.147669425633103</v>
      </c>
      <c r="AG172" s="64">
        <f>APPLICANTS_PER_YEAR*($H172/Segments!$AH$2)*AE172</f>
        <v>4.9810805186950047</v>
      </c>
      <c r="AH172" s="64">
        <f t="shared" si="99"/>
        <v>15.128749944328106</v>
      </c>
      <c r="AI172" s="40">
        <f t="shared" si="100"/>
        <v>2049.4040980279719</v>
      </c>
      <c r="AJ172" s="65">
        <f t="shared" si="101"/>
        <v>31004.922133946471</v>
      </c>
      <c r="AK172" s="65">
        <f t="shared" si="102"/>
        <v>20921.201383589858</v>
      </c>
      <c r="AL172" s="65">
        <f t="shared" si="103"/>
        <v>6644.3209341365491</v>
      </c>
      <c r="AM172" s="40">
        <f t="shared" si="104"/>
        <v>1721.1834774406764</v>
      </c>
      <c r="AN172" s="40">
        <f t="shared" si="105"/>
        <v>1271.7530189914282</v>
      </c>
      <c r="AO172" s="40">
        <f t="shared" si="106"/>
        <v>2109.6362209688104</v>
      </c>
      <c r="AP172" s="40">
        <f t="shared" si="107"/>
        <v>1786.6346847410039</v>
      </c>
      <c r="AQ172" s="40">
        <f t="shared" si="108"/>
        <v>2109.6362209688104</v>
      </c>
      <c r="AR172" s="41">
        <f t="shared" si="109"/>
        <v>0.69189936236236549</v>
      </c>
      <c r="AS172" s="41">
        <f t="shared" si="110"/>
        <v>0.25960616096103895</v>
      </c>
      <c r="AT172" s="64">
        <f t="shared" si="111"/>
        <v>5.6755087522254781</v>
      </c>
      <c r="AU172" s="64">
        <f>APPLICANTS_PER_YEAR*($H172/Segments!$AH$2)*AS172</f>
        <v>4.9844382904519478</v>
      </c>
      <c r="AV172" s="64">
        <f t="shared" si="112"/>
        <v>10.659947042677427</v>
      </c>
      <c r="AW172" s="40">
        <f t="shared" si="113"/>
        <v>2109.63622096881</v>
      </c>
      <c r="AX172" s="65">
        <f t="shared" si="114"/>
        <v>22488.610394841649</v>
      </c>
      <c r="AY172" s="65">
        <f t="shared" si="115"/>
        <v>15183.638213871418</v>
      </c>
      <c r="AZ172" s="65">
        <f t="shared" si="116"/>
        <v>4956.1945672951642</v>
      </c>
    </row>
    <row r="173" spans="1:52" ht="15" customHeight="1" x14ac:dyDescent="0.35">
      <c r="A173" s="61" t="str">
        <f>Segments!$A$153</f>
        <v>Non-greek</v>
      </c>
      <c r="B173" s="61" t="str">
        <f>Segments!$B$153</f>
        <v>Off 3-6mi</v>
      </c>
      <c r="C173" s="61" t="str">
        <f>Segments!$C$153</f>
        <v>No</v>
      </c>
      <c r="D173" s="61" t="str">
        <f>Segments!$D$153</f>
        <v>1.0-2.0</v>
      </c>
      <c r="E173" s="61" t="str">
        <f>Segments!$E$153</f>
        <v>Senior</v>
      </c>
      <c r="F173" s="61">
        <f>Segments!$F$153</f>
        <v>3</v>
      </c>
      <c r="G173" s="61" t="str">
        <f>Segments!$G$153</f>
        <v>Base</v>
      </c>
      <c r="H173" s="62">
        <f>Segments!$H$153</f>
        <v>9</v>
      </c>
      <c r="I173" s="63">
        <f>Segments!$Y$153</f>
        <v>1120.4558342484397</v>
      </c>
      <c r="J173" s="42">
        <v>3</v>
      </c>
      <c r="K173" s="40">
        <f t="shared" si="78"/>
        <v>1426.2297754450396</v>
      </c>
      <c r="L173" s="40">
        <f t="shared" si="79"/>
        <v>1120.4558342484397</v>
      </c>
      <c r="M173" s="40">
        <f t="shared" si="80"/>
        <v>1863.6152035009245</v>
      </c>
      <c r="N173" s="40">
        <f t="shared" si="81"/>
        <v>1630.3200585176783</v>
      </c>
      <c r="O173" s="40">
        <f t="shared" si="82"/>
        <v>1782.7872193062994</v>
      </c>
      <c r="P173" s="41">
        <f t="shared" si="83"/>
        <v>0.72824011380708664</v>
      </c>
      <c r="Q173" s="41">
        <f t="shared" si="84"/>
        <v>0.27845112106534364</v>
      </c>
      <c r="R173" s="64">
        <f t="shared" si="85"/>
        <v>11.651841820913386</v>
      </c>
      <c r="S173" s="64">
        <f>APPLICANTS_PER_YEAR*($H173/Segments!$AH$2)*Q173</f>
        <v>3.0072721075057109</v>
      </c>
      <c r="T173" s="64">
        <f t="shared" si="86"/>
        <v>14.659113928419098</v>
      </c>
      <c r="U173" s="40">
        <f t="shared" si="87"/>
        <v>1799.3688315075099</v>
      </c>
      <c r="V173" s="65">
        <f t="shared" si="88"/>
        <v>26377.152700314935</v>
      </c>
      <c r="W173" s="65">
        <f t="shared" si="89"/>
        <v>18395.876493130916</v>
      </c>
      <c r="X173" s="65">
        <f t="shared" si="90"/>
        <v>5549.7998723369637</v>
      </c>
      <c r="Y173" s="40">
        <f t="shared" si="91"/>
        <v>1861.3717615097314</v>
      </c>
      <c r="Z173" s="40">
        <f t="shared" si="92"/>
        <v>1154.0695092758929</v>
      </c>
      <c r="AA173" s="40">
        <f t="shared" si="93"/>
        <v>1918.2736596059522</v>
      </c>
      <c r="AB173" s="40">
        <f t="shared" si="94"/>
        <v>1678.6828113450706</v>
      </c>
      <c r="AC173" s="40">
        <f t="shared" si="95"/>
        <v>1918.2736596059522</v>
      </c>
      <c r="AD173" s="41">
        <f t="shared" si="96"/>
        <v>0.76946628675068396</v>
      </c>
      <c r="AE173" s="41">
        <f t="shared" si="97"/>
        <v>0.27863724860895378</v>
      </c>
      <c r="AF173" s="64">
        <f t="shared" si="98"/>
        <v>10.144441088724491</v>
      </c>
      <c r="AG173" s="64">
        <f>APPLICANTS_PER_YEAR*($H173/Segments!$AH$2)*AE173</f>
        <v>3.0092822849767007</v>
      </c>
      <c r="AH173" s="64">
        <f t="shared" si="99"/>
        <v>13.153723373701192</v>
      </c>
      <c r="AI173" s="40">
        <f t="shared" si="100"/>
        <v>1918.2736596059519</v>
      </c>
      <c r="AJ173" s="65">
        <f t="shared" si="101"/>
        <v>25232.441073514135</v>
      </c>
      <c r="AK173" s="65">
        <f t="shared" si="102"/>
        <v>17001.94840852276</v>
      </c>
      <c r="AL173" s="65">
        <f t="shared" si="103"/>
        <v>5309.2798304482494</v>
      </c>
      <c r="AM173" s="40">
        <f t="shared" si="104"/>
        <v>2049.4040980279719</v>
      </c>
      <c r="AN173" s="40">
        <f t="shared" si="105"/>
        <v>1188.6915945541696</v>
      </c>
      <c r="AO173" s="40">
        <f t="shared" si="106"/>
        <v>1974.5718693941305</v>
      </c>
      <c r="AP173" s="40">
        <f t="shared" si="107"/>
        <v>1728.4962711541339</v>
      </c>
      <c r="AQ173" s="40">
        <f t="shared" si="108"/>
        <v>1974.5718693941305</v>
      </c>
      <c r="AR173" s="41">
        <f t="shared" si="109"/>
        <v>0.77881801299007436</v>
      </c>
      <c r="AS173" s="41">
        <f t="shared" si="110"/>
        <v>0.27881801299007436</v>
      </c>
      <c r="AT173" s="64">
        <f t="shared" si="111"/>
        <v>11.782542970665315</v>
      </c>
      <c r="AU173" s="64">
        <f>APPLICANTS_PER_YEAR*($H173/Segments!$AH$2)*AS173</f>
        <v>3.0112345402928029</v>
      </c>
      <c r="AV173" s="64">
        <f t="shared" si="112"/>
        <v>14.793777510958117</v>
      </c>
      <c r="AW173" s="40">
        <f t="shared" si="113"/>
        <v>1974.5718693941305</v>
      </c>
      <c r="AX173" s="65">
        <f t="shared" si="114"/>
        <v>29211.376915213415</v>
      </c>
      <c r="AY173" s="65">
        <f t="shared" si="115"/>
        <v>19695.46765645807</v>
      </c>
      <c r="AZ173" s="65">
        <f t="shared" si="116"/>
        <v>6100.2131162411724</v>
      </c>
    </row>
    <row r="174" spans="1:52" ht="15" customHeight="1" x14ac:dyDescent="0.35">
      <c r="A174" s="61" t="str">
        <f>Segments!$A$154</f>
        <v>Non-greek</v>
      </c>
      <c r="B174" s="61" t="str">
        <f>Segments!$B$154</f>
        <v>Off 3-6mi</v>
      </c>
      <c r="C174" s="61" t="str">
        <f>Segments!$C$154</f>
        <v>No</v>
      </c>
      <c r="D174" s="61" t="str">
        <f>Segments!$D$154</f>
        <v>1.0-2.0</v>
      </c>
      <c r="E174" s="61" t="str">
        <f>Segments!$E$154</f>
        <v>Grad student</v>
      </c>
      <c r="F174" s="61">
        <f>Segments!$F$154</f>
        <v>3</v>
      </c>
      <c r="G174" s="61" t="str">
        <f>Segments!$G$154</f>
        <v>Grad</v>
      </c>
      <c r="H174" s="62">
        <f>Segments!$H$154</f>
        <v>3</v>
      </c>
      <c r="I174" s="63">
        <f>Segments!$Y$154</f>
        <v>1334.1048311309291</v>
      </c>
      <c r="J174" s="42">
        <v>4</v>
      </c>
      <c r="K174" s="40">
        <f t="shared" si="78"/>
        <v>1426.2297754450396</v>
      </c>
      <c r="L174" s="40">
        <f t="shared" si="79"/>
        <v>1334.1048311309291</v>
      </c>
      <c r="M174" s="40">
        <f t="shared" si="80"/>
        <v>2211.0251284331803</v>
      </c>
      <c r="N174" s="40">
        <f t="shared" si="81"/>
        <v>1775.7899291381834</v>
      </c>
      <c r="O174" s="40">
        <f t="shared" si="82"/>
        <v>1782.7872193062994</v>
      </c>
      <c r="P174" s="41">
        <f t="shared" si="83"/>
        <v>0.77302980914203301</v>
      </c>
      <c r="Q174" s="41">
        <f t="shared" si="84"/>
        <v>0.22745307253031255</v>
      </c>
      <c r="R174" s="64">
        <f t="shared" si="85"/>
        <v>1.1595447137130495</v>
      </c>
      <c r="S174" s="64">
        <f>APPLICANTS_PER_YEAR*($H174/Segments!$AH$2)*Q174</f>
        <v>0.81883106110912507</v>
      </c>
      <c r="T174" s="64">
        <f t="shared" si="86"/>
        <v>1.9783757748221746</v>
      </c>
      <c r="U174" s="40">
        <f t="shared" si="87"/>
        <v>1960.0308481457373</v>
      </c>
      <c r="V174" s="65">
        <f t="shared" si="88"/>
        <v>3877.6775478756872</v>
      </c>
      <c r="W174" s="65">
        <f t="shared" si="89"/>
        <v>2956.0839604605781</v>
      </c>
      <c r="X174" s="65">
        <f t="shared" si="90"/>
        <v>856.28531039456232</v>
      </c>
      <c r="Y174" s="40">
        <f t="shared" si="91"/>
        <v>1960.0308481457373</v>
      </c>
      <c r="Z174" s="40">
        <f t="shared" si="92"/>
        <v>1374.127976064857</v>
      </c>
      <c r="AA174" s="40">
        <f t="shared" si="93"/>
        <v>2276.1058822861755</v>
      </c>
      <c r="AB174" s="40">
        <f t="shared" si="94"/>
        <v>1828.5615879219411</v>
      </c>
      <c r="AC174" s="40">
        <f t="shared" si="95"/>
        <v>2276.1058822861755</v>
      </c>
      <c r="AD174" s="41">
        <f t="shared" si="96"/>
        <v>0.67924587808918191</v>
      </c>
      <c r="AE174" s="41">
        <f t="shared" si="97"/>
        <v>0.22762394843018552</v>
      </c>
      <c r="AF174" s="64">
        <f t="shared" si="98"/>
        <v>0.67190179517972681</v>
      </c>
      <c r="AG174" s="64">
        <f>APPLICANTS_PER_YEAR*($H174/Segments!$AH$2)*AE174</f>
        <v>0.81944621434866782</v>
      </c>
      <c r="AH174" s="64">
        <f t="shared" si="99"/>
        <v>1.4913480095283946</v>
      </c>
      <c r="AI174" s="40">
        <f t="shared" si="100"/>
        <v>2276.1058822861755</v>
      </c>
      <c r="AJ174" s="65">
        <f t="shared" si="101"/>
        <v>3394.4659770233584</v>
      </c>
      <c r="AK174" s="65">
        <f t="shared" si="102"/>
        <v>2295.2193845745987</v>
      </c>
      <c r="AL174" s="65">
        <f t="shared" si="103"/>
        <v>757.14730741106428</v>
      </c>
      <c r="AM174" s="40">
        <f t="shared" si="104"/>
        <v>2276.1058822861755</v>
      </c>
      <c r="AN174" s="40">
        <f t="shared" si="105"/>
        <v>1415.3518153468026</v>
      </c>
      <c r="AO174" s="40">
        <f t="shared" si="106"/>
        <v>2343.1390587547603</v>
      </c>
      <c r="AP174" s="40">
        <f t="shared" si="107"/>
        <v>1882.9162606034304</v>
      </c>
      <c r="AQ174" s="40">
        <f t="shared" si="108"/>
        <v>2343.1390587547603</v>
      </c>
      <c r="AR174" s="41">
        <f t="shared" si="109"/>
        <v>0.71895464733602499</v>
      </c>
      <c r="AS174" s="41">
        <f t="shared" si="110"/>
        <v>0.22778989225897928</v>
      </c>
      <c r="AT174" s="64">
        <f t="shared" si="111"/>
        <v>0.53610579112288492</v>
      </c>
      <c r="AU174" s="64">
        <f>APPLICANTS_PER_YEAR*($H174/Segments!$AH$2)*AS174</f>
        <v>0.82004361213232535</v>
      </c>
      <c r="AV174" s="64">
        <f t="shared" si="112"/>
        <v>1.3561494032552104</v>
      </c>
      <c r="AW174" s="40">
        <f t="shared" si="113"/>
        <v>2343.1390587547598</v>
      </c>
      <c r="AX174" s="65">
        <f t="shared" si="114"/>
        <v>3177.6466362742431</v>
      </c>
      <c r="AY174" s="65">
        <f t="shared" si="115"/>
        <v>2149.7599421521945</v>
      </c>
      <c r="AZ174" s="65">
        <f t="shared" si="116"/>
        <v>715.4509602356801</v>
      </c>
    </row>
    <row r="175" spans="1:52" ht="15" customHeight="1" x14ac:dyDescent="0.35">
      <c r="A175" s="59" t="str">
        <f>Segments!$A$155</f>
        <v>Non-greek</v>
      </c>
      <c r="B175" s="59" t="str">
        <f>Segments!$B$155</f>
        <v>Off 3-6mi</v>
      </c>
      <c r="C175" s="59" t="str">
        <f>Segments!$C$155</f>
        <v>No</v>
      </c>
      <c r="D175" s="59" t="str">
        <f>Segments!$D$155</f>
        <v>2.0-3.0</v>
      </c>
      <c r="E175" s="59" t="str">
        <f>Segments!$E$155</f>
        <v>Freshman</v>
      </c>
      <c r="F175" s="59">
        <f>Segments!$F$155</f>
        <v>1</v>
      </c>
      <c r="G175" s="59" t="str">
        <f>Segments!$G$155</f>
        <v>Base</v>
      </c>
      <c r="H175" s="60">
        <f>Segments!$H$155</f>
        <v>24</v>
      </c>
      <c r="I175" s="26">
        <f>Segments!$Y$155</f>
        <v>995.54018839421497</v>
      </c>
      <c r="J175" s="29">
        <v>0</v>
      </c>
      <c r="K175" s="14">
        <f t="shared" si="78"/>
        <v>1660.4926249617445</v>
      </c>
      <c r="L175" s="14">
        <f t="shared" si="79"/>
        <v>995.54018839421497</v>
      </c>
      <c r="M175" s="14">
        <f t="shared" si="80"/>
        <v>1660.4926249617445</v>
      </c>
      <c r="N175" s="14">
        <f t="shared" si="81"/>
        <v>1538.9100115430185</v>
      </c>
      <c r="O175" s="14">
        <f t="shared" si="82"/>
        <v>1660.4926249617445</v>
      </c>
      <c r="P175" s="33">
        <f t="shared" si="83"/>
        <v>0.81049716601140998</v>
      </c>
      <c r="Q175" s="33">
        <f t="shared" si="84"/>
        <v>0.31049716601140998</v>
      </c>
      <c r="R175" s="51">
        <f t="shared" si="85"/>
        <v>0</v>
      </c>
      <c r="S175" s="51">
        <f>APPLICANTS_PER_YEAR*($H175/Segments!$AH$2)*Q175</f>
        <v>8.9423183811286062</v>
      </c>
      <c r="T175" s="51">
        <f t="shared" si="86"/>
        <v>8.9423183811286062</v>
      </c>
      <c r="U175" s="14">
        <f t="shared" si="87"/>
        <v>1660.4926249617445</v>
      </c>
      <c r="V175" s="44">
        <f t="shared" si="88"/>
        <v>14848.653721923896</v>
      </c>
      <c r="W175" s="44">
        <f t="shared" si="89"/>
        <v>9970.7298049294041</v>
      </c>
      <c r="X175" s="44">
        <f t="shared" si="90"/>
        <v>3728.5027608617402</v>
      </c>
      <c r="Y175" s="14">
        <f t="shared" si="91"/>
        <v>1709.0574037105969</v>
      </c>
      <c r="Z175" s="14">
        <f t="shared" si="92"/>
        <v>1025.4063940460414</v>
      </c>
      <c r="AA175" s="14">
        <f t="shared" si="93"/>
        <v>1709.0574037105969</v>
      </c>
      <c r="AB175" s="14">
        <f t="shared" si="94"/>
        <v>1584.497969020583</v>
      </c>
      <c r="AC175" s="14">
        <f t="shared" si="95"/>
        <v>1709.0574037105969</v>
      </c>
      <c r="AD175" s="33">
        <f t="shared" si="96"/>
        <v>0.81069435331400042</v>
      </c>
      <c r="AE175" s="33">
        <f t="shared" si="97"/>
        <v>0.31069435331400042</v>
      </c>
      <c r="AF175" s="51">
        <f t="shared" si="98"/>
        <v>0</v>
      </c>
      <c r="AG175" s="51">
        <f>APPLICANTS_PER_YEAR*($H175/Segments!$AH$2)*AE175</f>
        <v>8.9479973754432116</v>
      </c>
      <c r="AH175" s="51">
        <f t="shared" si="99"/>
        <v>8.9479973754432116</v>
      </c>
      <c r="AI175" s="14">
        <f t="shared" si="100"/>
        <v>1709.0574037105969</v>
      </c>
      <c r="AJ175" s="44">
        <f t="shared" si="101"/>
        <v>15292.641162884211</v>
      </c>
      <c r="AK175" s="44">
        <f t="shared" si="102"/>
        <v>10276.373769409067</v>
      </c>
      <c r="AL175" s="44">
        <f t="shared" si="103"/>
        <v>3828.2115023810079</v>
      </c>
      <c r="AM175" s="14">
        <f t="shared" si="104"/>
        <v>1759.0791258219144</v>
      </c>
      <c r="AN175" s="14">
        <f t="shared" si="105"/>
        <v>1056.1685858674225</v>
      </c>
      <c r="AO175" s="14">
        <f t="shared" si="106"/>
        <v>1759.0791258219144</v>
      </c>
      <c r="AP175" s="14">
        <f t="shared" si="107"/>
        <v>1631.4533564069977</v>
      </c>
      <c r="AQ175" s="14">
        <f t="shared" si="108"/>
        <v>1759.0791258219144</v>
      </c>
      <c r="AR175" s="33">
        <f t="shared" si="109"/>
        <v>0.81088586630021986</v>
      </c>
      <c r="AS175" s="33">
        <f t="shared" si="110"/>
        <v>0.31088586630021986</v>
      </c>
      <c r="AT175" s="51">
        <f t="shared" si="111"/>
        <v>0</v>
      </c>
      <c r="AU175" s="51">
        <f>APPLICANTS_PER_YEAR*($H175/Segments!$AH$2)*AS175</f>
        <v>8.9535129494463312</v>
      </c>
      <c r="AV175" s="51">
        <f t="shared" si="112"/>
        <v>8.9535129494463312</v>
      </c>
      <c r="AW175" s="14">
        <f t="shared" si="113"/>
        <v>1759.0791258219144</v>
      </c>
      <c r="AX175" s="44">
        <f t="shared" si="114"/>
        <v>15749.937732147244</v>
      </c>
      <c r="AY175" s="44">
        <f t="shared" si="115"/>
        <v>10591.189403605875</v>
      </c>
      <c r="AZ175" s="44">
        <f t="shared" si="116"/>
        <v>3930.8941347260679</v>
      </c>
    </row>
    <row r="176" spans="1:52" ht="15" customHeight="1" x14ac:dyDescent="0.35">
      <c r="A176" s="59" t="str">
        <f>Segments!$A$156</f>
        <v>Non-greek</v>
      </c>
      <c r="B176" s="59" t="str">
        <f>Segments!$B$156</f>
        <v>Off 3-6mi</v>
      </c>
      <c r="C176" s="59" t="str">
        <f>Segments!$C$156</f>
        <v>No</v>
      </c>
      <c r="D176" s="59" t="str">
        <f>Segments!$D$156</f>
        <v>2.0-3.0</v>
      </c>
      <c r="E176" s="59" t="str">
        <f>Segments!$E$156</f>
        <v>Sophomore</v>
      </c>
      <c r="F176" s="59">
        <f>Segments!$F$156</f>
        <v>1</v>
      </c>
      <c r="G176" s="59" t="str">
        <f>Segments!$G$156</f>
        <v>Sophomore</v>
      </c>
      <c r="H176" s="60">
        <f>Segments!$H$156</f>
        <v>18</v>
      </c>
      <c r="I176" s="26">
        <f>Segments!$Y$156</f>
        <v>985.41180425446419</v>
      </c>
      <c r="J176" s="29">
        <v>1</v>
      </c>
      <c r="K176" s="14">
        <f t="shared" si="78"/>
        <v>1426.2297754450396</v>
      </c>
      <c r="L176" s="14">
        <f t="shared" si="79"/>
        <v>985.41180425446419</v>
      </c>
      <c r="M176" s="14">
        <f t="shared" si="80"/>
        <v>1644.0230827452126</v>
      </c>
      <c r="N176" s="14">
        <f t="shared" si="81"/>
        <v>1531.2591786272392</v>
      </c>
      <c r="O176" s="14">
        <f t="shared" si="82"/>
        <v>1644.0230827452126</v>
      </c>
      <c r="P176" s="33">
        <f t="shared" si="83"/>
        <v>0.7673676669705084</v>
      </c>
      <c r="Q176" s="33">
        <f t="shared" si="84"/>
        <v>0.31317935405975317</v>
      </c>
      <c r="R176" s="51">
        <f t="shared" si="85"/>
        <v>18.416824007292202</v>
      </c>
      <c r="S176" s="51">
        <f>APPLICANTS_PER_YEAR*($H176/Segments!$AH$2)*Q176</f>
        <v>6.7646740476906677</v>
      </c>
      <c r="T176" s="51">
        <f t="shared" si="86"/>
        <v>25.181498054982871</v>
      </c>
      <c r="U176" s="14">
        <f t="shared" si="87"/>
        <v>1644.0230827452126</v>
      </c>
      <c r="V176" s="44">
        <f t="shared" si="88"/>
        <v>41398.964060495513</v>
      </c>
      <c r="W176" s="44">
        <f t="shared" si="89"/>
        <v>27791.842884053869</v>
      </c>
      <c r="X176" s="44">
        <f t="shared" si="90"/>
        <v>8886.3958295833581</v>
      </c>
      <c r="Y176" s="14">
        <f t="shared" si="91"/>
        <v>1660.4926249617445</v>
      </c>
      <c r="Z176" s="14">
        <f t="shared" si="92"/>
        <v>1014.9741583820982</v>
      </c>
      <c r="AA176" s="14">
        <f t="shared" si="93"/>
        <v>1692.093775227569</v>
      </c>
      <c r="AB176" s="14">
        <f t="shared" si="94"/>
        <v>1576.6147154035471</v>
      </c>
      <c r="AC176" s="14">
        <f t="shared" si="95"/>
        <v>1692.093775227569</v>
      </c>
      <c r="AD176" s="33">
        <f t="shared" si="96"/>
        <v>0.80766817002576752</v>
      </c>
      <c r="AE176" s="33">
        <f t="shared" si="97"/>
        <v>0.31337752695830179</v>
      </c>
      <c r="AF176" s="51">
        <f t="shared" si="98"/>
        <v>7.2224259226739251</v>
      </c>
      <c r="AG176" s="51">
        <f>APPLICANTS_PER_YEAR*($H176/Segments!$AH$2)*AE176</f>
        <v>6.768954582299318</v>
      </c>
      <c r="AH176" s="51">
        <f t="shared" si="99"/>
        <v>13.991380504973243</v>
      </c>
      <c r="AI176" s="14">
        <f t="shared" si="100"/>
        <v>1692.093775227569</v>
      </c>
      <c r="AJ176" s="44">
        <f t="shared" si="101"/>
        <v>23674.727859305585</v>
      </c>
      <c r="AK176" s="44">
        <f t="shared" si="102"/>
        <v>15904.996410955584</v>
      </c>
      <c r="AL176" s="44">
        <f t="shared" si="103"/>
        <v>5324.4547470384414</v>
      </c>
      <c r="AM176" s="14">
        <f t="shared" si="104"/>
        <v>1709.0574037105969</v>
      </c>
      <c r="AN176" s="14">
        <f t="shared" si="105"/>
        <v>1045.4233831335609</v>
      </c>
      <c r="AO176" s="14">
        <f t="shared" si="106"/>
        <v>1741.6065884843958</v>
      </c>
      <c r="AP176" s="14">
        <f t="shared" si="107"/>
        <v>1623.3307063196985</v>
      </c>
      <c r="AQ176" s="14">
        <f t="shared" si="108"/>
        <v>1741.6065884843958</v>
      </c>
      <c r="AR176" s="33">
        <f t="shared" si="109"/>
        <v>0.80785646513317122</v>
      </c>
      <c r="AS176" s="33">
        <f t="shared" si="110"/>
        <v>0.31356999787404871</v>
      </c>
      <c r="AT176" s="51">
        <f t="shared" si="111"/>
        <v>7.2286975297464462</v>
      </c>
      <c r="AU176" s="51">
        <f>APPLICANTS_PER_YEAR*($H176/Segments!$AH$2)*AS176</f>
        <v>6.7731119540794511</v>
      </c>
      <c r="AV176" s="51">
        <f t="shared" si="112"/>
        <v>14.001809483825898</v>
      </c>
      <c r="AW176" s="14">
        <f t="shared" si="113"/>
        <v>1741.6065884843958</v>
      </c>
      <c r="AX176" s="44">
        <f t="shared" si="114"/>
        <v>24385.643647734483</v>
      </c>
      <c r="AY176" s="44">
        <f t="shared" si="115"/>
        <v>16394.357325441593</v>
      </c>
      <c r="AZ176" s="44">
        <f t="shared" si="116"/>
        <v>5471.1140120821728</v>
      </c>
    </row>
    <row r="177" spans="1:52" ht="15" customHeight="1" x14ac:dyDescent="0.35">
      <c r="A177" s="59" t="str">
        <f>Segments!$A$157</f>
        <v>Non-greek</v>
      </c>
      <c r="B177" s="59" t="str">
        <f>Segments!$B$157</f>
        <v>Off 3-6mi</v>
      </c>
      <c r="C177" s="59" t="str">
        <f>Segments!$C$157</f>
        <v>No</v>
      </c>
      <c r="D177" s="59" t="str">
        <f>Segments!$D$157</f>
        <v>2.0-3.0</v>
      </c>
      <c r="E177" s="59" t="str">
        <f>Segments!$E$157</f>
        <v>Junior</v>
      </c>
      <c r="F177" s="59">
        <f>Segments!$F$157</f>
        <v>2</v>
      </c>
      <c r="G177" s="59" t="str">
        <f>Segments!$G$157</f>
        <v>Base</v>
      </c>
      <c r="H177" s="60">
        <f>Segments!$H$157</f>
        <v>15</v>
      </c>
      <c r="I177" s="26">
        <f>Segments!$Y$157</f>
        <v>1177.9865208941812</v>
      </c>
      <c r="J177" s="29">
        <v>2</v>
      </c>
      <c r="K177" s="14">
        <f t="shared" si="78"/>
        <v>1426.2297754450396</v>
      </c>
      <c r="L177" s="14">
        <f t="shared" si="79"/>
        <v>1177.9865208941812</v>
      </c>
      <c r="M177" s="14">
        <f t="shared" si="80"/>
        <v>1957.1645850591783</v>
      </c>
      <c r="N177" s="14">
        <f t="shared" si="81"/>
        <v>1670.7382819154939</v>
      </c>
      <c r="O177" s="14">
        <f t="shared" si="82"/>
        <v>1782.7872193062994</v>
      </c>
      <c r="P177" s="33">
        <f t="shared" si="83"/>
        <v>0.74146723828511851</v>
      </c>
      <c r="Q177" s="33">
        <f t="shared" si="84"/>
        <v>0.26428151666720112</v>
      </c>
      <c r="R177" s="51">
        <f t="shared" si="85"/>
        <v>13.346410289132134</v>
      </c>
      <c r="S177" s="51">
        <f>APPLICANTS_PER_YEAR*($H177/Segments!$AH$2)*Q177</f>
        <v>4.75706730000962</v>
      </c>
      <c r="T177" s="51">
        <f t="shared" si="86"/>
        <v>18.103477589141754</v>
      </c>
      <c r="U177" s="14">
        <f t="shared" si="87"/>
        <v>1828.6085185787872</v>
      </c>
      <c r="V177" s="44">
        <f t="shared" si="88"/>
        <v>33104.173335404776</v>
      </c>
      <c r="W177" s="44">
        <f t="shared" si="89"/>
        <v>23884.730891077143</v>
      </c>
      <c r="X177" s="44">
        <f t="shared" si="90"/>
        <v>7063.5477223658445</v>
      </c>
      <c r="Y177" s="14">
        <f t="shared" si="91"/>
        <v>1644.0230827452126</v>
      </c>
      <c r="Z177" s="14">
        <f t="shared" si="92"/>
        <v>1213.3261165210067</v>
      </c>
      <c r="AA177" s="14">
        <f t="shared" si="93"/>
        <v>2014.6295226109537</v>
      </c>
      <c r="AB177" s="14">
        <f t="shared" si="94"/>
        <v>1720.3268148777775</v>
      </c>
      <c r="AC177" s="14">
        <f t="shared" si="95"/>
        <v>2014.6295226109537</v>
      </c>
      <c r="AD177" s="33">
        <f t="shared" si="96"/>
        <v>0.69683517718301136</v>
      </c>
      <c r="AE177" s="33">
        <f t="shared" si="97"/>
        <v>0.26446314003014437</v>
      </c>
      <c r="AF177" s="51">
        <f t="shared" si="98"/>
        <v>17.547353658877643</v>
      </c>
      <c r="AG177" s="51">
        <f>APPLICANTS_PER_YEAR*($H177/Segments!$AH$2)*AE177</f>
        <v>4.7603365205425989</v>
      </c>
      <c r="AH177" s="51">
        <f t="shared" si="99"/>
        <v>22.307690179420241</v>
      </c>
      <c r="AI177" s="14">
        <f t="shared" si="100"/>
        <v>2014.6295226109535</v>
      </c>
      <c r="AJ177" s="44">
        <f t="shared" si="101"/>
        <v>44941.731216718457</v>
      </c>
      <c r="AK177" s="44">
        <f t="shared" si="102"/>
        <v>30314.483465223737</v>
      </c>
      <c r="AL177" s="44">
        <f t="shared" si="103"/>
        <v>9394.8104237764455</v>
      </c>
      <c r="AM177" s="14">
        <f t="shared" si="104"/>
        <v>1692.093775227569</v>
      </c>
      <c r="AN177" s="14">
        <f t="shared" si="105"/>
        <v>1249.7259000166368</v>
      </c>
      <c r="AO177" s="14">
        <f t="shared" si="106"/>
        <v>2073.8184082892822</v>
      </c>
      <c r="AP177" s="14">
        <f t="shared" si="107"/>
        <v>1771.4028406719904</v>
      </c>
      <c r="AQ177" s="14">
        <f t="shared" si="108"/>
        <v>2073.8184082892822</v>
      </c>
      <c r="AR177" s="33">
        <f t="shared" si="109"/>
        <v>0.6969616056727147</v>
      </c>
      <c r="AS177" s="33">
        <f t="shared" si="110"/>
        <v>0.26463952730747309</v>
      </c>
      <c r="AT177" s="51">
        <f t="shared" si="111"/>
        <v>9.7514550223240697</v>
      </c>
      <c r="AU177" s="51">
        <f>APPLICANTS_PER_YEAR*($H177/Segments!$AH$2)*AS177</f>
        <v>4.7635114915345156</v>
      </c>
      <c r="AV177" s="51">
        <f t="shared" si="112"/>
        <v>14.514966513858585</v>
      </c>
      <c r="AW177" s="14">
        <f t="shared" si="113"/>
        <v>2073.8184082892822</v>
      </c>
      <c r="AX177" s="44">
        <f t="shared" si="114"/>
        <v>30101.40475214244</v>
      </c>
      <c r="AY177" s="44">
        <f t="shared" si="115"/>
        <v>20316.497141072461</v>
      </c>
      <c r="AZ177" s="44">
        <f t="shared" si="116"/>
        <v>6444.3056393939196</v>
      </c>
    </row>
    <row r="178" spans="1:52" ht="15" customHeight="1" x14ac:dyDescent="0.35">
      <c r="A178" s="59" t="str">
        <f>Segments!$A$158</f>
        <v>Non-greek</v>
      </c>
      <c r="B178" s="59" t="str">
        <f>Segments!$B$158</f>
        <v>Off 3-6mi</v>
      </c>
      <c r="C178" s="59" t="str">
        <f>Segments!$C$158</f>
        <v>No</v>
      </c>
      <c r="D178" s="59" t="str">
        <f>Segments!$D$158</f>
        <v>2.0-3.0</v>
      </c>
      <c r="E178" s="59" t="str">
        <f>Segments!$E$158</f>
        <v>Senior</v>
      </c>
      <c r="F178" s="59">
        <f>Segments!$F$158</f>
        <v>3</v>
      </c>
      <c r="G178" s="59" t="str">
        <f>Segments!$G$158</f>
        <v>Base</v>
      </c>
      <c r="H178" s="60">
        <f>Segments!$H$158</f>
        <v>29</v>
      </c>
      <c r="I178" s="26">
        <f>Segments!$Y$158</f>
        <v>1101.0492249473959</v>
      </c>
      <c r="J178" s="29">
        <v>3</v>
      </c>
      <c r="K178" s="14">
        <f t="shared" si="78"/>
        <v>1426.2297754450396</v>
      </c>
      <c r="L178" s="14">
        <f t="shared" si="79"/>
        <v>1101.0492249473959</v>
      </c>
      <c r="M178" s="14">
        <f t="shared" si="80"/>
        <v>1832.0585438449305</v>
      </c>
      <c r="N178" s="14">
        <f t="shared" si="81"/>
        <v>1616.4579937598508</v>
      </c>
      <c r="O178" s="14">
        <f t="shared" si="82"/>
        <v>1782.7872193062994</v>
      </c>
      <c r="P178" s="33">
        <f t="shared" si="83"/>
        <v>0.72355133069076238</v>
      </c>
      <c r="Q178" s="33">
        <f t="shared" si="84"/>
        <v>0.28331080952385379</v>
      </c>
      <c r="R178" s="51">
        <f t="shared" si="85"/>
        <v>10.853269960361436</v>
      </c>
      <c r="S178" s="51">
        <f>APPLICANTS_PER_YEAR*($H178/Segments!$AH$2)*Q178</f>
        <v>9.859216171430111</v>
      </c>
      <c r="T178" s="51">
        <f t="shared" si="86"/>
        <v>20.712486131791547</v>
      </c>
      <c r="U178" s="14">
        <f t="shared" si="87"/>
        <v>1806.2405429000053</v>
      </c>
      <c r="V178" s="44">
        <f t="shared" si="88"/>
        <v>37411.732195495992</v>
      </c>
      <c r="W178" s="44">
        <f t="shared" si="89"/>
        <v>25542.122818399901</v>
      </c>
      <c r="X178" s="44">
        <f t="shared" si="90"/>
        <v>8363.7406546572201</v>
      </c>
      <c r="Y178" s="14">
        <f t="shared" si="91"/>
        <v>1828.6085185787872</v>
      </c>
      <c r="Z178" s="14">
        <f t="shared" si="92"/>
        <v>1134.0807016958179</v>
      </c>
      <c r="AA178" s="14">
        <f t="shared" si="93"/>
        <v>1885.7703001602786</v>
      </c>
      <c r="AB178" s="14">
        <f t="shared" si="94"/>
        <v>1664.4001935504198</v>
      </c>
      <c r="AC178" s="14">
        <f t="shared" si="95"/>
        <v>1885.7703001602786</v>
      </c>
      <c r="AD178" s="33">
        <f t="shared" si="96"/>
        <v>0.77412061917290231</v>
      </c>
      <c r="AE178" s="33">
        <f t="shared" si="97"/>
        <v>0.28349853374576861</v>
      </c>
      <c r="AF178" s="51">
        <f t="shared" si="98"/>
        <v>14.014275280489175</v>
      </c>
      <c r="AG178" s="51">
        <f>APPLICANTS_PER_YEAR*($H178/Segments!$AH$2)*AE178</f>
        <v>9.865748974352746</v>
      </c>
      <c r="AH178" s="51">
        <f t="shared" si="99"/>
        <v>23.880024254841921</v>
      </c>
      <c r="AI178" s="14">
        <f t="shared" si="100"/>
        <v>1885.7703001602783</v>
      </c>
      <c r="AJ178" s="44">
        <f t="shared" si="101"/>
        <v>45032.240506887974</v>
      </c>
      <c r="AK178" s="44">
        <f t="shared" si="102"/>
        <v>30331.699623057593</v>
      </c>
      <c r="AL178" s="44">
        <f t="shared" si="103"/>
        <v>9886.4964394209746</v>
      </c>
      <c r="AM178" s="14">
        <f t="shared" si="104"/>
        <v>2014.6295226109535</v>
      </c>
      <c r="AN178" s="14">
        <f t="shared" si="105"/>
        <v>1168.1031227466924</v>
      </c>
      <c r="AO178" s="14">
        <f t="shared" si="106"/>
        <v>1941.0934091650868</v>
      </c>
      <c r="AP178" s="14">
        <f t="shared" si="107"/>
        <v>1713.7804791720014</v>
      </c>
      <c r="AQ178" s="14">
        <f t="shared" si="108"/>
        <v>1941.0934091650868</v>
      </c>
      <c r="AR178" s="33">
        <f t="shared" si="109"/>
        <v>0.78368084980670638</v>
      </c>
      <c r="AS178" s="33">
        <f t="shared" si="110"/>
        <v>0.28368084980670638</v>
      </c>
      <c r="AT178" s="51">
        <f t="shared" si="111"/>
        <v>17.482109597032775</v>
      </c>
      <c r="AU178" s="51">
        <f>APPLICANTS_PER_YEAR*($H178/Segments!$AH$2)*AS178</f>
        <v>9.8720935732733821</v>
      </c>
      <c r="AV178" s="51">
        <f t="shared" si="112"/>
        <v>27.354203170306157</v>
      </c>
      <c r="AW178" s="14">
        <f t="shared" si="113"/>
        <v>1941.093409165087</v>
      </c>
      <c r="AX178" s="44">
        <f t="shared" si="114"/>
        <v>53097.06348684401</v>
      </c>
      <c r="AY178" s="44">
        <f t="shared" si="115"/>
        <v>35786.833760699948</v>
      </c>
      <c r="AZ178" s="44">
        <f t="shared" si="116"/>
        <v>11499.924353692444</v>
      </c>
    </row>
    <row r="179" spans="1:52" ht="15" customHeight="1" x14ac:dyDescent="0.35">
      <c r="A179" s="59" t="str">
        <f>Segments!$A$159</f>
        <v>Non-greek</v>
      </c>
      <c r="B179" s="59" t="str">
        <f>Segments!$B$159</f>
        <v>Off 3-6mi</v>
      </c>
      <c r="C179" s="59" t="str">
        <f>Segments!$C$159</f>
        <v>No</v>
      </c>
      <c r="D179" s="59" t="str">
        <f>Segments!$D$159</f>
        <v>2.0-3.0</v>
      </c>
      <c r="E179" s="59" t="str">
        <f>Segments!$E$159</f>
        <v>Grad student</v>
      </c>
      <c r="F179" s="59">
        <f>Segments!$F$159</f>
        <v>3</v>
      </c>
      <c r="G179" s="59" t="str">
        <f>Segments!$G$159</f>
        <v>Grad</v>
      </c>
      <c r="H179" s="60">
        <f>Segments!$H$159</f>
        <v>9</v>
      </c>
      <c r="I179" s="26">
        <f>Segments!$Y$159</f>
        <v>1310.9977612822013</v>
      </c>
      <c r="J179" s="29">
        <v>4</v>
      </c>
      <c r="K179" s="14">
        <f t="shared" si="78"/>
        <v>1426.2297754450396</v>
      </c>
      <c r="L179" s="14">
        <f t="shared" si="79"/>
        <v>1310.9977612822013</v>
      </c>
      <c r="M179" s="14">
        <f t="shared" si="80"/>
        <v>2173.4512314400372</v>
      </c>
      <c r="N179" s="14">
        <f t="shared" si="81"/>
        <v>1760.6364933618379</v>
      </c>
      <c r="O179" s="14">
        <f t="shared" si="82"/>
        <v>1782.7872193062994</v>
      </c>
      <c r="P179" s="33">
        <f t="shared" si="83"/>
        <v>0.76870945506696675</v>
      </c>
      <c r="Q179" s="33">
        <f t="shared" si="84"/>
        <v>0.23276548292772448</v>
      </c>
      <c r="R179" s="51">
        <f t="shared" si="85"/>
        <v>3.4591925478013503</v>
      </c>
      <c r="S179" s="51">
        <f>APPLICANTS_PER_YEAR*($H179/Segments!$AH$2)*Q179</f>
        <v>2.5138672156194239</v>
      </c>
      <c r="T179" s="51">
        <f t="shared" si="86"/>
        <v>5.9730597634207747</v>
      </c>
      <c r="U179" s="14">
        <f t="shared" si="87"/>
        <v>1947.2050371958221</v>
      </c>
      <c r="V179" s="44">
        <f t="shared" si="88"/>
        <v>11630.772058804618</v>
      </c>
      <c r="W179" s="44">
        <f t="shared" si="89"/>
        <v>8770.3481351913633</v>
      </c>
      <c r="X179" s="44">
        <f t="shared" si="90"/>
        <v>2571.7556676142408</v>
      </c>
      <c r="Y179" s="14">
        <f t="shared" si="91"/>
        <v>1947.2050371958221</v>
      </c>
      <c r="Z179" s="14">
        <f t="shared" si="92"/>
        <v>1350.3276941206673</v>
      </c>
      <c r="AA179" s="14">
        <f t="shared" si="93"/>
        <v>2237.4047683832382</v>
      </c>
      <c r="AB179" s="14">
        <f t="shared" si="94"/>
        <v>1812.9492269235268</v>
      </c>
      <c r="AC179" s="14">
        <f t="shared" si="95"/>
        <v>2237.4047683832382</v>
      </c>
      <c r="AD179" s="33">
        <f t="shared" si="96"/>
        <v>0.688227633678136</v>
      </c>
      <c r="AE179" s="33">
        <f t="shared" si="97"/>
        <v>0.23293782993029855</v>
      </c>
      <c r="AF179" s="51">
        <f t="shared" si="98"/>
        <v>2.0554123933985835</v>
      </c>
      <c r="AG179" s="51">
        <f>APPLICANTS_PER_YEAR*($H179/Segments!$AH$2)*AE179</f>
        <v>2.5157285632472242</v>
      </c>
      <c r="AH179" s="51">
        <f t="shared" si="99"/>
        <v>4.5711409566458077</v>
      </c>
      <c r="AI179" s="14">
        <f t="shared" si="100"/>
        <v>2237.4047683832382</v>
      </c>
      <c r="AJ179" s="44">
        <f t="shared" si="101"/>
        <v>10227.492573351246</v>
      </c>
      <c r="AK179" s="44">
        <f t="shared" si="102"/>
        <v>6913.2428147866449</v>
      </c>
      <c r="AL179" s="44">
        <f t="shared" si="103"/>
        <v>2284.3167374953364</v>
      </c>
      <c r="AM179" s="14">
        <f t="shared" si="104"/>
        <v>2237.4047683832382</v>
      </c>
      <c r="AN179" s="14">
        <f t="shared" si="105"/>
        <v>1390.8375249442872</v>
      </c>
      <c r="AO179" s="14">
        <f t="shared" si="106"/>
        <v>2303.2769114347352</v>
      </c>
      <c r="AP179" s="14">
        <f t="shared" si="107"/>
        <v>1866.8312030859324</v>
      </c>
      <c r="AQ179" s="14">
        <f t="shared" si="108"/>
        <v>2303.2769114347352</v>
      </c>
      <c r="AR179" s="33">
        <f t="shared" si="109"/>
        <v>0.7242728080829508</v>
      </c>
      <c r="AS179" s="33">
        <f t="shared" si="110"/>
        <v>0.23310520318405226</v>
      </c>
      <c r="AT179" s="51">
        <f t="shared" si="111"/>
        <v>1.6553765484064227</v>
      </c>
      <c r="AU179" s="51">
        <f>APPLICANTS_PER_YEAR*($H179/Segments!$AH$2)*AS179</f>
        <v>2.5175361943877643</v>
      </c>
      <c r="AV179" s="51">
        <f t="shared" si="112"/>
        <v>4.1729127427941872</v>
      </c>
      <c r="AW179" s="14">
        <f t="shared" si="113"/>
        <v>2303.2769114347352</v>
      </c>
      <c r="AX179" s="44">
        <f t="shared" si="114"/>
        <v>9611.3735739096446</v>
      </c>
      <c r="AY179" s="44">
        <f t="shared" si="115"/>
        <v>6500.3048667159064</v>
      </c>
      <c r="AZ179" s="44">
        <f t="shared" si="116"/>
        <v>2165.8966698427121</v>
      </c>
    </row>
    <row r="180" spans="1:52" ht="15" customHeight="1" x14ac:dyDescent="0.35">
      <c r="A180" s="61" t="str">
        <f>Segments!$A$160</f>
        <v>Non-greek</v>
      </c>
      <c r="B180" s="61" t="str">
        <f>Segments!$B$160</f>
        <v>Off 3-6mi</v>
      </c>
      <c r="C180" s="61" t="str">
        <f>Segments!$C$160</f>
        <v>No</v>
      </c>
      <c r="D180" s="61" t="str">
        <f>Segments!$D$160</f>
        <v>3.0+</v>
      </c>
      <c r="E180" s="61" t="str">
        <f>Segments!$E$160</f>
        <v>Freshman</v>
      </c>
      <c r="F180" s="61">
        <f>Segments!$F$160</f>
        <v>1</v>
      </c>
      <c r="G180" s="61" t="str">
        <f>Segments!$G$160</f>
        <v>Base</v>
      </c>
      <c r="H180" s="62">
        <f>Segments!$H$160</f>
        <v>12</v>
      </c>
      <c r="I180" s="63">
        <f>Segments!$Y$160</f>
        <v>872.63838042383838</v>
      </c>
      <c r="J180" s="42">
        <v>0</v>
      </c>
      <c r="K180" s="40">
        <f t="shared" si="78"/>
        <v>1460.6447038198012</v>
      </c>
      <c r="L180" s="40">
        <f t="shared" si="79"/>
        <v>872.63838042383838</v>
      </c>
      <c r="M180" s="40">
        <f t="shared" si="80"/>
        <v>1460.6447038198012</v>
      </c>
      <c r="N180" s="40">
        <f t="shared" si="81"/>
        <v>1443.334669414513</v>
      </c>
      <c r="O180" s="40">
        <f t="shared" si="82"/>
        <v>1460.6447038198012</v>
      </c>
      <c r="P180" s="41">
        <f t="shared" si="83"/>
        <v>0.84400345783548936</v>
      </c>
      <c r="Q180" s="41">
        <f t="shared" si="84"/>
        <v>0.34400345783548936</v>
      </c>
      <c r="R180" s="64">
        <f t="shared" si="85"/>
        <v>0</v>
      </c>
      <c r="S180" s="64">
        <f>APPLICANTS_PER_YEAR*($H180/Segments!$AH$2)*Q180</f>
        <v>4.9536497928310466</v>
      </c>
      <c r="T180" s="64">
        <f t="shared" si="86"/>
        <v>4.9536497928310466</v>
      </c>
      <c r="U180" s="40">
        <f t="shared" si="87"/>
        <v>1460.6447038198012</v>
      </c>
      <c r="V180" s="65">
        <f t="shared" si="88"/>
        <v>7235.5223344767237</v>
      </c>
      <c r="W180" s="65">
        <f t="shared" si="89"/>
        <v>4841.4743242913228</v>
      </c>
      <c r="X180" s="65">
        <f t="shared" si="90"/>
        <v>1843.6712436001833</v>
      </c>
      <c r="Y180" s="40">
        <f t="shared" si="91"/>
        <v>1503.2140449343954</v>
      </c>
      <c r="Z180" s="40">
        <f t="shared" si="92"/>
        <v>898.8175318365536</v>
      </c>
      <c r="AA180" s="40">
        <f t="shared" si="93"/>
        <v>1503.2140449343954</v>
      </c>
      <c r="AB180" s="40">
        <f t="shared" si="94"/>
        <v>1486.0169880069307</v>
      </c>
      <c r="AC180" s="40">
        <f t="shared" si="95"/>
        <v>1503.2140449343954</v>
      </c>
      <c r="AD180" s="41">
        <f t="shared" si="96"/>
        <v>0.8442137078289631</v>
      </c>
      <c r="AE180" s="41">
        <f t="shared" si="97"/>
        <v>0.3442137078289631</v>
      </c>
      <c r="AF180" s="64">
        <f t="shared" si="98"/>
        <v>0</v>
      </c>
      <c r="AG180" s="64">
        <f>APPLICANTS_PER_YEAR*($H180/Segments!$AH$2)*AE180</f>
        <v>4.9566773927370678</v>
      </c>
      <c r="AH180" s="64">
        <f t="shared" si="99"/>
        <v>4.9566773927370678</v>
      </c>
      <c r="AI180" s="40">
        <f t="shared" si="100"/>
        <v>1503.2140449343954</v>
      </c>
      <c r="AJ180" s="65">
        <f t="shared" si="101"/>
        <v>7450.9470729711602</v>
      </c>
      <c r="AK180" s="65">
        <f t="shared" si="102"/>
        <v>4989.7663650799723</v>
      </c>
      <c r="AL180" s="65">
        <f t="shared" si="103"/>
        <v>1892.0626270187079</v>
      </c>
      <c r="AM180" s="40">
        <f t="shared" si="104"/>
        <v>1547.0604662824271</v>
      </c>
      <c r="AN180" s="40">
        <f t="shared" si="105"/>
        <v>925.78205779165012</v>
      </c>
      <c r="AO180" s="40">
        <f t="shared" si="106"/>
        <v>1547.0604662824271</v>
      </c>
      <c r="AP180" s="40">
        <f t="shared" si="107"/>
        <v>1529.9795230141874</v>
      </c>
      <c r="AQ180" s="40">
        <f t="shared" si="108"/>
        <v>1547.0604662824271</v>
      </c>
      <c r="AR180" s="41">
        <f t="shared" si="109"/>
        <v>0.8444179176873593</v>
      </c>
      <c r="AS180" s="41">
        <f t="shared" si="110"/>
        <v>0.3444179176873593</v>
      </c>
      <c r="AT180" s="64">
        <f t="shared" si="111"/>
        <v>0</v>
      </c>
      <c r="AU180" s="64">
        <f>APPLICANTS_PER_YEAR*($H180/Segments!$AH$2)*AS180</f>
        <v>4.9596180146979734</v>
      </c>
      <c r="AV180" s="64">
        <f t="shared" si="112"/>
        <v>4.9596180146979734</v>
      </c>
      <c r="AW180" s="40">
        <f t="shared" si="113"/>
        <v>1547.0604662824271</v>
      </c>
      <c r="AX180" s="65">
        <f t="shared" si="114"/>
        <v>7672.8289584013719</v>
      </c>
      <c r="AY180" s="65">
        <f t="shared" si="115"/>
        <v>5142.5084160885435</v>
      </c>
      <c r="AZ180" s="65">
        <f t="shared" si="116"/>
        <v>1941.896497343316</v>
      </c>
    </row>
    <row r="181" spans="1:52" ht="15" customHeight="1" x14ac:dyDescent="0.35">
      <c r="A181" s="61" t="str">
        <f>Segments!$A$161</f>
        <v>Non-greek</v>
      </c>
      <c r="B181" s="61" t="str">
        <f>Segments!$B$161</f>
        <v>Off 3-6mi</v>
      </c>
      <c r="C181" s="61" t="str">
        <f>Segments!$C$161</f>
        <v>No</v>
      </c>
      <c r="D181" s="61" t="str">
        <f>Segments!$D$161</f>
        <v>3.0+</v>
      </c>
      <c r="E181" s="61" t="str">
        <f>Segments!$E$161</f>
        <v>Sophomore</v>
      </c>
      <c r="F181" s="61">
        <f>Segments!$F$161</f>
        <v>1</v>
      </c>
      <c r="G181" s="61" t="str">
        <f>Segments!$G$161</f>
        <v>Sophomore</v>
      </c>
      <c r="H181" s="62">
        <f>Segments!$H$161</f>
        <v>13</v>
      </c>
      <c r="I181" s="63">
        <f>Segments!$Y$161</f>
        <v>863.76036943537292</v>
      </c>
      <c r="J181" s="42">
        <v>1</v>
      </c>
      <c r="K181" s="40">
        <f t="shared" si="78"/>
        <v>1426.2297754450396</v>
      </c>
      <c r="L181" s="40">
        <f t="shared" si="79"/>
        <v>863.76036943537292</v>
      </c>
      <c r="M181" s="40">
        <f t="shared" si="80"/>
        <v>1446.2083658259141</v>
      </c>
      <c r="N181" s="40">
        <f t="shared" si="81"/>
        <v>1436.1843310796255</v>
      </c>
      <c r="O181" s="40">
        <f t="shared" si="82"/>
        <v>1446.2083658259141</v>
      </c>
      <c r="P181" s="41">
        <f t="shared" si="83"/>
        <v>0.8423077928112026</v>
      </c>
      <c r="Q181" s="41">
        <f t="shared" si="84"/>
        <v>0.34651018517283461</v>
      </c>
      <c r="R181" s="64">
        <f t="shared" si="85"/>
        <v>10.107693513734432</v>
      </c>
      <c r="S181" s="64">
        <f>APPLICANTS_PER_YEAR*($H181/Segments!$AH$2)*Q181</f>
        <v>5.4055588886962198</v>
      </c>
      <c r="T181" s="64">
        <f t="shared" si="86"/>
        <v>15.513252402430652</v>
      </c>
      <c r="U181" s="40">
        <f t="shared" si="87"/>
        <v>1446.2083658259141</v>
      </c>
      <c r="V181" s="65">
        <f t="shared" si="88"/>
        <v>22435.39540556417</v>
      </c>
      <c r="W181" s="65">
        <f t="shared" si="89"/>
        <v>15007.70054141981</v>
      </c>
      <c r="X181" s="65">
        <f t="shared" si="90"/>
        <v>4959.3085089555452</v>
      </c>
      <c r="Y181" s="40">
        <f t="shared" si="91"/>
        <v>1460.6447038198012</v>
      </c>
      <c r="Z181" s="40">
        <f t="shared" si="92"/>
        <v>889.67318051843415</v>
      </c>
      <c r="AA181" s="40">
        <f t="shared" si="93"/>
        <v>1488.3446168006917</v>
      </c>
      <c r="AB181" s="40">
        <f t="shared" si="94"/>
        <v>1478.6490627808271</v>
      </c>
      <c r="AC181" s="40">
        <f t="shared" si="95"/>
        <v>1488.3446168006917</v>
      </c>
      <c r="AD181" s="41">
        <f t="shared" si="96"/>
        <v>0.84103223168385344</v>
      </c>
      <c r="AE181" s="41">
        <f t="shared" si="97"/>
        <v>0.34672148237742406</v>
      </c>
      <c r="AF181" s="64">
        <f t="shared" si="98"/>
        <v>4.1661791402449531</v>
      </c>
      <c r="AG181" s="64">
        <f>APPLICANTS_PER_YEAR*($H181/Segments!$AH$2)*AE181</f>
        <v>5.4088551250878156</v>
      </c>
      <c r="AH181" s="64">
        <f t="shared" si="99"/>
        <v>9.5750342653327678</v>
      </c>
      <c r="AI181" s="40">
        <f t="shared" si="100"/>
        <v>1488.3446168006917</v>
      </c>
      <c r="AJ181" s="65">
        <f t="shared" si="101"/>
        <v>14250.950704490191</v>
      </c>
      <c r="AK181" s="65">
        <f t="shared" si="102"/>
        <v>9540.8893310209842</v>
      </c>
      <c r="AL181" s="65">
        <f t="shared" si="103"/>
        <v>3301.9101608792721</v>
      </c>
      <c r="AM181" s="40">
        <f t="shared" si="104"/>
        <v>1503.2140449343954</v>
      </c>
      <c r="AN181" s="40">
        <f t="shared" si="105"/>
        <v>916.36337593398707</v>
      </c>
      <c r="AO181" s="40">
        <f t="shared" si="106"/>
        <v>1531.7449553047122</v>
      </c>
      <c r="AP181" s="40">
        <f t="shared" si="107"/>
        <v>1522.3874794871342</v>
      </c>
      <c r="AQ181" s="40">
        <f t="shared" si="108"/>
        <v>1531.7449553047122</v>
      </c>
      <c r="AR181" s="41">
        <f t="shared" si="109"/>
        <v>0.84123272860342235</v>
      </c>
      <c r="AS181" s="41">
        <f t="shared" si="110"/>
        <v>0.34692671020234267</v>
      </c>
      <c r="AT181" s="64">
        <f t="shared" si="111"/>
        <v>4.169719247899101</v>
      </c>
      <c r="AU181" s="64">
        <f>APPLICANTS_PER_YEAR*($H181/Segments!$AH$2)*AS181</f>
        <v>5.4120566791565459</v>
      </c>
      <c r="AV181" s="64">
        <f t="shared" si="112"/>
        <v>9.5817759270556468</v>
      </c>
      <c r="AW181" s="40">
        <f t="shared" si="113"/>
        <v>1531.7449553047124</v>
      </c>
      <c r="AX181" s="65">
        <f t="shared" si="114"/>
        <v>14676.836939127621</v>
      </c>
      <c r="AY181" s="65">
        <f t="shared" si="115"/>
        <v>9834.0351602748888</v>
      </c>
      <c r="AZ181" s="65">
        <f t="shared" si="116"/>
        <v>3391.0052850793895</v>
      </c>
    </row>
    <row r="182" spans="1:52" ht="15" customHeight="1" x14ac:dyDescent="0.35">
      <c r="A182" s="61" t="str">
        <f>Segments!$A$162</f>
        <v>Non-greek</v>
      </c>
      <c r="B182" s="61" t="str">
        <f>Segments!$B$162</f>
        <v>Off 3-6mi</v>
      </c>
      <c r="C182" s="61" t="str">
        <f>Segments!$C$162</f>
        <v>No</v>
      </c>
      <c r="D182" s="61" t="str">
        <f>Segments!$D$162</f>
        <v>3.0+</v>
      </c>
      <c r="E182" s="61" t="str">
        <f>Segments!$E$162</f>
        <v>Junior</v>
      </c>
      <c r="F182" s="61">
        <f>Segments!$F$162</f>
        <v>2</v>
      </c>
      <c r="G182" s="61" t="str">
        <f>Segments!$G$162</f>
        <v>Base</v>
      </c>
      <c r="H182" s="62">
        <f>Segments!$H$162</f>
        <v>13</v>
      </c>
      <c r="I182" s="63">
        <f>Segments!$Y$162</f>
        <v>1032.5612785278729</v>
      </c>
      <c r="J182" s="42">
        <v>2</v>
      </c>
      <c r="K182" s="40">
        <f t="shared" si="78"/>
        <v>1426.2297754450396</v>
      </c>
      <c r="L182" s="40">
        <f t="shared" si="79"/>
        <v>1032.5612785278729</v>
      </c>
      <c r="M182" s="40">
        <f t="shared" si="80"/>
        <v>1720.6918036703551</v>
      </c>
      <c r="N182" s="40">
        <f t="shared" si="81"/>
        <v>1566.5573352925485</v>
      </c>
      <c r="O182" s="40">
        <f t="shared" si="82"/>
        <v>1720.6918036703551</v>
      </c>
      <c r="P182" s="41">
        <f t="shared" si="83"/>
        <v>0.73886616229710234</v>
      </c>
      <c r="Q182" s="41">
        <f t="shared" si="84"/>
        <v>0.30080471524873276</v>
      </c>
      <c r="R182" s="64">
        <f t="shared" si="85"/>
        <v>9.6052601098623303</v>
      </c>
      <c r="S182" s="64">
        <f>APPLICANTS_PER_YEAR*($H182/Segments!$AH$2)*Q182</f>
        <v>4.6925535578802311</v>
      </c>
      <c r="T182" s="64">
        <f t="shared" si="86"/>
        <v>14.297813667742561</v>
      </c>
      <c r="U182" s="40">
        <f t="shared" si="87"/>
        <v>1720.6918036703551</v>
      </c>
      <c r="V182" s="65">
        <f t="shared" si="88"/>
        <v>24602.130788490602</v>
      </c>
      <c r="W182" s="65">
        <f t="shared" si="89"/>
        <v>16534.973012227663</v>
      </c>
      <c r="X182" s="65">
        <f t="shared" si="90"/>
        <v>5335.6781769130839</v>
      </c>
      <c r="Y182" s="40">
        <f t="shared" si="91"/>
        <v>1446.2083658259141</v>
      </c>
      <c r="Z182" s="40">
        <f t="shared" si="92"/>
        <v>1063.5381168837091</v>
      </c>
      <c r="AA182" s="40">
        <f t="shared" si="93"/>
        <v>1771.0625577804658</v>
      </c>
      <c r="AB182" s="40">
        <f t="shared" si="94"/>
        <v>1612.9849406317537</v>
      </c>
      <c r="AC182" s="40">
        <f t="shared" si="95"/>
        <v>1771.0625577804658</v>
      </c>
      <c r="AD182" s="41">
        <f t="shared" si="96"/>
        <v>0.73361099639863825</v>
      </c>
      <c r="AE182" s="41">
        <f t="shared" si="97"/>
        <v>0.30099842126027587</v>
      </c>
      <c r="AF182" s="64">
        <f t="shared" si="98"/>
        <v>11.38069255233072</v>
      </c>
      <c r="AG182" s="64">
        <f>APPLICANTS_PER_YEAR*($H182/Segments!$AH$2)*AE182</f>
        <v>4.6955753716603033</v>
      </c>
      <c r="AH182" s="64">
        <f t="shared" si="99"/>
        <v>16.076267923991022</v>
      </c>
      <c r="AI182" s="40">
        <f t="shared" si="100"/>
        <v>1771.0625577804658</v>
      </c>
      <c r="AJ182" s="65">
        <f t="shared" si="101"/>
        <v>28472.076189027597</v>
      </c>
      <c r="AK182" s="65">
        <f t="shared" si="102"/>
        <v>19149.450560127316</v>
      </c>
      <c r="AL182" s="65">
        <f t="shared" si="103"/>
        <v>6111.2026629769725</v>
      </c>
      <c r="AM182" s="40">
        <f t="shared" si="104"/>
        <v>1488.3446168006917</v>
      </c>
      <c r="AN182" s="40">
        <f t="shared" si="105"/>
        <v>1095.4442603902203</v>
      </c>
      <c r="AO182" s="40">
        <f t="shared" si="106"/>
        <v>1822.9444345138797</v>
      </c>
      <c r="AP182" s="40">
        <f t="shared" si="107"/>
        <v>1660.8051761850284</v>
      </c>
      <c r="AQ182" s="40">
        <f t="shared" si="108"/>
        <v>1822.9444345138797</v>
      </c>
      <c r="AR182" s="41">
        <f t="shared" si="109"/>
        <v>0.73374252994645794</v>
      </c>
      <c r="AS182" s="41">
        <f t="shared" si="110"/>
        <v>0.30118655076048861</v>
      </c>
      <c r="AT182" s="64">
        <f t="shared" si="111"/>
        <v>7.0256098661692894</v>
      </c>
      <c r="AU182" s="64">
        <f>APPLICANTS_PER_YEAR*($H182/Segments!$AH$2)*AS182</f>
        <v>4.6985101918636225</v>
      </c>
      <c r="AV182" s="64">
        <f t="shared" si="112"/>
        <v>11.724120058032913</v>
      </c>
      <c r="AW182" s="40">
        <f t="shared" si="113"/>
        <v>1822.9444345138795</v>
      </c>
      <c r="AX182" s="65">
        <f t="shared" si="114"/>
        <v>21372.41940936364</v>
      </c>
      <c r="AY182" s="65">
        <f t="shared" si="115"/>
        <v>14384.294428781772</v>
      </c>
      <c r="AZ182" s="65">
        <f t="shared" si="116"/>
        <v>4691.1117294937349</v>
      </c>
    </row>
    <row r="183" spans="1:52" ht="15" customHeight="1" x14ac:dyDescent="0.35">
      <c r="A183" s="61" t="str">
        <f>Segments!$A$163</f>
        <v>Non-greek</v>
      </c>
      <c r="B183" s="61" t="str">
        <f>Segments!$B$163</f>
        <v>Off 3-6mi</v>
      </c>
      <c r="C183" s="61" t="str">
        <f>Segments!$C$163</f>
        <v>No</v>
      </c>
      <c r="D183" s="61" t="str">
        <f>Segments!$D$163</f>
        <v>3.0+</v>
      </c>
      <c r="E183" s="61" t="str">
        <f>Segments!$E$163</f>
        <v>Senior</v>
      </c>
      <c r="F183" s="61">
        <f>Segments!$F$163</f>
        <v>3</v>
      </c>
      <c r="G183" s="61" t="str">
        <f>Segments!$G$163</f>
        <v>Base</v>
      </c>
      <c r="H183" s="62">
        <f>Segments!$H$163</f>
        <v>13</v>
      </c>
      <c r="I183" s="63">
        <f>Segments!$Y$163</f>
        <v>965.12207505635354</v>
      </c>
      <c r="J183" s="42">
        <v>3</v>
      </c>
      <c r="K183" s="40">
        <f t="shared" si="78"/>
        <v>1426.2297754450396</v>
      </c>
      <c r="L183" s="40">
        <f t="shared" si="79"/>
        <v>965.12207505635354</v>
      </c>
      <c r="M183" s="40">
        <f t="shared" si="80"/>
        <v>1611.0304012888685</v>
      </c>
      <c r="N183" s="40">
        <f t="shared" si="81"/>
        <v>1515.8164557311532</v>
      </c>
      <c r="O183" s="40">
        <f t="shared" si="82"/>
        <v>1611.0304012888685</v>
      </c>
      <c r="P183" s="41">
        <f t="shared" si="83"/>
        <v>0.77972133268993871</v>
      </c>
      <c r="Q183" s="41">
        <f t="shared" si="84"/>
        <v>0.31859318118703595</v>
      </c>
      <c r="R183" s="64">
        <f t="shared" si="85"/>
        <v>10.136377324969203</v>
      </c>
      <c r="S183" s="64">
        <f>APPLICANTS_PER_YEAR*($H183/Segments!$AH$2)*Q183</f>
        <v>4.9700536265177604</v>
      </c>
      <c r="T183" s="64">
        <f t="shared" si="86"/>
        <v>15.106430951486963</v>
      </c>
      <c r="U183" s="40">
        <f t="shared" si="87"/>
        <v>1611.0304012888685</v>
      </c>
      <c r="V183" s="65">
        <f t="shared" si="88"/>
        <v>24336.919517816626</v>
      </c>
      <c r="W183" s="65">
        <f t="shared" si="89"/>
        <v>16329.095984985981</v>
      </c>
      <c r="X183" s="65">
        <f t="shared" si="90"/>
        <v>5306.2995106524895</v>
      </c>
      <c r="Y183" s="40">
        <f t="shared" si="91"/>
        <v>1720.6918036703551</v>
      </c>
      <c r="Z183" s="40">
        <f t="shared" si="92"/>
        <v>994.07573730804415</v>
      </c>
      <c r="AA183" s="40">
        <f t="shared" si="93"/>
        <v>1658.1113133275346</v>
      </c>
      <c r="AB183" s="40">
        <f t="shared" si="94"/>
        <v>1560.7027769092067</v>
      </c>
      <c r="AC183" s="40">
        <f t="shared" si="95"/>
        <v>1658.1113133275346</v>
      </c>
      <c r="AD183" s="41">
        <f t="shared" si="96"/>
        <v>0.81879337377382178</v>
      </c>
      <c r="AE183" s="41">
        <f t="shared" si="97"/>
        <v>0.31879337377382178</v>
      </c>
      <c r="AF183" s="64">
        <f t="shared" si="98"/>
        <v>11.706955090600392</v>
      </c>
      <c r="AG183" s="64">
        <f>APPLICANTS_PER_YEAR*($H183/Segments!$AH$2)*AE183</f>
        <v>4.9731766308716194</v>
      </c>
      <c r="AH183" s="64">
        <f t="shared" si="99"/>
        <v>16.680131721472012</v>
      </c>
      <c r="AI183" s="40">
        <f t="shared" si="100"/>
        <v>1658.1113133275346</v>
      </c>
      <c r="AJ183" s="65">
        <f t="shared" si="101"/>
        <v>27657.515115166228</v>
      </c>
      <c r="AK183" s="65">
        <f t="shared" si="102"/>
        <v>18571.071948147695</v>
      </c>
      <c r="AL183" s="65">
        <f t="shared" si="103"/>
        <v>5973.8152221865003</v>
      </c>
      <c r="AM183" s="40">
        <f t="shared" si="104"/>
        <v>1771.0625577804658</v>
      </c>
      <c r="AN183" s="40">
        <f t="shared" si="105"/>
        <v>1023.8980094272854</v>
      </c>
      <c r="AO183" s="40">
        <f t="shared" si="106"/>
        <v>1706.6046527273604</v>
      </c>
      <c r="AP183" s="40">
        <f t="shared" si="107"/>
        <v>1606.9354692097445</v>
      </c>
      <c r="AQ183" s="40">
        <f t="shared" si="108"/>
        <v>1706.6046527273604</v>
      </c>
      <c r="AR183" s="41">
        <f t="shared" si="109"/>
        <v>0.8189878077161894</v>
      </c>
      <c r="AS183" s="41">
        <f t="shared" si="110"/>
        <v>0.3189878077161894</v>
      </c>
      <c r="AT183" s="64">
        <f t="shared" si="111"/>
        <v>13.166267423327502</v>
      </c>
      <c r="AU183" s="64">
        <f>APPLICANTS_PER_YEAR*($H183/Segments!$AH$2)*AS183</f>
        <v>4.9762098003725548</v>
      </c>
      <c r="AV183" s="64">
        <f t="shared" si="112"/>
        <v>18.142477223700055</v>
      </c>
      <c r="AW183" s="40">
        <f t="shared" si="113"/>
        <v>1706.6046527273606</v>
      </c>
      <c r="AX183" s="65">
        <f t="shared" si="114"/>
        <v>30962.036041966683</v>
      </c>
      <c r="AY183" s="65">
        <f t="shared" si="115"/>
        <v>20805.171873277512</v>
      </c>
      <c r="AZ183" s="65">
        <f t="shared" si="116"/>
        <v>6636.3143993542344</v>
      </c>
    </row>
    <row r="184" spans="1:52" ht="15" customHeight="1" x14ac:dyDescent="0.35">
      <c r="A184" s="61" t="str">
        <f>Segments!$A$164</f>
        <v>Non-greek</v>
      </c>
      <c r="B184" s="61" t="str">
        <f>Segments!$B$164</f>
        <v>Off 3-6mi</v>
      </c>
      <c r="C184" s="61" t="str">
        <f>Segments!$C$164</f>
        <v>No</v>
      </c>
      <c r="D184" s="61" t="str">
        <f>Segments!$D$164</f>
        <v>3.0+</v>
      </c>
      <c r="E184" s="61" t="str">
        <f>Segments!$E$164</f>
        <v>Grad student</v>
      </c>
      <c r="F184" s="61">
        <f>Segments!$F$164</f>
        <v>3</v>
      </c>
      <c r="G184" s="61" t="str">
        <f>Segments!$G$164</f>
        <v>Grad</v>
      </c>
      <c r="H184" s="62">
        <f>Segments!$H$164</f>
        <v>3</v>
      </c>
      <c r="I184" s="63">
        <f>Segments!$Y$164</f>
        <v>1149.1519644122745</v>
      </c>
      <c r="J184" s="42">
        <v>4</v>
      </c>
      <c r="K184" s="40">
        <f t="shared" si="78"/>
        <v>1426.2297754450396</v>
      </c>
      <c r="L184" s="40">
        <f t="shared" si="79"/>
        <v>1149.1519644122745</v>
      </c>
      <c r="M184" s="40">
        <f t="shared" si="80"/>
        <v>1910.2773482876253</v>
      </c>
      <c r="N184" s="40">
        <f t="shared" si="81"/>
        <v>1650.6042631369901</v>
      </c>
      <c r="O184" s="40">
        <f t="shared" si="82"/>
        <v>1782.7872193062994</v>
      </c>
      <c r="P184" s="41">
        <f t="shared" si="83"/>
        <v>0.73495922247344303</v>
      </c>
      <c r="Q184" s="41">
        <f t="shared" si="84"/>
        <v>0.27133999319221314</v>
      </c>
      <c r="R184" s="64">
        <f t="shared" si="85"/>
        <v>1.1024388337101645</v>
      </c>
      <c r="S184" s="64">
        <f>APPLICANTS_PER_YEAR*($H184/Segments!$AH$2)*Q184</f>
        <v>0.9768239754919672</v>
      </c>
      <c r="T184" s="64">
        <f t="shared" si="86"/>
        <v>2.0792628092021319</v>
      </c>
      <c r="U184" s="40">
        <f t="shared" si="87"/>
        <v>1842.6812423592628</v>
      </c>
      <c r="V184" s="65">
        <f t="shared" si="88"/>
        <v>3831.4185764519952</v>
      </c>
      <c r="W184" s="65">
        <f t="shared" si="89"/>
        <v>2676.1156147308961</v>
      </c>
      <c r="X184" s="65">
        <f t="shared" si="90"/>
        <v>855.45413149839885</v>
      </c>
      <c r="Y184" s="40">
        <f t="shared" si="91"/>
        <v>1842.6812423592628</v>
      </c>
      <c r="Z184" s="40">
        <f t="shared" si="92"/>
        <v>1183.6265233446427</v>
      </c>
      <c r="AA184" s="40">
        <f t="shared" si="93"/>
        <v>1966.3356687362539</v>
      </c>
      <c r="AB184" s="40">
        <f t="shared" si="94"/>
        <v>1699.5822644548327</v>
      </c>
      <c r="AC184" s="40">
        <f t="shared" si="95"/>
        <v>1966.3356687362539</v>
      </c>
      <c r="AD184" s="41">
        <f t="shared" si="96"/>
        <v>0.75139212078105466</v>
      </c>
      <c r="AE184" s="41">
        <f t="shared" si="97"/>
        <v>0.27152383269103286</v>
      </c>
      <c r="AF184" s="64">
        <f t="shared" si="98"/>
        <v>0.78117084593378161</v>
      </c>
      <c r="AG184" s="64">
        <f>APPLICANTS_PER_YEAR*($H184/Segments!$AH$2)*AE184</f>
        <v>0.97748579768771826</v>
      </c>
      <c r="AH184" s="64">
        <f t="shared" si="99"/>
        <v>1.7586566436214999</v>
      </c>
      <c r="AI184" s="40">
        <f t="shared" si="100"/>
        <v>1966.3356687362539</v>
      </c>
      <c r="AJ184" s="65">
        <f t="shared" si="101"/>
        <v>3458.1092874129376</v>
      </c>
      <c r="AK184" s="65">
        <f t="shared" si="102"/>
        <v>2331.3837667082753</v>
      </c>
      <c r="AL184" s="65">
        <f t="shared" si="103"/>
        <v>780.46521477434464</v>
      </c>
      <c r="AM184" s="40">
        <f t="shared" si="104"/>
        <v>1966.3356687362539</v>
      </c>
      <c r="AN184" s="40">
        <f t="shared" si="105"/>
        <v>1219.135319044982</v>
      </c>
      <c r="AO184" s="40">
        <f t="shared" si="106"/>
        <v>2024.0757387983415</v>
      </c>
      <c r="AP184" s="40">
        <f t="shared" si="107"/>
        <v>1750.029436607769</v>
      </c>
      <c r="AQ184" s="40">
        <f t="shared" si="108"/>
        <v>2024.0757387983415</v>
      </c>
      <c r="AR184" s="41">
        <f t="shared" si="109"/>
        <v>0.7628930836183645</v>
      </c>
      <c r="AS184" s="41">
        <f t="shared" si="110"/>
        <v>0.27170237355499005</v>
      </c>
      <c r="AT184" s="64">
        <f t="shared" si="111"/>
        <v>0.67083349493916455</v>
      </c>
      <c r="AU184" s="64">
        <f>APPLICANTS_PER_YEAR*($H184/Segments!$AH$2)*AS184</f>
        <v>0.97812854479796407</v>
      </c>
      <c r="AV184" s="64">
        <f t="shared" si="112"/>
        <v>1.6489620397371287</v>
      </c>
      <c r="AW184" s="40">
        <f t="shared" si="113"/>
        <v>2024.0757387983413</v>
      </c>
      <c r="AX184" s="65">
        <f t="shared" si="114"/>
        <v>3337.6240588313485</v>
      </c>
      <c r="AY184" s="65">
        <f t="shared" si="115"/>
        <v>2251.5448058969478</v>
      </c>
      <c r="AZ184" s="65">
        <f t="shared" si="116"/>
        <v>757.53662052712559</v>
      </c>
    </row>
    <row r="185" spans="1:52" ht="15" customHeight="1" x14ac:dyDescent="0.35">
      <c r="A185" s="59" t="str">
        <f>Segments!$A$165</f>
        <v>Non-greek</v>
      </c>
      <c r="B185" s="59" t="str">
        <f>Segments!$B$165</f>
        <v>Off 6+mi</v>
      </c>
      <c r="C185" s="59" t="str">
        <f>Segments!$C$165</f>
        <v>Yes</v>
      </c>
      <c r="D185" s="59" t="str">
        <f>Segments!$D$165</f>
        <v>&lt;1.0</v>
      </c>
      <c r="E185" s="59" t="str">
        <f>Segments!$E$165</f>
        <v>Freshman</v>
      </c>
      <c r="F185" s="59">
        <f>Segments!$F$165</f>
        <v>1</v>
      </c>
      <c r="G185" s="59" t="str">
        <f>Segments!$G$165</f>
        <v>Base</v>
      </c>
      <c r="H185" s="60">
        <f>Segments!$H$165</f>
        <v>4</v>
      </c>
      <c r="I185" s="26">
        <f>Segments!$Y$165</f>
        <v>826.43754042827356</v>
      </c>
      <c r="J185" s="29">
        <v>0</v>
      </c>
      <c r="K185" s="14">
        <f t="shared" si="78"/>
        <v>1385.5185361856304</v>
      </c>
      <c r="L185" s="14">
        <f t="shared" si="79"/>
        <v>826.43754042827356</v>
      </c>
      <c r="M185" s="14">
        <f t="shared" si="80"/>
        <v>1385.5185361856304</v>
      </c>
      <c r="N185" s="14">
        <f t="shared" si="81"/>
        <v>1405.7267838164612</v>
      </c>
      <c r="O185" s="14">
        <f t="shared" si="82"/>
        <v>1385.5185361856304</v>
      </c>
      <c r="P185" s="33">
        <f t="shared" si="83"/>
        <v>0.85718782905166202</v>
      </c>
      <c r="Q185" s="33">
        <f t="shared" si="84"/>
        <v>0.35718782905166202</v>
      </c>
      <c r="R185" s="51">
        <f t="shared" si="85"/>
        <v>0</v>
      </c>
      <c r="S185" s="51">
        <f>APPLICANTS_PER_YEAR*($H185/Segments!$AH$2)*Q185</f>
        <v>1.7145015794479777</v>
      </c>
      <c r="T185" s="51">
        <f t="shared" si="86"/>
        <v>1.7145015794479777</v>
      </c>
      <c r="U185" s="14">
        <f t="shared" si="87"/>
        <v>1385.5185361856304</v>
      </c>
      <c r="V185" s="44">
        <f t="shared" si="88"/>
        <v>2375.4737186447132</v>
      </c>
      <c r="W185" s="44">
        <f t="shared" si="89"/>
        <v>1586.9598845849023</v>
      </c>
      <c r="X185" s="44">
        <f t="shared" si="90"/>
        <v>609.25868405157485</v>
      </c>
      <c r="Y185" s="14">
        <f t="shared" si="91"/>
        <v>1425.8340922711993</v>
      </c>
      <c r="Z185" s="14">
        <f t="shared" si="92"/>
        <v>851.23066664112184</v>
      </c>
      <c r="AA185" s="14">
        <f t="shared" si="93"/>
        <v>1425.8340922711993</v>
      </c>
      <c r="AB185" s="14">
        <f t="shared" si="94"/>
        <v>1447.2643325802958</v>
      </c>
      <c r="AC185" s="14">
        <f t="shared" si="95"/>
        <v>1425.8340922711993</v>
      </c>
      <c r="AD185" s="33">
        <f t="shared" si="96"/>
        <v>0.85740370636747776</v>
      </c>
      <c r="AE185" s="33">
        <f t="shared" si="97"/>
        <v>0.35740370636747776</v>
      </c>
      <c r="AF185" s="51">
        <f t="shared" si="98"/>
        <v>0</v>
      </c>
      <c r="AG185" s="51">
        <f>APPLICANTS_PER_YEAR*($H185/Segments!$AH$2)*AE185</f>
        <v>1.7155377905638931</v>
      </c>
      <c r="AH185" s="51">
        <f t="shared" si="99"/>
        <v>1.7155377905638931</v>
      </c>
      <c r="AI185" s="14">
        <f t="shared" si="100"/>
        <v>1425.8340922711993</v>
      </c>
      <c r="AJ185" s="44">
        <f t="shared" si="101"/>
        <v>2446.0722683656072</v>
      </c>
      <c r="AK185" s="44">
        <f t="shared" si="102"/>
        <v>1635.5565823629088</v>
      </c>
      <c r="AL185" s="44">
        <f t="shared" si="103"/>
        <v>625.11938868927132</v>
      </c>
      <c r="AM185" s="14">
        <f t="shared" si="104"/>
        <v>1467.3591150393352</v>
      </c>
      <c r="AN185" s="14">
        <f t="shared" si="105"/>
        <v>876.76758664035538</v>
      </c>
      <c r="AO185" s="14">
        <f t="shared" si="106"/>
        <v>1467.3591150393352</v>
      </c>
      <c r="AP185" s="14">
        <f t="shared" si="107"/>
        <v>1490.0477337800946</v>
      </c>
      <c r="AQ185" s="14">
        <f t="shared" si="108"/>
        <v>1467.3591150393352</v>
      </c>
      <c r="AR185" s="33">
        <f t="shared" si="109"/>
        <v>0.85761338654675201</v>
      </c>
      <c r="AS185" s="33">
        <f t="shared" si="110"/>
        <v>0.35761338654675201</v>
      </c>
      <c r="AT185" s="51">
        <f t="shared" si="111"/>
        <v>0</v>
      </c>
      <c r="AU185" s="51">
        <f>APPLICANTS_PER_YEAR*($H185/Segments!$AH$2)*AS185</f>
        <v>1.7165442554244097</v>
      </c>
      <c r="AV185" s="51">
        <f t="shared" si="112"/>
        <v>1.7165442554244097</v>
      </c>
      <c r="AW185" s="14">
        <f t="shared" si="113"/>
        <v>1467.3591150393352</v>
      </c>
      <c r="AX185" s="44">
        <f t="shared" si="114"/>
        <v>2518.7868595654163</v>
      </c>
      <c r="AY185" s="44">
        <f t="shared" si="115"/>
        <v>1685.6116078926045</v>
      </c>
      <c r="AZ185" s="44">
        <f t="shared" si="116"/>
        <v>641.45274803675181</v>
      </c>
    </row>
    <row r="186" spans="1:52" ht="15" customHeight="1" x14ac:dyDescent="0.35">
      <c r="A186" s="59" t="str">
        <f>Segments!$A$166</f>
        <v>Non-greek</v>
      </c>
      <c r="B186" s="59" t="str">
        <f>Segments!$B$166</f>
        <v>Off 6+mi</v>
      </c>
      <c r="C186" s="59" t="str">
        <f>Segments!$C$166</f>
        <v>Yes</v>
      </c>
      <c r="D186" s="59" t="str">
        <f>Segments!$D$166</f>
        <v>&lt;1.0</v>
      </c>
      <c r="E186" s="59" t="str">
        <f>Segments!$E$166</f>
        <v>Sophomore</v>
      </c>
      <c r="F186" s="59">
        <f>Segments!$F$166</f>
        <v>1</v>
      </c>
      <c r="G186" s="59" t="str">
        <f>Segments!$G$166</f>
        <v>Sophomore</v>
      </c>
      <c r="H186" s="60">
        <f>Segments!$H$166</f>
        <v>11</v>
      </c>
      <c r="I186" s="26">
        <f>Segments!$Y$166</f>
        <v>818.02956556743959</v>
      </c>
      <c r="J186" s="29">
        <v>1</v>
      </c>
      <c r="K186" s="14">
        <f t="shared" si="78"/>
        <v>1426.2297754450396</v>
      </c>
      <c r="L186" s="14">
        <f t="shared" si="79"/>
        <v>818.02956556743959</v>
      </c>
      <c r="M186" s="14">
        <f t="shared" si="80"/>
        <v>1371.8465135791248</v>
      </c>
      <c r="N186" s="14">
        <f t="shared" si="81"/>
        <v>1398.7738720061279</v>
      </c>
      <c r="O186" s="14">
        <f t="shared" si="82"/>
        <v>1371.8465135791248</v>
      </c>
      <c r="P186" s="33">
        <f t="shared" si="83"/>
        <v>0.85962534365486243</v>
      </c>
      <c r="Q186" s="33">
        <f t="shared" si="84"/>
        <v>0.35962534365486243</v>
      </c>
      <c r="R186" s="51">
        <f t="shared" si="85"/>
        <v>3.4385013746194497</v>
      </c>
      <c r="S186" s="51">
        <f>APPLICANTS_PER_YEAR*($H186/Segments!$AH$2)*Q186</f>
        <v>4.7470545362441845</v>
      </c>
      <c r="T186" s="51">
        <f t="shared" si="86"/>
        <v>8.1855559108636342</v>
      </c>
      <c r="U186" s="14">
        <f t="shared" si="87"/>
        <v>1371.8465135791248</v>
      </c>
      <c r="V186" s="44">
        <f t="shared" si="88"/>
        <v>11229.326338025274</v>
      </c>
      <c r="W186" s="44">
        <f t="shared" si="89"/>
        <v>7499.5499551747789</v>
      </c>
      <c r="X186" s="44">
        <f t="shared" si="90"/>
        <v>2632.6582170462329</v>
      </c>
      <c r="Y186" s="14">
        <f t="shared" si="91"/>
        <v>1385.5185361856304</v>
      </c>
      <c r="Z186" s="14">
        <f t="shared" si="92"/>
        <v>842.57045253446279</v>
      </c>
      <c r="AA186" s="14">
        <f t="shared" si="93"/>
        <v>1411.7519089864986</v>
      </c>
      <c r="AB186" s="14">
        <f t="shared" si="94"/>
        <v>1440.0996793215593</v>
      </c>
      <c r="AC186" s="14">
        <f t="shared" si="95"/>
        <v>1411.7519089864986</v>
      </c>
      <c r="AD186" s="33">
        <f t="shared" si="96"/>
        <v>0.85416210212366661</v>
      </c>
      <c r="AE186" s="33">
        <f t="shared" si="97"/>
        <v>0.35984229450992428</v>
      </c>
      <c r="AF186" s="51">
        <f t="shared" si="98"/>
        <v>1.4644622731956312</v>
      </c>
      <c r="AG186" s="51">
        <f>APPLICANTS_PER_YEAR*($H186/Segments!$AH$2)*AE186</f>
        <v>4.7499182875310009</v>
      </c>
      <c r="AH186" s="51">
        <f t="shared" si="99"/>
        <v>6.2143805607266316</v>
      </c>
      <c r="AI186" s="14">
        <f t="shared" si="100"/>
        <v>1411.7519089864986</v>
      </c>
      <c r="AJ186" s="44">
        <f t="shared" si="101"/>
        <v>8773.1636197744101</v>
      </c>
      <c r="AK186" s="44">
        <f t="shared" si="102"/>
        <v>5864.3798542255436</v>
      </c>
      <c r="AL186" s="44">
        <f t="shared" si="103"/>
        <v>2135.8632098884832</v>
      </c>
      <c r="AM186" s="14">
        <f t="shared" si="104"/>
        <v>1425.8340922711993</v>
      </c>
      <c r="AN186" s="14">
        <f t="shared" si="105"/>
        <v>867.84756611049659</v>
      </c>
      <c r="AO186" s="14">
        <f t="shared" si="106"/>
        <v>1452.8544662560935</v>
      </c>
      <c r="AP186" s="14">
        <f t="shared" si="107"/>
        <v>1482.6649827192125</v>
      </c>
      <c r="AQ186" s="14">
        <f t="shared" si="108"/>
        <v>1452.8544662560935</v>
      </c>
      <c r="AR186" s="33">
        <f t="shared" si="109"/>
        <v>0.85436784622216266</v>
      </c>
      <c r="AS186" s="33">
        <f t="shared" si="110"/>
        <v>0.36005301831855718</v>
      </c>
      <c r="AT186" s="51">
        <f t="shared" si="111"/>
        <v>1.465700327236801</v>
      </c>
      <c r="AU186" s="51">
        <f>APPLICANTS_PER_YEAR*($H186/Segments!$AH$2)*AS186</f>
        <v>4.7526998418049553</v>
      </c>
      <c r="AV186" s="51">
        <f t="shared" si="112"/>
        <v>6.2184001690417565</v>
      </c>
      <c r="AW186" s="14">
        <f t="shared" si="113"/>
        <v>1452.8544662560935</v>
      </c>
      <c r="AX186" s="44">
        <f t="shared" si="114"/>
        <v>9034.4304585599621</v>
      </c>
      <c r="AY186" s="44">
        <f t="shared" si="115"/>
        <v>6044.218266020468</v>
      </c>
      <c r="AZ186" s="44">
        <f t="shared" si="116"/>
        <v>2192.3671978117254</v>
      </c>
    </row>
    <row r="187" spans="1:52" ht="15" customHeight="1" x14ac:dyDescent="0.35">
      <c r="A187" s="59" t="str">
        <f>Segments!$A$167</f>
        <v>Non-greek</v>
      </c>
      <c r="B187" s="59" t="str">
        <f>Segments!$B$167</f>
        <v>Off 6+mi</v>
      </c>
      <c r="C187" s="59" t="str">
        <f>Segments!$C$167</f>
        <v>Yes</v>
      </c>
      <c r="D187" s="59" t="str">
        <f>Segments!$D$167</f>
        <v>&lt;1.0</v>
      </c>
      <c r="E187" s="59" t="str">
        <f>Segments!$E$167</f>
        <v>Junior</v>
      </c>
      <c r="F187" s="59">
        <f>Segments!$F$167</f>
        <v>2</v>
      </c>
      <c r="G187" s="59" t="str">
        <f>Segments!$G$167</f>
        <v>Base</v>
      </c>
      <c r="H187" s="60">
        <f>Segments!$H$167</f>
        <v>6</v>
      </c>
      <c r="I187" s="26">
        <f>Segments!$Y$167</f>
        <v>977.89350378283871</v>
      </c>
      <c r="J187" s="29">
        <v>2</v>
      </c>
      <c r="K187" s="14">
        <f t="shared" si="78"/>
        <v>1426.2297754450396</v>
      </c>
      <c r="L187" s="14">
        <f t="shared" si="79"/>
        <v>977.89350378283871</v>
      </c>
      <c r="M187" s="14">
        <f t="shared" si="80"/>
        <v>1631.7977400542652</v>
      </c>
      <c r="N187" s="14">
        <f t="shared" si="81"/>
        <v>1525.5551528441433</v>
      </c>
      <c r="O187" s="14">
        <f t="shared" si="82"/>
        <v>1631.7977400542652</v>
      </c>
      <c r="P187" s="33">
        <f t="shared" si="83"/>
        <v>0.77193889091427825</v>
      </c>
      <c r="Q187" s="33">
        <f t="shared" si="84"/>
        <v>0.31517904088487059</v>
      </c>
      <c r="R187" s="51">
        <f t="shared" si="85"/>
        <v>8.4913278000570607</v>
      </c>
      <c r="S187" s="51">
        <f>APPLICANTS_PER_YEAR*($H187/Segments!$AH$2)*Q187</f>
        <v>2.269289094371068</v>
      </c>
      <c r="T187" s="51">
        <f t="shared" si="86"/>
        <v>10.760616894428129</v>
      </c>
      <c r="U187" s="14">
        <f t="shared" si="87"/>
        <v>1631.7977400542654</v>
      </c>
      <c r="V187" s="44">
        <f t="shared" si="88"/>
        <v>17559.150329917567</v>
      </c>
      <c r="W187" s="44">
        <f t="shared" si="89"/>
        <v>11785.465840687988</v>
      </c>
      <c r="X187" s="44">
        <f t="shared" si="90"/>
        <v>3720.2297061526174</v>
      </c>
      <c r="Y187" s="14">
        <f t="shared" si="91"/>
        <v>1371.8465135791248</v>
      </c>
      <c r="Z187" s="14">
        <f t="shared" si="92"/>
        <v>1007.2303088963239</v>
      </c>
      <c r="AA187" s="14">
        <f t="shared" si="93"/>
        <v>1679.5016722558933</v>
      </c>
      <c r="AB187" s="14">
        <f t="shared" si="94"/>
        <v>1570.7373910579463</v>
      </c>
      <c r="AC187" s="14">
        <f t="shared" si="95"/>
        <v>1679.5016722558933</v>
      </c>
      <c r="AD187" s="33">
        <f t="shared" si="96"/>
        <v>0.74809889232297289</v>
      </c>
      <c r="AE187" s="33">
        <f t="shared" si="97"/>
        <v>0.31537795502382149</v>
      </c>
      <c r="AF187" s="51">
        <f t="shared" si="98"/>
        <v>6.123605309964848</v>
      </c>
      <c r="AG187" s="51">
        <f>APPLICANTS_PER_YEAR*($H187/Segments!$AH$2)*AE187</f>
        <v>2.2707212761715145</v>
      </c>
      <c r="AH187" s="51">
        <f t="shared" si="99"/>
        <v>8.3943265861363621</v>
      </c>
      <c r="AI187" s="14">
        <f t="shared" si="100"/>
        <v>1679.5016722558933</v>
      </c>
      <c r="AJ187" s="44">
        <f t="shared" si="101"/>
        <v>14098.285538878124</v>
      </c>
      <c r="AK187" s="44">
        <f t="shared" si="102"/>
        <v>9469.6225795704431</v>
      </c>
      <c r="AL187" s="44">
        <f t="shared" si="103"/>
        <v>3022.7093367944794</v>
      </c>
      <c r="AM187" s="14">
        <f t="shared" si="104"/>
        <v>1411.7519089864986</v>
      </c>
      <c r="AN187" s="14">
        <f t="shared" si="105"/>
        <v>1037.4472181632136</v>
      </c>
      <c r="AO187" s="14">
        <f t="shared" si="106"/>
        <v>1728.6367224235701</v>
      </c>
      <c r="AP187" s="14">
        <f t="shared" si="107"/>
        <v>1617.2748820664699</v>
      </c>
      <c r="AQ187" s="14">
        <f t="shared" si="108"/>
        <v>1728.6367224235701</v>
      </c>
      <c r="AR187" s="33">
        <f t="shared" si="109"/>
        <v>0.74823251313538386</v>
      </c>
      <c r="AS187" s="33">
        <f t="shared" si="110"/>
        <v>0.31557114637964079</v>
      </c>
      <c r="AT187" s="51">
        <f t="shared" si="111"/>
        <v>4.6498015845321632</v>
      </c>
      <c r="AU187" s="51">
        <f>APPLICANTS_PER_YEAR*($H187/Segments!$AH$2)*AS187</f>
        <v>2.2721122539334133</v>
      </c>
      <c r="AV187" s="51">
        <f t="shared" si="112"/>
        <v>6.9219138384655761</v>
      </c>
      <c r="AW187" s="14">
        <f t="shared" si="113"/>
        <v>1728.6367224235703</v>
      </c>
      <c r="AX187" s="44">
        <f t="shared" si="114"/>
        <v>11965.474450623487</v>
      </c>
      <c r="AY187" s="44">
        <f t="shared" si="115"/>
        <v>8042.8546868113517</v>
      </c>
      <c r="AZ187" s="44">
        <f t="shared" si="116"/>
        <v>2594.1837380721117</v>
      </c>
    </row>
    <row r="188" spans="1:52" ht="15" customHeight="1" x14ac:dyDescent="0.35">
      <c r="A188" s="59" t="str">
        <f>Segments!$A$168</f>
        <v>Non-greek</v>
      </c>
      <c r="B188" s="59" t="str">
        <f>Segments!$B$168</f>
        <v>Off 6+mi</v>
      </c>
      <c r="C188" s="59" t="str">
        <f>Segments!$C$168</f>
        <v>Yes</v>
      </c>
      <c r="D188" s="59" t="str">
        <f>Segments!$D$168</f>
        <v>&lt;1.0</v>
      </c>
      <c r="E188" s="59" t="str">
        <f>Segments!$E$168</f>
        <v>Senior</v>
      </c>
      <c r="F188" s="59">
        <f>Segments!$F$168</f>
        <v>3</v>
      </c>
      <c r="G188" s="59" t="str">
        <f>Segments!$G$168</f>
        <v>Base</v>
      </c>
      <c r="H188" s="60">
        <f>Segments!$H$168</f>
        <v>10</v>
      </c>
      <c r="I188" s="26">
        <f>Segments!$Y$168</f>
        <v>914.02479173011602</v>
      </c>
      <c r="J188" s="29">
        <v>3</v>
      </c>
      <c r="K188" s="14">
        <f t="shared" si="78"/>
        <v>1426.2297754450396</v>
      </c>
      <c r="L188" s="14">
        <f t="shared" si="79"/>
        <v>914.02479173011602</v>
      </c>
      <c r="M188" s="14">
        <f t="shared" si="80"/>
        <v>1527.9422350740085</v>
      </c>
      <c r="N188" s="14">
        <f t="shared" si="81"/>
        <v>1476.2102529188026</v>
      </c>
      <c r="O188" s="14">
        <f t="shared" si="82"/>
        <v>1527.9422350740085</v>
      </c>
      <c r="P188" s="33">
        <f t="shared" si="83"/>
        <v>0.8110834259800439</v>
      </c>
      <c r="Q188" s="33">
        <f t="shared" si="84"/>
        <v>0.33247811175511066</v>
      </c>
      <c r="R188" s="51">
        <f t="shared" si="85"/>
        <v>4.866500555880263</v>
      </c>
      <c r="S188" s="51">
        <f>APPLICANTS_PER_YEAR*($H188/Segments!$AH$2)*Q188</f>
        <v>3.9897373410613279</v>
      </c>
      <c r="T188" s="51">
        <f t="shared" si="86"/>
        <v>8.8562378969415914</v>
      </c>
      <c r="U188" s="14">
        <f t="shared" si="87"/>
        <v>1527.9422350740083</v>
      </c>
      <c r="V188" s="44">
        <f t="shared" si="88"/>
        <v>13531.81992660007</v>
      </c>
      <c r="W188" s="44">
        <f t="shared" si="89"/>
        <v>9066.1995191761271</v>
      </c>
      <c r="X188" s="44">
        <f t="shared" si="90"/>
        <v>3047.7452442518606</v>
      </c>
      <c r="Y188" s="14">
        <f t="shared" si="91"/>
        <v>1631.7977400542654</v>
      </c>
      <c r="Z188" s="14">
        <f t="shared" si="92"/>
        <v>941.44553548201952</v>
      </c>
      <c r="AA188" s="14">
        <f t="shared" si="93"/>
        <v>1572.5305021262288</v>
      </c>
      <c r="AB188" s="14">
        <f t="shared" si="94"/>
        <v>1519.8926013622822</v>
      </c>
      <c r="AC188" s="14">
        <f t="shared" si="95"/>
        <v>1572.5305021262288</v>
      </c>
      <c r="AD188" s="33">
        <f t="shared" si="96"/>
        <v>0.83268367754512151</v>
      </c>
      <c r="AE188" s="33">
        <f t="shared" si="97"/>
        <v>0.33268367754512151</v>
      </c>
      <c r="AF188" s="51">
        <f t="shared" si="98"/>
        <v>8.9601900483065791</v>
      </c>
      <c r="AG188" s="51">
        <f>APPLICANTS_PER_YEAR*($H188/Segments!$AH$2)*AE188</f>
        <v>3.9922041305414582</v>
      </c>
      <c r="AH188" s="51">
        <f t="shared" si="99"/>
        <v>12.952394178848037</v>
      </c>
      <c r="AI188" s="14">
        <f t="shared" si="100"/>
        <v>1572.5305021262288</v>
      </c>
      <c r="AJ188" s="44">
        <f t="shared" si="101"/>
        <v>20368.034921800747</v>
      </c>
      <c r="AK188" s="44">
        <f t="shared" si="102"/>
        <v>13657.250514297357</v>
      </c>
      <c r="AL188" s="44">
        <f t="shared" si="103"/>
        <v>4428.1367838705155</v>
      </c>
      <c r="AM188" s="14">
        <f t="shared" si="104"/>
        <v>1679.5016722558933</v>
      </c>
      <c r="AN188" s="14">
        <f t="shared" si="105"/>
        <v>969.68890154648</v>
      </c>
      <c r="AO188" s="14">
        <f t="shared" si="106"/>
        <v>1618.4564171900154</v>
      </c>
      <c r="AP188" s="14">
        <f t="shared" si="107"/>
        <v>1564.8851836678307</v>
      </c>
      <c r="AQ188" s="14">
        <f t="shared" si="108"/>
        <v>1618.4564171900154</v>
      </c>
      <c r="AR188" s="33">
        <f t="shared" si="109"/>
        <v>0.83288333416365323</v>
      </c>
      <c r="AS188" s="33">
        <f t="shared" si="110"/>
        <v>0.33288333416365323</v>
      </c>
      <c r="AT188" s="51">
        <f t="shared" si="111"/>
        <v>6.9914947151198499</v>
      </c>
      <c r="AU188" s="51">
        <f>APPLICANTS_PER_YEAR*($H188/Segments!$AH$2)*AS188</f>
        <v>3.9946000099638388</v>
      </c>
      <c r="AV188" s="51">
        <f t="shared" si="112"/>
        <v>10.986094725083689</v>
      </c>
      <c r="AW188" s="14">
        <f t="shared" si="113"/>
        <v>1618.4564171900156</v>
      </c>
      <c r="AX188" s="44">
        <f t="shared" si="114"/>
        <v>17780.515507669075</v>
      </c>
      <c r="AY188" s="44">
        <f t="shared" si="115"/>
        <v>11931.465421402219</v>
      </c>
      <c r="AZ188" s="44">
        <f t="shared" si="116"/>
        <v>3906.3823364083896</v>
      </c>
    </row>
    <row r="189" spans="1:52" ht="15" customHeight="1" x14ac:dyDescent="0.35">
      <c r="A189" s="59" t="str">
        <f>Segments!$A$169</f>
        <v>Non-greek</v>
      </c>
      <c r="B189" s="59" t="str">
        <f>Segments!$B$169</f>
        <v>Off 6+mi</v>
      </c>
      <c r="C189" s="59" t="str">
        <f>Segments!$C$169</f>
        <v>Yes</v>
      </c>
      <c r="D189" s="59" t="str">
        <f>Segments!$D$169</f>
        <v>&lt;1.0</v>
      </c>
      <c r="E189" s="59" t="str">
        <f>Segments!$E$169</f>
        <v>Grad student</v>
      </c>
      <c r="F189" s="59">
        <f>Segments!$F$169</f>
        <v>3</v>
      </c>
      <c r="G189" s="59" t="str">
        <f>Segments!$G$169</f>
        <v>Grad</v>
      </c>
      <c r="H189" s="60">
        <f>Segments!$H$169</f>
        <v>3</v>
      </c>
      <c r="I189" s="26">
        <f>Segments!$Y$169</f>
        <v>1088.3114292840651</v>
      </c>
      <c r="J189" s="29">
        <v>4</v>
      </c>
      <c r="K189" s="14">
        <f t="shared" si="78"/>
        <v>1426.2297754450396</v>
      </c>
      <c r="L189" s="14">
        <f t="shared" si="79"/>
        <v>1088.3114292840651</v>
      </c>
      <c r="M189" s="14">
        <f t="shared" si="80"/>
        <v>1811.3458950622444</v>
      </c>
      <c r="N189" s="14">
        <f t="shared" si="81"/>
        <v>1607.294450051987</v>
      </c>
      <c r="O189" s="14">
        <f t="shared" si="82"/>
        <v>1782.7872193062994</v>
      </c>
      <c r="P189" s="33">
        <f t="shared" si="83"/>
        <v>0.72040739898385264</v>
      </c>
      <c r="Q189" s="33">
        <f t="shared" si="84"/>
        <v>0.28652331562407329</v>
      </c>
      <c r="R189" s="51">
        <f t="shared" si="85"/>
        <v>1.0806110984757789</v>
      </c>
      <c r="S189" s="51">
        <f>APPLICANTS_PER_YEAR*($H189/Segments!$AH$2)*Q189</f>
        <v>1.0314839362466637</v>
      </c>
      <c r="T189" s="51">
        <f t="shared" si="86"/>
        <v>2.1120950347224428</v>
      </c>
      <c r="U189" s="14">
        <f t="shared" si="87"/>
        <v>1796.7344209229184</v>
      </c>
      <c r="V189" s="44">
        <f t="shared" si="88"/>
        <v>3794.8738491461995</v>
      </c>
      <c r="W189" s="44">
        <f t="shared" si="89"/>
        <v>2574.4512259452658</v>
      </c>
      <c r="X189" s="44">
        <f t="shared" si="90"/>
        <v>850.65325337025365</v>
      </c>
      <c r="Y189" s="14">
        <f t="shared" si="91"/>
        <v>1796.7344209229184</v>
      </c>
      <c r="Z189" s="14">
        <f t="shared" si="92"/>
        <v>1120.9607721625871</v>
      </c>
      <c r="AA189" s="14">
        <f t="shared" si="93"/>
        <v>1864.4362719141118</v>
      </c>
      <c r="AB189" s="14">
        <f t="shared" si="94"/>
        <v>1654.9585980278662</v>
      </c>
      <c r="AC189" s="14">
        <f t="shared" si="95"/>
        <v>1864.4362719141118</v>
      </c>
      <c r="AD189" s="33">
        <f t="shared" si="96"/>
        <v>0.77540796052079863</v>
      </c>
      <c r="AE189" s="33">
        <f t="shared" si="97"/>
        <v>0.28671211046129186</v>
      </c>
      <c r="AF189" s="51">
        <f t="shared" si="98"/>
        <v>0.81886765165011732</v>
      </c>
      <c r="AG189" s="51">
        <f>APPLICANTS_PER_YEAR*($H189/Segments!$AH$2)*AE189</f>
        <v>1.0321635976606507</v>
      </c>
      <c r="AH189" s="51">
        <f t="shared" si="99"/>
        <v>1.8510312493107679</v>
      </c>
      <c r="AI189" s="14">
        <f t="shared" si="100"/>
        <v>1864.436271914112</v>
      </c>
      <c r="AJ189" s="44">
        <f t="shared" si="101"/>
        <v>3451.1298016614892</v>
      </c>
      <c r="AK189" s="44">
        <f t="shared" si="102"/>
        <v>2323.9254287474141</v>
      </c>
      <c r="AL189" s="44">
        <f t="shared" si="103"/>
        <v>782.44236119272898</v>
      </c>
      <c r="AM189" s="14">
        <f t="shared" si="104"/>
        <v>1864.436271914112</v>
      </c>
      <c r="AN189" s="14">
        <f t="shared" si="105"/>
        <v>1154.5895953274646</v>
      </c>
      <c r="AO189" s="14">
        <f t="shared" si="106"/>
        <v>1919.1193600715351</v>
      </c>
      <c r="AP189" s="14">
        <f t="shared" si="107"/>
        <v>1704.0524871792086</v>
      </c>
      <c r="AQ189" s="14">
        <f t="shared" si="108"/>
        <v>1919.1193600715351</v>
      </c>
      <c r="AR189" s="33">
        <f t="shared" si="109"/>
        <v>0.77809660016132187</v>
      </c>
      <c r="AS189" s="33">
        <f t="shared" si="110"/>
        <v>0.28689546697932522</v>
      </c>
      <c r="AT189" s="51">
        <f t="shared" si="111"/>
        <v>0.72014056094053636</v>
      </c>
      <c r="AU189" s="51">
        <f>APPLICANTS_PER_YEAR*($H189/Segments!$AH$2)*AS189</f>
        <v>1.0328236811255707</v>
      </c>
      <c r="AV189" s="51">
        <f t="shared" si="112"/>
        <v>1.7529642420661071</v>
      </c>
      <c r="AW189" s="14">
        <f t="shared" si="113"/>
        <v>1919.1193600715351</v>
      </c>
      <c r="AX189" s="44">
        <f t="shared" si="114"/>
        <v>3364.1476144621911</v>
      </c>
      <c r="AY189" s="44">
        <f t="shared" si="115"/>
        <v>2266.8287878550973</v>
      </c>
      <c r="AZ189" s="44">
        <f t="shared" si="116"/>
        <v>766.07769327241056</v>
      </c>
    </row>
    <row r="190" spans="1:52" ht="15" customHeight="1" x14ac:dyDescent="0.35">
      <c r="A190" s="61" t="str">
        <f>Segments!$A$170</f>
        <v>Non-greek</v>
      </c>
      <c r="B190" s="61" t="str">
        <f>Segments!$B$170</f>
        <v>Off 6+mi</v>
      </c>
      <c r="C190" s="61" t="str">
        <f>Segments!$C$170</f>
        <v>Yes</v>
      </c>
      <c r="D190" s="61" t="str">
        <f>Segments!$D$170</f>
        <v>1.0-2.0</v>
      </c>
      <c r="E190" s="61" t="str">
        <f>Segments!$E$170</f>
        <v>Freshman</v>
      </c>
      <c r="F190" s="61">
        <f>Segments!$F$170</f>
        <v>1</v>
      </c>
      <c r="G190" s="61" t="str">
        <f>Segments!$G$170</f>
        <v>Base</v>
      </c>
      <c r="H190" s="62">
        <f>Segments!$H$170</f>
        <v>28</v>
      </c>
      <c r="I190" s="63">
        <f>Segments!$Y$170</f>
        <v>749.92684766759828</v>
      </c>
      <c r="J190" s="42">
        <v>0</v>
      </c>
      <c r="K190" s="40">
        <f t="shared" si="78"/>
        <v>1261.1061850098331</v>
      </c>
      <c r="L190" s="40">
        <f t="shared" si="79"/>
        <v>749.92684766759828</v>
      </c>
      <c r="M190" s="40">
        <f t="shared" si="80"/>
        <v>1261.1061850098331</v>
      </c>
      <c r="N190" s="40">
        <f t="shared" si="81"/>
        <v>1341.1290732285706</v>
      </c>
      <c r="O190" s="40">
        <f t="shared" si="82"/>
        <v>1261.1061850098331</v>
      </c>
      <c r="P190" s="41">
        <f t="shared" si="83"/>
        <v>0.87983414863496101</v>
      </c>
      <c r="Q190" s="41">
        <f t="shared" si="84"/>
        <v>0.37983414863496107</v>
      </c>
      <c r="R190" s="64">
        <f t="shared" si="85"/>
        <v>0</v>
      </c>
      <c r="S190" s="64">
        <f>APPLICANTS_PER_YEAR*($H190/Segments!$AH$2)*Q190</f>
        <v>12.762427394134692</v>
      </c>
      <c r="T190" s="64">
        <f t="shared" si="86"/>
        <v>12.762427394134692</v>
      </c>
      <c r="U190" s="40">
        <f t="shared" si="87"/>
        <v>1261.1061850098331</v>
      </c>
      <c r="V190" s="65">
        <f t="shared" si="88"/>
        <v>16094.776122482186</v>
      </c>
      <c r="W190" s="65">
        <f t="shared" si="89"/>
        <v>10719.393377582435</v>
      </c>
      <c r="X190" s="65">
        <f t="shared" si="90"/>
        <v>4179.5390841720709</v>
      </c>
      <c r="Y190" s="40">
        <f t="shared" si="91"/>
        <v>1297.6893705601281</v>
      </c>
      <c r="Z190" s="40">
        <f t="shared" si="92"/>
        <v>772.42465309762622</v>
      </c>
      <c r="AA190" s="40">
        <f t="shared" si="93"/>
        <v>1297.6893705601281</v>
      </c>
      <c r="AB190" s="40">
        <f t="shared" si="94"/>
        <v>1380.6981263688772</v>
      </c>
      <c r="AC190" s="40">
        <f t="shared" si="95"/>
        <v>1297.6893705601281</v>
      </c>
      <c r="AD190" s="41">
        <f t="shared" si="96"/>
        <v>0.88006042893208503</v>
      </c>
      <c r="AE190" s="41">
        <f t="shared" si="97"/>
        <v>0.38006042893208497</v>
      </c>
      <c r="AF190" s="64">
        <f t="shared" si="98"/>
        <v>0</v>
      </c>
      <c r="AG190" s="64">
        <f>APPLICANTS_PER_YEAR*($H190/Segments!$AH$2)*AE190</f>
        <v>12.770030412118055</v>
      </c>
      <c r="AH190" s="64">
        <f t="shared" si="99"/>
        <v>12.770030412118055</v>
      </c>
      <c r="AI190" s="40">
        <f t="shared" si="100"/>
        <v>1297.6893705601283</v>
      </c>
      <c r="AJ190" s="65">
        <f t="shared" si="101"/>
        <v>16571.532727535174</v>
      </c>
      <c r="AK190" s="65">
        <f t="shared" si="102"/>
        <v>11047.552668461598</v>
      </c>
      <c r="AL190" s="65">
        <f t="shared" si="103"/>
        <v>4286.6746995131916</v>
      </c>
      <c r="AM190" s="40">
        <f t="shared" si="104"/>
        <v>1335.370051676932</v>
      </c>
      <c r="AN190" s="40">
        <f t="shared" si="105"/>
        <v>795.59739269055501</v>
      </c>
      <c r="AO190" s="40">
        <f t="shared" si="106"/>
        <v>1335.370051676932</v>
      </c>
      <c r="AP190" s="40">
        <f t="shared" si="107"/>
        <v>1421.4539355011193</v>
      </c>
      <c r="AQ190" s="40">
        <f t="shared" si="108"/>
        <v>1335.370051676932</v>
      </c>
      <c r="AR190" s="41">
        <f t="shared" si="109"/>
        <v>0.88028022283178642</v>
      </c>
      <c r="AS190" s="41">
        <f t="shared" si="110"/>
        <v>0.38028022283178642</v>
      </c>
      <c r="AT190" s="64">
        <f t="shared" si="111"/>
        <v>0</v>
      </c>
      <c r="AU190" s="64">
        <f>APPLICANTS_PER_YEAR*($H190/Segments!$AH$2)*AS190</f>
        <v>12.777415487148025</v>
      </c>
      <c r="AV190" s="64">
        <f t="shared" si="112"/>
        <v>12.777415487148025</v>
      </c>
      <c r="AW190" s="40">
        <f t="shared" si="113"/>
        <v>1335.370051676932</v>
      </c>
      <c r="AX190" s="65">
        <f t="shared" si="114"/>
        <v>17062.57797937049</v>
      </c>
      <c r="AY190" s="65">
        <f t="shared" si="115"/>
        <v>11385.559860526753</v>
      </c>
      <c r="AZ190" s="65">
        <f t="shared" si="116"/>
        <v>4397.001164300651</v>
      </c>
    </row>
    <row r="191" spans="1:52" ht="15" customHeight="1" x14ac:dyDescent="0.35">
      <c r="A191" s="61" t="str">
        <f>Segments!$A$171</f>
        <v>Non-greek</v>
      </c>
      <c r="B191" s="61" t="str">
        <f>Segments!$B$171</f>
        <v>Off 6+mi</v>
      </c>
      <c r="C191" s="61" t="str">
        <f>Segments!$C$171</f>
        <v>Yes</v>
      </c>
      <c r="D191" s="61" t="str">
        <f>Segments!$D$171</f>
        <v>1.0-2.0</v>
      </c>
      <c r="E191" s="61" t="str">
        <f>Segments!$E$171</f>
        <v>Sophomore</v>
      </c>
      <c r="F191" s="61">
        <f>Segments!$F$171</f>
        <v>1</v>
      </c>
      <c r="G191" s="61" t="str">
        <f>Segments!$G$171</f>
        <v>Sophomore</v>
      </c>
      <c r="H191" s="62">
        <f>Segments!$H$171</f>
        <v>25</v>
      </c>
      <c r="I191" s="63">
        <f>Segments!$Y$171</f>
        <v>742.2972740165925</v>
      </c>
      <c r="J191" s="42">
        <v>1</v>
      </c>
      <c r="K191" s="40">
        <f t="shared" si="78"/>
        <v>1426.2297754450396</v>
      </c>
      <c r="L191" s="40">
        <f t="shared" si="79"/>
        <v>742.2972740165925</v>
      </c>
      <c r="M191" s="40">
        <f t="shared" si="80"/>
        <v>1248.6999034543953</v>
      </c>
      <c r="N191" s="40">
        <f t="shared" si="81"/>
        <v>1334.5160107327317</v>
      </c>
      <c r="O191" s="40">
        <f t="shared" si="82"/>
        <v>1248.6999034543953</v>
      </c>
      <c r="P191" s="41">
        <f t="shared" si="83"/>
        <v>0.8821525206847155</v>
      </c>
      <c r="Q191" s="41">
        <f t="shared" si="84"/>
        <v>0.3821525206847155</v>
      </c>
      <c r="R191" s="64">
        <f t="shared" si="85"/>
        <v>24.700270579172035</v>
      </c>
      <c r="S191" s="64">
        <f>APPLICANTS_PER_YEAR*($H191/Segments!$AH$2)*Q191</f>
        <v>11.464575620541465</v>
      </c>
      <c r="T191" s="64">
        <f t="shared" si="86"/>
        <v>36.164846199713502</v>
      </c>
      <c r="U191" s="40">
        <f t="shared" si="87"/>
        <v>1248.6999034543951</v>
      </c>
      <c r="V191" s="65">
        <f t="shared" si="88"/>
        <v>45159.0399580253</v>
      </c>
      <c r="W191" s="65">
        <f t="shared" si="89"/>
        <v>30066.474759189856</v>
      </c>
      <c r="X191" s="65">
        <f t="shared" si="90"/>
        <v>10046.023373042639</v>
      </c>
      <c r="Y191" s="40">
        <f t="shared" si="91"/>
        <v>1261.1061850098331</v>
      </c>
      <c r="Z191" s="40">
        <f t="shared" si="92"/>
        <v>764.56619223709026</v>
      </c>
      <c r="AA191" s="40">
        <f t="shared" si="93"/>
        <v>1284.9109005580272</v>
      </c>
      <c r="AB191" s="40">
        <f t="shared" si="94"/>
        <v>1373.883375954761</v>
      </c>
      <c r="AC191" s="40">
        <f t="shared" si="95"/>
        <v>1284.9109005580272</v>
      </c>
      <c r="AD191" s="41">
        <f t="shared" si="96"/>
        <v>0.87671710494643773</v>
      </c>
      <c r="AE191" s="41">
        <f t="shared" si="97"/>
        <v>0.38237992283548217</v>
      </c>
      <c r="AF191" s="64">
        <f t="shared" si="98"/>
        <v>11.189038397074876</v>
      </c>
      <c r="AG191" s="64">
        <f>APPLICANTS_PER_YEAR*($H191/Segments!$AH$2)*AE191</f>
        <v>11.471397685064465</v>
      </c>
      <c r="AH191" s="64">
        <f t="shared" si="99"/>
        <v>22.660436082139341</v>
      </c>
      <c r="AI191" s="40">
        <f t="shared" si="100"/>
        <v>1284.9109005580272</v>
      </c>
      <c r="AJ191" s="65">
        <f t="shared" si="101"/>
        <v>29116.641333339274</v>
      </c>
      <c r="AK191" s="65">
        <f t="shared" si="102"/>
        <v>19404.451729323635</v>
      </c>
      <c r="AL191" s="65">
        <f t="shared" si="103"/>
        <v>6758.9292133266626</v>
      </c>
      <c r="AM191" s="40">
        <f t="shared" si="104"/>
        <v>1297.6893705601283</v>
      </c>
      <c r="AN191" s="40">
        <f t="shared" si="105"/>
        <v>787.50317800420294</v>
      </c>
      <c r="AO191" s="40">
        <f t="shared" si="106"/>
        <v>1322.2082275747678</v>
      </c>
      <c r="AP191" s="40">
        <f t="shared" si="107"/>
        <v>1414.4314418115262</v>
      </c>
      <c r="AQ191" s="40">
        <f t="shared" si="108"/>
        <v>1322.2082275747678</v>
      </c>
      <c r="AR191" s="41">
        <f t="shared" si="109"/>
        <v>0.87693253487159672</v>
      </c>
      <c r="AS191" s="41">
        <f t="shared" si="110"/>
        <v>0.3826008074730875</v>
      </c>
      <c r="AT191" s="64">
        <f t="shared" si="111"/>
        <v>11.198455139686068</v>
      </c>
      <c r="AU191" s="64">
        <f>APPLICANTS_PER_YEAR*($H191/Segments!$AH$2)*AS191</f>
        <v>11.478024224192625</v>
      </c>
      <c r="AV191" s="64">
        <f t="shared" si="112"/>
        <v>22.676479363878691</v>
      </c>
      <c r="AW191" s="40">
        <f t="shared" si="113"/>
        <v>1322.2082275747678</v>
      </c>
      <c r="AX191" s="65">
        <f t="shared" si="114"/>
        <v>29983.027587349843</v>
      </c>
      <c r="AY191" s="65">
        <f t="shared" si="115"/>
        <v>20000.735512801341</v>
      </c>
      <c r="AZ191" s="65">
        <f t="shared" si="116"/>
        <v>6938.4442391850598</v>
      </c>
    </row>
    <row r="192" spans="1:52" ht="15" customHeight="1" x14ac:dyDescent="0.35">
      <c r="A192" s="61" t="str">
        <f>Segments!$A$172</f>
        <v>Non-greek</v>
      </c>
      <c r="B192" s="61" t="str">
        <f>Segments!$B$172</f>
        <v>Off 6+mi</v>
      </c>
      <c r="C192" s="61" t="str">
        <f>Segments!$C$172</f>
        <v>Yes</v>
      </c>
      <c r="D192" s="61" t="str">
        <f>Segments!$D$172</f>
        <v>1.0-2.0</v>
      </c>
      <c r="E192" s="61" t="str">
        <f>Segments!$E$172</f>
        <v>Junior</v>
      </c>
      <c r="F192" s="61">
        <f>Segments!$F$172</f>
        <v>2</v>
      </c>
      <c r="G192" s="61" t="str">
        <f>Segments!$G$172</f>
        <v>Base</v>
      </c>
      <c r="H192" s="62">
        <f>Segments!$H$172</f>
        <v>25</v>
      </c>
      <c r="I192" s="63">
        <f>Segments!$Y$172</f>
        <v>887.36118190668515</v>
      </c>
      <c r="J192" s="42">
        <v>2</v>
      </c>
      <c r="K192" s="40">
        <f t="shared" si="78"/>
        <v>1426.2297754450396</v>
      </c>
      <c r="L192" s="40">
        <f t="shared" si="79"/>
        <v>887.36118190668515</v>
      </c>
      <c r="M192" s="40">
        <f t="shared" si="80"/>
        <v>1484.585126815382</v>
      </c>
      <c r="N192" s="40">
        <f t="shared" si="81"/>
        <v>1455.1149480528841</v>
      </c>
      <c r="O192" s="40">
        <f t="shared" si="82"/>
        <v>1484.585126815382</v>
      </c>
      <c r="P192" s="41">
        <f t="shared" si="83"/>
        <v>0.8275988467881652</v>
      </c>
      <c r="Q192" s="41">
        <f t="shared" si="84"/>
        <v>0.33987359081083846</v>
      </c>
      <c r="R192" s="64">
        <f t="shared" si="85"/>
        <v>20.68997116970413</v>
      </c>
      <c r="S192" s="64">
        <f>APPLICANTS_PER_YEAR*($H192/Segments!$AH$2)*Q192</f>
        <v>10.196207724325154</v>
      </c>
      <c r="T192" s="64">
        <f t="shared" si="86"/>
        <v>30.886178894029285</v>
      </c>
      <c r="U192" s="40">
        <f t="shared" si="87"/>
        <v>1484.585126815382</v>
      </c>
      <c r="V192" s="65">
        <f t="shared" si="88"/>
        <v>45853.16181023504</v>
      </c>
      <c r="W192" s="65">
        <f t="shared" si="89"/>
        <v>30696.059752945599</v>
      </c>
      <c r="X192" s="65">
        <f t="shared" si="90"/>
        <v>10068.676194934</v>
      </c>
      <c r="Y192" s="40">
        <f t="shared" si="91"/>
        <v>1248.6999034543951</v>
      </c>
      <c r="Z192" s="40">
        <f t="shared" si="92"/>
        <v>913.98201736388569</v>
      </c>
      <c r="AA192" s="40">
        <f t="shared" si="93"/>
        <v>1527.8726806198433</v>
      </c>
      <c r="AB192" s="40">
        <f t="shared" si="94"/>
        <v>1498.1556779903487</v>
      </c>
      <c r="AC192" s="40">
        <f t="shared" si="95"/>
        <v>1527.8726806198433</v>
      </c>
      <c r="AD192" s="41">
        <f t="shared" si="96"/>
        <v>0.77301091219448814</v>
      </c>
      <c r="AE192" s="41">
        <f t="shared" si="97"/>
        <v>0.34008213796934728</v>
      </c>
      <c r="AF192" s="64">
        <f t="shared" si="98"/>
        <v>27.955820750213903</v>
      </c>
      <c r="AG192" s="64">
        <f>APPLICANTS_PER_YEAR*($H192/Segments!$AH$2)*AE192</f>
        <v>10.202464139080419</v>
      </c>
      <c r="AH192" s="64">
        <f t="shared" si="99"/>
        <v>38.158284889294322</v>
      </c>
      <c r="AI192" s="40">
        <f t="shared" si="100"/>
        <v>1527.8726806198433</v>
      </c>
      <c r="AJ192" s="65">
        <f t="shared" si="101"/>
        <v>58301.001021661781</v>
      </c>
      <c r="AK192" s="65">
        <f t="shared" si="102"/>
        <v>39061.104546534676</v>
      </c>
      <c r="AL192" s="65">
        <f t="shared" si="103"/>
        <v>12582.698812515633</v>
      </c>
      <c r="AM192" s="40">
        <f t="shared" si="104"/>
        <v>1284.9109005580272</v>
      </c>
      <c r="AN192" s="40">
        <f t="shared" si="105"/>
        <v>941.40147788480226</v>
      </c>
      <c r="AO192" s="40">
        <f t="shared" si="106"/>
        <v>1572.4588610384385</v>
      </c>
      <c r="AP192" s="40">
        <f t="shared" si="107"/>
        <v>1542.4873827864487</v>
      </c>
      <c r="AQ192" s="40">
        <f t="shared" si="108"/>
        <v>1572.4588610384385</v>
      </c>
      <c r="AR192" s="41">
        <f t="shared" si="109"/>
        <v>0.77314821789088561</v>
      </c>
      <c r="AS192" s="41">
        <f t="shared" si="110"/>
        <v>0.34028469257302851</v>
      </c>
      <c r="AT192" s="64">
        <f t="shared" si="111"/>
        <v>17.519875773536352</v>
      </c>
      <c r="AU192" s="64">
        <f>APPLICANTS_PER_YEAR*($H192/Segments!$AH$2)*AS192</f>
        <v>10.208540777190855</v>
      </c>
      <c r="AV192" s="64">
        <f t="shared" si="112"/>
        <v>27.728416550727207</v>
      </c>
      <c r="AW192" s="40">
        <f t="shared" si="113"/>
        <v>1572.4588610384385</v>
      </c>
      <c r="AX192" s="65">
        <f t="shared" si="114"/>
        <v>43601.794307755888</v>
      </c>
      <c r="AY192" s="65">
        <f t="shared" si="115"/>
        <v>29236.000998691208</v>
      </c>
      <c r="AZ192" s="65">
        <f t="shared" si="116"/>
        <v>9612.3588387279869</v>
      </c>
    </row>
    <row r="193" spans="1:52" ht="15" customHeight="1" x14ac:dyDescent="0.35">
      <c r="A193" s="61" t="str">
        <f>Segments!$A$173</f>
        <v>Non-greek</v>
      </c>
      <c r="B193" s="61" t="str">
        <f>Segments!$B$173</f>
        <v>Off 6+mi</v>
      </c>
      <c r="C193" s="61" t="str">
        <f>Segments!$C$173</f>
        <v>Yes</v>
      </c>
      <c r="D193" s="61" t="str">
        <f>Segments!$D$173</f>
        <v>1.0-2.0</v>
      </c>
      <c r="E193" s="61" t="str">
        <f>Segments!$E$173</f>
        <v>Senior</v>
      </c>
      <c r="F193" s="61">
        <f>Segments!$F$173</f>
        <v>3</v>
      </c>
      <c r="G193" s="61" t="str">
        <f>Segments!$G$173</f>
        <v>Base</v>
      </c>
      <c r="H193" s="62">
        <f>Segments!$H$173</f>
        <v>25</v>
      </c>
      <c r="I193" s="63">
        <f>Segments!$Y$173</f>
        <v>829.4053660691485</v>
      </c>
      <c r="J193" s="42">
        <v>3</v>
      </c>
      <c r="K193" s="40">
        <f t="shared" si="78"/>
        <v>1426.2297754450396</v>
      </c>
      <c r="L193" s="40">
        <f t="shared" si="79"/>
        <v>829.4053660691485</v>
      </c>
      <c r="M193" s="40">
        <f t="shared" si="80"/>
        <v>1390.3444520483456</v>
      </c>
      <c r="N193" s="40">
        <f t="shared" si="81"/>
        <v>1408.1728074480664</v>
      </c>
      <c r="O193" s="40">
        <f t="shared" si="82"/>
        <v>1390.3444520483456</v>
      </c>
      <c r="P193" s="41">
        <f t="shared" si="83"/>
        <v>0.85633031518057423</v>
      </c>
      <c r="Q193" s="41">
        <f t="shared" si="84"/>
        <v>0.35633031518057423</v>
      </c>
      <c r="R193" s="64">
        <f t="shared" si="85"/>
        <v>21.408257879514355</v>
      </c>
      <c r="S193" s="64">
        <f>APPLICANTS_PER_YEAR*($H193/Segments!$AH$2)*Q193</f>
        <v>10.689909455417228</v>
      </c>
      <c r="T193" s="64">
        <f t="shared" si="86"/>
        <v>32.098167334931581</v>
      </c>
      <c r="U193" s="40">
        <f t="shared" si="87"/>
        <v>1390.3444520483458</v>
      </c>
      <c r="V193" s="65">
        <f t="shared" si="88"/>
        <v>44627.50887504156</v>
      </c>
      <c r="W193" s="65">
        <f t="shared" si="89"/>
        <v>29817.079296007039</v>
      </c>
      <c r="X193" s="65">
        <f t="shared" si="90"/>
        <v>9864.0032311152645</v>
      </c>
      <c r="Y193" s="40">
        <f t="shared" si="91"/>
        <v>1484.585126815382</v>
      </c>
      <c r="Z193" s="40">
        <f t="shared" si="92"/>
        <v>854.28752705122292</v>
      </c>
      <c r="AA193" s="40">
        <f t="shared" si="93"/>
        <v>1430.8047856097958</v>
      </c>
      <c r="AB193" s="40">
        <f t="shared" si="94"/>
        <v>1449.7848391152822</v>
      </c>
      <c r="AC193" s="40">
        <f t="shared" si="95"/>
        <v>1430.8047856097958</v>
      </c>
      <c r="AD193" s="41">
        <f t="shared" si="96"/>
        <v>0.85654581734937607</v>
      </c>
      <c r="AE193" s="41">
        <f t="shared" si="97"/>
        <v>0.35654581734937607</v>
      </c>
      <c r="AF193" s="64">
        <f t="shared" si="98"/>
        <v>26.455427345585363</v>
      </c>
      <c r="AG193" s="64">
        <f>APPLICANTS_PER_YEAR*($H193/Segments!$AH$2)*AE193</f>
        <v>10.696374520481282</v>
      </c>
      <c r="AH193" s="64">
        <f t="shared" si="99"/>
        <v>37.151801866066648</v>
      </c>
      <c r="AI193" s="40">
        <f t="shared" si="100"/>
        <v>1430.8047856097955</v>
      </c>
      <c r="AJ193" s="65">
        <f t="shared" si="101"/>
        <v>53156.975903995095</v>
      </c>
      <c r="AK193" s="65">
        <f t="shared" si="102"/>
        <v>35546.919454658178</v>
      </c>
      <c r="AL193" s="65">
        <f t="shared" si="103"/>
        <v>11592.768681028712</v>
      </c>
      <c r="AM193" s="40">
        <f t="shared" si="104"/>
        <v>1527.8726806198433</v>
      </c>
      <c r="AN193" s="40">
        <f t="shared" si="105"/>
        <v>879.91615286275965</v>
      </c>
      <c r="AO193" s="40">
        <f t="shared" si="106"/>
        <v>1472.4789291780899</v>
      </c>
      <c r="AP193" s="40">
        <f t="shared" si="107"/>
        <v>1492.6449591322885</v>
      </c>
      <c r="AQ193" s="40">
        <f t="shared" si="108"/>
        <v>1472.4789291780899</v>
      </c>
      <c r="AR193" s="41">
        <f t="shared" si="109"/>
        <v>0.85675513283678706</v>
      </c>
      <c r="AS193" s="41">
        <f t="shared" si="110"/>
        <v>0.35675513283678711</v>
      </c>
      <c r="AT193" s="64">
        <f t="shared" si="111"/>
        <v>32.692306439151324</v>
      </c>
      <c r="AU193" s="64">
        <f>APPLICANTS_PER_YEAR*($H193/Segments!$AH$2)*AS193</f>
        <v>10.702653985103613</v>
      </c>
      <c r="AV193" s="64">
        <f t="shared" si="112"/>
        <v>43.394960424254933</v>
      </c>
      <c r="AW193" s="40">
        <f t="shared" si="113"/>
        <v>1472.4789291780899</v>
      </c>
      <c r="AX193" s="65">
        <f t="shared" si="114"/>
        <v>63898.164857232492</v>
      </c>
      <c r="AY193" s="65">
        <f t="shared" si="115"/>
        <v>42765.997825759165</v>
      </c>
      <c r="AZ193" s="65">
        <f t="shared" si="116"/>
        <v>13763.798852906844</v>
      </c>
    </row>
    <row r="194" spans="1:52" ht="15" customHeight="1" x14ac:dyDescent="0.35">
      <c r="A194" s="61" t="str">
        <f>Segments!$A$174</f>
        <v>Non-greek</v>
      </c>
      <c r="B194" s="61" t="str">
        <f>Segments!$B$174</f>
        <v>Off 6+mi</v>
      </c>
      <c r="C194" s="61" t="str">
        <f>Segments!$C$174</f>
        <v>Yes</v>
      </c>
      <c r="D194" s="61" t="str">
        <f>Segments!$D$174</f>
        <v>1.0-2.0</v>
      </c>
      <c r="E194" s="61" t="str">
        <f>Segments!$E$174</f>
        <v>Grad student</v>
      </c>
      <c r="F194" s="61">
        <f>Segments!$F$174</f>
        <v>3</v>
      </c>
      <c r="G194" s="61" t="str">
        <f>Segments!$G$174</f>
        <v>Grad</v>
      </c>
      <c r="H194" s="62">
        <f>Segments!$H$174</f>
        <v>9</v>
      </c>
      <c r="I194" s="63">
        <f>Segments!$Y$174</f>
        <v>987.55673540758175</v>
      </c>
      <c r="J194" s="42">
        <v>4</v>
      </c>
      <c r="K194" s="40">
        <f t="shared" si="78"/>
        <v>1426.2297754450396</v>
      </c>
      <c r="L194" s="40">
        <f t="shared" si="79"/>
        <v>987.55673540758175</v>
      </c>
      <c r="M194" s="40">
        <f t="shared" si="80"/>
        <v>1647.5109080182667</v>
      </c>
      <c r="N194" s="40">
        <f t="shared" si="81"/>
        <v>1532.8826153316977</v>
      </c>
      <c r="O194" s="40">
        <f t="shared" si="82"/>
        <v>1647.5109080182667</v>
      </c>
      <c r="P194" s="41">
        <f t="shared" si="83"/>
        <v>0.76606488535275263</v>
      </c>
      <c r="Q194" s="41">
        <f t="shared" si="84"/>
        <v>0.31261021831023739</v>
      </c>
      <c r="R194" s="64">
        <f t="shared" si="85"/>
        <v>3.447291984087387</v>
      </c>
      <c r="S194" s="64">
        <f>APPLICANTS_PER_YEAR*($H194/Segments!$AH$2)*Q194</f>
        <v>3.3761903577505636</v>
      </c>
      <c r="T194" s="64">
        <f t="shared" si="86"/>
        <v>6.8234823418379502</v>
      </c>
      <c r="U194" s="40">
        <f t="shared" si="87"/>
        <v>1647.5109080182667</v>
      </c>
      <c r="V194" s="65">
        <f t="shared" si="88"/>
        <v>11241.76158884805</v>
      </c>
      <c r="W194" s="65">
        <f t="shared" si="89"/>
        <v>7547.2050590907802</v>
      </c>
      <c r="X194" s="65">
        <f t="shared" si="90"/>
        <v>2540.2482115407101</v>
      </c>
      <c r="Y194" s="40">
        <f t="shared" si="91"/>
        <v>1647.5109080182667</v>
      </c>
      <c r="Z194" s="40">
        <f t="shared" si="92"/>
        <v>1017.1834374698092</v>
      </c>
      <c r="AA194" s="40">
        <f t="shared" si="93"/>
        <v>1695.6862352588148</v>
      </c>
      <c r="AB194" s="40">
        <f t="shared" si="94"/>
        <v>1578.2874720704642</v>
      </c>
      <c r="AC194" s="40">
        <f t="shared" si="95"/>
        <v>1695.6862352588148</v>
      </c>
      <c r="AD194" s="41">
        <f t="shared" si="96"/>
        <v>0.80403579734695452</v>
      </c>
      <c r="AE194" s="41">
        <f t="shared" si="97"/>
        <v>0.31280818125156185</v>
      </c>
      <c r="AF194" s="64">
        <f t="shared" si="98"/>
        <v>2.7431620327012705</v>
      </c>
      <c r="AG194" s="64">
        <f>APPLICANTS_PER_YEAR*($H194/Segments!$AH$2)*AE194</f>
        <v>3.3783283575168674</v>
      </c>
      <c r="AH194" s="64">
        <f t="shared" si="99"/>
        <v>6.1214903902181383</v>
      </c>
      <c r="AI194" s="40">
        <f t="shared" si="100"/>
        <v>1695.6862352588146</v>
      </c>
      <c r="AJ194" s="65">
        <f t="shared" si="101"/>
        <v>10380.126993962007</v>
      </c>
      <c r="AK194" s="65">
        <f t="shared" si="102"/>
        <v>6973.8800740677489</v>
      </c>
      <c r="AL194" s="65">
        <f t="shared" si="103"/>
        <v>2369.2324898920092</v>
      </c>
      <c r="AM194" s="40">
        <f t="shared" si="104"/>
        <v>1695.6862352588146</v>
      </c>
      <c r="AN194" s="40">
        <f t="shared" si="105"/>
        <v>1047.6989405939034</v>
      </c>
      <c r="AO194" s="40">
        <f t="shared" si="106"/>
        <v>1745.3068223165792</v>
      </c>
      <c r="AP194" s="40">
        <f t="shared" si="107"/>
        <v>1625.0542632211807</v>
      </c>
      <c r="AQ194" s="40">
        <f t="shared" si="108"/>
        <v>1745.3068223165792</v>
      </c>
      <c r="AR194" s="41">
        <f t="shared" si="109"/>
        <v>0.80422159750669719</v>
      </c>
      <c r="AS194" s="41">
        <f t="shared" si="110"/>
        <v>0.3130004481028732</v>
      </c>
      <c r="AT194" s="64">
        <f t="shared" si="111"/>
        <v>2.4615173903715633</v>
      </c>
      <c r="AU194" s="64">
        <f>APPLICANTS_PER_YEAR*($H194/Segments!$AH$2)*AS194</f>
        <v>3.38040483951103</v>
      </c>
      <c r="AV194" s="64">
        <f t="shared" si="112"/>
        <v>5.8419222298825932</v>
      </c>
      <c r="AW194" s="40">
        <f t="shared" si="113"/>
        <v>1745.3068223165792</v>
      </c>
      <c r="AX194" s="65">
        <f t="shared" si="114"/>
        <v>10195.946723256973</v>
      </c>
      <c r="AY194" s="65">
        <f t="shared" si="115"/>
        <v>6855.0448190335637</v>
      </c>
      <c r="AZ194" s="65">
        <f t="shared" si="116"/>
        <v>2334.877023281666</v>
      </c>
    </row>
    <row r="195" spans="1:52" ht="15" customHeight="1" x14ac:dyDescent="0.35">
      <c r="A195" s="59" t="str">
        <f>Segments!$A$175</f>
        <v>Non-greek</v>
      </c>
      <c r="B195" s="59" t="str">
        <f>Segments!$B$175</f>
        <v>Off 6+mi</v>
      </c>
      <c r="C195" s="59" t="str">
        <f>Segments!$C$175</f>
        <v>Yes</v>
      </c>
      <c r="D195" s="59" t="str">
        <f>Segments!$D$175</f>
        <v>2.0-3.0</v>
      </c>
      <c r="E195" s="59" t="str">
        <f>Segments!$E$175</f>
        <v>Freshman</v>
      </c>
      <c r="F195" s="59">
        <f>Segments!$F$175</f>
        <v>1</v>
      </c>
      <c r="G195" s="59" t="str">
        <f>Segments!$G$175</f>
        <v>Base</v>
      </c>
      <c r="H195" s="60">
        <f>Segments!$H$175</f>
        <v>51</v>
      </c>
      <c r="I195" s="26">
        <f>Segments!$Y$175</f>
        <v>736.93790433561014</v>
      </c>
      <c r="J195" s="29">
        <v>0</v>
      </c>
      <c r="K195" s="14">
        <f t="shared" si="78"/>
        <v>1239.9851505385257</v>
      </c>
      <c r="L195" s="14">
        <f t="shared" si="79"/>
        <v>736.93790433561014</v>
      </c>
      <c r="M195" s="14">
        <f t="shared" si="80"/>
        <v>1239.9851505385257</v>
      </c>
      <c r="N195" s="14">
        <f t="shared" si="81"/>
        <v>1329.8510227870433</v>
      </c>
      <c r="O195" s="14">
        <f t="shared" si="82"/>
        <v>1239.9851505385257</v>
      </c>
      <c r="P195" s="33">
        <f t="shared" si="83"/>
        <v>0.88378794718681375</v>
      </c>
      <c r="Q195" s="33">
        <f t="shared" si="84"/>
        <v>0.38378794718681369</v>
      </c>
      <c r="R195" s="51">
        <f t="shared" si="85"/>
        <v>0</v>
      </c>
      <c r="S195" s="51">
        <f>APPLICANTS_PER_YEAR*($H195/Segments!$AH$2)*Q195</f>
        <v>23.487822367833001</v>
      </c>
      <c r="T195" s="51">
        <f t="shared" si="86"/>
        <v>23.487822367833001</v>
      </c>
      <c r="U195" s="14">
        <f t="shared" si="87"/>
        <v>1239.9851505385257</v>
      </c>
      <c r="V195" s="44">
        <f t="shared" si="88"/>
        <v>29124.550954599556</v>
      </c>
      <c r="W195" s="44">
        <f t="shared" si="89"/>
        <v>19386.154584336873</v>
      </c>
      <c r="X195" s="44">
        <f t="shared" si="90"/>
        <v>7580.8514203827854</v>
      </c>
      <c r="Y195" s="14">
        <f t="shared" si="91"/>
        <v>1275.9347050546814</v>
      </c>
      <c r="Z195" s="14">
        <f t="shared" si="92"/>
        <v>759.04604146567851</v>
      </c>
      <c r="AA195" s="14">
        <f t="shared" si="93"/>
        <v>1275.9347050546814</v>
      </c>
      <c r="AB195" s="14">
        <f t="shared" si="94"/>
        <v>1369.0760935422293</v>
      </c>
      <c r="AC195" s="14">
        <f t="shared" si="95"/>
        <v>1275.9347050546814</v>
      </c>
      <c r="AD195" s="33">
        <f t="shared" si="96"/>
        <v>0.88401614743215684</v>
      </c>
      <c r="AE195" s="33">
        <f t="shared" si="97"/>
        <v>0.3840161474321569</v>
      </c>
      <c r="AF195" s="51">
        <f t="shared" si="98"/>
        <v>0</v>
      </c>
      <c r="AG195" s="51">
        <f>APPLICANTS_PER_YEAR*($H195/Segments!$AH$2)*AE195</f>
        <v>23.501788222848003</v>
      </c>
      <c r="AH195" s="51">
        <f t="shared" si="99"/>
        <v>23.501788222848003</v>
      </c>
      <c r="AI195" s="14">
        <f t="shared" si="100"/>
        <v>1275.9347050546814</v>
      </c>
      <c r="AJ195" s="44">
        <f t="shared" si="101"/>
        <v>29986.747224377152</v>
      </c>
      <c r="AK195" s="44">
        <f t="shared" si="102"/>
        <v>19979.612036067581</v>
      </c>
      <c r="AL195" s="44">
        <f t="shared" si="103"/>
        <v>7774.6118482886422</v>
      </c>
      <c r="AM195" s="14">
        <f t="shared" si="104"/>
        <v>1312.9627462063218</v>
      </c>
      <c r="AN195" s="14">
        <f t="shared" si="105"/>
        <v>781.81742270964878</v>
      </c>
      <c r="AO195" s="14">
        <f t="shared" si="106"/>
        <v>1312.9627462063218</v>
      </c>
      <c r="AP195" s="14">
        <f t="shared" si="107"/>
        <v>1409.4775927120438</v>
      </c>
      <c r="AQ195" s="14">
        <f t="shared" si="108"/>
        <v>1312.9627462063218</v>
      </c>
      <c r="AR195" s="33">
        <f t="shared" si="109"/>
        <v>0.88423780803780394</v>
      </c>
      <c r="AS195" s="33">
        <f t="shared" si="110"/>
        <v>0.38423780803780394</v>
      </c>
      <c r="AT195" s="51">
        <f t="shared" si="111"/>
        <v>0</v>
      </c>
      <c r="AU195" s="51">
        <f>APPLICANTS_PER_YEAR*($H195/Segments!$AH$2)*AS195</f>
        <v>23.515353851913602</v>
      </c>
      <c r="AV195" s="51">
        <f t="shared" si="112"/>
        <v>23.515353851913602</v>
      </c>
      <c r="AW195" s="14">
        <f t="shared" si="113"/>
        <v>1312.9627462063218</v>
      </c>
      <c r="AX195" s="44">
        <f t="shared" si="114"/>
        <v>30874.783571421889</v>
      </c>
      <c r="AY195" s="44">
        <f t="shared" si="115"/>
        <v>20590.878943721527</v>
      </c>
      <c r="AZ195" s="44">
        <f t="shared" si="116"/>
        <v>7974.1424433346156</v>
      </c>
    </row>
    <row r="196" spans="1:52" ht="15" customHeight="1" x14ac:dyDescent="0.35">
      <c r="A196" s="59" t="str">
        <f>Segments!$A$176</f>
        <v>Non-greek</v>
      </c>
      <c r="B196" s="59" t="str">
        <f>Segments!$B$176</f>
        <v>Off 6+mi</v>
      </c>
      <c r="C196" s="59" t="str">
        <f>Segments!$C$176</f>
        <v>Yes</v>
      </c>
      <c r="D196" s="59" t="str">
        <f>Segments!$D$176</f>
        <v>2.0-3.0</v>
      </c>
      <c r="E196" s="59" t="str">
        <f>Segments!$E$176</f>
        <v>Sophomore</v>
      </c>
      <c r="F196" s="59">
        <f>Segments!$F$176</f>
        <v>1</v>
      </c>
      <c r="G196" s="59" t="str">
        <f>Segments!$G$176</f>
        <v>Sophomore</v>
      </c>
      <c r="H196" s="60">
        <f>Segments!$H$176</f>
        <v>44</v>
      </c>
      <c r="I196" s="26">
        <f>Segments!$Y$176</f>
        <v>729.44047704009006</v>
      </c>
      <c r="J196" s="29">
        <v>1</v>
      </c>
      <c r="K196" s="14">
        <f t="shared" si="78"/>
        <v>1426.2297754450396</v>
      </c>
      <c r="L196" s="14">
        <f t="shared" si="79"/>
        <v>729.44047704009006</v>
      </c>
      <c r="M196" s="14">
        <f t="shared" si="80"/>
        <v>1227.7937492591914</v>
      </c>
      <c r="N196" s="14">
        <f t="shared" si="81"/>
        <v>1323.2973979037215</v>
      </c>
      <c r="O196" s="14">
        <f t="shared" si="82"/>
        <v>1227.7937492591914</v>
      </c>
      <c r="P196" s="33">
        <f t="shared" si="83"/>
        <v>0.88608548191654446</v>
      </c>
      <c r="Q196" s="33">
        <f t="shared" si="84"/>
        <v>0.3860854819165444</v>
      </c>
      <c r="R196" s="51">
        <f t="shared" si="85"/>
        <v>45.19035957774377</v>
      </c>
      <c r="S196" s="51">
        <f>APPLICANTS_PER_YEAR*($H196/Segments!$AH$2)*Q196</f>
        <v>20.385313445193546</v>
      </c>
      <c r="T196" s="51">
        <f t="shared" si="86"/>
        <v>65.575673022937309</v>
      </c>
      <c r="U196" s="14">
        <f t="shared" si="87"/>
        <v>1227.7937492591914</v>
      </c>
      <c r="V196" s="44">
        <f t="shared" si="88"/>
        <v>80513.401441027017</v>
      </c>
      <c r="W196" s="44">
        <f t="shared" si="89"/>
        <v>53573.576237525522</v>
      </c>
      <c r="X196" s="44">
        <f t="shared" si="90"/>
        <v>17914.192783807124</v>
      </c>
      <c r="Y196" s="14">
        <f t="shared" si="91"/>
        <v>1239.9851505385257</v>
      </c>
      <c r="Z196" s="14">
        <f t="shared" si="92"/>
        <v>751.32369135129284</v>
      </c>
      <c r="AA196" s="14">
        <f t="shared" si="93"/>
        <v>1263.3775617369672</v>
      </c>
      <c r="AB196" s="14">
        <f t="shared" si="94"/>
        <v>1362.3225378242</v>
      </c>
      <c r="AC196" s="14">
        <f t="shared" si="95"/>
        <v>1263.3775617369672</v>
      </c>
      <c r="AD196" s="33">
        <f t="shared" si="96"/>
        <v>0.88065529078315075</v>
      </c>
      <c r="AE196" s="33">
        <f t="shared" si="97"/>
        <v>0.38631481288023772</v>
      </c>
      <c r="AF196" s="51">
        <f t="shared" si="98"/>
        <v>20.684675037206965</v>
      </c>
      <c r="AG196" s="51">
        <f>APPLICANTS_PER_YEAR*($H196/Segments!$AH$2)*AE196</f>
        <v>20.397422120076552</v>
      </c>
      <c r="AH196" s="51">
        <f t="shared" si="99"/>
        <v>41.082097157283513</v>
      </c>
      <c r="AI196" s="14">
        <f t="shared" si="100"/>
        <v>1263.3775617369674</v>
      </c>
      <c r="AJ196" s="44">
        <f t="shared" si="101"/>
        <v>51902.199737610048</v>
      </c>
      <c r="AK196" s="44">
        <f t="shared" si="102"/>
        <v>34569.86723082223</v>
      </c>
      <c r="AL196" s="44">
        <f t="shared" si="103"/>
        <v>12043.030836388252</v>
      </c>
      <c r="AM196" s="14">
        <f t="shared" si="104"/>
        <v>1275.9347050546814</v>
      </c>
      <c r="AN196" s="14">
        <f t="shared" si="105"/>
        <v>773.86340209183152</v>
      </c>
      <c r="AO196" s="14">
        <f t="shared" si="106"/>
        <v>1300.0288885890759</v>
      </c>
      <c r="AP196" s="14">
        <f t="shared" si="107"/>
        <v>1402.5181033961703</v>
      </c>
      <c r="AQ196" s="14">
        <f t="shared" si="108"/>
        <v>1300.0288885890759</v>
      </c>
      <c r="AR196" s="33">
        <f t="shared" si="109"/>
        <v>0.88087250628595226</v>
      </c>
      <c r="AS196" s="33">
        <f t="shared" si="110"/>
        <v>0.38653757286944057</v>
      </c>
      <c r="AT196" s="51">
        <f t="shared" si="111"/>
        <v>20.702079094061794</v>
      </c>
      <c r="AU196" s="51">
        <f>APPLICANTS_PER_YEAR*($H196/Segments!$AH$2)*AS196</f>
        <v>20.409183847506466</v>
      </c>
      <c r="AV196" s="51">
        <f t="shared" si="112"/>
        <v>41.111262941568256</v>
      </c>
      <c r="AW196" s="14">
        <f t="shared" si="113"/>
        <v>1300.0288885890761</v>
      </c>
      <c r="AX196" s="44">
        <f t="shared" si="114"/>
        <v>53445.829470420249</v>
      </c>
      <c r="AY196" s="44">
        <f t="shared" si="115"/>
        <v>35632.242020764315</v>
      </c>
      <c r="AZ196" s="44">
        <f t="shared" si="116"/>
        <v>12362.355125728391</v>
      </c>
    </row>
    <row r="197" spans="1:52" ht="15" customHeight="1" x14ac:dyDescent="0.35">
      <c r="A197" s="59" t="str">
        <f>Segments!$A$177</f>
        <v>Non-greek</v>
      </c>
      <c r="B197" s="59" t="str">
        <f>Segments!$B$177</f>
        <v>Off 6+mi</v>
      </c>
      <c r="C197" s="59" t="str">
        <f>Segments!$C$177</f>
        <v>Yes</v>
      </c>
      <c r="D197" s="59" t="str">
        <f>Segments!$D$177</f>
        <v>2.0-3.0</v>
      </c>
      <c r="E197" s="59" t="str">
        <f>Segments!$E$177</f>
        <v>Junior</v>
      </c>
      <c r="F197" s="59">
        <f>Segments!$F$177</f>
        <v>2</v>
      </c>
      <c r="G197" s="59" t="str">
        <f>Segments!$G$177</f>
        <v>Base</v>
      </c>
      <c r="H197" s="60">
        <f>Segments!$H$177</f>
        <v>44</v>
      </c>
      <c r="I197" s="26">
        <f>Segments!$Y$177</f>
        <v>871.99183735976112</v>
      </c>
      <c r="J197" s="29">
        <v>2</v>
      </c>
      <c r="K197" s="14">
        <f t="shared" si="78"/>
        <v>1426.2297754450396</v>
      </c>
      <c r="L197" s="14">
        <f t="shared" si="79"/>
        <v>871.99183735976112</v>
      </c>
      <c r="M197" s="14">
        <f t="shared" si="80"/>
        <v>1459.5933743933397</v>
      </c>
      <c r="N197" s="14">
        <f t="shared" si="81"/>
        <v>1442.8151408278472</v>
      </c>
      <c r="O197" s="14">
        <f t="shared" si="82"/>
        <v>1459.5933743933397</v>
      </c>
      <c r="P197" s="33">
        <f t="shared" si="83"/>
        <v>0.83716773223291951</v>
      </c>
      <c r="Q197" s="33">
        <f t="shared" si="84"/>
        <v>0.34418559138634153</v>
      </c>
      <c r="R197" s="51">
        <f t="shared" si="85"/>
        <v>36.83538021824846</v>
      </c>
      <c r="S197" s="51">
        <f>APPLICANTS_PER_YEAR*($H197/Segments!$AH$2)*Q197</f>
        <v>18.172999225198833</v>
      </c>
      <c r="T197" s="51">
        <f t="shared" si="86"/>
        <v>55.008379443447296</v>
      </c>
      <c r="U197" s="14">
        <f t="shared" si="87"/>
        <v>1459.5933743933394</v>
      </c>
      <c r="V197" s="44">
        <f t="shared" si="88"/>
        <v>80289.866171770453</v>
      </c>
      <c r="W197" s="44">
        <f t="shared" si="89"/>
        <v>53722.880804403474</v>
      </c>
      <c r="X197" s="44">
        <f t="shared" si="90"/>
        <v>17657.658900131977</v>
      </c>
      <c r="Y197" s="14">
        <f t="shared" si="91"/>
        <v>1227.7937492591914</v>
      </c>
      <c r="Z197" s="14">
        <f t="shared" si="92"/>
        <v>898.15159248055397</v>
      </c>
      <c r="AA197" s="14">
        <f t="shared" si="93"/>
        <v>1502.1311756251398</v>
      </c>
      <c r="AB197" s="14">
        <f t="shared" si="94"/>
        <v>1485.4816510411231</v>
      </c>
      <c r="AC197" s="14">
        <f t="shared" si="95"/>
        <v>1502.1311756251398</v>
      </c>
      <c r="AD197" s="33">
        <f t="shared" si="96"/>
        <v>0.7773641147820245</v>
      </c>
      <c r="AE197" s="33">
        <f t="shared" si="97"/>
        <v>0.34439591711807827</v>
      </c>
      <c r="AF197" s="51">
        <f t="shared" si="98"/>
        <v>50.976175010711145</v>
      </c>
      <c r="AG197" s="51">
        <f>APPLICANTS_PER_YEAR*($H197/Segments!$AH$2)*AE197</f>
        <v>18.184104423834533</v>
      </c>
      <c r="AH197" s="51">
        <f t="shared" si="99"/>
        <v>69.160279434545686</v>
      </c>
      <c r="AI197" s="14">
        <f t="shared" si="100"/>
        <v>1502.1311756251396</v>
      </c>
      <c r="AJ197" s="44">
        <f t="shared" si="101"/>
        <v>103887.81185357728</v>
      </c>
      <c r="AK197" s="44">
        <f t="shared" si="102"/>
        <v>69570.384923801801</v>
      </c>
      <c r="AL197" s="44">
        <f t="shared" si="103"/>
        <v>22428.626495068154</v>
      </c>
      <c r="AM197" s="14">
        <f t="shared" si="104"/>
        <v>1263.3775617369674</v>
      </c>
      <c r="AN197" s="14">
        <f t="shared" si="105"/>
        <v>925.09614025497058</v>
      </c>
      <c r="AO197" s="14">
        <f t="shared" si="106"/>
        <v>1545.945110893894</v>
      </c>
      <c r="AP197" s="14">
        <f t="shared" si="107"/>
        <v>1529.4279031440853</v>
      </c>
      <c r="AQ197" s="14">
        <f t="shared" si="108"/>
        <v>1545.945110893894</v>
      </c>
      <c r="AR197" s="33">
        <f t="shared" si="109"/>
        <v>0.77750207624239154</v>
      </c>
      <c r="AS197" s="33">
        <f t="shared" si="110"/>
        <v>0.34460020059923913</v>
      </c>
      <c r="AT197" s="51">
        <f t="shared" si="111"/>
        <v>31.941415836179583</v>
      </c>
      <c r="AU197" s="51">
        <f>APPLICANTS_PER_YEAR*($H197/Segments!$AH$2)*AS197</f>
        <v>18.194890591639826</v>
      </c>
      <c r="AV197" s="51">
        <f t="shared" si="112"/>
        <v>50.136306427819406</v>
      </c>
      <c r="AW197" s="14">
        <f t="shared" si="113"/>
        <v>1545.9451108938943</v>
      </c>
      <c r="AX197" s="44">
        <f t="shared" si="114"/>
        <v>77507.977800365537</v>
      </c>
      <c r="AY197" s="44">
        <f t="shared" si="115"/>
        <v>51946.611990578152</v>
      </c>
      <c r="AZ197" s="44">
        <f t="shared" si="116"/>
        <v>17091.096772985293</v>
      </c>
    </row>
    <row r="198" spans="1:52" ht="15" customHeight="1" x14ac:dyDescent="0.35">
      <c r="A198" s="59" t="str">
        <f>Segments!$A$178</f>
        <v>Non-greek</v>
      </c>
      <c r="B198" s="59" t="str">
        <f>Segments!$B$178</f>
        <v>Off 6+mi</v>
      </c>
      <c r="C198" s="59" t="str">
        <f>Segments!$C$178</f>
        <v>Yes</v>
      </c>
      <c r="D198" s="59" t="str">
        <f>Segments!$D$178</f>
        <v>2.0-3.0</v>
      </c>
      <c r="E198" s="59" t="str">
        <f>Segments!$E$178</f>
        <v>Senior</v>
      </c>
      <c r="F198" s="59">
        <f>Segments!$F$178</f>
        <v>3</v>
      </c>
      <c r="G198" s="59" t="str">
        <f>Segments!$G$178</f>
        <v>Base</v>
      </c>
      <c r="H198" s="60">
        <f>Segments!$H$178</f>
        <v>63</v>
      </c>
      <c r="I198" s="26">
        <f>Segments!$Y$178</f>
        <v>815.03983250727481</v>
      </c>
      <c r="J198" s="29">
        <v>3</v>
      </c>
      <c r="K198" s="14">
        <f t="shared" si="78"/>
        <v>1426.2297754450396</v>
      </c>
      <c r="L198" s="14">
        <f t="shared" si="79"/>
        <v>815.03983250727481</v>
      </c>
      <c r="M198" s="14">
        <f t="shared" si="80"/>
        <v>1366.9849745447495</v>
      </c>
      <c r="N198" s="14">
        <f t="shared" si="81"/>
        <v>1396.2931903012711</v>
      </c>
      <c r="O198" s="14">
        <f t="shared" si="82"/>
        <v>1366.9849745447495</v>
      </c>
      <c r="P198" s="33">
        <f t="shared" si="83"/>
        <v>0.86049500776774468</v>
      </c>
      <c r="Q198" s="33">
        <f t="shared" si="84"/>
        <v>0.36049500776774462</v>
      </c>
      <c r="R198" s="51">
        <f t="shared" si="85"/>
        <v>37.861780341780765</v>
      </c>
      <c r="S198" s="51">
        <f>APPLICANTS_PER_YEAR*($H198/Segments!$AH$2)*Q198</f>
        <v>27.253422587241491</v>
      </c>
      <c r="T198" s="51">
        <f t="shared" si="86"/>
        <v>65.11520292902226</v>
      </c>
      <c r="U198" s="14">
        <f t="shared" si="87"/>
        <v>1366.9849745447493</v>
      </c>
      <c r="V198" s="44">
        <f t="shared" si="88"/>
        <v>89011.504018405685</v>
      </c>
      <c r="W198" s="44">
        <f t="shared" si="89"/>
        <v>59440.062179621222</v>
      </c>
      <c r="X198" s="44">
        <f t="shared" si="90"/>
        <v>20110.739554098876</v>
      </c>
      <c r="Y198" s="14">
        <f t="shared" si="91"/>
        <v>1459.5933743933394</v>
      </c>
      <c r="Z198" s="14">
        <f t="shared" si="92"/>
        <v>839.49102748249311</v>
      </c>
      <c r="AA198" s="14">
        <f t="shared" si="93"/>
        <v>1406.7445237810923</v>
      </c>
      <c r="AB198" s="14">
        <f t="shared" si="94"/>
        <v>1437.5434442300073</v>
      </c>
      <c r="AC198" s="14">
        <f t="shared" si="95"/>
        <v>1406.7445237810923</v>
      </c>
      <c r="AD198" s="33">
        <f t="shared" si="96"/>
        <v>0.86071234423298137</v>
      </c>
      <c r="AE198" s="33">
        <f t="shared" si="97"/>
        <v>0.36071234423298132</v>
      </c>
      <c r="AF198" s="51">
        <f t="shared" si="98"/>
        <v>47.346391223226867</v>
      </c>
      <c r="AG198" s="51">
        <f>APPLICANTS_PER_YEAR*($H198/Segments!$AH$2)*AE198</f>
        <v>27.269853224013385</v>
      </c>
      <c r="AH198" s="51">
        <f t="shared" si="99"/>
        <v>74.616244447240248</v>
      </c>
      <c r="AI198" s="14">
        <f t="shared" si="100"/>
        <v>1406.7445237810923</v>
      </c>
      <c r="AJ198" s="44">
        <f t="shared" si="101"/>
        <v>104965.99326126656</v>
      </c>
      <c r="AK198" s="44">
        <f t="shared" si="102"/>
        <v>70156.427844046426</v>
      </c>
      <c r="AL198" s="44">
        <f t="shared" si="103"/>
        <v>23355.304029976342</v>
      </c>
      <c r="AM198" s="14">
        <f t="shared" si="104"/>
        <v>1502.1311756251396</v>
      </c>
      <c r="AN198" s="14">
        <f t="shared" si="105"/>
        <v>864.67575830696785</v>
      </c>
      <c r="AO198" s="14">
        <f t="shared" si="106"/>
        <v>1447.6968594945249</v>
      </c>
      <c r="AP198" s="14">
        <f t="shared" si="107"/>
        <v>1480.030926152989</v>
      </c>
      <c r="AQ198" s="14">
        <f t="shared" si="108"/>
        <v>1447.6968594945249</v>
      </c>
      <c r="AR198" s="33">
        <f t="shared" si="109"/>
        <v>0.86092344291159817</v>
      </c>
      <c r="AS198" s="33">
        <f t="shared" si="110"/>
        <v>0.36092344291159822</v>
      </c>
      <c r="AT198" s="51">
        <f t="shared" si="111"/>
        <v>59.541705883517267</v>
      </c>
      <c r="AU198" s="51">
        <f>APPLICANTS_PER_YEAR*($H198/Segments!$AH$2)*AS198</f>
        <v>27.285812284116822</v>
      </c>
      <c r="AV198" s="51">
        <f t="shared" si="112"/>
        <v>86.827518167634082</v>
      </c>
      <c r="AW198" s="14">
        <f t="shared" si="113"/>
        <v>1447.6968594945251</v>
      </c>
      <c r="AX198" s="44">
        <f t="shared" si="114"/>
        <v>125699.92536898769</v>
      </c>
      <c r="AY198" s="44">
        <f t="shared" si="115"/>
        <v>84086.968127132364</v>
      </c>
      <c r="AZ198" s="44">
        <f t="shared" si="116"/>
        <v>27558.537031530836</v>
      </c>
    </row>
    <row r="199" spans="1:52" ht="15" customHeight="1" x14ac:dyDescent="0.35">
      <c r="A199" s="59" t="str">
        <f>Segments!$A$179</f>
        <v>Non-greek</v>
      </c>
      <c r="B199" s="59" t="str">
        <f>Segments!$B$179</f>
        <v>Off 6+mi</v>
      </c>
      <c r="C199" s="59" t="str">
        <f>Segments!$C$179</f>
        <v>Yes</v>
      </c>
      <c r="D199" s="59" t="str">
        <f>Segments!$D$179</f>
        <v>2.0-3.0</v>
      </c>
      <c r="E199" s="59" t="str">
        <f>Segments!$E$179</f>
        <v>Grad student</v>
      </c>
      <c r="F199" s="59">
        <f>Segments!$F$179</f>
        <v>3</v>
      </c>
      <c r="G199" s="59" t="str">
        <f>Segments!$G$179</f>
        <v>Grad</v>
      </c>
      <c r="H199" s="60">
        <f>Segments!$H$179</f>
        <v>22</v>
      </c>
      <c r="I199" s="26">
        <f>Segments!$Y$179</f>
        <v>970.45197577238866</v>
      </c>
      <c r="J199" s="29">
        <v>4</v>
      </c>
      <c r="K199" s="14">
        <f t="shared" si="78"/>
        <v>1426.2297754450396</v>
      </c>
      <c r="L199" s="14">
        <f t="shared" si="79"/>
        <v>970.45197577238866</v>
      </c>
      <c r="M199" s="14">
        <f t="shared" si="80"/>
        <v>1619.6972353703436</v>
      </c>
      <c r="N199" s="14">
        <f t="shared" si="81"/>
        <v>1519.8882933594814</v>
      </c>
      <c r="O199" s="14">
        <f t="shared" si="82"/>
        <v>1619.6972353703436</v>
      </c>
      <c r="P199" s="33">
        <f t="shared" si="83"/>
        <v>0.77647082627195285</v>
      </c>
      <c r="Q199" s="33">
        <f t="shared" si="84"/>
        <v>0.3171656981480363</v>
      </c>
      <c r="R199" s="51">
        <f t="shared" si="85"/>
        <v>8.5411790889914805</v>
      </c>
      <c r="S199" s="51">
        <f>APPLICANTS_PER_YEAR*($H199/Segments!$AH$2)*Q199</f>
        <v>8.3731744311081595</v>
      </c>
      <c r="T199" s="51">
        <f t="shared" si="86"/>
        <v>16.914353520099638</v>
      </c>
      <c r="U199" s="14">
        <f t="shared" si="87"/>
        <v>1619.6972353703438</v>
      </c>
      <c r="V199" s="44">
        <f t="shared" si="88"/>
        <v>27396.131634582027</v>
      </c>
      <c r="W199" s="44">
        <f t="shared" si="89"/>
        <v>18384.315927592557</v>
      </c>
      <c r="X199" s="44">
        <f t="shared" si="90"/>
        <v>6200.1555718225836</v>
      </c>
      <c r="Y199" s="14">
        <f t="shared" si="91"/>
        <v>1619.6972353703438</v>
      </c>
      <c r="Z199" s="14">
        <f t="shared" si="92"/>
        <v>999.5655350455603</v>
      </c>
      <c r="AA199" s="14">
        <f t="shared" si="93"/>
        <v>1667.0381524314539</v>
      </c>
      <c r="AB199" s="14">
        <f t="shared" si="94"/>
        <v>1564.8983459939641</v>
      </c>
      <c r="AC199" s="14">
        <f t="shared" si="95"/>
        <v>1667.0381524314539</v>
      </c>
      <c r="AD199" s="33">
        <f t="shared" si="96"/>
        <v>0.80859687896162658</v>
      </c>
      <c r="AE199" s="33">
        <f t="shared" si="97"/>
        <v>0.31736535421007983</v>
      </c>
      <c r="AF199" s="51">
        <f t="shared" si="98"/>
        <v>6.8384467330030851</v>
      </c>
      <c r="AG199" s="51">
        <f>APPLICANTS_PER_YEAR*($H199/Segments!$AH$2)*AE199</f>
        <v>8.3784453511461088</v>
      </c>
      <c r="AH199" s="51">
        <f t="shared" si="99"/>
        <v>15.216892084149194</v>
      </c>
      <c r="AI199" s="14">
        <f t="shared" si="100"/>
        <v>1667.0381524314539</v>
      </c>
      <c r="AJ199" s="44">
        <f t="shared" si="101"/>
        <v>25367.139665708888</v>
      </c>
      <c r="AK199" s="44">
        <f t="shared" si="102"/>
        <v>17035.514583161919</v>
      </c>
      <c r="AL199" s="44">
        <f t="shared" si="103"/>
        <v>5797.0399543254043</v>
      </c>
      <c r="AM199" s="14">
        <f t="shared" si="104"/>
        <v>1667.0381524314539</v>
      </c>
      <c r="AN199" s="14">
        <f t="shared" si="105"/>
        <v>1029.552501096927</v>
      </c>
      <c r="AO199" s="14">
        <f t="shared" si="106"/>
        <v>1715.7992970043974</v>
      </c>
      <c r="AP199" s="14">
        <f t="shared" si="107"/>
        <v>1611.2584834474346</v>
      </c>
      <c r="AQ199" s="14">
        <f t="shared" si="108"/>
        <v>1715.7992970043974</v>
      </c>
      <c r="AR199" s="33">
        <f t="shared" si="109"/>
        <v>0.80878421653601984</v>
      </c>
      <c r="AS199" s="33">
        <f t="shared" si="110"/>
        <v>0.31755926667542245</v>
      </c>
      <c r="AT199" s="51">
        <f t="shared" si="111"/>
        <v>6.1535910711958843</v>
      </c>
      <c r="AU199" s="51">
        <f>APPLICANTS_PER_YEAR*($H199/Segments!$AH$2)*AS199</f>
        <v>8.3835646402311532</v>
      </c>
      <c r="AV199" s="51">
        <f t="shared" si="112"/>
        <v>14.537155711427037</v>
      </c>
      <c r="AW199" s="14">
        <f t="shared" si="113"/>
        <v>1715.7992970043977</v>
      </c>
      <c r="AX199" s="44">
        <f t="shared" si="114"/>
        <v>24942.841550109973</v>
      </c>
      <c r="AY199" s="44">
        <f t="shared" si="115"/>
        <v>16762.776824119406</v>
      </c>
      <c r="AZ199" s="44">
        <f t="shared" si="116"/>
        <v>5717.9872842685882</v>
      </c>
    </row>
    <row r="200" spans="1:52" ht="15" customHeight="1" x14ac:dyDescent="0.35">
      <c r="A200" s="61" t="str">
        <f>Segments!$A$180</f>
        <v>Non-greek</v>
      </c>
      <c r="B200" s="61" t="str">
        <f>Segments!$B$180</f>
        <v>Off 6+mi</v>
      </c>
      <c r="C200" s="61" t="str">
        <f>Segments!$C$180</f>
        <v>Yes</v>
      </c>
      <c r="D200" s="61" t="str">
        <f>Segments!$D$180</f>
        <v>3.0+</v>
      </c>
      <c r="E200" s="61" t="str">
        <f>Segments!$E$180</f>
        <v>Freshman</v>
      </c>
      <c r="F200" s="61">
        <f>Segments!$F$180</f>
        <v>1</v>
      </c>
      <c r="G200" s="61" t="str">
        <f>Segments!$G$180</f>
        <v>Base</v>
      </c>
      <c r="H200" s="62">
        <f>Segments!$H$180</f>
        <v>23</v>
      </c>
      <c r="I200" s="63">
        <f>Segments!$Y$180</f>
        <v>645.96116441028778</v>
      </c>
      <c r="J200" s="42">
        <v>0</v>
      </c>
      <c r="K200" s="40">
        <f t="shared" si="78"/>
        <v>1092.0498789050175</v>
      </c>
      <c r="L200" s="40">
        <f t="shared" si="79"/>
        <v>645.96116441028778</v>
      </c>
      <c r="M200" s="40">
        <f t="shared" si="80"/>
        <v>1092.0498789050175</v>
      </c>
      <c r="N200" s="40">
        <f t="shared" si="81"/>
        <v>1248.0040278642878</v>
      </c>
      <c r="O200" s="40">
        <f t="shared" si="82"/>
        <v>1092.0498789050175</v>
      </c>
      <c r="P200" s="41">
        <f t="shared" si="83"/>
        <v>0.9124814285359939</v>
      </c>
      <c r="Q200" s="41">
        <f t="shared" si="84"/>
        <v>0.41248142853599395</v>
      </c>
      <c r="R200" s="64">
        <f t="shared" si="85"/>
        <v>0</v>
      </c>
      <c r="S200" s="64">
        <f>APPLICANTS_PER_YEAR*($H200/Segments!$AH$2)*Q200</f>
        <v>11.384487427593433</v>
      </c>
      <c r="T200" s="64">
        <f t="shared" si="86"/>
        <v>11.384487427593433</v>
      </c>
      <c r="U200" s="40">
        <f t="shared" si="87"/>
        <v>1092.0498789050175</v>
      </c>
      <c r="V200" s="65">
        <f t="shared" si="88"/>
        <v>12432.428116699102</v>
      </c>
      <c r="W200" s="65">
        <f t="shared" si="89"/>
        <v>8236.4091655356406</v>
      </c>
      <c r="X200" s="65">
        <f t="shared" si="90"/>
        <v>3297.1658323823035</v>
      </c>
      <c r="Y200" s="40">
        <f t="shared" si="91"/>
        <v>1123.5613752721681</v>
      </c>
      <c r="Z200" s="40">
        <f t="shared" si="92"/>
        <v>665.33999934259646</v>
      </c>
      <c r="AA200" s="40">
        <f t="shared" si="93"/>
        <v>1123.5613752721681</v>
      </c>
      <c r="AB200" s="40">
        <f t="shared" si="94"/>
        <v>1284.7296947575153</v>
      </c>
      <c r="AC200" s="40">
        <f t="shared" si="95"/>
        <v>1123.5613752721681</v>
      </c>
      <c r="AD200" s="41">
        <f t="shared" si="96"/>
        <v>0.91272460274834954</v>
      </c>
      <c r="AE200" s="41">
        <f t="shared" si="97"/>
        <v>0.4127246027483496</v>
      </c>
      <c r="AF200" s="64">
        <f t="shared" si="98"/>
        <v>0</v>
      </c>
      <c r="AG200" s="64">
        <f>APPLICANTS_PER_YEAR*($H200/Segments!$AH$2)*AE200</f>
        <v>11.391199035854449</v>
      </c>
      <c r="AH200" s="64">
        <f t="shared" si="99"/>
        <v>11.391199035854449</v>
      </c>
      <c r="AI200" s="40">
        <f t="shared" si="100"/>
        <v>1123.5613752721681</v>
      </c>
      <c r="AJ200" s="65">
        <f t="shared" si="101"/>
        <v>12798.711254723619</v>
      </c>
      <c r="AK200" s="65">
        <f t="shared" si="102"/>
        <v>8488.5028021099988</v>
      </c>
      <c r="AL200" s="65">
        <f t="shared" si="103"/>
        <v>3379.5152776715408</v>
      </c>
      <c r="AM200" s="40">
        <f t="shared" si="104"/>
        <v>1156.0182165303331</v>
      </c>
      <c r="AN200" s="40">
        <f t="shared" si="105"/>
        <v>685.30019932287428</v>
      </c>
      <c r="AO200" s="40">
        <f t="shared" si="106"/>
        <v>1156.0182165303331</v>
      </c>
      <c r="AP200" s="40">
        <f t="shared" si="107"/>
        <v>1322.556739915537</v>
      </c>
      <c r="AQ200" s="40">
        <f t="shared" si="108"/>
        <v>1156.0182165303331</v>
      </c>
      <c r="AR200" s="41">
        <f t="shared" si="109"/>
        <v>0.91296082366789033</v>
      </c>
      <c r="AS200" s="41">
        <f t="shared" si="110"/>
        <v>0.41296082366789028</v>
      </c>
      <c r="AT200" s="64">
        <f t="shared" si="111"/>
        <v>0</v>
      </c>
      <c r="AU200" s="64">
        <f>APPLICANTS_PER_YEAR*($H200/Segments!$AH$2)*AS200</f>
        <v>11.39771873323377</v>
      </c>
      <c r="AV200" s="64">
        <f t="shared" si="112"/>
        <v>11.39771873323377</v>
      </c>
      <c r="AW200" s="40">
        <f t="shared" si="113"/>
        <v>1156.0182165303331</v>
      </c>
      <c r="AX200" s="65">
        <f t="shared" si="114"/>
        <v>13175.970482507269</v>
      </c>
      <c r="AY200" s="65">
        <f t="shared" si="115"/>
        <v>8748.1619900764999</v>
      </c>
      <c r="AZ200" s="65">
        <f t="shared" si="116"/>
        <v>3464.3147310771483</v>
      </c>
    </row>
    <row r="201" spans="1:52" ht="15" customHeight="1" x14ac:dyDescent="0.35">
      <c r="A201" s="61" t="str">
        <f>Segments!$A$181</f>
        <v>Non-greek</v>
      </c>
      <c r="B201" s="61" t="str">
        <f>Segments!$B$181</f>
        <v>Off 6+mi</v>
      </c>
      <c r="C201" s="61" t="str">
        <f>Segments!$C$181</f>
        <v>Yes</v>
      </c>
      <c r="D201" s="61" t="str">
        <f>Segments!$D$181</f>
        <v>3.0+</v>
      </c>
      <c r="E201" s="61" t="str">
        <f>Segments!$E$181</f>
        <v>Sophomore</v>
      </c>
      <c r="F201" s="61">
        <f>Segments!$F$181</f>
        <v>1</v>
      </c>
      <c r="G201" s="61" t="str">
        <f>Segments!$G$181</f>
        <v>Sophomore</v>
      </c>
      <c r="H201" s="62">
        <f>Segments!$H$181</f>
        <v>32</v>
      </c>
      <c r="I201" s="63">
        <f>Segments!$Y$181</f>
        <v>639.38931237580459</v>
      </c>
      <c r="J201" s="42">
        <v>1</v>
      </c>
      <c r="K201" s="40">
        <f t="shared" si="78"/>
        <v>1426.2297754450396</v>
      </c>
      <c r="L201" s="40">
        <f t="shared" si="79"/>
        <v>639.38931237580459</v>
      </c>
      <c r="M201" s="40">
        <f t="shared" si="80"/>
        <v>1081.3635351576538</v>
      </c>
      <c r="N201" s="40">
        <f t="shared" si="81"/>
        <v>1241.8827931501246</v>
      </c>
      <c r="O201" s="40">
        <f t="shared" si="82"/>
        <v>1081.3635351576538</v>
      </c>
      <c r="P201" s="41">
        <f t="shared" si="83"/>
        <v>0.91462737823482609</v>
      </c>
      <c r="Q201" s="41">
        <f t="shared" si="84"/>
        <v>0.41462737823482609</v>
      </c>
      <c r="R201" s="64">
        <f t="shared" si="85"/>
        <v>21.036429699401001</v>
      </c>
      <c r="S201" s="64">
        <f>APPLICANTS_PER_YEAR*($H201/Segments!$AH$2)*Q201</f>
        <v>15.921691324217321</v>
      </c>
      <c r="T201" s="64">
        <f t="shared" si="86"/>
        <v>36.958121023618318</v>
      </c>
      <c r="U201" s="40">
        <f t="shared" si="87"/>
        <v>1081.3635351576538</v>
      </c>
      <c r="V201" s="65">
        <f t="shared" si="88"/>
        <v>39965.164402884315</v>
      </c>
      <c r="W201" s="65">
        <f t="shared" si="89"/>
        <v>26466.302898552258</v>
      </c>
      <c r="X201" s="65">
        <f t="shared" si="90"/>
        <v>9293.2205502844954</v>
      </c>
      <c r="Y201" s="40">
        <f t="shared" si="91"/>
        <v>1092.0498789050175</v>
      </c>
      <c r="Z201" s="40">
        <f t="shared" si="92"/>
        <v>658.57099174707878</v>
      </c>
      <c r="AA201" s="40">
        <f t="shared" si="93"/>
        <v>1112.5544412123836</v>
      </c>
      <c r="AB201" s="40">
        <f t="shared" si="94"/>
        <v>1278.4212994887644</v>
      </c>
      <c r="AC201" s="40">
        <f t="shared" si="95"/>
        <v>1112.5544412123836</v>
      </c>
      <c r="AD201" s="41">
        <f t="shared" si="96"/>
        <v>0.9092388875006534</v>
      </c>
      <c r="AE201" s="41">
        <f t="shared" si="97"/>
        <v>0.41487175172328178</v>
      </c>
      <c r="AF201" s="64">
        <f t="shared" si="98"/>
        <v>10.351218683430227</v>
      </c>
      <c r="AG201" s="64">
        <f>APPLICANTS_PER_YEAR*($H201/Segments!$AH$2)*AE201</f>
        <v>15.93107526617402</v>
      </c>
      <c r="AH201" s="64">
        <f t="shared" si="99"/>
        <v>26.282293949604245</v>
      </c>
      <c r="AI201" s="40">
        <f t="shared" si="100"/>
        <v>1112.5544412123836</v>
      </c>
      <c r="AJ201" s="65">
        <f t="shared" si="101"/>
        <v>29240.482858881562</v>
      </c>
      <c r="AK201" s="65">
        <f t="shared" si="102"/>
        <v>19385.807158792613</v>
      </c>
      <c r="AL201" s="65">
        <f t="shared" si="103"/>
        <v>7070.7206198985241</v>
      </c>
      <c r="AM201" s="40">
        <f t="shared" si="104"/>
        <v>1123.5613752721681</v>
      </c>
      <c r="AN201" s="40">
        <f t="shared" si="105"/>
        <v>678.32812149949109</v>
      </c>
      <c r="AO201" s="40">
        <f t="shared" si="106"/>
        <v>1144.681074448755</v>
      </c>
      <c r="AP201" s="40">
        <f t="shared" si="107"/>
        <v>1316.0555634477821</v>
      </c>
      <c r="AQ201" s="40">
        <f t="shared" si="108"/>
        <v>1144.681074448755</v>
      </c>
      <c r="AR201" s="41">
        <f t="shared" si="109"/>
        <v>0.9094700079399064</v>
      </c>
      <c r="AS201" s="41">
        <f t="shared" si="110"/>
        <v>0.41510913891434142</v>
      </c>
      <c r="AT201" s="64">
        <f t="shared" si="111"/>
        <v>10.3599538775836</v>
      </c>
      <c r="AU201" s="64">
        <f>APPLICANTS_PER_YEAR*($H201/Segments!$AH$2)*AS201</f>
        <v>15.94019093431071</v>
      </c>
      <c r="AV201" s="64">
        <f t="shared" si="112"/>
        <v>26.30014481189431</v>
      </c>
      <c r="AW201" s="40">
        <f t="shared" si="113"/>
        <v>1144.681074448755</v>
      </c>
      <c r="AX201" s="65">
        <f t="shared" si="114"/>
        <v>30105.278021437025</v>
      </c>
      <c r="AY201" s="65">
        <f t="shared" si="115"/>
        <v>19980.943164466877</v>
      </c>
      <c r="AZ201" s="65">
        <f t="shared" si="116"/>
        <v>7253.0304366434302</v>
      </c>
    </row>
    <row r="202" spans="1:52" ht="15" customHeight="1" x14ac:dyDescent="0.35">
      <c r="A202" s="61" t="str">
        <f>Segments!$A$182</f>
        <v>Non-greek</v>
      </c>
      <c r="B202" s="61" t="str">
        <f>Segments!$B$182</f>
        <v>Off 6+mi</v>
      </c>
      <c r="C202" s="61" t="str">
        <f>Segments!$C$182</f>
        <v>Yes</v>
      </c>
      <c r="D202" s="61" t="str">
        <f>Segments!$D$182</f>
        <v>3.0+</v>
      </c>
      <c r="E202" s="61" t="str">
        <f>Segments!$E$182</f>
        <v>Junior</v>
      </c>
      <c r="F202" s="61">
        <f>Segments!$F$182</f>
        <v>2</v>
      </c>
      <c r="G202" s="61" t="str">
        <f>Segments!$G$182</f>
        <v>Base</v>
      </c>
      <c r="H202" s="62">
        <f>Segments!$H$182</f>
        <v>19</v>
      </c>
      <c r="I202" s="63">
        <f>Segments!$Y$182</f>
        <v>764.34236765850562</v>
      </c>
      <c r="J202" s="42">
        <v>2</v>
      </c>
      <c r="K202" s="40">
        <f t="shared" si="78"/>
        <v>1426.2297754450396</v>
      </c>
      <c r="L202" s="40">
        <f t="shared" si="79"/>
        <v>764.34236765850562</v>
      </c>
      <c r="M202" s="40">
        <f t="shared" si="80"/>
        <v>1284.5469443439622</v>
      </c>
      <c r="N202" s="40">
        <f t="shared" si="81"/>
        <v>1353.5357771334679</v>
      </c>
      <c r="O202" s="40">
        <f t="shared" si="82"/>
        <v>1284.5469443439622</v>
      </c>
      <c r="P202" s="41">
        <f t="shared" si="83"/>
        <v>0.87548467279365561</v>
      </c>
      <c r="Q202" s="41">
        <f t="shared" si="84"/>
        <v>0.37548467279365566</v>
      </c>
      <c r="R202" s="64">
        <f t="shared" si="85"/>
        <v>28.015509529396979</v>
      </c>
      <c r="S202" s="64">
        <f>APPLICANTS_PER_YEAR*($H202/Segments!$AH$2)*Q202</f>
        <v>8.5610505396953496</v>
      </c>
      <c r="T202" s="64">
        <f t="shared" si="86"/>
        <v>36.576560069092331</v>
      </c>
      <c r="U202" s="40">
        <f t="shared" si="87"/>
        <v>1284.5469443439622</v>
      </c>
      <c r="V202" s="65">
        <f t="shared" si="88"/>
        <v>46984.308471365934</v>
      </c>
      <c r="W202" s="65">
        <f t="shared" si="89"/>
        <v>31311.856266895218</v>
      </c>
      <c r="X202" s="65">
        <f t="shared" si="90"/>
        <v>10210.489261852288</v>
      </c>
      <c r="Y202" s="40">
        <f t="shared" si="91"/>
        <v>1081.3635351576538</v>
      </c>
      <c r="Z202" s="40">
        <f t="shared" si="92"/>
        <v>787.27263868826083</v>
      </c>
      <c r="AA202" s="40">
        <f t="shared" si="93"/>
        <v>1321.8333526742813</v>
      </c>
      <c r="AB202" s="40">
        <f t="shared" si="94"/>
        <v>1393.4831281121474</v>
      </c>
      <c r="AC202" s="40">
        <f t="shared" si="95"/>
        <v>1321.8333526742813</v>
      </c>
      <c r="AD202" s="41">
        <f t="shared" si="96"/>
        <v>0.80899593371944678</v>
      </c>
      <c r="AE202" s="41">
        <f t="shared" si="97"/>
        <v>0.3757088779879722</v>
      </c>
      <c r="AF202" s="64">
        <f t="shared" si="98"/>
        <v>29.898969626018417</v>
      </c>
      <c r="AG202" s="64">
        <f>APPLICANTS_PER_YEAR*($H202/Segments!$AH$2)*AE202</f>
        <v>8.5661624181257672</v>
      </c>
      <c r="AH202" s="64">
        <f t="shared" si="99"/>
        <v>38.465132044144184</v>
      </c>
      <c r="AI202" s="40">
        <f t="shared" si="100"/>
        <v>1321.8333526742813</v>
      </c>
      <c r="AJ202" s="65">
        <f t="shared" si="101"/>
        <v>50844.494450970036</v>
      </c>
      <c r="AK202" s="65">
        <f t="shared" si="102"/>
        <v>33916.45152211206</v>
      </c>
      <c r="AL202" s="65">
        <f t="shared" si="103"/>
        <v>10989.372524173992</v>
      </c>
      <c r="AM202" s="40">
        <f t="shared" si="104"/>
        <v>1112.5544412123836</v>
      </c>
      <c r="AN202" s="40">
        <f t="shared" si="105"/>
        <v>810.89081784890857</v>
      </c>
      <c r="AO202" s="40">
        <f t="shared" si="106"/>
        <v>1360.2383532545095</v>
      </c>
      <c r="AP202" s="40">
        <f t="shared" si="107"/>
        <v>1434.6285926251946</v>
      </c>
      <c r="AQ202" s="40">
        <f t="shared" si="108"/>
        <v>1360.2383532545095</v>
      </c>
      <c r="AR202" s="41">
        <f t="shared" si="109"/>
        <v>0.80913875541558133</v>
      </c>
      <c r="AS202" s="41">
        <f t="shared" si="110"/>
        <v>0.37592665438047629</v>
      </c>
      <c r="AT202" s="64">
        <f t="shared" si="111"/>
        <v>21.266022615849241</v>
      </c>
      <c r="AU202" s="64">
        <f>APPLICANTS_PER_YEAR*($H202/Segments!$AH$2)*AS202</f>
        <v>8.571127719874859</v>
      </c>
      <c r="AV202" s="64">
        <f t="shared" si="112"/>
        <v>29.8371503357241</v>
      </c>
      <c r="AW202" s="40">
        <f t="shared" si="113"/>
        <v>1360.2383532545095</v>
      </c>
      <c r="AX202" s="65">
        <f t="shared" si="114"/>
        <v>40585.636238472587</v>
      </c>
      <c r="AY202" s="65">
        <f t="shared" si="115"/>
        <v>27098.031786578093</v>
      </c>
      <c r="AZ202" s="65">
        <f t="shared" si="116"/>
        <v>8889.7636317152555</v>
      </c>
    </row>
    <row r="203" spans="1:52" ht="15" customHeight="1" x14ac:dyDescent="0.35">
      <c r="A203" s="61" t="str">
        <f>Segments!$A$183</f>
        <v>Non-greek</v>
      </c>
      <c r="B203" s="61" t="str">
        <f>Segments!$B$183</f>
        <v>Off 6+mi</v>
      </c>
      <c r="C203" s="61" t="str">
        <f>Segments!$C$183</f>
        <v>Yes</v>
      </c>
      <c r="D203" s="61" t="str">
        <f>Segments!$D$183</f>
        <v>3.0+</v>
      </c>
      <c r="E203" s="61" t="str">
        <f>Segments!$E$183</f>
        <v>Senior</v>
      </c>
      <c r="F203" s="61">
        <f>Segments!$F$183</f>
        <v>3</v>
      </c>
      <c r="G203" s="61" t="str">
        <f>Segments!$G$183</f>
        <v>Base</v>
      </c>
      <c r="H203" s="62">
        <f>Segments!$H$183</f>
        <v>23</v>
      </c>
      <c r="I203" s="63">
        <f>Segments!$Y$183</f>
        <v>714.42122348397766</v>
      </c>
      <c r="J203" s="42">
        <v>3</v>
      </c>
      <c r="K203" s="40">
        <f t="shared" si="78"/>
        <v>1426.2297754450396</v>
      </c>
      <c r="L203" s="40">
        <f t="shared" si="79"/>
        <v>714.42122348397766</v>
      </c>
      <c r="M203" s="40">
        <f t="shared" si="80"/>
        <v>1203.3712720811805</v>
      </c>
      <c r="N203" s="40">
        <f t="shared" si="81"/>
        <v>1310.0702039041091</v>
      </c>
      <c r="O203" s="40">
        <f t="shared" si="82"/>
        <v>1203.3712720811805</v>
      </c>
      <c r="P203" s="41">
        <f t="shared" si="83"/>
        <v>0.8907226007831327</v>
      </c>
      <c r="Q203" s="41">
        <f t="shared" si="84"/>
        <v>0.3907226007831327</v>
      </c>
      <c r="R203" s="64">
        <f t="shared" si="85"/>
        <v>16.923729414879521</v>
      </c>
      <c r="S203" s="64">
        <f>APPLICANTS_PER_YEAR*($H203/Segments!$AH$2)*Q203</f>
        <v>10.783943781614461</v>
      </c>
      <c r="T203" s="64">
        <f t="shared" si="86"/>
        <v>27.707673196493982</v>
      </c>
      <c r="U203" s="40">
        <f t="shared" si="87"/>
        <v>1203.3712720811805</v>
      </c>
      <c r="V203" s="65">
        <f t="shared" si="88"/>
        <v>33342.617940874588</v>
      </c>
      <c r="W203" s="65">
        <f t="shared" si="89"/>
        <v>22170.343759125459</v>
      </c>
      <c r="X203" s="65">
        <f t="shared" si="90"/>
        <v>7579.704934424205</v>
      </c>
      <c r="Y203" s="40">
        <f t="shared" si="91"/>
        <v>1284.5469443439622</v>
      </c>
      <c r="Z203" s="40">
        <f t="shared" si="92"/>
        <v>735.85386018849704</v>
      </c>
      <c r="AA203" s="40">
        <f t="shared" si="93"/>
        <v>1238.222410243616</v>
      </c>
      <c r="AB203" s="40">
        <f t="shared" si="94"/>
        <v>1348.6917217126199</v>
      </c>
      <c r="AC203" s="40">
        <f t="shared" si="95"/>
        <v>1238.222410243616</v>
      </c>
      <c r="AD203" s="41">
        <f t="shared" si="96"/>
        <v>0.89095424836178494</v>
      </c>
      <c r="AE203" s="41">
        <f t="shared" si="97"/>
        <v>0.39095424836178494</v>
      </c>
      <c r="AF203" s="64">
        <f t="shared" si="98"/>
        <v>32.588041584017837</v>
      </c>
      <c r="AG203" s="64">
        <f>APPLICANTS_PER_YEAR*($H203/Segments!$AH$2)*AE203</f>
        <v>10.790337254785264</v>
      </c>
      <c r="AH203" s="64">
        <f t="shared" si="99"/>
        <v>43.378378838803101</v>
      </c>
      <c r="AI203" s="40">
        <f t="shared" si="100"/>
        <v>1238.222410243616</v>
      </c>
      <c r="AJ203" s="65">
        <f t="shared" si="101"/>
        <v>53712.080798243442</v>
      </c>
      <c r="AK203" s="65">
        <f t="shared" si="102"/>
        <v>35750.565219322554</v>
      </c>
      <c r="AL203" s="65">
        <f t="shared" si="103"/>
        <v>11756.538588117364</v>
      </c>
      <c r="AM203" s="40">
        <f t="shared" si="104"/>
        <v>1321.8333526742813</v>
      </c>
      <c r="AN203" s="40">
        <f t="shared" si="105"/>
        <v>757.92947599415186</v>
      </c>
      <c r="AO203" s="40">
        <f t="shared" si="106"/>
        <v>1274.1190825509241</v>
      </c>
      <c r="AP203" s="40">
        <f t="shared" si="107"/>
        <v>1388.4715464467943</v>
      </c>
      <c r="AQ203" s="40">
        <f t="shared" si="108"/>
        <v>1274.1190825509241</v>
      </c>
      <c r="AR203" s="41">
        <f t="shared" si="109"/>
        <v>0.89117926081686982</v>
      </c>
      <c r="AS203" s="41">
        <f t="shared" si="110"/>
        <v>0.39117926081686977</v>
      </c>
      <c r="AT203" s="64">
        <f t="shared" si="111"/>
        <v>34.279327942323704</v>
      </c>
      <c r="AU203" s="64">
        <f>APPLICANTS_PER_YEAR*($H203/Segments!$AH$2)*AS203</f>
        <v>10.796547598545605</v>
      </c>
      <c r="AV203" s="64">
        <f t="shared" si="112"/>
        <v>45.075875540869305</v>
      </c>
      <c r="AW203" s="40">
        <f t="shared" si="113"/>
        <v>1274.1190825509243</v>
      </c>
      <c r="AX203" s="65">
        <f t="shared" si="114"/>
        <v>57432.033189312046</v>
      </c>
      <c r="AY203" s="65">
        <f t="shared" si="115"/>
        <v>38264.054896108923</v>
      </c>
      <c r="AZ203" s="65">
        <f t="shared" si="116"/>
        <v>12507.548529795173</v>
      </c>
    </row>
    <row r="204" spans="1:52" ht="15" customHeight="1" x14ac:dyDescent="0.35">
      <c r="A204" s="61" t="str">
        <f>Segments!$A$184</f>
        <v>Non-greek</v>
      </c>
      <c r="B204" s="61" t="str">
        <f>Segments!$B$184</f>
        <v>Off 6+mi</v>
      </c>
      <c r="C204" s="61" t="str">
        <f>Segments!$C$184</f>
        <v>Yes</v>
      </c>
      <c r="D204" s="61" t="str">
        <f>Segments!$D$184</f>
        <v>3.0+</v>
      </c>
      <c r="E204" s="61" t="str">
        <f>Segments!$E$184</f>
        <v>Grad student</v>
      </c>
      <c r="F204" s="61">
        <f>Segments!$F$184</f>
        <v>3</v>
      </c>
      <c r="G204" s="61" t="str">
        <f>Segments!$G$184</f>
        <v>Grad</v>
      </c>
      <c r="H204" s="62">
        <f>Segments!$H$184</f>
        <v>11</v>
      </c>
      <c r="I204" s="63">
        <f>Segments!$Y$184</f>
        <v>850.64736741877607</v>
      </c>
      <c r="J204" s="42">
        <v>4</v>
      </c>
      <c r="K204" s="40">
        <f t="shared" si="78"/>
        <v>1426.2297754450396</v>
      </c>
      <c r="L204" s="40">
        <f t="shared" si="79"/>
        <v>850.64736741877607</v>
      </c>
      <c r="M204" s="40">
        <f t="shared" si="80"/>
        <v>1424.8856022618611</v>
      </c>
      <c r="N204" s="40">
        <f t="shared" si="81"/>
        <v>1425.5575304240808</v>
      </c>
      <c r="O204" s="40">
        <f t="shared" si="82"/>
        <v>1424.8856022618611</v>
      </c>
      <c r="P204" s="41">
        <f t="shared" si="83"/>
        <v>0.85023567206088835</v>
      </c>
      <c r="Q204" s="41">
        <f t="shared" si="84"/>
        <v>0.35023567206088829</v>
      </c>
      <c r="R204" s="64">
        <f t="shared" si="85"/>
        <v>4.6762961963348859</v>
      </c>
      <c r="S204" s="64">
        <f>APPLICANTS_PER_YEAR*($H204/Segments!$AH$2)*Q204</f>
        <v>4.6231108712037257</v>
      </c>
      <c r="T204" s="64">
        <f t="shared" si="86"/>
        <v>9.2994070675386116</v>
      </c>
      <c r="U204" s="40">
        <f t="shared" si="87"/>
        <v>1424.8856022618611</v>
      </c>
      <c r="V204" s="65">
        <f t="shared" si="88"/>
        <v>13250.591240107962</v>
      </c>
      <c r="W204" s="65">
        <f t="shared" si="89"/>
        <v>8859.7780774241546</v>
      </c>
      <c r="X204" s="65">
        <f t="shared" si="90"/>
        <v>3036.4868016426171</v>
      </c>
      <c r="Y204" s="40">
        <f t="shared" si="91"/>
        <v>1424.8856022618611</v>
      </c>
      <c r="Z204" s="40">
        <f t="shared" si="92"/>
        <v>876.16678844133935</v>
      </c>
      <c r="AA204" s="40">
        <f t="shared" si="93"/>
        <v>1466.3821703297169</v>
      </c>
      <c r="AB204" s="40">
        <f t="shared" si="94"/>
        <v>1467.698828408315</v>
      </c>
      <c r="AC204" s="40">
        <f t="shared" si="95"/>
        <v>1466.3821703297169</v>
      </c>
      <c r="AD204" s="41">
        <f t="shared" si="96"/>
        <v>0.84171172406905836</v>
      </c>
      <c r="AE204" s="41">
        <f t="shared" si="97"/>
        <v>0.35044854504654266</v>
      </c>
      <c r="AF204" s="64">
        <f t="shared" si="98"/>
        <v>3.9137099778189555</v>
      </c>
      <c r="AG204" s="64">
        <f>APPLICANTS_PER_YEAR*($H204/Segments!$AH$2)*AE204</f>
        <v>4.6259207946143635</v>
      </c>
      <c r="AH204" s="64">
        <f t="shared" si="99"/>
        <v>8.5396307724333198</v>
      </c>
      <c r="AI204" s="40">
        <f t="shared" si="100"/>
        <v>1466.3821703297167</v>
      </c>
      <c r="AJ204" s="65">
        <f t="shared" si="101"/>
        <v>12522.362305895207</v>
      </c>
      <c r="AK204" s="65">
        <f t="shared" si="102"/>
        <v>8379.9977725606641</v>
      </c>
      <c r="AL204" s="65">
        <f t="shared" si="103"/>
        <v>2890.5849832385188</v>
      </c>
      <c r="AM204" s="40">
        <f t="shared" si="104"/>
        <v>1466.3821703297167</v>
      </c>
      <c r="AN204" s="40">
        <f t="shared" si="105"/>
        <v>902.45179209457945</v>
      </c>
      <c r="AO204" s="40">
        <f t="shared" si="106"/>
        <v>1509.1236354396083</v>
      </c>
      <c r="AP204" s="40">
        <f t="shared" si="107"/>
        <v>1511.104102592097</v>
      </c>
      <c r="AQ204" s="40">
        <f t="shared" si="108"/>
        <v>1509.1236354396083</v>
      </c>
      <c r="AR204" s="41">
        <f t="shared" si="109"/>
        <v>0.84191103609426221</v>
      </c>
      <c r="AS204" s="41">
        <f t="shared" si="110"/>
        <v>0.35065530467063499</v>
      </c>
      <c r="AT204" s="64">
        <f t="shared" si="111"/>
        <v>3.5948046957408906</v>
      </c>
      <c r="AU204" s="64">
        <f>APPLICANTS_PER_YEAR*($H204/Segments!$AH$2)*AS204</f>
        <v>4.6286500216523825</v>
      </c>
      <c r="AV204" s="64">
        <f t="shared" si="112"/>
        <v>8.2234547173932739</v>
      </c>
      <c r="AW204" s="40">
        <f t="shared" si="113"/>
        <v>1509.1236354396083</v>
      </c>
      <c r="AX204" s="65">
        <f t="shared" si="114"/>
        <v>12410.209878985534</v>
      </c>
      <c r="AY204" s="65">
        <f t="shared" si="115"/>
        <v>8311.8240205506063</v>
      </c>
      <c r="AZ204" s="65">
        <f t="shared" si="116"/>
        <v>2870.1971921923191</v>
      </c>
    </row>
    <row r="205" spans="1:52" ht="15" customHeight="1" x14ac:dyDescent="0.35">
      <c r="A205" s="59" t="str">
        <f>Segments!$A$185</f>
        <v>Non-greek</v>
      </c>
      <c r="B205" s="59" t="str">
        <f>Segments!$B$185</f>
        <v>Off 6+mi</v>
      </c>
      <c r="C205" s="59" t="str">
        <f>Segments!$C$185</f>
        <v>No</v>
      </c>
      <c r="D205" s="59" t="str">
        <f>Segments!$D$185</f>
        <v>&lt;1.0</v>
      </c>
      <c r="E205" s="59" t="str">
        <f>Segments!$E$185</f>
        <v>Freshman</v>
      </c>
      <c r="F205" s="59">
        <f>Segments!$F$185</f>
        <v>1</v>
      </c>
      <c r="G205" s="59" t="str">
        <f>Segments!$G$185</f>
        <v>Base</v>
      </c>
      <c r="H205" s="60">
        <f>Segments!$H$185</f>
        <v>3</v>
      </c>
      <c r="I205" s="26">
        <f>Segments!$Y$185</f>
        <v>1272.7755927641799</v>
      </c>
      <c r="J205" s="29">
        <v>0</v>
      </c>
      <c r="K205" s="14">
        <f t="shared" si="78"/>
        <v>2111.2990056427993</v>
      </c>
      <c r="L205" s="14">
        <f t="shared" si="79"/>
        <v>1272.7755927641799</v>
      </c>
      <c r="M205" s="14">
        <f t="shared" si="80"/>
        <v>2111.2990056427993</v>
      </c>
      <c r="N205" s="14">
        <f t="shared" si="81"/>
        <v>1735.2802386690355</v>
      </c>
      <c r="O205" s="14">
        <f t="shared" si="82"/>
        <v>2111.2990056427993</v>
      </c>
      <c r="P205" s="33">
        <f t="shared" si="83"/>
        <v>0.74165474296469502</v>
      </c>
      <c r="Q205" s="33">
        <f t="shared" si="84"/>
        <v>0.24165474296469502</v>
      </c>
      <c r="R205" s="51">
        <f t="shared" si="85"/>
        <v>0</v>
      </c>
      <c r="S205" s="51">
        <f>APPLICANTS_PER_YEAR*($H205/Segments!$AH$2)*Q205</f>
        <v>0.86995707467290195</v>
      </c>
      <c r="T205" s="51">
        <f t="shared" si="86"/>
        <v>0.86995707467290195</v>
      </c>
      <c r="U205" s="14">
        <f t="shared" si="87"/>
        <v>2111.2990056427993</v>
      </c>
      <c r="V205" s="44">
        <f t="shared" si="88"/>
        <v>1836.7395067088164</v>
      </c>
      <c r="W205" s="44">
        <f t="shared" si="89"/>
        <v>1240.1313471637382</v>
      </c>
      <c r="X205" s="44">
        <f t="shared" si="90"/>
        <v>450.57771786305551</v>
      </c>
      <c r="Y205" s="14">
        <f t="shared" si="91"/>
        <v>2173.3879758120834</v>
      </c>
      <c r="Z205" s="14">
        <f t="shared" si="92"/>
        <v>1310.9588605471054</v>
      </c>
      <c r="AA205" s="14">
        <f t="shared" si="93"/>
        <v>2173.3879758120834</v>
      </c>
      <c r="AB205" s="14">
        <f t="shared" si="94"/>
        <v>1786.8248834282388</v>
      </c>
      <c r="AC205" s="14">
        <f t="shared" si="95"/>
        <v>2173.3879758120834</v>
      </c>
      <c r="AD205" s="33">
        <f t="shared" si="96"/>
        <v>0.74182960905430839</v>
      </c>
      <c r="AE205" s="33">
        <f t="shared" si="97"/>
        <v>0.24182960905430839</v>
      </c>
      <c r="AF205" s="51">
        <f t="shared" si="98"/>
        <v>0</v>
      </c>
      <c r="AG205" s="51">
        <f>APPLICANTS_PER_YEAR*($H205/Segments!$AH$2)*AE205</f>
        <v>0.87058659259551008</v>
      </c>
      <c r="AH205" s="51">
        <f t="shared" si="99"/>
        <v>0.87058659259551008</v>
      </c>
      <c r="AI205" s="14">
        <f t="shared" si="100"/>
        <v>2173.3879758120834</v>
      </c>
      <c r="AJ205" s="44">
        <f t="shared" si="101"/>
        <v>1892.1224322502944</v>
      </c>
      <c r="AK205" s="44">
        <f t="shared" si="102"/>
        <v>1278.2595923289887</v>
      </c>
      <c r="AL205" s="44">
        <f t="shared" si="103"/>
        <v>463.01182149086389</v>
      </c>
      <c r="AM205" s="14">
        <f t="shared" si="104"/>
        <v>2237.339615086446</v>
      </c>
      <c r="AN205" s="14">
        <f t="shared" si="105"/>
        <v>1350.2876263635185</v>
      </c>
      <c r="AO205" s="14">
        <f t="shared" si="106"/>
        <v>2237.339615086446</v>
      </c>
      <c r="AP205" s="14">
        <f t="shared" si="107"/>
        <v>1839.9157219197059</v>
      </c>
      <c r="AQ205" s="14">
        <f t="shared" si="108"/>
        <v>2237.339615086446</v>
      </c>
      <c r="AR205" s="33">
        <f t="shared" si="109"/>
        <v>0.74199943007387281</v>
      </c>
      <c r="AS205" s="33">
        <f t="shared" si="110"/>
        <v>0.24199943007387281</v>
      </c>
      <c r="AT205" s="51">
        <f t="shared" si="111"/>
        <v>0</v>
      </c>
      <c r="AU205" s="51">
        <f>APPLICANTS_PER_YEAR*($H205/Segments!$AH$2)*AS205</f>
        <v>0.87119794826594199</v>
      </c>
      <c r="AV205" s="51">
        <f t="shared" si="112"/>
        <v>0.87119794826594199</v>
      </c>
      <c r="AW205" s="14">
        <f t="shared" si="113"/>
        <v>2237.339615086446</v>
      </c>
      <c r="AX205" s="44">
        <f t="shared" si="114"/>
        <v>1949.1656822374241</v>
      </c>
      <c r="AY205" s="44">
        <f t="shared" si="115"/>
        <v>1317.5319468156008</v>
      </c>
      <c r="AZ205" s="44">
        <f t="shared" si="116"/>
        <v>475.81702049315038</v>
      </c>
    </row>
    <row r="206" spans="1:52" ht="15" customHeight="1" x14ac:dyDescent="0.35">
      <c r="A206" s="59" t="str">
        <f>Segments!$A$186</f>
        <v>Non-greek</v>
      </c>
      <c r="B206" s="59" t="str">
        <f>Segments!$B$186</f>
        <v>Off 6+mi</v>
      </c>
      <c r="C206" s="59" t="str">
        <f>Segments!$C$186</f>
        <v>No</v>
      </c>
      <c r="D206" s="59" t="str">
        <f>Segments!$D$186</f>
        <v>&lt;1.0</v>
      </c>
      <c r="E206" s="59" t="str">
        <f>Segments!$E$186</f>
        <v>Sophomore</v>
      </c>
      <c r="F206" s="59">
        <f>Segments!$F$186</f>
        <v>1</v>
      </c>
      <c r="G206" s="59" t="str">
        <f>Segments!$G$186</f>
        <v>Sophomore</v>
      </c>
      <c r="H206" s="60">
        <f>Segments!$H$186</f>
        <v>6</v>
      </c>
      <c r="I206" s="26">
        <f>Segments!$Y$186</f>
        <v>1259.8266829386432</v>
      </c>
      <c r="J206" s="29">
        <v>1</v>
      </c>
      <c r="K206" s="14">
        <f t="shared" si="78"/>
        <v>1426.2297754450396</v>
      </c>
      <c r="L206" s="14">
        <f t="shared" si="79"/>
        <v>1259.8266829386432</v>
      </c>
      <c r="M206" s="14">
        <f t="shared" si="80"/>
        <v>2090.2430687739802</v>
      </c>
      <c r="N206" s="14">
        <f t="shared" si="81"/>
        <v>1726.6056013470663</v>
      </c>
      <c r="O206" s="14">
        <f t="shared" si="82"/>
        <v>1782.7872193062994</v>
      </c>
      <c r="P206" s="33">
        <f t="shared" si="83"/>
        <v>0.75873061632737637</v>
      </c>
      <c r="Q206" s="33">
        <f t="shared" si="84"/>
        <v>0.24469585088128676</v>
      </c>
      <c r="R206" s="51">
        <f t="shared" si="85"/>
        <v>2.2761918489821289</v>
      </c>
      <c r="S206" s="51">
        <f>APPLICANTS_PER_YEAR*($H206/Segments!$AH$2)*Q206</f>
        <v>1.7618101263452646</v>
      </c>
      <c r="T206" s="51">
        <f t="shared" si="86"/>
        <v>4.0380019753273935</v>
      </c>
      <c r="U206" s="14">
        <f t="shared" si="87"/>
        <v>1916.9324803304291</v>
      </c>
      <c r="V206" s="44">
        <f t="shared" si="88"/>
        <v>7740.5771421435129</v>
      </c>
      <c r="W206" s="44">
        <f t="shared" si="89"/>
        <v>5697.6445503895675</v>
      </c>
      <c r="X206" s="44">
        <f t="shared" si="90"/>
        <v>1716.6657717084186</v>
      </c>
      <c r="Y206" s="14">
        <f t="shared" si="91"/>
        <v>2111.2990056427993</v>
      </c>
      <c r="Z206" s="14">
        <f t="shared" si="92"/>
        <v>1297.6214834268026</v>
      </c>
      <c r="AA206" s="14">
        <f t="shared" si="93"/>
        <v>2151.7003608371997</v>
      </c>
      <c r="AB206" s="14">
        <f t="shared" si="94"/>
        <v>1777.8874250457213</v>
      </c>
      <c r="AC206" s="14">
        <f t="shared" si="95"/>
        <v>2151.7003608371997</v>
      </c>
      <c r="AD206" s="33">
        <f t="shared" si="96"/>
        <v>0.73913086149880314</v>
      </c>
      <c r="AE206" s="33">
        <f t="shared" si="97"/>
        <v>0.24487159576994444</v>
      </c>
      <c r="AF206" s="51">
        <f t="shared" si="98"/>
        <v>0.64301212206996061</v>
      </c>
      <c r="AG206" s="51">
        <f>APPLICANTS_PER_YEAR*($H206/Segments!$AH$2)*AE206</f>
        <v>1.7630754895435998</v>
      </c>
      <c r="AH206" s="51">
        <f t="shared" si="99"/>
        <v>2.4060876116135606</v>
      </c>
      <c r="AI206" s="14">
        <f t="shared" si="100"/>
        <v>2151.7003608371997</v>
      </c>
      <c r="AJ206" s="44">
        <f t="shared" si="101"/>
        <v>5177.1795821148144</v>
      </c>
      <c r="AK206" s="44">
        <f t="shared" si="102"/>
        <v>3496.8538929372621</v>
      </c>
      <c r="AL206" s="44">
        <f t="shared" si="103"/>
        <v>1203.4619363367576</v>
      </c>
      <c r="AM206" s="14">
        <f t="shared" si="104"/>
        <v>2173.3879758120834</v>
      </c>
      <c r="AN206" s="14">
        <f t="shared" si="105"/>
        <v>1336.5501279296066</v>
      </c>
      <c r="AO206" s="14">
        <f t="shared" si="106"/>
        <v>2215.0013716623157</v>
      </c>
      <c r="AP206" s="14">
        <f t="shared" si="107"/>
        <v>1830.7075556378218</v>
      </c>
      <c r="AQ206" s="14">
        <f t="shared" si="108"/>
        <v>2215.0013716623157</v>
      </c>
      <c r="AR206" s="33">
        <f t="shared" si="109"/>
        <v>0.73929823473095346</v>
      </c>
      <c r="AS206" s="33">
        <f t="shared" si="110"/>
        <v>0.24504227072176876</v>
      </c>
      <c r="AT206" s="51">
        <f t="shared" si="111"/>
        <v>0.64362313108629632</v>
      </c>
      <c r="AU206" s="51">
        <f>APPLICANTS_PER_YEAR*($H206/Segments!$AH$2)*AS206</f>
        <v>1.764304349196735</v>
      </c>
      <c r="AV206" s="51">
        <f t="shared" si="112"/>
        <v>2.4079274802830311</v>
      </c>
      <c r="AW206" s="14">
        <f t="shared" si="113"/>
        <v>2215.0013716623157</v>
      </c>
      <c r="AX206" s="44">
        <f t="shared" si="114"/>
        <v>5333.562671690298</v>
      </c>
      <c r="AY206" s="44">
        <f t="shared" si="115"/>
        <v>3604.513675635601</v>
      </c>
      <c r="AZ206" s="44">
        <f t="shared" si="116"/>
        <v>1237.0872826575651</v>
      </c>
    </row>
    <row r="207" spans="1:52" ht="15" customHeight="1" x14ac:dyDescent="0.35">
      <c r="A207" s="59" t="str">
        <f>Segments!$A$187</f>
        <v>Non-greek</v>
      </c>
      <c r="B207" s="59" t="str">
        <f>Segments!$B$187</f>
        <v>Off 6+mi</v>
      </c>
      <c r="C207" s="59" t="str">
        <f>Segments!$C$187</f>
        <v>No</v>
      </c>
      <c r="D207" s="59" t="str">
        <f>Segments!$D$187</f>
        <v>&lt;1.0</v>
      </c>
      <c r="E207" s="59" t="str">
        <f>Segments!$E$187</f>
        <v>Junior</v>
      </c>
      <c r="F207" s="59">
        <f>Segments!$F$187</f>
        <v>2</v>
      </c>
      <c r="G207" s="59" t="str">
        <f>Segments!$G$187</f>
        <v>Base</v>
      </c>
      <c r="H207" s="60">
        <f>Segments!$H$187</f>
        <v>4</v>
      </c>
      <c r="I207" s="26">
        <f>Segments!$Y$187</f>
        <v>1506.0290984512283</v>
      </c>
      <c r="J207" s="29">
        <v>2</v>
      </c>
      <c r="K207" s="14">
        <f t="shared" si="78"/>
        <v>1426.2297754450396</v>
      </c>
      <c r="L207" s="14">
        <f t="shared" si="79"/>
        <v>1506.0290984512283</v>
      </c>
      <c r="M207" s="14">
        <f t="shared" si="80"/>
        <v>2490.5873902519411</v>
      </c>
      <c r="N207" s="14">
        <f t="shared" si="81"/>
        <v>1884.7148045063141</v>
      </c>
      <c r="O207" s="14">
        <f t="shared" si="82"/>
        <v>1782.7872193062994</v>
      </c>
      <c r="P207" s="33">
        <f t="shared" si="83"/>
        <v>0.80204058591684746</v>
      </c>
      <c r="Q207" s="33">
        <f t="shared" si="84"/>
        <v>0.18926677280376891</v>
      </c>
      <c r="R207" s="51">
        <f t="shared" si="85"/>
        <v>4.812243515501085</v>
      </c>
      <c r="S207" s="51">
        <f>APPLICANTS_PER_YEAR*($H207/Segments!$AH$2)*Q207</f>
        <v>0.90848050945809078</v>
      </c>
      <c r="T207" s="51">
        <f t="shared" si="86"/>
        <v>5.7207240249591758</v>
      </c>
      <c r="U207" s="14">
        <f t="shared" si="87"/>
        <v>1895.1895406016024</v>
      </c>
      <c r="V207" s="44">
        <f t="shared" si="88"/>
        <v>10841.85633677093</v>
      </c>
      <c r="W207" s="44">
        <f t="shared" si="89"/>
        <v>9649.4460672932564</v>
      </c>
      <c r="X207" s="44">
        <f t="shared" si="90"/>
        <v>2265.430094425451</v>
      </c>
      <c r="Y207" s="14">
        <f t="shared" si="91"/>
        <v>1916.9324803304291</v>
      </c>
      <c r="Z207" s="14">
        <f t="shared" si="92"/>
        <v>1551.2099714047652</v>
      </c>
      <c r="AA207" s="14">
        <f t="shared" si="93"/>
        <v>2564.0550119594996</v>
      </c>
      <c r="AB207" s="14">
        <f t="shared" si="94"/>
        <v>1940.783231598469</v>
      </c>
      <c r="AC207" s="14">
        <f t="shared" si="95"/>
        <v>2396.1656004130364</v>
      </c>
      <c r="AD207" s="33">
        <f t="shared" si="96"/>
        <v>0.65768077511173029</v>
      </c>
      <c r="AE207" s="33">
        <f t="shared" si="97"/>
        <v>0.18942777065120997</v>
      </c>
      <c r="AF207" s="51">
        <f t="shared" si="98"/>
        <v>2.6557162690360183</v>
      </c>
      <c r="AG207" s="51">
        <f>APPLICANTS_PER_YEAR*($H207/Segments!$AH$2)*AE207</f>
        <v>0.90925329912580777</v>
      </c>
      <c r="AH207" s="51">
        <f t="shared" si="99"/>
        <v>3.5649695681618261</v>
      </c>
      <c r="AI207" s="14">
        <f t="shared" si="100"/>
        <v>2438.9861626697916</v>
      </c>
      <c r="AJ207" s="44">
        <f t="shared" si="101"/>
        <v>8694.9114470855966</v>
      </c>
      <c r="AK207" s="44">
        <f t="shared" si="102"/>
        <v>6193.6183029136246</v>
      </c>
      <c r="AL207" s="44">
        <f t="shared" si="103"/>
        <v>1818.9671290973081</v>
      </c>
      <c r="AM207" s="14">
        <f t="shared" si="104"/>
        <v>2151.7003608371997</v>
      </c>
      <c r="AN207" s="14">
        <f t="shared" si="105"/>
        <v>1597.7462705469079</v>
      </c>
      <c r="AO207" s="14">
        <f t="shared" si="106"/>
        <v>2639.7266623182841</v>
      </c>
      <c r="AP207" s="14">
        <f t="shared" si="107"/>
        <v>1998.5335978694256</v>
      </c>
      <c r="AQ207" s="14">
        <f t="shared" si="108"/>
        <v>2639.7266623182841</v>
      </c>
      <c r="AR207" s="33">
        <f t="shared" si="109"/>
        <v>0.62154123632847391</v>
      </c>
      <c r="AS207" s="33">
        <f t="shared" si="110"/>
        <v>0.18958411679132781</v>
      </c>
      <c r="AT207" s="51">
        <f t="shared" si="111"/>
        <v>1.4954826688369174</v>
      </c>
      <c r="AU207" s="51">
        <f>APPLICANTS_PER_YEAR*($H207/Segments!$AH$2)*AS207</f>
        <v>0.9100037605983734</v>
      </c>
      <c r="AV207" s="51">
        <f t="shared" si="112"/>
        <v>2.4054864294352907</v>
      </c>
      <c r="AW207" s="14">
        <f t="shared" si="113"/>
        <v>2639.7266623182841</v>
      </c>
      <c r="AX207" s="44">
        <f t="shared" si="114"/>
        <v>6349.8266636251465</v>
      </c>
      <c r="AY207" s="44">
        <f t="shared" si="115"/>
        <v>4304.5598080592063</v>
      </c>
      <c r="AZ207" s="44">
        <f t="shared" si="116"/>
        <v>1355.052703666968</v>
      </c>
    </row>
    <row r="208" spans="1:52" ht="15" customHeight="1" x14ac:dyDescent="0.35">
      <c r="A208" s="59" t="str">
        <f>Segments!$A$188</f>
        <v>Non-greek</v>
      </c>
      <c r="B208" s="59" t="str">
        <f>Segments!$B$188</f>
        <v>Off 6+mi</v>
      </c>
      <c r="C208" s="59" t="str">
        <f>Segments!$C$188</f>
        <v>No</v>
      </c>
      <c r="D208" s="59" t="str">
        <f>Segments!$D$188</f>
        <v>&lt;1.0</v>
      </c>
      <c r="E208" s="59" t="str">
        <f>Segments!$E$188</f>
        <v>Senior</v>
      </c>
      <c r="F208" s="59">
        <f>Segments!$F$188</f>
        <v>3</v>
      </c>
      <c r="G208" s="59" t="str">
        <f>Segments!$G$188</f>
        <v>Base</v>
      </c>
      <c r="H208" s="60">
        <f>Segments!$H$188</f>
        <v>4</v>
      </c>
      <c r="I208" s="26">
        <f>Segments!$Y$188</f>
        <v>1407.6665073716135</v>
      </c>
      <c r="J208" s="29">
        <v>3</v>
      </c>
      <c r="K208" s="14">
        <f t="shared" si="78"/>
        <v>1426.2297754450396</v>
      </c>
      <c r="L208" s="14">
        <f t="shared" si="79"/>
        <v>1407.6665073716135</v>
      </c>
      <c r="M208" s="14">
        <f t="shared" si="80"/>
        <v>2330.642148843172</v>
      </c>
      <c r="N208" s="14">
        <f t="shared" si="81"/>
        <v>1823.1925922917035</v>
      </c>
      <c r="O208" s="14">
        <f t="shared" si="82"/>
        <v>1782.7872193062994</v>
      </c>
      <c r="P208" s="33">
        <f t="shared" si="83"/>
        <v>0.7860809393248509</v>
      </c>
      <c r="Q208" s="33">
        <f t="shared" si="84"/>
        <v>0.21083490063065191</v>
      </c>
      <c r="R208" s="51">
        <f t="shared" si="85"/>
        <v>3.1443237572994036</v>
      </c>
      <c r="S208" s="51">
        <f>APPLICANTS_PER_YEAR*($H208/Segments!$AH$2)*Q208</f>
        <v>1.012007523027129</v>
      </c>
      <c r="T208" s="51">
        <f t="shared" si="86"/>
        <v>4.1563312803265324</v>
      </c>
      <c r="U208" s="14">
        <f t="shared" si="87"/>
        <v>1916.182098786468</v>
      </c>
      <c r="V208" s="44">
        <f t="shared" si="88"/>
        <v>7964.287595987943</v>
      </c>
      <c r="W208" s="44">
        <f t="shared" si="89"/>
        <v>6552.815737279434</v>
      </c>
      <c r="X208" s="44">
        <f t="shared" si="90"/>
        <v>1696.2291279078993</v>
      </c>
      <c r="Y208" s="14">
        <f t="shared" si="91"/>
        <v>1895.1895406016024</v>
      </c>
      <c r="Z208" s="14">
        <f t="shared" si="92"/>
        <v>1449.8965025927621</v>
      </c>
      <c r="AA208" s="14">
        <f t="shared" si="93"/>
        <v>2399.3114133084678</v>
      </c>
      <c r="AB208" s="14">
        <f t="shared" si="94"/>
        <v>1877.3993873367558</v>
      </c>
      <c r="AC208" s="14">
        <f t="shared" si="95"/>
        <v>2368.9869257520031</v>
      </c>
      <c r="AD208" s="33">
        <f t="shared" si="96"/>
        <v>0.64407752774101934</v>
      </c>
      <c r="AE208" s="33">
        <f t="shared" si="97"/>
        <v>0.21100133261679421</v>
      </c>
      <c r="AF208" s="51">
        <f t="shared" si="98"/>
        <v>3.6845897868843593</v>
      </c>
      <c r="AG208" s="51">
        <f>APPLICANTS_PER_YEAR*($H208/Segments!$AH$2)*AE208</f>
        <v>1.0128063965606122</v>
      </c>
      <c r="AH208" s="51">
        <f t="shared" si="99"/>
        <v>4.6973961834449716</v>
      </c>
      <c r="AI208" s="14">
        <f t="shared" si="100"/>
        <v>2375.5251937136991</v>
      </c>
      <c r="AJ208" s="44">
        <f t="shared" si="101"/>
        <v>11158.782978628107</v>
      </c>
      <c r="AK208" s="44">
        <f t="shared" si="102"/>
        <v>7628.0268933897878</v>
      </c>
      <c r="AL208" s="44">
        <f t="shared" si="103"/>
        <v>2313.3293946795161</v>
      </c>
      <c r="AM208" s="14">
        <f t="shared" si="104"/>
        <v>2438.9861626697916</v>
      </c>
      <c r="AN208" s="14">
        <f t="shared" si="105"/>
        <v>1493.3933976705448</v>
      </c>
      <c r="AO208" s="14">
        <f t="shared" si="106"/>
        <v>2470.0407557077215</v>
      </c>
      <c r="AP208" s="14">
        <f t="shared" si="107"/>
        <v>1933.232260696946</v>
      </c>
      <c r="AQ208" s="14">
        <f t="shared" si="108"/>
        <v>2470.0407557077215</v>
      </c>
      <c r="AR208" s="33">
        <f t="shared" si="109"/>
        <v>0.70734318374066762</v>
      </c>
      <c r="AS208" s="33">
        <f t="shared" si="110"/>
        <v>0.21116295855283018</v>
      </c>
      <c r="AT208" s="51">
        <f t="shared" si="111"/>
        <v>2.5216569242821789</v>
      </c>
      <c r="AU208" s="51">
        <f>APPLICANTS_PER_YEAR*($H208/Segments!$AH$2)*AS208</f>
        <v>1.0135822010535849</v>
      </c>
      <c r="AV208" s="51">
        <f t="shared" si="112"/>
        <v>3.5352391253357638</v>
      </c>
      <c r="AW208" s="14">
        <f t="shared" si="113"/>
        <v>2470.0407557077215</v>
      </c>
      <c r="AX208" s="44">
        <f t="shared" si="114"/>
        <v>8732.1847207518549</v>
      </c>
      <c r="AY208" s="44">
        <f t="shared" si="115"/>
        <v>5913.0431012385843</v>
      </c>
      <c r="AZ208" s="44">
        <f t="shared" si="116"/>
        <v>1834.0528768603356</v>
      </c>
    </row>
    <row r="209" spans="1:52" ht="15" customHeight="1" x14ac:dyDescent="0.35">
      <c r="A209" s="59" t="str">
        <f>Segments!$A$189</f>
        <v>Non-greek</v>
      </c>
      <c r="B209" s="59" t="str">
        <f>Segments!$B$189</f>
        <v>Off 6+mi</v>
      </c>
      <c r="C209" s="59" t="str">
        <f>Segments!$C$189</f>
        <v>No</v>
      </c>
      <c r="D209" s="59" t="str">
        <f>Segments!$D$189</f>
        <v>&lt;1.0</v>
      </c>
      <c r="E209" s="59" t="str">
        <f>Segments!$E$189</f>
        <v>Grad student</v>
      </c>
      <c r="F209" s="59">
        <f>Segments!$F$189</f>
        <v>3</v>
      </c>
      <c r="G209" s="59" t="str">
        <f>Segments!$G$189</f>
        <v>Grad</v>
      </c>
      <c r="H209" s="60">
        <f>Segments!$H$189</f>
        <v>2</v>
      </c>
      <c r="I209" s="26">
        <f>Segments!$Y$189</f>
        <v>1676.080958037357</v>
      </c>
      <c r="J209" s="29">
        <v>4</v>
      </c>
      <c r="K209" s="14">
        <f t="shared" si="78"/>
        <v>1426.2297754450396</v>
      </c>
      <c r="L209" s="14">
        <f t="shared" si="79"/>
        <v>1676.080958037357</v>
      </c>
      <c r="M209" s="14">
        <f t="shared" si="80"/>
        <v>2767.1049711226869</v>
      </c>
      <c r="N209" s="14">
        <f t="shared" si="81"/>
        <v>1986.5868975700919</v>
      </c>
      <c r="O209" s="14">
        <f t="shared" si="82"/>
        <v>1782.7872193062994</v>
      </c>
      <c r="P209" s="33">
        <f t="shared" si="83"/>
        <v>0.82629392490030806</v>
      </c>
      <c r="Q209" s="33">
        <f t="shared" si="84"/>
        <v>0.15355299974360759</v>
      </c>
      <c r="R209" s="51">
        <f t="shared" si="85"/>
        <v>0.82629392490030806</v>
      </c>
      <c r="S209" s="51">
        <f>APPLICANTS_PER_YEAR*($H209/Segments!$AH$2)*Q209</f>
        <v>0.36852719938465822</v>
      </c>
      <c r="T209" s="51">
        <f t="shared" si="86"/>
        <v>1.1948211242849662</v>
      </c>
      <c r="U209" s="14">
        <f t="shared" si="87"/>
        <v>2086.3873624646158</v>
      </c>
      <c r="V209" s="44">
        <f t="shared" si="88"/>
        <v>2492.8596941139176</v>
      </c>
      <c r="W209" s="44">
        <f t="shared" si="89"/>
        <v>2242.9309668357969</v>
      </c>
      <c r="X209" s="44">
        <f t="shared" si="90"/>
        <v>539.95145524723853</v>
      </c>
      <c r="Y209" s="14">
        <f t="shared" si="91"/>
        <v>2086.3873624646158</v>
      </c>
      <c r="Z209" s="14">
        <f t="shared" si="92"/>
        <v>1726.3633867784779</v>
      </c>
      <c r="AA209" s="14">
        <f t="shared" si="93"/>
        <v>2848.868120256368</v>
      </c>
      <c r="AB209" s="14">
        <f t="shared" si="94"/>
        <v>2045.7357492131148</v>
      </c>
      <c r="AC209" s="14">
        <f t="shared" si="95"/>
        <v>2607.9842030807695</v>
      </c>
      <c r="AD209" s="33">
        <f t="shared" si="96"/>
        <v>0.63758038114553128</v>
      </c>
      <c r="AE209" s="33">
        <f t="shared" si="97"/>
        <v>0.15370573976815549</v>
      </c>
      <c r="AF209" s="51">
        <f t="shared" si="98"/>
        <v>0.38089725391117046</v>
      </c>
      <c r="AG209" s="51">
        <f>APPLICANTS_PER_YEAR*($H209/Segments!$AH$2)*AE209</f>
        <v>0.36889377544357316</v>
      </c>
      <c r="AH209" s="51">
        <f t="shared" si="99"/>
        <v>0.74979102935474362</v>
      </c>
      <c r="AI209" s="14">
        <f t="shared" si="100"/>
        <v>2726.4979944861097</v>
      </c>
      <c r="AJ209" s="44">
        <f t="shared" si="101"/>
        <v>2044.3037378193844</v>
      </c>
      <c r="AK209" s="44">
        <f t="shared" si="102"/>
        <v>1449.7411945105337</v>
      </c>
      <c r="AL209" s="44">
        <f t="shared" si="103"/>
        <v>447.37411150282514</v>
      </c>
      <c r="AM209" s="14">
        <f t="shared" si="104"/>
        <v>2726.4979944861097</v>
      </c>
      <c r="AN209" s="14">
        <f t="shared" si="105"/>
        <v>1778.154288381832</v>
      </c>
      <c r="AO209" s="14">
        <f t="shared" si="106"/>
        <v>2933.0841638640586</v>
      </c>
      <c r="AP209" s="14">
        <f t="shared" si="107"/>
        <v>2106.6589693787987</v>
      </c>
      <c r="AQ209" s="14">
        <f t="shared" si="108"/>
        <v>2933.0841638640586</v>
      </c>
      <c r="AR209" s="33">
        <f t="shared" si="109"/>
        <v>0.63112312733790865</v>
      </c>
      <c r="AS209" s="33">
        <f t="shared" si="110"/>
        <v>0.15385406311659633</v>
      </c>
      <c r="AT209" s="51">
        <f t="shared" si="111"/>
        <v>0.23660522964813774</v>
      </c>
      <c r="AU209" s="51">
        <f>APPLICANTS_PER_YEAR*($H209/Segments!$AH$2)*AS209</f>
        <v>0.36924975147983119</v>
      </c>
      <c r="AV209" s="51">
        <f t="shared" si="112"/>
        <v>0.60585498112796898</v>
      </c>
      <c r="AW209" s="14">
        <f t="shared" si="113"/>
        <v>2933.0841638640582</v>
      </c>
      <c r="AX209" s="44">
        <f t="shared" si="114"/>
        <v>1777.0236507446036</v>
      </c>
      <c r="AY209" s="44">
        <f t="shared" si="115"/>
        <v>1206.5800687698149</v>
      </c>
      <c r="AZ209" s="44">
        <f t="shared" si="116"/>
        <v>395.11223435045343</v>
      </c>
    </row>
    <row r="210" spans="1:52" ht="15" customHeight="1" x14ac:dyDescent="0.35">
      <c r="A210" s="61" t="str">
        <f>Segments!$A$190</f>
        <v>Non-greek</v>
      </c>
      <c r="B210" s="61" t="str">
        <f>Segments!$B$190</f>
        <v>Off 6+mi</v>
      </c>
      <c r="C210" s="61" t="str">
        <f>Segments!$C$190</f>
        <v>No</v>
      </c>
      <c r="D210" s="61" t="str">
        <f>Segments!$D$190</f>
        <v>1.0-2.0</v>
      </c>
      <c r="E210" s="61" t="str">
        <f>Segments!$E$190</f>
        <v>Freshman</v>
      </c>
      <c r="F210" s="61">
        <f>Segments!$F$190</f>
        <v>1</v>
      </c>
      <c r="G210" s="61" t="str">
        <f>Segments!$G$190</f>
        <v>Base</v>
      </c>
      <c r="H210" s="62">
        <f>Segments!$H$190</f>
        <v>12</v>
      </c>
      <c r="I210" s="63">
        <f>Segments!$Y$190</f>
        <v>1154.9434063405065</v>
      </c>
      <c r="J210" s="42">
        <v>0</v>
      </c>
      <c r="K210" s="40">
        <f t="shared" si="78"/>
        <v>1919.6946843617245</v>
      </c>
      <c r="L210" s="40">
        <f t="shared" si="79"/>
        <v>1154.9434063405065</v>
      </c>
      <c r="M210" s="40">
        <f t="shared" si="80"/>
        <v>1919.6946843617245</v>
      </c>
      <c r="N210" s="40">
        <f t="shared" si="81"/>
        <v>1654.6678574868911</v>
      </c>
      <c r="O210" s="40">
        <f t="shared" si="82"/>
        <v>1919.6946843617245</v>
      </c>
      <c r="P210" s="41">
        <f t="shared" si="83"/>
        <v>0.7699154000376377</v>
      </c>
      <c r="Q210" s="41">
        <f t="shared" si="84"/>
        <v>0.2699154000376377</v>
      </c>
      <c r="R210" s="64">
        <f t="shared" si="85"/>
        <v>0</v>
      </c>
      <c r="S210" s="64">
        <f>APPLICANTS_PER_YEAR*($H210/Segments!$AH$2)*Q210</f>
        <v>3.8867817605419823</v>
      </c>
      <c r="T210" s="64">
        <f t="shared" si="86"/>
        <v>3.8867817605419823</v>
      </c>
      <c r="U210" s="40">
        <f t="shared" si="87"/>
        <v>1919.6946843617245</v>
      </c>
      <c r="V210" s="65">
        <f t="shared" si="88"/>
        <v>7461.4342849865488</v>
      </c>
      <c r="W210" s="65">
        <f t="shared" si="89"/>
        <v>5027.6945221692094</v>
      </c>
      <c r="X210" s="65">
        <f t="shared" si="90"/>
        <v>1846.2664590613763</v>
      </c>
      <c r="Y210" s="40">
        <f t="shared" si="91"/>
        <v>1976.0355248925762</v>
      </c>
      <c r="Z210" s="40">
        <f t="shared" si="92"/>
        <v>1189.5917085307217</v>
      </c>
      <c r="AA210" s="40">
        <f t="shared" si="93"/>
        <v>1976.0355248925762</v>
      </c>
      <c r="AB210" s="40">
        <f t="shared" si="94"/>
        <v>1703.7690935179944</v>
      </c>
      <c r="AC210" s="40">
        <f t="shared" si="95"/>
        <v>1976.0355248925762</v>
      </c>
      <c r="AD210" s="41">
        <f t="shared" si="96"/>
        <v>0.77009878791368447</v>
      </c>
      <c r="AE210" s="41">
        <f t="shared" si="97"/>
        <v>0.27009878791368447</v>
      </c>
      <c r="AF210" s="64">
        <f t="shared" si="98"/>
        <v>0</v>
      </c>
      <c r="AG210" s="64">
        <f>APPLICANTS_PER_YEAR*($H210/Segments!$AH$2)*AE210</f>
        <v>3.8894225459570562</v>
      </c>
      <c r="AH210" s="64">
        <f t="shared" si="99"/>
        <v>3.8894225459570562</v>
      </c>
      <c r="AI210" s="40">
        <f t="shared" si="100"/>
        <v>1976.0355248925762</v>
      </c>
      <c r="AJ210" s="65">
        <f t="shared" si="101"/>
        <v>7685.6371221292711</v>
      </c>
      <c r="AK210" s="65">
        <f t="shared" si="102"/>
        <v>5182.0437890401199</v>
      </c>
      <c r="AL210" s="65">
        <f t="shared" si="103"/>
        <v>1896.6067299250242</v>
      </c>
      <c r="AM210" s="40">
        <f t="shared" si="104"/>
        <v>2034.0665906393533</v>
      </c>
      <c r="AN210" s="40">
        <f t="shared" si="105"/>
        <v>1225.2794597866432</v>
      </c>
      <c r="AO210" s="40">
        <f t="shared" si="106"/>
        <v>2034.0665906393533</v>
      </c>
      <c r="AP210" s="40">
        <f t="shared" si="107"/>
        <v>1754.3431986699236</v>
      </c>
      <c r="AQ210" s="40">
        <f t="shared" si="108"/>
        <v>2034.0665906393533</v>
      </c>
      <c r="AR210" s="41">
        <f t="shared" si="109"/>
        <v>0.77027688989773913</v>
      </c>
      <c r="AS210" s="41">
        <f t="shared" si="110"/>
        <v>0.27027688989773913</v>
      </c>
      <c r="AT210" s="64">
        <f t="shared" si="111"/>
        <v>0</v>
      </c>
      <c r="AU210" s="64">
        <f>APPLICANTS_PER_YEAR*($H210/Segments!$AH$2)*AS210</f>
        <v>3.8919872145274432</v>
      </c>
      <c r="AV210" s="64">
        <f t="shared" si="112"/>
        <v>3.8919872145274432</v>
      </c>
      <c r="AW210" s="40">
        <f t="shared" si="113"/>
        <v>2034.0665906393533</v>
      </c>
      <c r="AX210" s="65">
        <f t="shared" si="114"/>
        <v>7916.5611642657896</v>
      </c>
      <c r="AY210" s="65">
        <f t="shared" si="115"/>
        <v>5341.0246307182333</v>
      </c>
      <c r="AZ210" s="65">
        <f t="shared" si="116"/>
        <v>1948.4491254492718</v>
      </c>
    </row>
    <row r="211" spans="1:52" ht="15" customHeight="1" x14ac:dyDescent="0.35">
      <c r="A211" s="61" t="str">
        <f>Segments!$A$191</f>
        <v>Non-greek</v>
      </c>
      <c r="B211" s="61" t="str">
        <f>Segments!$B$191</f>
        <v>Off 6+mi</v>
      </c>
      <c r="C211" s="61" t="str">
        <f>Segments!$C$191</f>
        <v>No</v>
      </c>
      <c r="D211" s="61" t="str">
        <f>Segments!$D$191</f>
        <v>1.0-2.0</v>
      </c>
      <c r="E211" s="61" t="str">
        <f>Segments!$E$191</f>
        <v>Sophomore</v>
      </c>
      <c r="F211" s="61">
        <f>Segments!$F$191</f>
        <v>1</v>
      </c>
      <c r="G211" s="61" t="str">
        <f>Segments!$G$191</f>
        <v>Sophomore</v>
      </c>
      <c r="H211" s="62">
        <f>Segments!$H$191</f>
        <v>10</v>
      </c>
      <c r="I211" s="63">
        <f>Segments!$Y$191</f>
        <v>1143.1932925676438</v>
      </c>
      <c r="J211" s="42">
        <v>1</v>
      </c>
      <c r="K211" s="40">
        <f t="shared" si="78"/>
        <v>1426.2297754450396</v>
      </c>
      <c r="L211" s="40">
        <f t="shared" si="79"/>
        <v>1143.1932925676438</v>
      </c>
      <c r="M211" s="40">
        <f t="shared" si="80"/>
        <v>1900.5880833322756</v>
      </c>
      <c r="N211" s="40">
        <f t="shared" si="81"/>
        <v>1646.4128629552522</v>
      </c>
      <c r="O211" s="40">
        <f t="shared" si="82"/>
        <v>1782.7872193062994</v>
      </c>
      <c r="P211" s="41">
        <f t="shared" si="83"/>
        <v>0.73358439902301897</v>
      </c>
      <c r="Q211" s="41">
        <f t="shared" si="84"/>
        <v>0.27280939183116315</v>
      </c>
      <c r="R211" s="64">
        <f t="shared" si="85"/>
        <v>8.8030127882762272</v>
      </c>
      <c r="S211" s="64">
        <f>APPLICANTS_PER_YEAR*($H211/Segments!$AH$2)*Q211</f>
        <v>3.2737127019739578</v>
      </c>
      <c r="T211" s="64">
        <f t="shared" si="86"/>
        <v>12.076725490250185</v>
      </c>
      <c r="U211" s="40">
        <f t="shared" si="87"/>
        <v>1814.7202283969414</v>
      </c>
      <c r="V211" s="65">
        <f t="shared" si="88"/>
        <v>21915.878039953979</v>
      </c>
      <c r="W211" s="65">
        <f t="shared" si="89"/>
        <v>15462.755365830866</v>
      </c>
      <c r="X211" s="65">
        <f t="shared" si="90"/>
        <v>4683.2475541425374</v>
      </c>
      <c r="Y211" s="40">
        <f t="shared" si="91"/>
        <v>1919.6946843617245</v>
      </c>
      <c r="Z211" s="40">
        <f t="shared" si="92"/>
        <v>1177.4890913446732</v>
      </c>
      <c r="AA211" s="40">
        <f t="shared" si="93"/>
        <v>1956.3557258322439</v>
      </c>
      <c r="AB211" s="40">
        <f t="shared" si="94"/>
        <v>1695.2637467871093</v>
      </c>
      <c r="AC211" s="40">
        <f t="shared" si="95"/>
        <v>1956.3557258322439</v>
      </c>
      <c r="AD211" s="41">
        <f t="shared" si="96"/>
        <v>0.767264500714957</v>
      </c>
      <c r="AE211" s="41">
        <f t="shared" si="97"/>
        <v>0.27299369949367458</v>
      </c>
      <c r="AF211" s="64">
        <f t="shared" si="98"/>
        <v>2.9821896668902457</v>
      </c>
      <c r="AG211" s="64">
        <f>APPLICANTS_PER_YEAR*($H211/Segments!$AH$2)*AE211</f>
        <v>3.275924393924095</v>
      </c>
      <c r="AH211" s="64">
        <f t="shared" si="99"/>
        <v>6.2581140608143411</v>
      </c>
      <c r="AI211" s="40">
        <f t="shared" si="100"/>
        <v>1956.3557258322437</v>
      </c>
      <c r="AJ211" s="65">
        <f t="shared" si="101"/>
        <v>12243.097275785411</v>
      </c>
      <c r="AK211" s="65">
        <f t="shared" si="102"/>
        <v>8253.1243636795534</v>
      </c>
      <c r="AL211" s="65">
        <f t="shared" si="103"/>
        <v>2745.3163467784743</v>
      </c>
      <c r="AM211" s="40">
        <f t="shared" si="104"/>
        <v>1976.0355248925762</v>
      </c>
      <c r="AN211" s="40">
        <f t="shared" si="105"/>
        <v>1212.8137640850132</v>
      </c>
      <c r="AO211" s="40">
        <f t="shared" si="106"/>
        <v>2013.796397607211</v>
      </c>
      <c r="AP211" s="40">
        <f t="shared" si="107"/>
        <v>1745.5799866330963</v>
      </c>
      <c r="AQ211" s="40">
        <f t="shared" si="108"/>
        <v>2013.796397607211</v>
      </c>
      <c r="AR211" s="41">
        <f t="shared" si="109"/>
        <v>0.76743987236019851</v>
      </c>
      <c r="AS211" s="41">
        <f t="shared" si="110"/>
        <v>0.27317269531387811</v>
      </c>
      <c r="AT211" s="64">
        <f t="shared" si="111"/>
        <v>2.9848979422241615</v>
      </c>
      <c r="AU211" s="64">
        <f>APPLICANTS_PER_YEAR*($H211/Segments!$AH$2)*AS211</f>
        <v>3.2780723437665373</v>
      </c>
      <c r="AV211" s="64">
        <f t="shared" si="112"/>
        <v>6.2629702859906988</v>
      </c>
      <c r="AW211" s="40">
        <f t="shared" si="113"/>
        <v>2013.7963976072108</v>
      </c>
      <c r="AX211" s="65">
        <f t="shared" si="114"/>
        <v>12612.347000249072</v>
      </c>
      <c r="AY211" s="65">
        <f t="shared" si="115"/>
        <v>8507.3145549335695</v>
      </c>
      <c r="AZ211" s="65">
        <f t="shared" si="116"/>
        <v>2821.9927570551031</v>
      </c>
    </row>
    <row r="212" spans="1:52" ht="15" customHeight="1" x14ac:dyDescent="0.35">
      <c r="A212" s="61" t="str">
        <f>Segments!$A$192</f>
        <v>Non-greek</v>
      </c>
      <c r="B212" s="61" t="str">
        <f>Segments!$B$192</f>
        <v>Off 6+mi</v>
      </c>
      <c r="C212" s="61" t="str">
        <f>Segments!$C$192</f>
        <v>No</v>
      </c>
      <c r="D212" s="61" t="str">
        <f>Segments!$D$192</f>
        <v>1.0-2.0</v>
      </c>
      <c r="E212" s="61" t="str">
        <f>Segments!$E$192</f>
        <v>Junior</v>
      </c>
      <c r="F212" s="61">
        <f>Segments!$F$192</f>
        <v>2</v>
      </c>
      <c r="G212" s="61" t="str">
        <f>Segments!$G$192</f>
        <v>Base</v>
      </c>
      <c r="H212" s="62">
        <f>Segments!$H$192</f>
        <v>8</v>
      </c>
      <c r="I212" s="63">
        <f>Segments!$Y$192</f>
        <v>1366.6025550000124</v>
      </c>
      <c r="J212" s="42">
        <v>2</v>
      </c>
      <c r="K212" s="40">
        <f t="shared" si="78"/>
        <v>1426.2297754450396</v>
      </c>
      <c r="L212" s="40">
        <f t="shared" si="79"/>
        <v>1366.6025550000124</v>
      </c>
      <c r="M212" s="40">
        <f t="shared" si="80"/>
        <v>2263.8689609555349</v>
      </c>
      <c r="N212" s="40">
        <f t="shared" si="81"/>
        <v>1796.8854498327398</v>
      </c>
      <c r="O212" s="40">
        <f t="shared" si="82"/>
        <v>1782.7872193062994</v>
      </c>
      <c r="P212" s="41">
        <f t="shared" si="83"/>
        <v>0.77892296307139464</v>
      </c>
      <c r="Q212" s="41">
        <f t="shared" si="84"/>
        <v>0.22005751781053606</v>
      </c>
      <c r="R212" s="64">
        <f t="shared" si="85"/>
        <v>7.7892296307139466</v>
      </c>
      <c r="S212" s="64">
        <f>APPLICANTS_PER_YEAR*($H212/Segments!$AH$2)*Q212</f>
        <v>2.1125521709811461</v>
      </c>
      <c r="T212" s="64">
        <f t="shared" si="86"/>
        <v>9.9017818016950923</v>
      </c>
      <c r="U212" s="40">
        <f t="shared" si="87"/>
        <v>1885.4263501308649</v>
      </c>
      <c r="V212" s="65">
        <f t="shared" si="88"/>
        <v>18669.080322162197</v>
      </c>
      <c r="W212" s="65">
        <f t="shared" si="89"/>
        <v>15155.616346359038</v>
      </c>
      <c r="X212" s="65">
        <f t="shared" si="90"/>
        <v>3946.6945662870066</v>
      </c>
      <c r="Y212" s="40">
        <f t="shared" si="91"/>
        <v>1814.7202283969414</v>
      </c>
      <c r="Z212" s="40">
        <f t="shared" si="92"/>
        <v>1407.6006316500129</v>
      </c>
      <c r="AA212" s="40">
        <f t="shared" si="93"/>
        <v>2330.5350297842015</v>
      </c>
      <c r="AB212" s="40">
        <f t="shared" si="94"/>
        <v>1850.2958697899635</v>
      </c>
      <c r="AC212" s="40">
        <f t="shared" si="95"/>
        <v>2268.4002854961768</v>
      </c>
      <c r="AD212" s="41">
        <f t="shared" si="96"/>
        <v>0.66201687591356018</v>
      </c>
      <c r="AE212" s="41">
        <f t="shared" si="97"/>
        <v>0.22022638707809672</v>
      </c>
      <c r="AF212" s="64">
        <f t="shared" si="98"/>
        <v>7.9949960803210862</v>
      </c>
      <c r="AG212" s="64">
        <f>APPLICANTS_PER_YEAR*($H212/Segments!$AH$2)*AE212</f>
        <v>2.1141733159497282</v>
      </c>
      <c r="AH212" s="64">
        <f t="shared" si="99"/>
        <v>10.109169396270815</v>
      </c>
      <c r="AI212" s="40">
        <f t="shared" si="100"/>
        <v>2281.3947871429255</v>
      </c>
      <c r="AJ212" s="65">
        <f t="shared" si="101"/>
        <v>23063.006362997032</v>
      </c>
      <c r="AK212" s="65">
        <f t="shared" si="102"/>
        <v>15937.234014965516</v>
      </c>
      <c r="AL212" s="65">
        <f t="shared" si="103"/>
        <v>4786.3963474455541</v>
      </c>
      <c r="AM212" s="40">
        <f t="shared" si="104"/>
        <v>1956.3557258322437</v>
      </c>
      <c r="AN212" s="40">
        <f t="shared" si="105"/>
        <v>1449.8286505995131</v>
      </c>
      <c r="AO212" s="40">
        <f t="shared" si="106"/>
        <v>2399.2010806777271</v>
      </c>
      <c r="AP212" s="40">
        <f t="shared" si="107"/>
        <v>1905.3084712118741</v>
      </c>
      <c r="AQ212" s="40">
        <f t="shared" si="108"/>
        <v>2399.2010806777271</v>
      </c>
      <c r="AR212" s="41">
        <f t="shared" si="109"/>
        <v>0.65248166460803658</v>
      </c>
      <c r="AS212" s="41">
        <f t="shared" si="110"/>
        <v>0.2203903811565715</v>
      </c>
      <c r="AT212" s="64">
        <f t="shared" si="111"/>
        <v>4.0833046797071004</v>
      </c>
      <c r="AU212" s="64">
        <f>APPLICANTS_PER_YEAR*($H212/Segments!$AH$2)*AS212</f>
        <v>2.1157476591030862</v>
      </c>
      <c r="AV212" s="64">
        <f t="shared" si="112"/>
        <v>6.199052338810187</v>
      </c>
      <c r="AW212" s="40">
        <f t="shared" si="113"/>
        <v>2399.2010806777271</v>
      </c>
      <c r="AX212" s="65">
        <f t="shared" si="114"/>
        <v>14872.773070451192</v>
      </c>
      <c r="AY212" s="65">
        <f t="shared" si="115"/>
        <v>10066.071329857681</v>
      </c>
      <c r="AZ212" s="65">
        <f t="shared" si="116"/>
        <v>3165.4924910247087</v>
      </c>
    </row>
    <row r="213" spans="1:52" ht="15" customHeight="1" x14ac:dyDescent="0.35">
      <c r="A213" s="61" t="str">
        <f>Segments!$A$193</f>
        <v>Non-greek</v>
      </c>
      <c r="B213" s="61" t="str">
        <f>Segments!$B$193</f>
        <v>Off 6+mi</v>
      </c>
      <c r="C213" s="61" t="str">
        <f>Segments!$C$193</f>
        <v>No</v>
      </c>
      <c r="D213" s="61" t="str">
        <f>Segments!$D$193</f>
        <v>1.0-2.0</v>
      </c>
      <c r="E213" s="61" t="str">
        <f>Segments!$E$193</f>
        <v>Senior</v>
      </c>
      <c r="F213" s="61">
        <f>Segments!$F$193</f>
        <v>3</v>
      </c>
      <c r="G213" s="61" t="str">
        <f>Segments!$G$193</f>
        <v>Base</v>
      </c>
      <c r="H213" s="62">
        <f>Segments!$H$193</f>
        <v>7</v>
      </c>
      <c r="I213" s="63">
        <f>Segments!$Y$193</f>
        <v>1277.3462661115304</v>
      </c>
      <c r="J213" s="42">
        <v>3</v>
      </c>
      <c r="K213" s="40">
        <f t="shared" si="78"/>
        <v>1426.2297754450396</v>
      </c>
      <c r="L213" s="40">
        <f t="shared" si="79"/>
        <v>1277.3462661115304</v>
      </c>
      <c r="M213" s="40">
        <f t="shared" si="80"/>
        <v>2118.7312768336924</v>
      </c>
      <c r="N213" s="40">
        <f t="shared" si="81"/>
        <v>1738.3318535846081</v>
      </c>
      <c r="O213" s="40">
        <f t="shared" si="82"/>
        <v>1782.7872193062994</v>
      </c>
      <c r="P213" s="41">
        <f t="shared" si="83"/>
        <v>0.76221321086361615</v>
      </c>
      <c r="Q213" s="41">
        <f t="shared" si="84"/>
        <v>0.2405849241430329</v>
      </c>
      <c r="R213" s="64">
        <f t="shared" si="85"/>
        <v>6.0977056869089292</v>
      </c>
      <c r="S213" s="64">
        <f>APPLICANTS_PER_YEAR*($H213/Segments!$AH$2)*Q213</f>
        <v>2.0209133628014766</v>
      </c>
      <c r="T213" s="64">
        <f t="shared" si="86"/>
        <v>8.1186190497104054</v>
      </c>
      <c r="U213" s="40">
        <f t="shared" si="87"/>
        <v>1866.4115193077971</v>
      </c>
      <c r="V213" s="65">
        <f t="shared" si="88"/>
        <v>15152.684115251222</v>
      </c>
      <c r="W213" s="65">
        <f t="shared" si="89"/>
        <v>11614.722256625073</v>
      </c>
      <c r="X213" s="65">
        <f t="shared" si="90"/>
        <v>3226.6145450805784</v>
      </c>
      <c r="Y213" s="40">
        <f t="shared" si="91"/>
        <v>1885.4263501308649</v>
      </c>
      <c r="Z213" s="40">
        <f t="shared" si="92"/>
        <v>1315.6666540948763</v>
      </c>
      <c r="AA213" s="40">
        <f t="shared" si="93"/>
        <v>2181.0432151387031</v>
      </c>
      <c r="AB213" s="40">
        <f t="shared" si="94"/>
        <v>1789.9689489519351</v>
      </c>
      <c r="AC213" s="40">
        <f t="shared" si="95"/>
        <v>2181.0432151387031</v>
      </c>
      <c r="AD213" s="41">
        <f t="shared" si="96"/>
        <v>0.69372234512616671</v>
      </c>
      <c r="AE213" s="41">
        <f t="shared" si="97"/>
        <v>0.2407594831698755</v>
      </c>
      <c r="AF213" s="64">
        <f t="shared" si="98"/>
        <v>6.8690872923995192</v>
      </c>
      <c r="AG213" s="64">
        <f>APPLICANTS_PER_YEAR*($H213/Segments!$AH$2)*AE213</f>
        <v>2.0223796586269542</v>
      </c>
      <c r="AH213" s="64">
        <f t="shared" si="99"/>
        <v>8.891466951026473</v>
      </c>
      <c r="AI213" s="40">
        <f t="shared" si="100"/>
        <v>2181.0432151387031</v>
      </c>
      <c r="AJ213" s="65">
        <f t="shared" si="101"/>
        <v>19392.673666166302</v>
      </c>
      <c r="AK213" s="65">
        <f t="shared" si="102"/>
        <v>13101.991362266433</v>
      </c>
      <c r="AL213" s="65">
        <f t="shared" si="103"/>
        <v>4047.9855635425342</v>
      </c>
      <c r="AM213" s="40">
        <f t="shared" si="104"/>
        <v>2281.3947871429255</v>
      </c>
      <c r="AN213" s="40">
        <f t="shared" si="105"/>
        <v>1355.1366537177225</v>
      </c>
      <c r="AO213" s="40">
        <f t="shared" si="106"/>
        <v>2245.224511592864</v>
      </c>
      <c r="AP213" s="40">
        <f t="shared" si="107"/>
        <v>1843.1550123357097</v>
      </c>
      <c r="AQ213" s="40">
        <f t="shared" si="108"/>
        <v>2245.224511592864</v>
      </c>
      <c r="AR213" s="41">
        <f t="shared" si="109"/>
        <v>0.74092900581714016</v>
      </c>
      <c r="AS213" s="41">
        <f t="shared" si="110"/>
        <v>0.24092900581714016</v>
      </c>
      <c r="AT213" s="64">
        <f t="shared" si="111"/>
        <v>7.4901768304159937</v>
      </c>
      <c r="AU213" s="64">
        <f>APPLICANTS_PER_YEAR*($H213/Segments!$AH$2)*AS213</f>
        <v>2.0238036488639772</v>
      </c>
      <c r="AV213" s="64">
        <f t="shared" si="112"/>
        <v>9.5139804792799705</v>
      </c>
      <c r="AW213" s="40">
        <f t="shared" si="113"/>
        <v>2245.224511592864</v>
      </c>
      <c r="AX213" s="65">
        <f t="shared" si="114"/>
        <v>21361.022174895414</v>
      </c>
      <c r="AY213" s="65">
        <f t="shared" si="115"/>
        <v>14439.872910654458</v>
      </c>
      <c r="AZ213" s="65">
        <f t="shared" si="116"/>
        <v>4437.1441664302492</v>
      </c>
    </row>
    <row r="214" spans="1:52" ht="15" customHeight="1" x14ac:dyDescent="0.35">
      <c r="A214" s="61" t="str">
        <f>Segments!$A$194</f>
        <v>Non-greek</v>
      </c>
      <c r="B214" s="61" t="str">
        <f>Segments!$B$194</f>
        <v>Off 6+mi</v>
      </c>
      <c r="C214" s="61" t="str">
        <f>Segments!$C$194</f>
        <v>No</v>
      </c>
      <c r="D214" s="61" t="str">
        <f>Segments!$D$194</f>
        <v>1.0-2.0</v>
      </c>
      <c r="E214" s="61" t="str">
        <f>Segments!$E$194</f>
        <v>Grad student</v>
      </c>
      <c r="F214" s="61">
        <f>Segments!$F$194</f>
        <v>3</v>
      </c>
      <c r="G214" s="61" t="str">
        <f>Segments!$G$194</f>
        <v>Grad</v>
      </c>
      <c r="H214" s="62">
        <f>Segments!$H$194</f>
        <v>4</v>
      </c>
      <c r="I214" s="63">
        <f>Segments!$Y$194</f>
        <v>1520.9111975301573</v>
      </c>
      <c r="J214" s="42">
        <v>4</v>
      </c>
      <c r="K214" s="40">
        <f t="shared" si="78"/>
        <v>1426.2297754450396</v>
      </c>
      <c r="L214" s="40">
        <f t="shared" si="79"/>
        <v>1520.9111975301573</v>
      </c>
      <c r="M214" s="40">
        <f t="shared" si="80"/>
        <v>2514.7868435575369</v>
      </c>
      <c r="N214" s="40">
        <f t="shared" si="81"/>
        <v>1893.8489578578346</v>
      </c>
      <c r="O214" s="40">
        <f t="shared" si="82"/>
        <v>1782.7872193062994</v>
      </c>
      <c r="P214" s="41">
        <f t="shared" si="83"/>
        <v>0.80432169909609874</v>
      </c>
      <c r="Q214" s="41">
        <f t="shared" si="84"/>
        <v>0.18606457021734824</v>
      </c>
      <c r="R214" s="64">
        <f t="shared" si="85"/>
        <v>1.6086433981921975</v>
      </c>
      <c r="S214" s="64">
        <f>APPLICANTS_PER_YEAR*($H214/Segments!$AH$2)*Q214</f>
        <v>0.89310993704327146</v>
      </c>
      <c r="T214" s="64">
        <f t="shared" si="86"/>
        <v>2.5017533352354691</v>
      </c>
      <c r="U214" s="40">
        <f t="shared" si="87"/>
        <v>2044.1064025858886</v>
      </c>
      <c r="V214" s="65">
        <f t="shared" si="88"/>
        <v>5113.8500102454236</v>
      </c>
      <c r="W214" s="65">
        <f t="shared" si="89"/>
        <v>4261.5380203402083</v>
      </c>
      <c r="X214" s="65">
        <f t="shared" si="90"/>
        <v>1117.4898062506184</v>
      </c>
      <c r="Y214" s="40">
        <f t="shared" si="91"/>
        <v>2044.1064025858886</v>
      </c>
      <c r="Z214" s="40">
        <f t="shared" si="92"/>
        <v>1566.5385334560622</v>
      </c>
      <c r="AA214" s="40">
        <f t="shared" si="93"/>
        <v>2588.9804488642631</v>
      </c>
      <c r="AB214" s="40">
        <f t="shared" si="94"/>
        <v>1950.1936914936766</v>
      </c>
      <c r="AC214" s="40">
        <f t="shared" si="95"/>
        <v>2555.1330032323608</v>
      </c>
      <c r="AD214" s="41">
        <f t="shared" si="96"/>
        <v>0.61990276161355184</v>
      </c>
      <c r="AE214" s="41">
        <f t="shared" si="97"/>
        <v>0.18622479137409886</v>
      </c>
      <c r="AF214" s="64">
        <f t="shared" si="98"/>
        <v>0.77542190069419059</v>
      </c>
      <c r="AG214" s="64">
        <f>APPLICANTS_PER_YEAR*($H214/Segments!$AH$2)*AE214</f>
        <v>0.89387899859567455</v>
      </c>
      <c r="AH214" s="64">
        <f t="shared" si="99"/>
        <v>1.669300899289865</v>
      </c>
      <c r="AI214" s="40">
        <f t="shared" si="100"/>
        <v>2573.2576689647867</v>
      </c>
      <c r="AJ214" s="65">
        <f t="shared" si="101"/>
        <v>4295.5413409074599</v>
      </c>
      <c r="AK214" s="65">
        <f t="shared" si="102"/>
        <v>2928.8270845908828</v>
      </c>
      <c r="AL214" s="65">
        <f t="shared" si="103"/>
        <v>948.58854016770897</v>
      </c>
      <c r="AM214" s="40">
        <f t="shared" si="104"/>
        <v>2573.2576689647867</v>
      </c>
      <c r="AN214" s="40">
        <f t="shared" si="105"/>
        <v>1613.5346894597437</v>
      </c>
      <c r="AO214" s="40">
        <f t="shared" si="106"/>
        <v>2665.3998623301904</v>
      </c>
      <c r="AP214" s="40">
        <f t="shared" si="107"/>
        <v>2008.2286551416857</v>
      </c>
      <c r="AQ214" s="40">
        <f t="shared" si="108"/>
        <v>2665.3998623301904</v>
      </c>
      <c r="AR214" s="41">
        <f t="shared" si="109"/>
        <v>0.67563810149883241</v>
      </c>
      <c r="AS214" s="41">
        <f t="shared" si="110"/>
        <v>0.18638038290462011</v>
      </c>
      <c r="AT214" s="64">
        <f t="shared" si="111"/>
        <v>0.56392164521324906</v>
      </c>
      <c r="AU214" s="64">
        <f>APPLICANTS_PER_YEAR*($H214/Segments!$AH$2)*AS214</f>
        <v>0.89462583794217654</v>
      </c>
      <c r="AV214" s="64">
        <f t="shared" si="112"/>
        <v>1.4585474831554257</v>
      </c>
      <c r="AW214" s="40">
        <f t="shared" si="113"/>
        <v>2665.39986233019</v>
      </c>
      <c r="AX214" s="65">
        <f t="shared" si="114"/>
        <v>3887.6122608045171</v>
      </c>
      <c r="AY214" s="65">
        <f t="shared" si="115"/>
        <v>2635.8269955309388</v>
      </c>
      <c r="AZ214" s="65">
        <f t="shared" si="116"/>
        <v>869.75405838880056</v>
      </c>
    </row>
    <row r="215" spans="1:52" ht="15" customHeight="1" x14ac:dyDescent="0.35">
      <c r="A215" s="59" t="str">
        <f>Segments!$A$195</f>
        <v>Non-greek</v>
      </c>
      <c r="B215" s="59" t="str">
        <f>Segments!$B$195</f>
        <v>Off 6+mi</v>
      </c>
      <c r="C215" s="59" t="str">
        <f>Segments!$C$195</f>
        <v>No</v>
      </c>
      <c r="D215" s="59" t="str">
        <f>Segments!$D$195</f>
        <v>2.0-3.0</v>
      </c>
      <c r="E215" s="59" t="str">
        <f>Segments!$E$195</f>
        <v>Freshman</v>
      </c>
      <c r="F215" s="59">
        <f>Segments!$F$195</f>
        <v>1</v>
      </c>
      <c r="G215" s="59" t="str">
        <f>Segments!$G$195</f>
        <v>Base</v>
      </c>
      <c r="H215" s="60">
        <f>Segments!$H$195</f>
        <v>13</v>
      </c>
      <c r="I215" s="26">
        <f>Segments!$Y$195</f>
        <v>1134.939462618172</v>
      </c>
      <c r="J215" s="29">
        <v>0</v>
      </c>
      <c r="K215" s="14">
        <f t="shared" si="78"/>
        <v>1887.1667123687284</v>
      </c>
      <c r="L215" s="14">
        <f t="shared" si="79"/>
        <v>1134.939462618172</v>
      </c>
      <c r="M215" s="14">
        <f t="shared" si="80"/>
        <v>1887.1667123687284</v>
      </c>
      <c r="N215" s="14">
        <f t="shared" si="81"/>
        <v>1640.5893320416922</v>
      </c>
      <c r="O215" s="14">
        <f t="shared" si="82"/>
        <v>1887.1667123687284</v>
      </c>
      <c r="P215" s="33">
        <f t="shared" si="83"/>
        <v>0.77485097412520232</v>
      </c>
      <c r="Q215" s="33">
        <f t="shared" si="84"/>
        <v>0.27485097412520232</v>
      </c>
      <c r="R215" s="51">
        <f t="shared" si="85"/>
        <v>0</v>
      </c>
      <c r="S215" s="51">
        <f>APPLICANTS_PER_YEAR*($H215/Segments!$AH$2)*Q215</f>
        <v>4.2876751963531561</v>
      </c>
      <c r="T215" s="51">
        <f t="shared" si="86"/>
        <v>4.2876751963531561</v>
      </c>
      <c r="U215" s="14">
        <f t="shared" si="87"/>
        <v>1887.1667123687284</v>
      </c>
      <c r="V215" s="44">
        <f t="shared" si="88"/>
        <v>8091.5579040067278</v>
      </c>
      <c r="W215" s="44">
        <f t="shared" si="89"/>
        <v>5450.2019972179551</v>
      </c>
      <c r="X215" s="44">
        <f t="shared" si="90"/>
        <v>2005.4543543333991</v>
      </c>
      <c r="Y215" s="14">
        <f t="shared" si="91"/>
        <v>1942.5317137397903</v>
      </c>
      <c r="Z215" s="14">
        <f t="shared" si="92"/>
        <v>1168.9876464967172</v>
      </c>
      <c r="AA215" s="14">
        <f t="shared" si="93"/>
        <v>1942.5317137397903</v>
      </c>
      <c r="AB215" s="14">
        <f t="shared" si="94"/>
        <v>1689.2635871818311</v>
      </c>
      <c r="AC215" s="14">
        <f t="shared" si="95"/>
        <v>1942.5317137397903</v>
      </c>
      <c r="AD215" s="33">
        <f t="shared" si="96"/>
        <v>0.7750359362269561</v>
      </c>
      <c r="AE215" s="33">
        <f t="shared" si="97"/>
        <v>0.2750359362269561</v>
      </c>
      <c r="AF215" s="51">
        <f t="shared" si="98"/>
        <v>0</v>
      </c>
      <c r="AG215" s="51">
        <f>APPLICANTS_PER_YEAR*($H215/Segments!$AH$2)*AE215</f>
        <v>4.2905606051405147</v>
      </c>
      <c r="AH215" s="51">
        <f t="shared" si="99"/>
        <v>4.2905606051405147</v>
      </c>
      <c r="AI215" s="14">
        <f t="shared" si="100"/>
        <v>1942.5317137397903</v>
      </c>
      <c r="AJ215" s="44">
        <f t="shared" si="101"/>
        <v>8334.550045208036</v>
      </c>
      <c r="AK215" s="44">
        <f t="shared" si="102"/>
        <v>5617.4858252293106</v>
      </c>
      <c r="AL215" s="44">
        <f t="shared" si="103"/>
        <v>2060.0144373579233</v>
      </c>
      <c r="AM215" s="14">
        <f t="shared" si="104"/>
        <v>1999.5576651519841</v>
      </c>
      <c r="AN215" s="14">
        <f t="shared" si="105"/>
        <v>1204.0572758916187</v>
      </c>
      <c r="AO215" s="14">
        <f t="shared" si="106"/>
        <v>1999.5576651519841</v>
      </c>
      <c r="AP215" s="14">
        <f t="shared" si="107"/>
        <v>1739.3978976520734</v>
      </c>
      <c r="AQ215" s="14">
        <f t="shared" si="108"/>
        <v>1999.5576651519841</v>
      </c>
      <c r="AR215" s="33">
        <f t="shared" si="109"/>
        <v>0.77521556802756653</v>
      </c>
      <c r="AS215" s="33">
        <f t="shared" si="110"/>
        <v>0.27521556802756653</v>
      </c>
      <c r="AT215" s="51">
        <f t="shared" si="111"/>
        <v>0</v>
      </c>
      <c r="AU215" s="51">
        <f>APPLICANTS_PER_YEAR*($H215/Segments!$AH$2)*AS215</f>
        <v>4.2933628612300376</v>
      </c>
      <c r="AV215" s="51">
        <f t="shared" si="112"/>
        <v>4.2933628612300376</v>
      </c>
      <c r="AW215" s="14">
        <f t="shared" si="113"/>
        <v>1999.5576651519841</v>
      </c>
      <c r="AX215" s="44">
        <f t="shared" si="114"/>
        <v>8584.8266184513759</v>
      </c>
      <c r="AY215" s="44">
        <f t="shared" si="115"/>
        <v>5789.7893660397112</v>
      </c>
      <c r="AZ215" s="44">
        <f t="shared" si="116"/>
        <v>2116.2024912884599</v>
      </c>
    </row>
    <row r="216" spans="1:52" ht="15" customHeight="1" x14ac:dyDescent="0.35">
      <c r="A216" s="59" t="str">
        <f>Segments!$A$196</f>
        <v>Non-greek</v>
      </c>
      <c r="B216" s="59" t="str">
        <f>Segments!$B$196</f>
        <v>Off 6+mi</v>
      </c>
      <c r="C216" s="59" t="str">
        <f>Segments!$C$196</f>
        <v>No</v>
      </c>
      <c r="D216" s="59" t="str">
        <f>Segments!$D$196</f>
        <v>2.0-3.0</v>
      </c>
      <c r="E216" s="59" t="str">
        <f>Segments!$E$196</f>
        <v>Sophomore</v>
      </c>
      <c r="F216" s="59">
        <f>Segments!$F$196</f>
        <v>1</v>
      </c>
      <c r="G216" s="59" t="str">
        <f>Segments!$G$196</f>
        <v>Sophomore</v>
      </c>
      <c r="H216" s="60">
        <f>Segments!$H$196</f>
        <v>18</v>
      </c>
      <c r="I216" s="26">
        <f>Segments!$Y$196</f>
        <v>1123.3928641113851</v>
      </c>
      <c r="J216" s="29">
        <v>1</v>
      </c>
      <c r="K216" s="14">
        <f t="shared" si="78"/>
        <v>1426.2297754450396</v>
      </c>
      <c r="L216" s="14">
        <f t="shared" si="79"/>
        <v>1123.3928641113851</v>
      </c>
      <c r="M216" s="14">
        <f t="shared" si="80"/>
        <v>1868.3910430278979</v>
      </c>
      <c r="N216" s="14">
        <f t="shared" si="81"/>
        <v>1632.407711860368</v>
      </c>
      <c r="O216" s="14">
        <f t="shared" si="82"/>
        <v>1782.7872193062994</v>
      </c>
      <c r="P216" s="33">
        <f t="shared" si="83"/>
        <v>0.7289393540126835</v>
      </c>
      <c r="Q216" s="33">
        <f t="shared" si="84"/>
        <v>0.27771924273177062</v>
      </c>
      <c r="R216" s="51">
        <f t="shared" si="85"/>
        <v>9.4762116021648861</v>
      </c>
      <c r="S216" s="51">
        <f>APPLICANTS_PER_YEAR*($H216/Segments!$AH$2)*Q216</f>
        <v>5.9987356430062446</v>
      </c>
      <c r="T216" s="51">
        <f t="shared" si="86"/>
        <v>15.47494724517113</v>
      </c>
      <c r="U216" s="14">
        <f t="shared" si="87"/>
        <v>1815.9708354053214</v>
      </c>
      <c r="V216" s="44">
        <f t="shared" si="88"/>
        <v>28102.052876666694</v>
      </c>
      <c r="W216" s="44">
        <f t="shared" si="89"/>
        <v>19470.57874465243</v>
      </c>
      <c r="X216" s="44">
        <f t="shared" si="90"/>
        <v>6163.0347677395621</v>
      </c>
      <c r="Y216" s="14">
        <f t="shared" si="91"/>
        <v>1887.1667123687284</v>
      </c>
      <c r="Z216" s="14">
        <f t="shared" si="92"/>
        <v>1157.0946500347266</v>
      </c>
      <c r="AA216" s="14">
        <f t="shared" si="93"/>
        <v>1923.1927743187348</v>
      </c>
      <c r="AB216" s="14">
        <f t="shared" si="94"/>
        <v>1680.8337938695056</v>
      </c>
      <c r="AC216" s="14">
        <f t="shared" si="95"/>
        <v>1923.1927743187348</v>
      </c>
      <c r="AD216" s="33">
        <f t="shared" si="96"/>
        <v>0.77217812430844746</v>
      </c>
      <c r="AE216" s="33">
        <f t="shared" si="97"/>
        <v>0.27790513216322055</v>
      </c>
      <c r="AF216" s="51">
        <f t="shared" si="98"/>
        <v>3.3108489907638341</v>
      </c>
      <c r="AG216" s="51">
        <f>APPLICANTS_PER_YEAR*($H216/Segments!$AH$2)*AE216</f>
        <v>6.002750854725563</v>
      </c>
      <c r="AH216" s="51">
        <f t="shared" si="99"/>
        <v>9.3135998454893976</v>
      </c>
      <c r="AI216" s="14">
        <f t="shared" si="100"/>
        <v>1923.1927743187348</v>
      </c>
      <c r="AJ216" s="44">
        <f t="shared" si="101"/>
        <v>17911.847925741295</v>
      </c>
      <c r="AK216" s="44">
        <f t="shared" si="102"/>
        <v>12069.922540233643</v>
      </c>
      <c r="AL216" s="44">
        <f t="shared" si="103"/>
        <v>4125.7356736875645</v>
      </c>
      <c r="AM216" s="14">
        <f t="shared" si="104"/>
        <v>1942.5317137397903</v>
      </c>
      <c r="AN216" s="14">
        <f t="shared" si="105"/>
        <v>1191.8074895357684</v>
      </c>
      <c r="AO216" s="14">
        <f t="shared" si="106"/>
        <v>1979.6385575482968</v>
      </c>
      <c r="AP216" s="14">
        <f t="shared" si="107"/>
        <v>1730.7124834090646</v>
      </c>
      <c r="AQ216" s="14">
        <f t="shared" si="108"/>
        <v>1979.6385575482968</v>
      </c>
      <c r="AR216" s="33">
        <f t="shared" si="109"/>
        <v>0.77235497201714909</v>
      </c>
      <c r="AS216" s="33">
        <f t="shared" si="110"/>
        <v>0.27808566514499533</v>
      </c>
      <c r="AT216" s="51">
        <f t="shared" si="111"/>
        <v>3.3138358161211845</v>
      </c>
      <c r="AU216" s="51">
        <f>APPLICANTS_PER_YEAR*($H216/Segments!$AH$2)*AS216</f>
        <v>6.0066503671318987</v>
      </c>
      <c r="AV216" s="51">
        <f t="shared" si="112"/>
        <v>9.3204861832530828</v>
      </c>
      <c r="AW216" s="14">
        <f t="shared" si="113"/>
        <v>1979.6385575482968</v>
      </c>
      <c r="AX216" s="44">
        <f t="shared" si="114"/>
        <v>18451.193823463964</v>
      </c>
      <c r="AY216" s="44">
        <f t="shared" si="115"/>
        <v>12441.212268033554</v>
      </c>
      <c r="AZ216" s="44">
        <f t="shared" si="116"/>
        <v>4240.0364988750562</v>
      </c>
    </row>
    <row r="217" spans="1:52" ht="15" customHeight="1" x14ac:dyDescent="0.35">
      <c r="A217" s="59" t="str">
        <f>Segments!$A$197</f>
        <v>Non-greek</v>
      </c>
      <c r="B217" s="59" t="str">
        <f>Segments!$B$197</f>
        <v>Off 6+mi</v>
      </c>
      <c r="C217" s="59" t="str">
        <f>Segments!$C$197</f>
        <v>No</v>
      </c>
      <c r="D217" s="59" t="str">
        <f>Segments!$D$197</f>
        <v>2.0-3.0</v>
      </c>
      <c r="E217" s="59" t="str">
        <f>Segments!$E$197</f>
        <v>Junior</v>
      </c>
      <c r="F217" s="59">
        <f>Segments!$F$197</f>
        <v>2</v>
      </c>
      <c r="G217" s="59" t="str">
        <f>Segments!$G$197</f>
        <v>Base</v>
      </c>
      <c r="H217" s="60">
        <f>Segments!$H$197</f>
        <v>20</v>
      </c>
      <c r="I217" s="26">
        <f>Segments!$Y$197</f>
        <v>1342.932615459305</v>
      </c>
      <c r="J217" s="29">
        <v>2</v>
      </c>
      <c r="K217" s="14">
        <f t="shared" ref="K217:K280" si="117">IF($J217=0,M217,CURRENT_FLAT)</f>
        <v>1426.2297754450396</v>
      </c>
      <c r="L217" s="14">
        <f t="shared" ref="L217:L280" si="118">$I217*(1+LOSS_TREND)^0</f>
        <v>1342.932615459305</v>
      </c>
      <c r="M217" s="14">
        <f t="shared" ref="M217:M280" si="119">L217*GROSS_MULT+POLICY_FEE</f>
        <v>2225.3797939621086</v>
      </c>
      <c r="N217" s="14">
        <f t="shared" ref="N217:N280" si="120">M217^MARKET_RISK_WEIGHT*(CURRENT_FLAT*(1+LOSS_TREND)^0)^(1-MARKET_RISK_WEIGHT)</f>
        <v>1781.5450945239938</v>
      </c>
      <c r="O217" s="14">
        <f t="shared" ref="O217:O280" si="121">MEDIAN(K217*(1-CAP_DOWN),M217,K217*(1+CAP_UP))</f>
        <v>1782.7872193062994</v>
      </c>
      <c r="P217" s="33">
        <f t="shared" ref="P217:P280" si="122">MEDIAN(RET_FLOOR,BASE_RETENTION-ELAST_MARKET*(O217/N217-1)-ELAST_INCREASE*MAX(O217/K217-1,0),RET_CEIL)</f>
        <v>0.77465139114745862</v>
      </c>
      <c r="Q217" s="33">
        <f t="shared" ref="Q217:Q280" si="123">MEDIAN(CONV_FLOOR,BASE_CONVERSION-ELAST_MARKET*(M217/N217-1),CONV_CEIL)</f>
        <v>0.22543545745702787</v>
      </c>
      <c r="R217" s="51">
        <f t="shared" ref="R217:R280" si="124">IF($J217=0,0,IF($J217=4,$H217*GRAD_CONTINUE,$H216)*P217)</f>
        <v>13.943725040654256</v>
      </c>
      <c r="S217" s="51">
        <f>APPLICANTS_PER_YEAR*($H217/Segments!$AH$2)*Q217</f>
        <v>5.4104509789686688</v>
      </c>
      <c r="T217" s="51">
        <f t="shared" ref="T217:T280" si="125">R217+S217</f>
        <v>19.354176019622926</v>
      </c>
      <c r="U217" s="14">
        <f t="shared" ref="U217:U280" si="126">IFERROR((R217*O217+S217*M217)/T217,M217)</f>
        <v>1906.5137694008583</v>
      </c>
      <c r="V217" s="44">
        <f t="shared" ref="V217:V280" si="127">R217*O217+S217*M217</f>
        <v>36899.003076819004</v>
      </c>
      <c r="W217" s="44">
        <f t="shared" ref="W217:W280" si="128">T217*L217*(1+LAE_RATIO)</f>
        <v>29110.316728743019</v>
      </c>
      <c r="X217" s="44">
        <f t="shared" ref="X217:X280" si="129">R217*O217*(PREMIUM_TAX+OTHER_VARIABLE+COMMISSION_RN)+S217*M217*(PREMIUM_TAX+OTHER_VARIABLE+COMMISSION_NB)+T217*FIXED_PER_POLICY+S217*NB_ACQUISITION</f>
        <v>7917.6671663541447</v>
      </c>
      <c r="Y217" s="14">
        <f t="shared" ref="Y217:Y280" si="130">IF($J217=0,AA217,IF($J217=4,U217,U216))</f>
        <v>1815.9708354053214</v>
      </c>
      <c r="Z217" s="14">
        <f t="shared" ref="Z217:Z280" si="131">$I217*(1+LOSS_TREND)^1</f>
        <v>1383.2205939230842</v>
      </c>
      <c r="AA217" s="14">
        <f t="shared" ref="AA217:AA280" si="132">Z217*GROSS_MULT+POLICY_FEE</f>
        <v>2290.8911877809719</v>
      </c>
      <c r="AB217" s="14">
        <f t="shared" ref="AB217:AB280" si="133">AA217^MARKET_RISK_WEIGHT*(CURRENT_FLAT*(1+LOSS_TREND)^1)^(1-MARKET_RISK_WEIGHT)</f>
        <v>1834.4910305170235</v>
      </c>
      <c r="AC217" s="14">
        <f t="shared" ref="AC217:AC280" si="134">MEDIAN(Y217*(1-CAP_DOWN),AA217,Y217*(1+CAP_UP))</f>
        <v>2269.9635442566519</v>
      </c>
      <c r="AD217" s="33">
        <f t="shared" ref="AD217:AD280" si="135">MEDIAN(RET_FLOOR,BASE_RETENTION-ELAST_MARKET*(AC217/AB217-1)-ELAST_INCREASE*MAX(AC217/Y217-1,0),RET_CEIL)</f>
        <v>0.65630971847354935</v>
      </c>
      <c r="AE217" s="33">
        <f t="shared" ref="AE217:AE280" si="136">MEDIAN(CONV_FLOOR,BASE_CONVERSION-ELAST_MARKET*(AA217/AB217-1),CONV_CEIL)</f>
        <v>0.22560578120261543</v>
      </c>
      <c r="AF217" s="51">
        <f t="shared" ref="AF217:AF280" si="137">IF($J217=0,0,IF($J217=4,T217*GRAD_CONTINUE,T216)*AD217)</f>
        <v>10.156358269871292</v>
      </c>
      <c r="AG217" s="51">
        <f>APPLICANTS_PER_YEAR*($H217/Segments!$AH$2)*AE217</f>
        <v>5.4145387488627703</v>
      </c>
      <c r="AH217" s="51">
        <f t="shared" ref="AH217:AH280" si="138">AF217+AG217</f>
        <v>15.570897018734062</v>
      </c>
      <c r="AI217" s="14">
        <f t="shared" ref="AI217:AI280" si="139">IFERROR((AF217*AC217+AG217*AA217)/AH217,AA217)</f>
        <v>2277.2408088001453</v>
      </c>
      <c r="AJ217" s="44">
        <f t="shared" ref="AJ217:AJ280" si="140">AF217*AC217+AG217*AA217</f>
        <v>35458.682120685728</v>
      </c>
      <c r="AK217" s="44">
        <f t="shared" ref="AK217:AK280" si="141">AH217*Z217*(1+LAE_RATIO)</f>
        <v>24122.543672828731</v>
      </c>
      <c r="AL217" s="44">
        <f t="shared" ref="AL217:AL280" si="142">AF217*AC217*(PREMIUM_TAX+OTHER_VARIABLE+COMMISSION_RN)+AG217*AA217*(PREMIUM_TAX+OTHER_VARIABLE+COMMISSION_NB)+AH217*FIXED_PER_POLICY+AG217*NB_ACQUISITION</f>
        <v>7582.6164986042431</v>
      </c>
      <c r="AM217" s="14">
        <f t="shared" ref="AM217:AM280" si="143">IF($J217=0,AO217,IF($J217=4,AI217,AI216))</f>
        <v>1923.1927743187348</v>
      </c>
      <c r="AN217" s="14">
        <f t="shared" ref="AN217:AN280" si="144">$I217*(1+LOSS_TREND)^2</f>
        <v>1424.7172117407765</v>
      </c>
      <c r="AO217" s="14">
        <f t="shared" ref="AO217:AO280" si="145">AN217*GROSS_MULT+POLICY_FEE</f>
        <v>2358.3679234144006</v>
      </c>
      <c r="AP217" s="14">
        <f t="shared" ref="AP217:AP280" si="146">AO217^MARKET_RISK_WEIGHT*(CURRENT_FLAT*(1+LOSS_TREND)^2)^(1-MARKET_RISK_WEIGHT)</f>
        <v>1889.0252100372395</v>
      </c>
      <c r="AQ217" s="14">
        <f t="shared" ref="AQ217:AQ280" si="147">MEDIAN(AM217*(1-CAP_DOWN),AO217,AM217*(1+CAP_UP))</f>
        <v>2358.3679234144006</v>
      </c>
      <c r="AR217" s="33">
        <f t="shared" ref="AR217:AR280" si="148">MEDIAN(RET_FLOOR,BASE_RETENTION-ELAST_MARKET*(AQ217/AP217-1)-ELAST_INCREASE*MAX(AQ217/AM217-1,0),RET_CEIL)</f>
        <v>0.65788795473202966</v>
      </c>
      <c r="AS217" s="33">
        <f t="shared" ref="AS217:AS280" si="149">MEDIAN(CONV_FLOOR,BASE_CONVERSION-ELAST_MARKET*(AO217/AP217-1),CONV_CEIL)</f>
        <v>0.22577118852534828</v>
      </c>
      <c r="AT217" s="51">
        <f t="shared" ref="AT217:AT280" si="150">IF($J217=0,0,IF($J217=4,AH217*GRAD_CONTINUE,AH216)*AR217)</f>
        <v>6.1273051535415668</v>
      </c>
      <c r="AU217" s="51">
        <f>APPLICANTS_PER_YEAR*($H217/Segments!$AH$2)*AS217</f>
        <v>5.4185085246083586</v>
      </c>
      <c r="AV217" s="51">
        <f t="shared" ref="AV217:AV280" si="151">AT217+AU217</f>
        <v>11.545813678149926</v>
      </c>
      <c r="AW217" s="14">
        <f t="shared" ref="AW217:AW280" si="152">IFERROR((AT217*AQ217+AU217*AO217)/AV217,AO217)</f>
        <v>2358.3679234144006</v>
      </c>
      <c r="AX217" s="44">
        <f t="shared" ref="AX217:AX280" si="153">AT217*AQ217+AU217*AO217</f>
        <v>27229.276628268024</v>
      </c>
      <c r="AY217" s="44">
        <f t="shared" ref="AY217:AY280" si="154">AV217*AN217*(1+LAE_RATIO)</f>
        <v>18423.461807309759</v>
      </c>
      <c r="AZ217" s="44">
        <f t="shared" ref="AZ217:AZ280" si="155">AT217*AQ217*(PREMIUM_TAX+OTHER_VARIABLE+COMMISSION_RN)+AU217*AO217*(PREMIUM_TAX+OTHER_VARIABLE+COMMISSION_NB)+AV217*FIXED_PER_POLICY+AU217*NB_ACQUISITION</f>
        <v>5959.971553822299</v>
      </c>
    </row>
    <row r="218" spans="1:52" ht="15" customHeight="1" x14ac:dyDescent="0.35">
      <c r="A218" s="59" t="str">
        <f>Segments!$A$198</f>
        <v>Non-greek</v>
      </c>
      <c r="B218" s="59" t="str">
        <f>Segments!$B$198</f>
        <v>Off 6+mi</v>
      </c>
      <c r="C218" s="59" t="str">
        <f>Segments!$C$198</f>
        <v>No</v>
      </c>
      <c r="D218" s="59" t="str">
        <f>Segments!$D$198</f>
        <v>2.0-3.0</v>
      </c>
      <c r="E218" s="59" t="str">
        <f>Segments!$E$198</f>
        <v>Senior</v>
      </c>
      <c r="F218" s="59">
        <f>Segments!$F$198</f>
        <v>3</v>
      </c>
      <c r="G218" s="59" t="str">
        <f>Segments!$G$198</f>
        <v>Base</v>
      </c>
      <c r="H218" s="60">
        <f>Segments!$H$198</f>
        <v>16</v>
      </c>
      <c r="I218" s="26">
        <f>Segments!$Y$198</f>
        <v>1255.2222705278928</v>
      </c>
      <c r="J218" s="29">
        <v>3</v>
      </c>
      <c r="K218" s="14">
        <f t="shared" si="117"/>
        <v>1426.2297754450396</v>
      </c>
      <c r="L218" s="14">
        <f t="shared" si="118"/>
        <v>1255.2222705278928</v>
      </c>
      <c r="M218" s="14">
        <f t="shared" si="119"/>
        <v>2082.7559352357134</v>
      </c>
      <c r="N218" s="14">
        <f t="shared" si="120"/>
        <v>1723.5105250093645</v>
      </c>
      <c r="O218" s="14">
        <f t="shared" si="121"/>
        <v>1782.7872193062994</v>
      </c>
      <c r="P218" s="33">
        <f t="shared" si="122"/>
        <v>0.75780350092535331</v>
      </c>
      <c r="Q218" s="33">
        <f t="shared" si="123"/>
        <v>0.24578090617566806</v>
      </c>
      <c r="R218" s="51">
        <f t="shared" si="124"/>
        <v>15.156070018507066</v>
      </c>
      <c r="S218" s="51">
        <f>APPLICANTS_PER_YEAR*($H218/Segments!$AH$2)*Q218</f>
        <v>4.7189933985728265</v>
      </c>
      <c r="T218" s="51">
        <f t="shared" si="125"/>
        <v>19.875063417079893</v>
      </c>
      <c r="U218" s="14">
        <f t="shared" si="126"/>
        <v>1854.0096531946258</v>
      </c>
      <c r="V218" s="44">
        <f t="shared" si="127"/>
        <v>36848.559433121489</v>
      </c>
      <c r="W218" s="44">
        <f t="shared" si="128"/>
        <v>27941.33689678563</v>
      </c>
      <c r="X218" s="44">
        <f t="shared" si="129"/>
        <v>7823.85173898843</v>
      </c>
      <c r="Y218" s="14">
        <f t="shared" si="130"/>
        <v>1906.5137694008583</v>
      </c>
      <c r="Z218" s="14">
        <f t="shared" si="131"/>
        <v>1292.8789386437295</v>
      </c>
      <c r="AA218" s="14">
        <f t="shared" si="132"/>
        <v>2143.9886132927845</v>
      </c>
      <c r="AB218" s="14">
        <f t="shared" si="133"/>
        <v>1774.6985688978532</v>
      </c>
      <c r="AC218" s="14">
        <f t="shared" si="134"/>
        <v>2143.9886132927845</v>
      </c>
      <c r="AD218" s="33">
        <f t="shared" si="135"/>
        <v>0.70858904720240401</v>
      </c>
      <c r="AE218" s="33">
        <f t="shared" si="136"/>
        <v>0.24595696675850909</v>
      </c>
      <c r="AF218" s="51">
        <f t="shared" si="137"/>
        <v>13.714157145132225</v>
      </c>
      <c r="AG218" s="51">
        <f>APPLICANTS_PER_YEAR*($H218/Segments!$AH$2)*AE218</f>
        <v>4.7223737617633743</v>
      </c>
      <c r="AH218" s="51">
        <f t="shared" si="138"/>
        <v>18.436530906895598</v>
      </c>
      <c r="AI218" s="14">
        <f t="shared" si="139"/>
        <v>2143.9886132927845</v>
      </c>
      <c r="AJ218" s="44">
        <f t="shared" si="140"/>
        <v>39527.71233300466</v>
      </c>
      <c r="AK218" s="44">
        <f t="shared" si="141"/>
        <v>26696.546812521039</v>
      </c>
      <c r="AL218" s="44">
        <f t="shared" si="142"/>
        <v>8311.8926381725432</v>
      </c>
      <c r="AM218" s="14">
        <f t="shared" si="143"/>
        <v>2277.2408088001453</v>
      </c>
      <c r="AN218" s="14">
        <f t="shared" si="144"/>
        <v>1331.6653068030414</v>
      </c>
      <c r="AO218" s="14">
        <f t="shared" si="145"/>
        <v>2207.0582716915683</v>
      </c>
      <c r="AP218" s="14">
        <f t="shared" si="146"/>
        <v>1827.4221054872396</v>
      </c>
      <c r="AQ218" s="14">
        <f t="shared" si="147"/>
        <v>2207.0582716915683</v>
      </c>
      <c r="AR218" s="33">
        <f t="shared" si="148"/>
        <v>0.74612794847332009</v>
      </c>
      <c r="AS218" s="33">
        <f t="shared" si="149"/>
        <v>0.24612794847332009</v>
      </c>
      <c r="AT218" s="51">
        <f t="shared" si="150"/>
        <v>11.617881448477382</v>
      </c>
      <c r="AU218" s="51">
        <f>APPLICANTS_PER_YEAR*($H218/Segments!$AH$2)*AS218</f>
        <v>4.7256566106877456</v>
      </c>
      <c r="AV218" s="51">
        <f t="shared" si="151"/>
        <v>16.343538059165127</v>
      </c>
      <c r="AW218" s="14">
        <f t="shared" si="152"/>
        <v>2207.0582716915683</v>
      </c>
      <c r="AX218" s="44">
        <f t="shared" si="153"/>
        <v>36071.140862186352</v>
      </c>
      <c r="AY218" s="44">
        <f t="shared" si="154"/>
        <v>24375.817338661953</v>
      </c>
      <c r="AZ218" s="44">
        <f t="shared" si="155"/>
        <v>7627.5007823164478</v>
      </c>
    </row>
    <row r="219" spans="1:52" ht="15" customHeight="1" x14ac:dyDescent="0.35">
      <c r="A219" s="59" t="str">
        <f>Segments!$A$199</f>
        <v>Non-greek</v>
      </c>
      <c r="B219" s="59" t="str">
        <f>Segments!$B$199</f>
        <v>Off 6+mi</v>
      </c>
      <c r="C219" s="59" t="str">
        <f>Segments!$C$199</f>
        <v>No</v>
      </c>
      <c r="D219" s="59" t="str">
        <f>Segments!$D$199</f>
        <v>2.0-3.0</v>
      </c>
      <c r="E219" s="59" t="str">
        <f>Segments!$E$199</f>
        <v>Grad student</v>
      </c>
      <c r="F219" s="59">
        <f>Segments!$F$199</f>
        <v>3</v>
      </c>
      <c r="G219" s="59" t="str">
        <f>Segments!$G$199</f>
        <v>Grad</v>
      </c>
      <c r="H219" s="60">
        <f>Segments!$H$199</f>
        <v>11</v>
      </c>
      <c r="I219" s="26">
        <f>Segments!$Y$199</f>
        <v>1494.5685890222114</v>
      </c>
      <c r="J219" s="29">
        <v>4</v>
      </c>
      <c r="K219" s="14">
        <f t="shared" si="117"/>
        <v>1426.2297754450396</v>
      </c>
      <c r="L219" s="14">
        <f t="shared" si="118"/>
        <v>1494.5685890222114</v>
      </c>
      <c r="M219" s="14">
        <f t="shared" si="119"/>
        <v>2471.9517084630393</v>
      </c>
      <c r="N219" s="14">
        <f t="shared" si="120"/>
        <v>1877.650428080856</v>
      </c>
      <c r="O219" s="14">
        <f t="shared" si="121"/>
        <v>1782.7872193062994</v>
      </c>
      <c r="P219" s="33">
        <f t="shared" si="122"/>
        <v>0.8002611474840704</v>
      </c>
      <c r="Q219" s="33">
        <f t="shared" si="123"/>
        <v>0.19174336407506432</v>
      </c>
      <c r="R219" s="51">
        <f t="shared" si="124"/>
        <v>4.4014363111623869</v>
      </c>
      <c r="S219" s="51">
        <f>APPLICANTS_PER_YEAR*($H219/Segments!$AH$2)*Q219</f>
        <v>2.531012405790849</v>
      </c>
      <c r="T219" s="51">
        <f t="shared" si="125"/>
        <v>6.9324487169532354</v>
      </c>
      <c r="U219" s="14">
        <f t="shared" si="126"/>
        <v>2034.3987267121306</v>
      </c>
      <c r="V219" s="44">
        <f t="shared" si="127"/>
        <v>14103.364842766805</v>
      </c>
      <c r="W219" s="44">
        <f t="shared" si="128"/>
        <v>11604.342509049515</v>
      </c>
      <c r="X219" s="44">
        <f t="shared" si="129"/>
        <v>3086.4391551890162</v>
      </c>
      <c r="Y219" s="14">
        <f t="shared" si="130"/>
        <v>2034.3987267121306</v>
      </c>
      <c r="Z219" s="14">
        <f t="shared" si="131"/>
        <v>1539.4056466928778</v>
      </c>
      <c r="AA219" s="14">
        <f t="shared" si="132"/>
        <v>2544.8602597169306</v>
      </c>
      <c r="AB219" s="14">
        <f t="shared" si="133"/>
        <v>1933.5051437887967</v>
      </c>
      <c r="AC219" s="14">
        <f t="shared" si="134"/>
        <v>2542.9984083901631</v>
      </c>
      <c r="AD219" s="33">
        <f t="shared" si="135"/>
        <v>0.61738643828817674</v>
      </c>
      <c r="AE219" s="33">
        <f t="shared" si="136"/>
        <v>0.19190496780108013</v>
      </c>
      <c r="AF219" s="51">
        <f t="shared" si="137"/>
        <v>2.1399999109875996</v>
      </c>
      <c r="AG219" s="51">
        <f>APPLICANTS_PER_YEAR*($H219/Segments!$AH$2)*AE219</f>
        <v>2.5331455749742577</v>
      </c>
      <c r="AH219" s="51">
        <f t="shared" si="138"/>
        <v>4.6731454859618573</v>
      </c>
      <c r="AI219" s="14">
        <f t="shared" si="139"/>
        <v>2544.0076516212648</v>
      </c>
      <c r="AJ219" s="44">
        <f t="shared" si="140"/>
        <v>11888.517873426339</v>
      </c>
      <c r="AK219" s="44">
        <f t="shared" si="141"/>
        <v>8057.130534775858</v>
      </c>
      <c r="AL219" s="44">
        <f t="shared" si="142"/>
        <v>2629.3489798752144</v>
      </c>
      <c r="AM219" s="14">
        <f t="shared" si="143"/>
        <v>2544.0076516212648</v>
      </c>
      <c r="AN219" s="14">
        <f t="shared" si="144"/>
        <v>1585.5878160936641</v>
      </c>
      <c r="AO219" s="14">
        <f t="shared" si="145"/>
        <v>2619.9560675084385</v>
      </c>
      <c r="AP219" s="14">
        <f t="shared" si="146"/>
        <v>1991.0353860459611</v>
      </c>
      <c r="AQ219" s="14">
        <f t="shared" si="147"/>
        <v>2619.9560675084385</v>
      </c>
      <c r="AR219" s="33">
        <f t="shared" si="148"/>
        <v>0.68310574841722937</v>
      </c>
      <c r="AS219" s="33">
        <f t="shared" si="149"/>
        <v>0.19206190259846057</v>
      </c>
      <c r="AT219" s="51">
        <f t="shared" si="150"/>
        <v>1.5961262723252858</v>
      </c>
      <c r="AU219" s="51">
        <f>APPLICANTS_PER_YEAR*($H219/Segments!$AH$2)*AS219</f>
        <v>2.5352171142996798</v>
      </c>
      <c r="AV219" s="51">
        <f t="shared" si="151"/>
        <v>4.131343386624966</v>
      </c>
      <c r="AW219" s="14">
        <f t="shared" si="152"/>
        <v>2619.9560675084381</v>
      </c>
      <c r="AX219" s="44">
        <f t="shared" si="153"/>
        <v>10823.938172748938</v>
      </c>
      <c r="AY219" s="44">
        <f t="shared" si="154"/>
        <v>7336.6806664834849</v>
      </c>
      <c r="AZ219" s="44">
        <f t="shared" si="155"/>
        <v>2424.2071213766649</v>
      </c>
    </row>
    <row r="220" spans="1:52" ht="15" customHeight="1" x14ac:dyDescent="0.35">
      <c r="A220" s="61" t="str">
        <f>Segments!$A$200</f>
        <v>Non-greek</v>
      </c>
      <c r="B220" s="61" t="str">
        <f>Segments!$B$200</f>
        <v>Off 6+mi</v>
      </c>
      <c r="C220" s="61" t="str">
        <f>Segments!$C$200</f>
        <v>No</v>
      </c>
      <c r="D220" s="61" t="str">
        <f>Segments!$D$200</f>
        <v>3.0+</v>
      </c>
      <c r="E220" s="61" t="str">
        <f>Segments!$E$200</f>
        <v>Freshman</v>
      </c>
      <c r="F220" s="61">
        <f>Segments!$F$200</f>
        <v>1</v>
      </c>
      <c r="G220" s="61" t="str">
        <f>Segments!$G$200</f>
        <v>Base</v>
      </c>
      <c r="H220" s="62">
        <f>Segments!$H$200</f>
        <v>4</v>
      </c>
      <c r="I220" s="63">
        <f>Segments!$Y$200</f>
        <v>994.82848214867533</v>
      </c>
      <c r="J220" s="42">
        <v>0</v>
      </c>
      <c r="K220" s="40">
        <f t="shared" si="117"/>
        <v>1659.3353351221263</v>
      </c>
      <c r="L220" s="40">
        <f t="shared" si="118"/>
        <v>994.82848214867533</v>
      </c>
      <c r="M220" s="40">
        <f t="shared" si="119"/>
        <v>1659.3353351221263</v>
      </c>
      <c r="N220" s="40">
        <f t="shared" si="120"/>
        <v>1538.3736419996444</v>
      </c>
      <c r="O220" s="40">
        <f t="shared" si="121"/>
        <v>1659.3353351221263</v>
      </c>
      <c r="P220" s="41">
        <f t="shared" si="122"/>
        <v>0.81068520357471452</v>
      </c>
      <c r="Q220" s="41">
        <f t="shared" si="123"/>
        <v>0.31068520357471452</v>
      </c>
      <c r="R220" s="64">
        <f t="shared" si="124"/>
        <v>0</v>
      </c>
      <c r="S220" s="64">
        <f>APPLICANTS_PER_YEAR*($H220/Segments!$AH$2)*Q220</f>
        <v>1.4912889771586297</v>
      </c>
      <c r="T220" s="64">
        <f t="shared" si="125"/>
        <v>1.4912889771586297</v>
      </c>
      <c r="U220" s="40">
        <f t="shared" si="126"/>
        <v>1659.3353351221263</v>
      </c>
      <c r="V220" s="65">
        <f t="shared" si="127"/>
        <v>2474.5484946774477</v>
      </c>
      <c r="W220" s="65">
        <f t="shared" si="128"/>
        <v>1661.6059595427828</v>
      </c>
      <c r="X220" s="65">
        <f t="shared" si="129"/>
        <v>621.40686677988663</v>
      </c>
      <c r="Y220" s="40">
        <f t="shared" si="130"/>
        <v>1707.8653951757901</v>
      </c>
      <c r="Z220" s="40">
        <f t="shared" si="131"/>
        <v>1024.6733366131357</v>
      </c>
      <c r="AA220" s="40">
        <f t="shared" si="132"/>
        <v>1707.8653951757901</v>
      </c>
      <c r="AB220" s="40">
        <f t="shared" si="133"/>
        <v>1583.9453063232577</v>
      </c>
      <c r="AC220" s="40">
        <f t="shared" si="134"/>
        <v>1707.8653951757901</v>
      </c>
      <c r="AD220" s="41">
        <f t="shared" si="135"/>
        <v>0.81088245965380501</v>
      </c>
      <c r="AE220" s="41">
        <f t="shared" si="136"/>
        <v>0.31088245965380501</v>
      </c>
      <c r="AF220" s="64">
        <f t="shared" si="137"/>
        <v>0</v>
      </c>
      <c r="AG220" s="64">
        <f>APPLICANTS_PER_YEAR*($H220/Segments!$AH$2)*AE220</f>
        <v>1.4922358063382639</v>
      </c>
      <c r="AH220" s="64">
        <f t="shared" si="138"/>
        <v>1.4922358063382639</v>
      </c>
      <c r="AI220" s="40">
        <f t="shared" si="139"/>
        <v>1707.8653951757901</v>
      </c>
      <c r="AJ220" s="65">
        <f t="shared" si="140"/>
        <v>2548.5378950873628</v>
      </c>
      <c r="AK220" s="65">
        <f t="shared" si="141"/>
        <v>1712.5407518175286</v>
      </c>
      <c r="AL220" s="65">
        <f t="shared" si="142"/>
        <v>638.02309978479116</v>
      </c>
      <c r="AM220" s="40">
        <f t="shared" si="143"/>
        <v>1757.8513570310636</v>
      </c>
      <c r="AN220" s="40">
        <f t="shared" si="144"/>
        <v>1055.4135367115296</v>
      </c>
      <c r="AO220" s="40">
        <f t="shared" si="145"/>
        <v>1757.8513570310636</v>
      </c>
      <c r="AP220" s="40">
        <f t="shared" si="146"/>
        <v>1630.8839115424514</v>
      </c>
      <c r="AQ220" s="40">
        <f t="shared" si="147"/>
        <v>1757.8513570310636</v>
      </c>
      <c r="AR220" s="41">
        <f t="shared" si="148"/>
        <v>0.81107403948557888</v>
      </c>
      <c r="AS220" s="41">
        <f t="shared" si="149"/>
        <v>0.31107403948557888</v>
      </c>
      <c r="AT220" s="64">
        <f t="shared" si="150"/>
        <v>0</v>
      </c>
      <c r="AU220" s="64">
        <f>APPLICANTS_PER_YEAR*($H220/Segments!$AH$2)*AS220</f>
        <v>1.4931553895307785</v>
      </c>
      <c r="AV220" s="64">
        <f t="shared" si="151"/>
        <v>1.4931553895307785</v>
      </c>
      <c r="AW220" s="40">
        <f t="shared" si="152"/>
        <v>1757.8513570310633</v>
      </c>
      <c r="AX220" s="65">
        <f t="shared" si="153"/>
        <v>2624.7452277449252</v>
      </c>
      <c r="AY220" s="65">
        <f t="shared" si="154"/>
        <v>1765.0039797875079</v>
      </c>
      <c r="AZ220" s="65">
        <f t="shared" si="155"/>
        <v>655.1349235437483</v>
      </c>
    </row>
    <row r="221" spans="1:52" ht="15" customHeight="1" x14ac:dyDescent="0.35">
      <c r="A221" s="61" t="str">
        <f>Segments!$A$201</f>
        <v>Non-greek</v>
      </c>
      <c r="B221" s="61" t="str">
        <f>Segments!$B$201</f>
        <v>Off 6+mi</v>
      </c>
      <c r="C221" s="61" t="str">
        <f>Segments!$C$201</f>
        <v>No</v>
      </c>
      <c r="D221" s="61" t="str">
        <f>Segments!$D$201</f>
        <v>3.0+</v>
      </c>
      <c r="E221" s="61" t="str">
        <f>Segments!$E$201</f>
        <v>Sophomore</v>
      </c>
      <c r="F221" s="61">
        <f>Segments!$F$201</f>
        <v>1</v>
      </c>
      <c r="G221" s="61" t="str">
        <f>Segments!$G$201</f>
        <v>Sophomore</v>
      </c>
      <c r="H221" s="62">
        <f>Segments!$H$201</f>
        <v>12</v>
      </c>
      <c r="I221" s="63">
        <f>Segments!$Y$201</f>
        <v>984.70733873545021</v>
      </c>
      <c r="J221" s="42">
        <v>1</v>
      </c>
      <c r="K221" s="40">
        <f t="shared" si="117"/>
        <v>1426.2297754450396</v>
      </c>
      <c r="L221" s="40">
        <f t="shared" si="118"/>
        <v>984.70733873545021</v>
      </c>
      <c r="M221" s="40">
        <f t="shared" si="119"/>
        <v>1642.8775668914095</v>
      </c>
      <c r="N221" s="40">
        <f t="shared" si="120"/>
        <v>1530.7256133321962</v>
      </c>
      <c r="O221" s="40">
        <f t="shared" si="121"/>
        <v>1642.8775668914095</v>
      </c>
      <c r="P221" s="41">
        <f t="shared" si="122"/>
        <v>0.76779567472505961</v>
      </c>
      <c r="Q221" s="41">
        <f t="shared" si="123"/>
        <v>0.31336640852468889</v>
      </c>
      <c r="R221" s="64">
        <f t="shared" si="124"/>
        <v>3.0711826989002384</v>
      </c>
      <c r="S221" s="64">
        <f>APPLICANTS_PER_YEAR*($H221/Segments!$AH$2)*Q221</f>
        <v>4.5124762827555198</v>
      </c>
      <c r="T221" s="64">
        <f t="shared" si="125"/>
        <v>7.5836589816557582</v>
      </c>
      <c r="U221" s="40">
        <f t="shared" si="126"/>
        <v>1642.8775668914095</v>
      </c>
      <c r="V221" s="65">
        <f t="shared" si="127"/>
        <v>12459.023215916797</v>
      </c>
      <c r="W221" s="65">
        <f t="shared" si="128"/>
        <v>8363.80681214785</v>
      </c>
      <c r="X221" s="65">
        <f t="shared" si="129"/>
        <v>2878.7110864726783</v>
      </c>
      <c r="Y221" s="40">
        <f t="shared" si="130"/>
        <v>1659.3353351221263</v>
      </c>
      <c r="Z221" s="40">
        <f t="shared" si="131"/>
        <v>1014.2485588975137</v>
      </c>
      <c r="AA221" s="40">
        <f t="shared" si="132"/>
        <v>1690.9138938981519</v>
      </c>
      <c r="AB221" s="40">
        <f t="shared" si="133"/>
        <v>1576.0649401236601</v>
      </c>
      <c r="AC221" s="40">
        <f t="shared" si="134"/>
        <v>1690.9138938981519</v>
      </c>
      <c r="AD221" s="41">
        <f t="shared" si="135"/>
        <v>0.80785539608392654</v>
      </c>
      <c r="AE221" s="41">
        <f t="shared" si="136"/>
        <v>0.31356465052592297</v>
      </c>
      <c r="AF221" s="64">
        <f t="shared" si="137"/>
        <v>1.2047458473180785</v>
      </c>
      <c r="AG221" s="64">
        <f>APPLICANTS_PER_YEAR*($H221/Segments!$AH$2)*AE221</f>
        <v>4.5153309675732904</v>
      </c>
      <c r="AH221" s="64">
        <f t="shared" si="138"/>
        <v>5.7200768148913692</v>
      </c>
      <c r="AI221" s="40">
        <f t="shared" si="139"/>
        <v>1690.9138938981519</v>
      </c>
      <c r="AJ221" s="65">
        <f t="shared" si="140"/>
        <v>9672.1573604645037</v>
      </c>
      <c r="AK221" s="65">
        <f t="shared" si="141"/>
        <v>6497.7692262410501</v>
      </c>
      <c r="AL221" s="65">
        <f t="shared" si="142"/>
        <v>2322.5488070165902</v>
      </c>
      <c r="AM221" s="40">
        <f t="shared" si="143"/>
        <v>1707.8653951757901</v>
      </c>
      <c r="AN221" s="40">
        <f t="shared" si="144"/>
        <v>1044.6760156644391</v>
      </c>
      <c r="AO221" s="40">
        <f t="shared" si="145"/>
        <v>1740.3913107150963</v>
      </c>
      <c r="AP221" s="40">
        <f t="shared" si="146"/>
        <v>1622.7642345335298</v>
      </c>
      <c r="AQ221" s="40">
        <f t="shared" si="147"/>
        <v>1740.3913107150963</v>
      </c>
      <c r="AR221" s="41">
        <f t="shared" si="148"/>
        <v>0.80804375551513863</v>
      </c>
      <c r="AS221" s="41">
        <f t="shared" si="149"/>
        <v>0.3137571886049797</v>
      </c>
      <c r="AT221" s="64">
        <f t="shared" si="150"/>
        <v>1.205791825067732</v>
      </c>
      <c r="AU221" s="64">
        <f>APPLICANTS_PER_YEAR*($H221/Segments!$AH$2)*AS221</f>
        <v>4.5181035159117071</v>
      </c>
      <c r="AV221" s="64">
        <f t="shared" si="151"/>
        <v>5.7238953409794391</v>
      </c>
      <c r="AW221" s="40">
        <f t="shared" si="152"/>
        <v>1740.3913107150966</v>
      </c>
      <c r="AX221" s="65">
        <f t="shared" si="153"/>
        <v>9961.8177148832401</v>
      </c>
      <c r="AY221" s="65">
        <f t="shared" si="154"/>
        <v>6697.170120362005</v>
      </c>
      <c r="AZ221" s="65">
        <f t="shared" si="155"/>
        <v>2385.4284263304562</v>
      </c>
    </row>
    <row r="222" spans="1:52" ht="15" customHeight="1" x14ac:dyDescent="0.35">
      <c r="A222" s="61" t="str">
        <f>Segments!$A$202</f>
        <v>Non-greek</v>
      </c>
      <c r="B222" s="61" t="str">
        <f>Segments!$B$202</f>
        <v>Off 6+mi</v>
      </c>
      <c r="C222" s="61" t="str">
        <f>Segments!$C$202</f>
        <v>No</v>
      </c>
      <c r="D222" s="61" t="str">
        <f>Segments!$D$202</f>
        <v>3.0+</v>
      </c>
      <c r="E222" s="61" t="str">
        <f>Segments!$E$202</f>
        <v>Junior</v>
      </c>
      <c r="F222" s="61">
        <f>Segments!$F$202</f>
        <v>2</v>
      </c>
      <c r="G222" s="61" t="str">
        <f>Segments!$G$202</f>
        <v>Base</v>
      </c>
      <c r="H222" s="62">
        <f>Segments!$H$202</f>
        <v>9</v>
      </c>
      <c r="I222" s="63">
        <f>Segments!$Y$202</f>
        <v>1177.1443847616015</v>
      </c>
      <c r="J222" s="42">
        <v>2</v>
      </c>
      <c r="K222" s="40">
        <f t="shared" si="117"/>
        <v>1426.2297754450396</v>
      </c>
      <c r="L222" s="40">
        <f t="shared" si="118"/>
        <v>1177.1443847616015</v>
      </c>
      <c r="M222" s="40">
        <f t="shared" si="119"/>
        <v>1955.7952060549644</v>
      </c>
      <c r="N222" s="40">
        <f t="shared" si="120"/>
        <v>1670.1536927924499</v>
      </c>
      <c r="O222" s="40">
        <f t="shared" si="121"/>
        <v>1782.7872193062994</v>
      </c>
      <c r="P222" s="41">
        <f t="shared" si="122"/>
        <v>0.74128049053212297</v>
      </c>
      <c r="Q222" s="41">
        <f t="shared" si="123"/>
        <v>0.26448645879262467</v>
      </c>
      <c r="R222" s="64">
        <f t="shared" si="124"/>
        <v>8.8953658863854752</v>
      </c>
      <c r="S222" s="64">
        <f>APPLICANTS_PER_YEAR*($H222/Segments!$AH$2)*Q222</f>
        <v>2.8564537549603459</v>
      </c>
      <c r="T222" s="64">
        <f t="shared" si="125"/>
        <v>11.751819641345822</v>
      </c>
      <c r="U222" s="40">
        <f t="shared" si="126"/>
        <v>1824.8393719489143</v>
      </c>
      <c r="V222" s="65">
        <f t="shared" si="127"/>
        <v>21445.183173570425</v>
      </c>
      <c r="W222" s="65">
        <f t="shared" si="128"/>
        <v>15493.619121726293</v>
      </c>
      <c r="X222" s="65">
        <f t="shared" si="129"/>
        <v>4555.1197061151552</v>
      </c>
      <c r="Y222" s="40">
        <f t="shared" si="130"/>
        <v>1642.8775668914095</v>
      </c>
      <c r="Z222" s="40">
        <f t="shared" si="131"/>
        <v>1212.4587163044496</v>
      </c>
      <c r="AA222" s="40">
        <f t="shared" si="132"/>
        <v>2013.2190622366134</v>
      </c>
      <c r="AB222" s="40">
        <f t="shared" si="133"/>
        <v>1719.7245012463654</v>
      </c>
      <c r="AC222" s="40">
        <f t="shared" si="134"/>
        <v>2013.2190622366134</v>
      </c>
      <c r="AD222" s="41">
        <f t="shared" si="135"/>
        <v>0.69704140907345391</v>
      </c>
      <c r="AE222" s="41">
        <f t="shared" si="136"/>
        <v>0.26466814574731634</v>
      </c>
      <c r="AF222" s="64">
        <f t="shared" si="137"/>
        <v>5.2861243425058841</v>
      </c>
      <c r="AG222" s="64">
        <f>APPLICANTS_PER_YEAR*($H222/Segments!$AH$2)*AE222</f>
        <v>2.8584159740710162</v>
      </c>
      <c r="AH222" s="64">
        <f t="shared" si="138"/>
        <v>8.1445403165769008</v>
      </c>
      <c r="AI222" s="40">
        <f t="shared" si="139"/>
        <v>2013.2190622366131</v>
      </c>
      <c r="AJ222" s="65">
        <f t="shared" si="140"/>
        <v>16396.743818487237</v>
      </c>
      <c r="AK222" s="65">
        <f t="shared" si="141"/>
        <v>11059.909164781866</v>
      </c>
      <c r="AL222" s="65">
        <f t="shared" si="142"/>
        <v>3534.7474008154504</v>
      </c>
      <c r="AM222" s="40">
        <f t="shared" si="143"/>
        <v>1690.9138938981519</v>
      </c>
      <c r="AN222" s="40">
        <f t="shared" si="144"/>
        <v>1248.8324777935829</v>
      </c>
      <c r="AO222" s="40">
        <f t="shared" si="145"/>
        <v>2072.3656341037113</v>
      </c>
      <c r="AP222" s="40">
        <f t="shared" si="146"/>
        <v>1770.7822706254683</v>
      </c>
      <c r="AQ222" s="40">
        <f t="shared" si="147"/>
        <v>2072.3656341037113</v>
      </c>
      <c r="AR222" s="41">
        <f t="shared" si="148"/>
        <v>0.69716786540572273</v>
      </c>
      <c r="AS222" s="41">
        <f t="shared" si="149"/>
        <v>0.26484459482087563</v>
      </c>
      <c r="AT222" s="64">
        <f t="shared" si="150"/>
        <v>3.9878537429945813</v>
      </c>
      <c r="AU222" s="64">
        <f>APPLICANTS_PER_YEAR*($H222/Segments!$AH$2)*AS222</f>
        <v>2.8603216240654565</v>
      </c>
      <c r="AV222" s="64">
        <f t="shared" si="151"/>
        <v>6.8481753670600378</v>
      </c>
      <c r="AW222" s="40">
        <f t="shared" si="152"/>
        <v>2072.3656341037113</v>
      </c>
      <c r="AX222" s="65">
        <f t="shared" si="153"/>
        <v>14191.923287010792</v>
      </c>
      <c r="AY222" s="65">
        <f t="shared" si="154"/>
        <v>9578.4906694518359</v>
      </c>
      <c r="AZ222" s="65">
        <f t="shared" si="155"/>
        <v>3098.2121774547709</v>
      </c>
    </row>
    <row r="223" spans="1:52" ht="15" customHeight="1" x14ac:dyDescent="0.35">
      <c r="A223" s="61" t="str">
        <f>Segments!$A$203</f>
        <v>Non-greek</v>
      </c>
      <c r="B223" s="61" t="str">
        <f>Segments!$B$203</f>
        <v>Off 6+mi</v>
      </c>
      <c r="C223" s="61" t="str">
        <f>Segments!$C$203</f>
        <v>No</v>
      </c>
      <c r="D223" s="61" t="str">
        <f>Segments!$D$203</f>
        <v>3.0+</v>
      </c>
      <c r="E223" s="61" t="str">
        <f>Segments!$E$203</f>
        <v>Senior</v>
      </c>
      <c r="F223" s="61">
        <f>Segments!$F$203</f>
        <v>3</v>
      </c>
      <c r="G223" s="61" t="str">
        <f>Segments!$G$203</f>
        <v>Base</v>
      </c>
      <c r="H223" s="62">
        <f>Segments!$H$203</f>
        <v>11</v>
      </c>
      <c r="I223" s="63">
        <f>Segments!$Y$203</f>
        <v>1100.2620908676499</v>
      </c>
      <c r="J223" s="42">
        <v>3</v>
      </c>
      <c r="K223" s="40">
        <f t="shared" si="117"/>
        <v>1426.2297754450396</v>
      </c>
      <c r="L223" s="40">
        <f t="shared" si="118"/>
        <v>1100.2620908676499</v>
      </c>
      <c r="M223" s="40">
        <f t="shared" si="119"/>
        <v>1830.778602466565</v>
      </c>
      <c r="N223" s="40">
        <f t="shared" si="120"/>
        <v>1615.8932375269947</v>
      </c>
      <c r="O223" s="40">
        <f t="shared" si="121"/>
        <v>1782.7872193062994</v>
      </c>
      <c r="P223" s="41">
        <f t="shared" si="122"/>
        <v>0.72335859885312603</v>
      </c>
      <c r="Q223" s="41">
        <f t="shared" si="123"/>
        <v>0.28350879874080148</v>
      </c>
      <c r="R223" s="64">
        <f t="shared" si="124"/>
        <v>6.5102273896781346</v>
      </c>
      <c r="S223" s="64">
        <f>APPLICANTS_PER_YEAR*($H223/Segments!$AH$2)*Q223</f>
        <v>3.7423161433785799</v>
      </c>
      <c r="T223" s="64">
        <f t="shared" si="125"/>
        <v>10.252543533056715</v>
      </c>
      <c r="U223" s="40">
        <f t="shared" si="126"/>
        <v>1800.3047189750066</v>
      </c>
      <c r="V223" s="65">
        <f t="shared" si="127"/>
        <v>18457.702504058689</v>
      </c>
      <c r="W223" s="65">
        <f t="shared" si="128"/>
        <v>12634.143182519696</v>
      </c>
      <c r="X223" s="65">
        <f t="shared" si="129"/>
        <v>4026.9118786763861</v>
      </c>
      <c r="Y223" s="40">
        <f t="shared" si="130"/>
        <v>1824.8393719489143</v>
      </c>
      <c r="Z223" s="40">
        <f t="shared" si="131"/>
        <v>1133.2699535936795</v>
      </c>
      <c r="AA223" s="40">
        <f t="shared" si="132"/>
        <v>1884.4519605405619</v>
      </c>
      <c r="AB223" s="40">
        <f t="shared" si="133"/>
        <v>1663.8183018029017</v>
      </c>
      <c r="AC223" s="40">
        <f t="shared" si="134"/>
        <v>1884.4519605405619</v>
      </c>
      <c r="AD223" s="41">
        <f t="shared" si="135"/>
        <v>0.77389639639521368</v>
      </c>
      <c r="AE223" s="41">
        <f t="shared" si="136"/>
        <v>0.28369658859426439</v>
      </c>
      <c r="AF223" s="64">
        <f t="shared" si="137"/>
        <v>9.0946908715240244</v>
      </c>
      <c r="AG223" s="64">
        <f>APPLICANTS_PER_YEAR*($H223/Segments!$AH$2)*AE223</f>
        <v>3.7447949694442904</v>
      </c>
      <c r="AH223" s="64">
        <f t="shared" si="138"/>
        <v>12.839485840968315</v>
      </c>
      <c r="AI223" s="40">
        <f t="shared" si="139"/>
        <v>1884.4519605405617</v>
      </c>
      <c r="AJ223" s="65">
        <f t="shared" si="140"/>
        <v>24195.394265345523</v>
      </c>
      <c r="AK223" s="65">
        <f t="shared" si="141"/>
        <v>16296.675945940173</v>
      </c>
      <c r="AL223" s="65">
        <f t="shared" si="142"/>
        <v>5170.3301249754886</v>
      </c>
      <c r="AM223" s="40">
        <f t="shared" si="143"/>
        <v>2013.2190622366131</v>
      </c>
      <c r="AN223" s="40">
        <f t="shared" si="144"/>
        <v>1167.2680522014898</v>
      </c>
      <c r="AO223" s="40">
        <f t="shared" si="145"/>
        <v>1939.7355193567787</v>
      </c>
      <c r="AP223" s="40">
        <f t="shared" si="146"/>
        <v>1713.1809376552908</v>
      </c>
      <c r="AQ223" s="40">
        <f t="shared" si="147"/>
        <v>1939.7355193567787</v>
      </c>
      <c r="AR223" s="41">
        <f t="shared" si="148"/>
        <v>0.78387896843763705</v>
      </c>
      <c r="AS223" s="41">
        <f t="shared" si="149"/>
        <v>0.28387896843763705</v>
      </c>
      <c r="AT223" s="64">
        <f t="shared" si="150"/>
        <v>6.3843338617570469</v>
      </c>
      <c r="AU223" s="64">
        <f>APPLICANTS_PER_YEAR*($H223/Segments!$AH$2)*AS223</f>
        <v>3.7472023833768091</v>
      </c>
      <c r="AV223" s="64">
        <f t="shared" si="151"/>
        <v>10.131536245133855</v>
      </c>
      <c r="AW223" s="40">
        <f t="shared" si="152"/>
        <v>1939.7355193567792</v>
      </c>
      <c r="AX223" s="65">
        <f t="shared" si="153"/>
        <v>19652.50072033675</v>
      </c>
      <c r="AY223" s="65">
        <f t="shared" si="154"/>
        <v>13245.364808106135</v>
      </c>
      <c r="AZ223" s="65">
        <f t="shared" si="155"/>
        <v>4265.0337752746454</v>
      </c>
    </row>
    <row r="224" spans="1:52" ht="15" customHeight="1" x14ac:dyDescent="0.35">
      <c r="A224" s="61" t="str">
        <f>Segments!$A$204</f>
        <v>Non-greek</v>
      </c>
      <c r="B224" s="61" t="str">
        <f>Segments!$B$204</f>
        <v>Off 6+mi</v>
      </c>
      <c r="C224" s="61" t="str">
        <f>Segments!$C$204</f>
        <v>No</v>
      </c>
      <c r="D224" s="61" t="str">
        <f>Segments!$D$204</f>
        <v>3.0+</v>
      </c>
      <c r="E224" s="61" t="str">
        <f>Segments!$E$204</f>
        <v>Grad student</v>
      </c>
      <c r="F224" s="61">
        <f>Segments!$F$204</f>
        <v>3</v>
      </c>
      <c r="G224" s="61" t="str">
        <f>Segments!$G$204</f>
        <v>Grad</v>
      </c>
      <c r="H224" s="62">
        <f>Segments!$H$204</f>
        <v>4</v>
      </c>
      <c r="I224" s="63">
        <f>Segments!$Y$204</f>
        <v>1310.0605361400419</v>
      </c>
      <c r="J224" s="42">
        <v>4</v>
      </c>
      <c r="K224" s="40">
        <f t="shared" si="117"/>
        <v>1426.2297754450396</v>
      </c>
      <c r="L224" s="40">
        <f t="shared" si="118"/>
        <v>1310.0605361400419</v>
      </c>
      <c r="M224" s="40">
        <f t="shared" si="119"/>
        <v>2171.9272302931408</v>
      </c>
      <c r="N224" s="40">
        <f t="shared" si="120"/>
        <v>1760.0191152211823</v>
      </c>
      <c r="O224" s="40">
        <f t="shared" si="121"/>
        <v>1782.7872193062994</v>
      </c>
      <c r="P224" s="41">
        <f t="shared" si="122"/>
        <v>0.76853185886215336</v>
      </c>
      <c r="Q224" s="41">
        <f t="shared" si="123"/>
        <v>0.23298192005142115</v>
      </c>
      <c r="R224" s="64">
        <f t="shared" si="124"/>
        <v>1.5370637177243067</v>
      </c>
      <c r="S224" s="64">
        <f>APPLICANTS_PER_YEAR*($H224/Segments!$AH$2)*Q224</f>
        <v>1.1183132162468215</v>
      </c>
      <c r="T224" s="64">
        <f t="shared" si="125"/>
        <v>2.6553769339711284</v>
      </c>
      <c r="U224" s="40">
        <f t="shared" si="126"/>
        <v>1946.6737137958794</v>
      </c>
      <c r="V224" s="65">
        <f t="shared" si="127"/>
        <v>5169.1524775814923</v>
      </c>
      <c r="W224" s="65">
        <f t="shared" si="128"/>
        <v>3896.1490733447713</v>
      </c>
      <c r="X224" s="65">
        <f t="shared" si="129"/>
        <v>1143.0465097712063</v>
      </c>
      <c r="Y224" s="40">
        <f t="shared" si="130"/>
        <v>1946.6737137958794</v>
      </c>
      <c r="Z224" s="40">
        <f t="shared" si="131"/>
        <v>1349.3623522242433</v>
      </c>
      <c r="AA224" s="40">
        <f t="shared" si="132"/>
        <v>2235.8350472019351</v>
      </c>
      <c r="AB224" s="40">
        <f t="shared" si="133"/>
        <v>1812.3131497680124</v>
      </c>
      <c r="AC224" s="40">
        <f t="shared" si="134"/>
        <v>2235.8350472019351</v>
      </c>
      <c r="AD224" s="41">
        <f t="shared" si="135"/>
        <v>0.68859195458912881</v>
      </c>
      <c r="AE224" s="41">
        <f t="shared" si="136"/>
        <v>0.23315432752663734</v>
      </c>
      <c r="AF224" s="64">
        <f t="shared" si="137"/>
        <v>0.91423559656703368</v>
      </c>
      <c r="AG224" s="64">
        <f>APPLICANTS_PER_YEAR*($H224/Segments!$AH$2)*AE224</f>
        <v>1.1191407721278592</v>
      </c>
      <c r="AH224" s="64">
        <f t="shared" si="138"/>
        <v>2.0333763686948929</v>
      </c>
      <c r="AI224" s="40">
        <f t="shared" si="139"/>
        <v>2235.8350472019351</v>
      </c>
      <c r="AJ224" s="65">
        <f t="shared" si="140"/>
        <v>4546.2941492802456</v>
      </c>
      <c r="AK224" s="65">
        <f t="shared" si="141"/>
        <v>3073.0129021976509</v>
      </c>
      <c r="AL224" s="65">
        <f t="shared" si="142"/>
        <v>1015.4731365287244</v>
      </c>
      <c r="AM224" s="40">
        <f t="shared" si="143"/>
        <v>2235.8350472019351</v>
      </c>
      <c r="AN224" s="40">
        <f t="shared" si="144"/>
        <v>1389.8432227909705</v>
      </c>
      <c r="AO224" s="40">
        <f t="shared" si="145"/>
        <v>2301.6600986179928</v>
      </c>
      <c r="AP224" s="40">
        <f t="shared" si="146"/>
        <v>1866.1758657982789</v>
      </c>
      <c r="AQ224" s="40">
        <f t="shared" si="147"/>
        <v>2301.6600986179928</v>
      </c>
      <c r="AR224" s="41">
        <f t="shared" si="148"/>
        <v>0.72448948211012087</v>
      </c>
      <c r="AS224" s="41">
        <f t="shared" si="149"/>
        <v>0.23332175954021606</v>
      </c>
      <c r="AT224" s="64">
        <f t="shared" si="150"/>
        <v>0.73657989614536057</v>
      </c>
      <c r="AU224" s="64">
        <f>APPLICANTS_PER_YEAR*($H224/Segments!$AH$2)*AS224</f>
        <v>1.119944445793037</v>
      </c>
      <c r="AV224" s="64">
        <f t="shared" si="151"/>
        <v>1.8565243419383974</v>
      </c>
      <c r="AW224" s="40">
        <f t="shared" si="152"/>
        <v>2301.6600986179928</v>
      </c>
      <c r="AX224" s="65">
        <f t="shared" si="153"/>
        <v>4273.087999952636</v>
      </c>
      <c r="AY224" s="65">
        <f t="shared" si="154"/>
        <v>2889.9111075402939</v>
      </c>
      <c r="AZ224" s="65">
        <f t="shared" si="155"/>
        <v>962.96333049891575</v>
      </c>
    </row>
    <row r="225" spans="1:52" ht="15" customHeight="1" x14ac:dyDescent="0.35">
      <c r="A225" s="59" t="str">
        <f>Segments!$A$205</f>
        <v>Greek</v>
      </c>
      <c r="B225" s="59" t="str">
        <f>Segments!$B$205</f>
        <v>On campus</v>
      </c>
      <c r="C225" s="59" t="str">
        <f>Segments!$C$205</f>
        <v>Yes</v>
      </c>
      <c r="D225" s="59" t="str">
        <f>Segments!$D$205</f>
        <v>&lt;1.0</v>
      </c>
      <c r="E225" s="59" t="str">
        <f>Segments!$E$205</f>
        <v>Freshman</v>
      </c>
      <c r="F225" s="59">
        <f>Segments!$F$205</f>
        <v>1</v>
      </c>
      <c r="G225" s="59" t="str">
        <f>Segments!$G$205</f>
        <v>Base</v>
      </c>
      <c r="H225" s="60">
        <f>Segments!$H$205</f>
        <v>22</v>
      </c>
      <c r="I225" s="26">
        <f>Segments!$Y$205</f>
        <v>1402.568812106801</v>
      </c>
      <c r="J225" s="29">
        <v>0</v>
      </c>
      <c r="K225" s="14">
        <f t="shared" si="117"/>
        <v>2322.3528989280412</v>
      </c>
      <c r="L225" s="14">
        <f t="shared" si="118"/>
        <v>1402.568812106801</v>
      </c>
      <c r="M225" s="14">
        <f t="shared" si="119"/>
        <v>2322.3528989280412</v>
      </c>
      <c r="N225" s="14">
        <f t="shared" si="120"/>
        <v>1819.9474864792878</v>
      </c>
      <c r="O225" s="14">
        <f t="shared" si="121"/>
        <v>2322.3528989280412</v>
      </c>
      <c r="P225" s="33">
        <f t="shared" si="122"/>
        <v>0.71197255245516355</v>
      </c>
      <c r="Q225" s="33">
        <f t="shared" si="123"/>
        <v>0.21197255245516355</v>
      </c>
      <c r="R225" s="51">
        <f t="shared" si="124"/>
        <v>0</v>
      </c>
      <c r="S225" s="51">
        <f>APPLICANTS_PER_YEAR*($H225/Segments!$AH$2)*Q225</f>
        <v>5.5960753848163183</v>
      </c>
      <c r="T225" s="51">
        <f t="shared" si="125"/>
        <v>5.5960753848163183</v>
      </c>
      <c r="U225" s="14">
        <f t="shared" si="126"/>
        <v>2322.3528989280412</v>
      </c>
      <c r="V225" s="44">
        <f t="shared" si="127"/>
        <v>12996.06189254803</v>
      </c>
      <c r="W225" s="44">
        <f t="shared" si="128"/>
        <v>8790.7465015349662</v>
      </c>
      <c r="X225" s="44">
        <f t="shared" si="129"/>
        <v>3162.9412562474931</v>
      </c>
      <c r="Y225" s="14">
        <f t="shared" si="130"/>
        <v>2390.7734858958825</v>
      </c>
      <c r="Z225" s="14">
        <f t="shared" si="131"/>
        <v>1444.6458764700051</v>
      </c>
      <c r="AA225" s="14">
        <f t="shared" si="132"/>
        <v>2390.7734858958825</v>
      </c>
      <c r="AB225" s="14">
        <f t="shared" si="133"/>
        <v>1874.0560562286062</v>
      </c>
      <c r="AC225" s="14">
        <f t="shared" si="134"/>
        <v>2390.7734858958825</v>
      </c>
      <c r="AD225" s="33">
        <f t="shared" si="135"/>
        <v>0.71213928127978987</v>
      </c>
      <c r="AE225" s="33">
        <f t="shared" si="136"/>
        <v>0.21213928127978987</v>
      </c>
      <c r="AF225" s="51">
        <f t="shared" si="137"/>
        <v>0</v>
      </c>
      <c r="AG225" s="51">
        <f>APPLICANTS_PER_YEAR*($H225/Segments!$AH$2)*AE225</f>
        <v>5.6004770257864527</v>
      </c>
      <c r="AH225" s="51">
        <f t="shared" si="138"/>
        <v>5.6004770257864527</v>
      </c>
      <c r="AI225" s="14">
        <f t="shared" si="139"/>
        <v>2390.7734858958825</v>
      </c>
      <c r="AJ225" s="44">
        <f t="shared" si="140"/>
        <v>13389.471981619281</v>
      </c>
      <c r="AK225" s="44">
        <f t="shared" si="141"/>
        <v>9061.590766555486</v>
      </c>
      <c r="AL225" s="44">
        <f t="shared" si="142"/>
        <v>3251.2631900431093</v>
      </c>
      <c r="AM225" s="14">
        <f t="shared" si="143"/>
        <v>2461.2466904727585</v>
      </c>
      <c r="AN225" s="14">
        <f t="shared" si="144"/>
        <v>1487.9852527641051</v>
      </c>
      <c r="AO225" s="14">
        <f t="shared" si="145"/>
        <v>2461.2466904727585</v>
      </c>
      <c r="AP225" s="14">
        <f t="shared" si="146"/>
        <v>1929.7877568611216</v>
      </c>
      <c r="AQ225" s="14">
        <f t="shared" si="147"/>
        <v>2461.2466904727585</v>
      </c>
      <c r="AR225" s="33">
        <f t="shared" si="148"/>
        <v>0.71230119563094429</v>
      </c>
      <c r="AS225" s="33">
        <f t="shared" si="149"/>
        <v>0.21230119563094429</v>
      </c>
      <c r="AT225" s="51">
        <f t="shared" si="150"/>
        <v>0</v>
      </c>
      <c r="AU225" s="51">
        <f>APPLICANTS_PER_YEAR*($H225/Segments!$AH$2)*AS225</f>
        <v>5.6047515646569295</v>
      </c>
      <c r="AV225" s="51">
        <f t="shared" si="151"/>
        <v>5.6047515646569295</v>
      </c>
      <c r="AW225" s="14">
        <f t="shared" si="152"/>
        <v>2461.2466904727585</v>
      </c>
      <c r="AX225" s="44">
        <f t="shared" si="153"/>
        <v>13794.676239433882</v>
      </c>
      <c r="AY225" s="44">
        <f t="shared" si="154"/>
        <v>9340.5621944499817</v>
      </c>
      <c r="AZ225" s="44">
        <f t="shared" si="155"/>
        <v>3342.2212980427516</v>
      </c>
    </row>
    <row r="226" spans="1:52" ht="15" customHeight="1" x14ac:dyDescent="0.35">
      <c r="A226" s="59" t="str">
        <f>Segments!$A$206</f>
        <v>Greek</v>
      </c>
      <c r="B226" s="59" t="str">
        <f>Segments!$B$206</f>
        <v>On campus</v>
      </c>
      <c r="C226" s="59" t="str">
        <f>Segments!$C$206</f>
        <v>Yes</v>
      </c>
      <c r="D226" s="59" t="str">
        <f>Segments!$D$206</f>
        <v>&lt;1.0</v>
      </c>
      <c r="E226" s="59" t="str">
        <f>Segments!$E$206</f>
        <v>Sophomore</v>
      </c>
      <c r="F226" s="59">
        <f>Segments!$F$206</f>
        <v>1</v>
      </c>
      <c r="G226" s="59" t="str">
        <f>Segments!$G$206</f>
        <v>Sophomore</v>
      </c>
      <c r="H226" s="60">
        <f>Segments!$H$206</f>
        <v>17</v>
      </c>
      <c r="I226" s="26">
        <f>Segments!$Y$206</f>
        <v>1388.2994175840493</v>
      </c>
      <c r="J226" s="29">
        <v>1</v>
      </c>
      <c r="K226" s="14">
        <f t="shared" si="117"/>
        <v>1426.2297754450396</v>
      </c>
      <c r="L226" s="14">
        <f t="shared" si="118"/>
        <v>1388.2994175840493</v>
      </c>
      <c r="M226" s="14">
        <f t="shared" si="119"/>
        <v>2299.1497509970231</v>
      </c>
      <c r="N226" s="14">
        <f t="shared" si="120"/>
        <v>1810.8329114192184</v>
      </c>
      <c r="O226" s="14">
        <f t="shared" si="121"/>
        <v>1782.7872193062994</v>
      </c>
      <c r="P226" s="33">
        <f t="shared" si="122"/>
        <v>0.78274386525009043</v>
      </c>
      <c r="Q226" s="33">
        <f t="shared" si="123"/>
        <v>0.21516789138897074</v>
      </c>
      <c r="R226" s="51">
        <f t="shared" si="124"/>
        <v>17.220365035501988</v>
      </c>
      <c r="S226" s="51">
        <f>APPLICANTS_PER_YEAR*($H226/Segments!$AH$2)*Q226</f>
        <v>4.3894249843350028</v>
      </c>
      <c r="T226" s="51">
        <f t="shared" si="125"/>
        <v>21.609790019836993</v>
      </c>
      <c r="U226" s="14">
        <f t="shared" si="126"/>
        <v>1887.6718385227352</v>
      </c>
      <c r="V226" s="44">
        <f t="shared" si="127"/>
        <v>40792.192056835949</v>
      </c>
      <c r="W226" s="44">
        <f t="shared" si="128"/>
        <v>33600.961966491697</v>
      </c>
      <c r="X226" s="44">
        <f t="shared" si="129"/>
        <v>8604.8738113384952</v>
      </c>
      <c r="Y226" s="14">
        <f t="shared" si="130"/>
        <v>2322.3528989280412</v>
      </c>
      <c r="Z226" s="14">
        <f t="shared" si="131"/>
        <v>1429.9484001115707</v>
      </c>
      <c r="AA226" s="14">
        <f t="shared" si="132"/>
        <v>2366.8742435269337</v>
      </c>
      <c r="AB226" s="14">
        <f t="shared" si="133"/>
        <v>1864.6655776512926</v>
      </c>
      <c r="AC226" s="14">
        <f t="shared" si="134"/>
        <v>2366.8742435269337</v>
      </c>
      <c r="AD226" s="33">
        <f t="shared" si="135"/>
        <v>0.70958422201211413</v>
      </c>
      <c r="AE226" s="33">
        <f t="shared" si="136"/>
        <v>0.21533545964091416</v>
      </c>
      <c r="AF226" s="51">
        <f t="shared" si="137"/>
        <v>3.9708867982560294</v>
      </c>
      <c r="AG226" s="51">
        <f>APPLICANTS_PER_YEAR*($H226/Segments!$AH$2)*AE226</f>
        <v>4.3928433766746489</v>
      </c>
      <c r="AH226" s="51">
        <f t="shared" si="138"/>
        <v>8.3637301749306783</v>
      </c>
      <c r="AI226" s="14">
        <f t="shared" si="139"/>
        <v>2366.8742435269337</v>
      </c>
      <c r="AJ226" s="44">
        <f t="shared" si="140"/>
        <v>19795.897530852439</v>
      </c>
      <c r="AK226" s="44">
        <f t="shared" si="141"/>
        <v>13394.866892519831</v>
      </c>
      <c r="AL226" s="44">
        <f t="shared" si="142"/>
        <v>4382.4260957900597</v>
      </c>
      <c r="AM226" s="14">
        <f t="shared" si="143"/>
        <v>2390.7734858958825</v>
      </c>
      <c r="AN226" s="14">
        <f t="shared" si="144"/>
        <v>1472.8468521149177</v>
      </c>
      <c r="AO226" s="14">
        <f t="shared" si="145"/>
        <v>2436.630470832742</v>
      </c>
      <c r="AP226" s="14">
        <f t="shared" si="146"/>
        <v>1920.1130957446635</v>
      </c>
      <c r="AQ226" s="14">
        <f t="shared" si="147"/>
        <v>2436.630470832742</v>
      </c>
      <c r="AR226" s="33">
        <f t="shared" si="148"/>
        <v>0.70974394497821147</v>
      </c>
      <c r="AS226" s="33">
        <f t="shared" si="149"/>
        <v>0.21549818960331568</v>
      </c>
      <c r="AT226" s="51">
        <f t="shared" si="150"/>
        <v>3.9749046580415177</v>
      </c>
      <c r="AU226" s="51">
        <f>APPLICANTS_PER_YEAR*($H226/Segments!$AH$2)*AS226</f>
        <v>4.39616306790764</v>
      </c>
      <c r="AV226" s="51">
        <f t="shared" si="151"/>
        <v>8.3710677259491568</v>
      </c>
      <c r="AW226" s="14">
        <f t="shared" si="152"/>
        <v>2436.630470832742</v>
      </c>
      <c r="AX226" s="44">
        <f t="shared" si="153"/>
        <v>20397.198694452265</v>
      </c>
      <c r="AY226" s="44">
        <f t="shared" si="154"/>
        <v>13808.816838885599</v>
      </c>
      <c r="AZ226" s="44">
        <f t="shared" si="155"/>
        <v>4507.3098554786193</v>
      </c>
    </row>
    <row r="227" spans="1:52" ht="15" customHeight="1" x14ac:dyDescent="0.35">
      <c r="A227" s="59" t="str">
        <f>Segments!$A$207</f>
        <v>Greek</v>
      </c>
      <c r="B227" s="59" t="str">
        <f>Segments!$B$207</f>
        <v>On campus</v>
      </c>
      <c r="C227" s="59" t="str">
        <f>Segments!$C$207</f>
        <v>Yes</v>
      </c>
      <c r="D227" s="59" t="str">
        <f>Segments!$D$207</f>
        <v>&lt;1.0</v>
      </c>
      <c r="E227" s="59" t="str">
        <f>Segments!$E$207</f>
        <v>Junior</v>
      </c>
      <c r="F227" s="59">
        <f>Segments!$F$207</f>
        <v>2</v>
      </c>
      <c r="G227" s="59" t="str">
        <f>Segments!$G$207</f>
        <v>Base</v>
      </c>
      <c r="H227" s="60">
        <f>Segments!$H$207</f>
        <v>13</v>
      </c>
      <c r="I227" s="26">
        <f>Segments!$Y$207</f>
        <v>1659.6086974181817</v>
      </c>
      <c r="J227" s="29">
        <v>2</v>
      </c>
      <c r="K227" s="14">
        <f t="shared" si="117"/>
        <v>1426.2297754450396</v>
      </c>
      <c r="L227" s="14">
        <f t="shared" si="118"/>
        <v>1659.6086974181817</v>
      </c>
      <c r="M227" s="14">
        <f t="shared" si="119"/>
        <v>2740.3197911842117</v>
      </c>
      <c r="N227" s="14">
        <f t="shared" si="120"/>
        <v>1976.9485780940929</v>
      </c>
      <c r="O227" s="14">
        <f t="shared" si="121"/>
        <v>1782.7872193062994</v>
      </c>
      <c r="P227" s="33">
        <f t="shared" si="122"/>
        <v>0.82410632500491687</v>
      </c>
      <c r="Q227" s="33">
        <f t="shared" si="123"/>
        <v>0.15693195019112272</v>
      </c>
      <c r="R227" s="51">
        <f t="shared" si="124"/>
        <v>14.009807525083588</v>
      </c>
      <c r="S227" s="51">
        <f>APPLICANTS_PER_YEAR*($H227/Segments!$AH$2)*Q227</f>
        <v>2.4481384229815144</v>
      </c>
      <c r="T227" s="51">
        <f t="shared" si="125"/>
        <v>16.457945948065102</v>
      </c>
      <c r="U227" s="14">
        <f t="shared" si="126"/>
        <v>1925.221292663201</v>
      </c>
      <c r="V227" s="44">
        <f t="shared" si="127"/>
        <v>31685.187972714986</v>
      </c>
      <c r="W227" s="44">
        <f t="shared" si="128"/>
        <v>30591.40026549283</v>
      </c>
      <c r="X227" s="44">
        <f t="shared" si="129"/>
        <v>6613.6667824008891</v>
      </c>
      <c r="Y227" s="14">
        <f t="shared" si="130"/>
        <v>1887.6718385227352</v>
      </c>
      <c r="Z227" s="14">
        <f t="shared" si="131"/>
        <v>1709.3969583407272</v>
      </c>
      <c r="AA227" s="14">
        <f t="shared" si="132"/>
        <v>2821.2793849197383</v>
      </c>
      <c r="AB227" s="14">
        <f t="shared" si="133"/>
        <v>2035.8060918295855</v>
      </c>
      <c r="AC227" s="14">
        <f t="shared" si="134"/>
        <v>2359.589798153419</v>
      </c>
      <c r="AD227" s="33">
        <f t="shared" si="135"/>
        <v>0.69547776366735203</v>
      </c>
      <c r="AE227" s="33">
        <f t="shared" si="136"/>
        <v>0.15708543504154526</v>
      </c>
      <c r="AF227" s="51">
        <f t="shared" si="137"/>
        <v>15.029128436317295</v>
      </c>
      <c r="AG227" s="51">
        <f>APPLICANTS_PER_YEAR*($H227/Segments!$AH$2)*AE227</f>
        <v>2.4505327866481061</v>
      </c>
      <c r="AH227" s="51">
        <f t="shared" si="138"/>
        <v>17.479661222965401</v>
      </c>
      <c r="AI227" s="14">
        <f t="shared" si="139"/>
        <v>2424.3156217945793</v>
      </c>
      <c r="AJ227" s="44">
        <f t="shared" si="140"/>
        <v>42376.215766511959</v>
      </c>
      <c r="AK227" s="44">
        <f t="shared" si="141"/>
        <v>33465.241294647021</v>
      </c>
      <c r="AL227" s="44">
        <f t="shared" si="142"/>
        <v>8661.9386411526793</v>
      </c>
      <c r="AM227" s="14">
        <f t="shared" si="143"/>
        <v>2366.8742435269337</v>
      </c>
      <c r="AN227" s="14">
        <f t="shared" si="144"/>
        <v>1760.6788670909489</v>
      </c>
      <c r="AO227" s="14">
        <f t="shared" si="145"/>
        <v>2904.6677664673302</v>
      </c>
      <c r="AP227" s="14">
        <f t="shared" si="146"/>
        <v>2096.4292325238393</v>
      </c>
      <c r="AQ227" s="14">
        <f t="shared" si="147"/>
        <v>2904.6677664673302</v>
      </c>
      <c r="AR227" s="33">
        <f t="shared" si="148"/>
        <v>0.58906945069802019</v>
      </c>
      <c r="AS227" s="33">
        <f t="shared" si="149"/>
        <v>0.15723448199334811</v>
      </c>
      <c r="AT227" s="51">
        <f t="shared" si="150"/>
        <v>4.9268179399328709</v>
      </c>
      <c r="AU227" s="51">
        <f>APPLICANTS_PER_YEAR*($H227/Segments!$AH$2)*AS227</f>
        <v>2.4528579190962305</v>
      </c>
      <c r="AV227" s="51">
        <f t="shared" si="151"/>
        <v>7.3796758590291009</v>
      </c>
      <c r="AW227" s="14">
        <f t="shared" si="152"/>
        <v>2904.6677664673302</v>
      </c>
      <c r="AX227" s="44">
        <f t="shared" si="153"/>
        <v>21435.506594698934</v>
      </c>
      <c r="AY227" s="44">
        <f t="shared" si="154"/>
        <v>14552.428050690636</v>
      </c>
      <c r="AZ227" s="44">
        <f t="shared" si="155"/>
        <v>4509.5915182223907</v>
      </c>
    </row>
    <row r="228" spans="1:52" ht="15" customHeight="1" x14ac:dyDescent="0.35">
      <c r="A228" s="59" t="str">
        <f>Segments!$A$208</f>
        <v>Greek</v>
      </c>
      <c r="B228" s="59" t="str">
        <f>Segments!$B$208</f>
        <v>On campus</v>
      </c>
      <c r="C228" s="59" t="str">
        <f>Segments!$C$208</f>
        <v>Yes</v>
      </c>
      <c r="D228" s="59" t="str">
        <f>Segments!$D$208</f>
        <v>&lt;1.0</v>
      </c>
      <c r="E228" s="59" t="str">
        <f>Segments!$E$208</f>
        <v>Senior</v>
      </c>
      <c r="F228" s="59">
        <f>Segments!$F$208</f>
        <v>3</v>
      </c>
      <c r="G228" s="59" t="str">
        <f>Segments!$G$208</f>
        <v>Base</v>
      </c>
      <c r="H228" s="60">
        <f>Segments!$H$208</f>
        <v>17</v>
      </c>
      <c r="I228" s="26">
        <f>Segments!$Y$208</f>
        <v>1551.2154320927027</v>
      </c>
      <c r="J228" s="29">
        <v>3</v>
      </c>
      <c r="K228" s="14">
        <f t="shared" si="117"/>
        <v>1426.2297754450396</v>
      </c>
      <c r="L228" s="14">
        <f t="shared" si="118"/>
        <v>1551.2154320927027</v>
      </c>
      <c r="M228" s="14">
        <f t="shared" si="119"/>
        <v>2564.0638914637993</v>
      </c>
      <c r="N228" s="14">
        <f t="shared" si="120"/>
        <v>1912.3138518949104</v>
      </c>
      <c r="O228" s="14">
        <f t="shared" si="121"/>
        <v>1782.7872193062994</v>
      </c>
      <c r="P228" s="33">
        <f t="shared" si="122"/>
        <v>0.80886646822127628</v>
      </c>
      <c r="Q228" s="33">
        <f t="shared" si="123"/>
        <v>0.17959124650928238</v>
      </c>
      <c r="R228" s="51">
        <f t="shared" si="124"/>
        <v>10.515264086876591</v>
      </c>
      <c r="S228" s="51">
        <f>APPLICANTS_PER_YEAR*($H228/Segments!$AH$2)*Q228</f>
        <v>3.6636614287893603</v>
      </c>
      <c r="T228" s="51">
        <f t="shared" si="125"/>
        <v>14.178925515665952</v>
      </c>
      <c r="U228" s="14">
        <f t="shared" si="126"/>
        <v>1984.6595830361055</v>
      </c>
      <c r="V228" s="44">
        <f t="shared" si="127"/>
        <v>28140.340401821584</v>
      </c>
      <c r="W228" s="44">
        <f t="shared" si="128"/>
        <v>24633.916238841291</v>
      </c>
      <c r="X228" s="44">
        <f t="shared" si="129"/>
        <v>6022.4795512810942</v>
      </c>
      <c r="Y228" s="14">
        <f t="shared" si="130"/>
        <v>1925.221292663201</v>
      </c>
      <c r="Z228" s="14">
        <f t="shared" si="131"/>
        <v>1597.7518950554838</v>
      </c>
      <c r="AA228" s="14">
        <f t="shared" si="132"/>
        <v>2639.7358082077135</v>
      </c>
      <c r="AB228" s="14">
        <f t="shared" si="133"/>
        <v>1969.2170787507268</v>
      </c>
      <c r="AC228" s="14">
        <f t="shared" si="134"/>
        <v>2406.5266158290015</v>
      </c>
      <c r="AD228" s="33">
        <f t="shared" si="135"/>
        <v>0.66396360340432747</v>
      </c>
      <c r="AE228" s="33">
        <f t="shared" si="136"/>
        <v>0.17974992023673575</v>
      </c>
      <c r="AF228" s="51">
        <f t="shared" si="137"/>
        <v>10.927477096310955</v>
      </c>
      <c r="AG228" s="51">
        <f>APPLICANTS_PER_YEAR*($H228/Segments!$AH$2)*AE228</f>
        <v>3.6668983728294089</v>
      </c>
      <c r="AH228" s="51">
        <f t="shared" si="138"/>
        <v>14.594375469140363</v>
      </c>
      <c r="AI228" s="14">
        <f t="shared" si="139"/>
        <v>2465.1214087251119</v>
      </c>
      <c r="AJ228" s="44">
        <f t="shared" si="140"/>
        <v>35976.907415950511</v>
      </c>
      <c r="AK228" s="44">
        <f t="shared" si="141"/>
        <v>26116.373990526718</v>
      </c>
      <c r="AL228" s="44">
        <f t="shared" si="142"/>
        <v>7521.9829732117632</v>
      </c>
      <c r="AM228" s="14">
        <f t="shared" si="143"/>
        <v>2424.3156217945793</v>
      </c>
      <c r="AN228" s="14">
        <f t="shared" si="144"/>
        <v>1645.6844519071483</v>
      </c>
      <c r="AO228" s="14">
        <f t="shared" si="145"/>
        <v>2717.6778824539447</v>
      </c>
      <c r="AP228" s="14">
        <f t="shared" si="146"/>
        <v>2027.827293629839</v>
      </c>
      <c r="AQ228" s="14">
        <f t="shared" si="147"/>
        <v>2717.6778824539447</v>
      </c>
      <c r="AR228" s="33">
        <f t="shared" si="148"/>
        <v>0.64360152470671539</v>
      </c>
      <c r="AS228" s="33">
        <f t="shared" si="149"/>
        <v>0.17990400834647424</v>
      </c>
      <c r="AT228" s="51">
        <f t="shared" si="150"/>
        <v>11.249936614457381</v>
      </c>
      <c r="AU228" s="51">
        <f>APPLICANTS_PER_YEAR*($H228/Segments!$AH$2)*AS228</f>
        <v>3.6700417702680741</v>
      </c>
      <c r="AV228" s="51">
        <f t="shared" si="151"/>
        <v>14.919978384725455</v>
      </c>
      <c r="AW228" s="14">
        <f t="shared" si="152"/>
        <v>2717.6778824539447</v>
      </c>
      <c r="AX228" s="44">
        <f t="shared" si="153"/>
        <v>40547.695262859299</v>
      </c>
      <c r="AY228" s="44">
        <f t="shared" si="154"/>
        <v>27500.005624597423</v>
      </c>
      <c r="AZ228" s="44">
        <f t="shared" si="155"/>
        <v>8402.7547137675065</v>
      </c>
    </row>
    <row r="229" spans="1:52" ht="15" customHeight="1" x14ac:dyDescent="0.35">
      <c r="A229" s="59" t="str">
        <f>Segments!$A$209</f>
        <v>Greek</v>
      </c>
      <c r="B229" s="59" t="str">
        <f>Segments!$B$209</f>
        <v>On campus</v>
      </c>
      <c r="C229" s="59" t="str">
        <f>Segments!$C$209</f>
        <v>Yes</v>
      </c>
      <c r="D229" s="59" t="str">
        <f>Segments!$D$209</f>
        <v>&lt;1.0</v>
      </c>
      <c r="E229" s="59" t="str">
        <f>Segments!$E$209</f>
        <v>Grad student</v>
      </c>
      <c r="F229" s="59">
        <f>Segments!$F$209</f>
        <v>3</v>
      </c>
      <c r="G229" s="59" t="str">
        <f>Segments!$G$209</f>
        <v>Grad</v>
      </c>
      <c r="H229" s="60">
        <f>Segments!$H$209</f>
        <v>7</v>
      </c>
      <c r="I229" s="26">
        <f>Segments!$Y$209</f>
        <v>1847.0018530162408</v>
      </c>
      <c r="J229" s="29">
        <v>4</v>
      </c>
      <c r="K229" s="14">
        <f t="shared" si="117"/>
        <v>1426.2297754450396</v>
      </c>
      <c r="L229" s="14">
        <f t="shared" si="118"/>
        <v>1847.0018530162408</v>
      </c>
      <c r="M229" s="14">
        <f t="shared" si="119"/>
        <v>3045.0356712917492</v>
      </c>
      <c r="N229" s="14">
        <f t="shared" si="120"/>
        <v>2083.9675001517098</v>
      </c>
      <c r="O229" s="14">
        <f t="shared" si="121"/>
        <v>1782.7872193062994</v>
      </c>
      <c r="P229" s="33">
        <f t="shared" si="122"/>
        <v>0.84726127106672366</v>
      </c>
      <c r="Q229" s="33">
        <f t="shared" si="123"/>
        <v>0.11941382937352074</v>
      </c>
      <c r="R229" s="51">
        <f t="shared" si="124"/>
        <v>2.965414448733533</v>
      </c>
      <c r="S229" s="51">
        <f>APPLICANTS_PER_YEAR*($H229/Segments!$AH$2)*Q229</f>
        <v>1.0030761667375743</v>
      </c>
      <c r="T229" s="51">
        <f t="shared" si="125"/>
        <v>3.968490615471107</v>
      </c>
      <c r="U229" s="14">
        <f t="shared" si="126"/>
        <v>2101.8332903117357</v>
      </c>
      <c r="V229" s="44">
        <f t="shared" si="127"/>
        <v>8341.1056878868822</v>
      </c>
      <c r="W229" s="44">
        <f t="shared" si="128"/>
        <v>8209.3866629070217</v>
      </c>
      <c r="X229" s="44">
        <f t="shared" si="129"/>
        <v>1787.8197862943298</v>
      </c>
      <c r="Y229" s="14">
        <f t="shared" si="130"/>
        <v>2101.8332903117357</v>
      </c>
      <c r="Z229" s="14">
        <f t="shared" si="131"/>
        <v>1902.411908606728</v>
      </c>
      <c r="AA229" s="14">
        <f t="shared" si="132"/>
        <v>3135.1367414305014</v>
      </c>
      <c r="AB229" s="14">
        <f t="shared" si="133"/>
        <v>2146.0587438002517</v>
      </c>
      <c r="AC229" s="14">
        <f t="shared" si="134"/>
        <v>2627.2916128896695</v>
      </c>
      <c r="AD229" s="33">
        <f t="shared" si="135"/>
        <v>0.66287984707323344</v>
      </c>
      <c r="AE229" s="33">
        <f t="shared" si="136"/>
        <v>0.11955943063357499</v>
      </c>
      <c r="AF229" s="51">
        <f t="shared" si="137"/>
        <v>1.3153162261475246</v>
      </c>
      <c r="AG229" s="51">
        <f>APPLICANTS_PER_YEAR*($H229/Segments!$AH$2)*AE229</f>
        <v>1.00429921732203</v>
      </c>
      <c r="AH229" s="51">
        <f t="shared" si="138"/>
        <v>2.3196154434695546</v>
      </c>
      <c r="AI229" s="14">
        <f t="shared" si="139"/>
        <v>2847.1679146060828</v>
      </c>
      <c r="AJ229" s="44">
        <f t="shared" si="140"/>
        <v>6604.3346648712759</v>
      </c>
      <c r="AK229" s="44">
        <f t="shared" si="141"/>
        <v>4942.4077282099051</v>
      </c>
      <c r="AL229" s="44">
        <f t="shared" si="142"/>
        <v>1429.9205791096797</v>
      </c>
      <c r="AM229" s="14">
        <f t="shared" si="143"/>
        <v>2847.1679146060828</v>
      </c>
      <c r="AN229" s="14">
        <f t="shared" si="144"/>
        <v>1959.4842658649297</v>
      </c>
      <c r="AO229" s="14">
        <f t="shared" si="145"/>
        <v>3227.9408436734161</v>
      </c>
      <c r="AP229" s="14">
        <f t="shared" si="146"/>
        <v>2210.01264071265</v>
      </c>
      <c r="AQ229" s="14">
        <f t="shared" si="147"/>
        <v>3227.9408436734161</v>
      </c>
      <c r="AR229" s="33">
        <f t="shared" si="148"/>
        <v>0.57957958886377037</v>
      </c>
      <c r="AS229" s="33">
        <f t="shared" si="149"/>
        <v>0.11970081885311734</v>
      </c>
      <c r="AT229" s="51">
        <f t="shared" si="150"/>
        <v>0.6722008825240684</v>
      </c>
      <c r="AU229" s="51">
        <f>APPLICANTS_PER_YEAR*($H229/Segments!$AH$2)*AS229</f>
        <v>1.0054868783661857</v>
      </c>
      <c r="AV229" s="51">
        <f t="shared" si="151"/>
        <v>1.6776877608902541</v>
      </c>
      <c r="AW229" s="14">
        <f t="shared" si="152"/>
        <v>3227.9408436734161</v>
      </c>
      <c r="AX229" s="44">
        <f t="shared" si="153"/>
        <v>5415.4768463086511</v>
      </c>
      <c r="AY229" s="44">
        <f t="shared" si="154"/>
        <v>3681.8911029584519</v>
      </c>
      <c r="AZ229" s="44">
        <f t="shared" si="155"/>
        <v>1195.813876815251</v>
      </c>
    </row>
    <row r="230" spans="1:52" ht="15" customHeight="1" x14ac:dyDescent="0.35">
      <c r="A230" s="61" t="str">
        <f>Segments!$A$210</f>
        <v>Greek</v>
      </c>
      <c r="B230" s="61" t="str">
        <f>Segments!$B$210</f>
        <v>On campus</v>
      </c>
      <c r="C230" s="61" t="str">
        <f>Segments!$C$210</f>
        <v>Yes</v>
      </c>
      <c r="D230" s="61" t="str">
        <f>Segments!$D$210</f>
        <v>1.0-2.0</v>
      </c>
      <c r="E230" s="61" t="str">
        <f>Segments!$E$210</f>
        <v>Freshman</v>
      </c>
      <c r="F230" s="61">
        <f>Segments!$F$210</f>
        <v>1</v>
      </c>
      <c r="G230" s="61" t="str">
        <f>Segments!$G$210</f>
        <v>Base</v>
      </c>
      <c r="H230" s="62">
        <f>Segments!$H$210</f>
        <v>56</v>
      </c>
      <c r="I230" s="63">
        <f>Segments!$Y$210</f>
        <v>1272.7205099553787</v>
      </c>
      <c r="J230" s="42">
        <v>0</v>
      </c>
      <c r="K230" s="40">
        <f t="shared" si="117"/>
        <v>2111.209436701452</v>
      </c>
      <c r="L230" s="40">
        <f t="shared" si="118"/>
        <v>1272.7205099553787</v>
      </c>
      <c r="M230" s="40">
        <f t="shared" si="119"/>
        <v>2111.209436701452</v>
      </c>
      <c r="N230" s="40">
        <f t="shared" si="120"/>
        <v>1735.2434298461299</v>
      </c>
      <c r="O230" s="40">
        <f t="shared" si="121"/>
        <v>2111.209436701452</v>
      </c>
      <c r="P230" s="41">
        <f t="shared" si="122"/>
        <v>0.74166764720479006</v>
      </c>
      <c r="Q230" s="41">
        <f t="shared" si="123"/>
        <v>0.24166764720479006</v>
      </c>
      <c r="R230" s="64">
        <f t="shared" si="124"/>
        <v>0</v>
      </c>
      <c r="S230" s="64">
        <f>APPLICANTS_PER_YEAR*($H230/Segments!$AH$2)*Q230</f>
        <v>16.240065892161894</v>
      </c>
      <c r="T230" s="64">
        <f t="shared" si="125"/>
        <v>16.240065892161894</v>
      </c>
      <c r="U230" s="40">
        <f t="shared" si="126"/>
        <v>2111.209436701452</v>
      </c>
      <c r="V230" s="65">
        <f t="shared" si="127"/>
        <v>34286.180364185573</v>
      </c>
      <c r="W230" s="65">
        <f t="shared" si="128"/>
        <v>23149.352737258989</v>
      </c>
      <c r="X230" s="65">
        <f t="shared" si="129"/>
        <v>8410.907366724854</v>
      </c>
      <c r="Y230" s="40">
        <f t="shared" si="130"/>
        <v>2173.295719802496</v>
      </c>
      <c r="Z230" s="40">
        <f t="shared" si="131"/>
        <v>1310.9021252540401</v>
      </c>
      <c r="AA230" s="40">
        <f t="shared" si="132"/>
        <v>2173.295719802496</v>
      </c>
      <c r="AB230" s="40">
        <f t="shared" si="133"/>
        <v>1786.7869594393358</v>
      </c>
      <c r="AC230" s="40">
        <f t="shared" si="134"/>
        <v>2173.295719802496</v>
      </c>
      <c r="AD230" s="41">
        <f t="shared" si="135"/>
        <v>0.74184251700481396</v>
      </c>
      <c r="AE230" s="41">
        <f t="shared" si="136"/>
        <v>0.24184251700481396</v>
      </c>
      <c r="AF230" s="64">
        <f t="shared" si="137"/>
        <v>0</v>
      </c>
      <c r="AG230" s="64">
        <f>APPLICANTS_PER_YEAR*($H230/Segments!$AH$2)*AE230</f>
        <v>16.2518171427235</v>
      </c>
      <c r="AH230" s="64">
        <f t="shared" si="138"/>
        <v>16.2518171427235</v>
      </c>
      <c r="AI230" s="40">
        <f t="shared" si="139"/>
        <v>2173.295719802496</v>
      </c>
      <c r="AJ230" s="65">
        <f t="shared" si="140"/>
        <v>35320.004635293815</v>
      </c>
      <c r="AK230" s="65">
        <f t="shared" si="141"/>
        <v>23861.086627432636</v>
      </c>
      <c r="AL230" s="65">
        <f t="shared" si="142"/>
        <v>8643.0128097283723</v>
      </c>
      <c r="AM230" s="40">
        <f t="shared" si="143"/>
        <v>2237.2445913965707</v>
      </c>
      <c r="AN230" s="40">
        <f t="shared" si="144"/>
        <v>1350.2291890116612</v>
      </c>
      <c r="AO230" s="40">
        <f t="shared" si="145"/>
        <v>2237.2445913965707</v>
      </c>
      <c r="AP230" s="40">
        <f t="shared" si="146"/>
        <v>1839.8766493005539</v>
      </c>
      <c r="AQ230" s="40">
        <f t="shared" si="147"/>
        <v>2237.2445913965707</v>
      </c>
      <c r="AR230" s="41">
        <f t="shared" si="148"/>
        <v>0.74201234162978269</v>
      </c>
      <c r="AS230" s="41">
        <f t="shared" si="149"/>
        <v>0.24201234162978269</v>
      </c>
      <c r="AT230" s="64">
        <f t="shared" si="150"/>
        <v>0</v>
      </c>
      <c r="AU230" s="64">
        <f>APPLICANTS_PER_YEAR*($H230/Segments!$AH$2)*AS230</f>
        <v>16.263229357521396</v>
      </c>
      <c r="AV230" s="64">
        <f t="shared" si="151"/>
        <v>16.263229357521396</v>
      </c>
      <c r="AW230" s="40">
        <f t="shared" si="152"/>
        <v>2237.2445913965707</v>
      </c>
      <c r="AX230" s="65">
        <f t="shared" si="153"/>
        <v>36384.821918756672</v>
      </c>
      <c r="AY230" s="65">
        <f t="shared" si="154"/>
        <v>24594.177424450769</v>
      </c>
      <c r="AZ230" s="65">
        <f t="shared" si="155"/>
        <v>8882.0454308899571</v>
      </c>
    </row>
    <row r="231" spans="1:52" ht="15" customHeight="1" x14ac:dyDescent="0.35">
      <c r="A231" s="61" t="str">
        <f>Segments!$A$211</f>
        <v>Greek</v>
      </c>
      <c r="B231" s="61" t="str">
        <f>Segments!$B$211</f>
        <v>On campus</v>
      </c>
      <c r="C231" s="61" t="str">
        <f>Segments!$C$211</f>
        <v>Yes</v>
      </c>
      <c r="D231" s="61" t="str">
        <f>Segments!$D$211</f>
        <v>1.0-2.0</v>
      </c>
      <c r="E231" s="61" t="str">
        <f>Segments!$E$211</f>
        <v>Sophomore</v>
      </c>
      <c r="F231" s="61">
        <f>Segments!$F$211</f>
        <v>1</v>
      </c>
      <c r="G231" s="61" t="str">
        <f>Segments!$G$211</f>
        <v>Sophomore</v>
      </c>
      <c r="H231" s="62">
        <f>Segments!$H$211</f>
        <v>50</v>
      </c>
      <c r="I231" s="63">
        <f>Segments!$Y$211</f>
        <v>1259.7721605289635</v>
      </c>
      <c r="J231" s="42">
        <v>1</v>
      </c>
      <c r="K231" s="40">
        <f t="shared" si="117"/>
        <v>1426.2297754450396</v>
      </c>
      <c r="L231" s="40">
        <f t="shared" si="118"/>
        <v>1259.7721605289635</v>
      </c>
      <c r="M231" s="40">
        <f t="shared" si="119"/>
        <v>2090.1544110852928</v>
      </c>
      <c r="N231" s="40">
        <f t="shared" si="120"/>
        <v>1726.5689839585432</v>
      </c>
      <c r="O231" s="40">
        <f t="shared" si="121"/>
        <v>1782.7872193062994</v>
      </c>
      <c r="P231" s="41">
        <f t="shared" si="122"/>
        <v>0.75871966719254291</v>
      </c>
      <c r="Q231" s="41">
        <f t="shared" si="123"/>
        <v>0.24470868800934054</v>
      </c>
      <c r="R231" s="64">
        <f t="shared" si="124"/>
        <v>42.488301362782401</v>
      </c>
      <c r="S231" s="64">
        <f>APPLICANTS_PER_YEAR*($H231/Segments!$AH$2)*Q231</f>
        <v>14.682521280560433</v>
      </c>
      <c r="T231" s="64">
        <f t="shared" si="125"/>
        <v>57.170822643342831</v>
      </c>
      <c r="U231" s="40">
        <f t="shared" si="126"/>
        <v>1861.7247809082171</v>
      </c>
      <c r="V231" s="65">
        <f t="shared" si="127"/>
        <v>106436.33726001997</v>
      </c>
      <c r="W231" s="65">
        <f t="shared" si="128"/>
        <v>80664.876051896848</v>
      </c>
      <c r="X231" s="65">
        <f t="shared" si="129"/>
        <v>22701.05300873924</v>
      </c>
      <c r="Y231" s="40">
        <f t="shared" si="130"/>
        <v>2111.209436701452</v>
      </c>
      <c r="Z231" s="40">
        <f t="shared" si="131"/>
        <v>1297.5653253448324</v>
      </c>
      <c r="AA231" s="40">
        <f t="shared" si="132"/>
        <v>2151.6090434178518</v>
      </c>
      <c r="AB231" s="40">
        <f t="shared" si="133"/>
        <v>1777.8496981816375</v>
      </c>
      <c r="AC231" s="40">
        <f t="shared" si="134"/>
        <v>2151.6090434178518</v>
      </c>
      <c r="AD231" s="41">
        <f t="shared" si="135"/>
        <v>0.73914370725847633</v>
      </c>
      <c r="AE231" s="41">
        <f t="shared" si="136"/>
        <v>0.24488443662631021</v>
      </c>
      <c r="AF231" s="64">
        <f t="shared" si="137"/>
        <v>12.003742509654478</v>
      </c>
      <c r="AG231" s="64">
        <f>APPLICANTS_PER_YEAR*($H231/Segments!$AH$2)*AE231</f>
        <v>14.693066197578613</v>
      </c>
      <c r="AH231" s="64">
        <f t="shared" si="138"/>
        <v>26.696808707233089</v>
      </c>
      <c r="AI231" s="40">
        <f t="shared" si="139"/>
        <v>2151.6090434178523</v>
      </c>
      <c r="AJ231" s="65">
        <f t="shared" si="140"/>
        <v>57441.09504487917</v>
      </c>
      <c r="AK231" s="65">
        <f t="shared" si="141"/>
        <v>38797.755668974023</v>
      </c>
      <c r="AL231" s="65">
        <f t="shared" si="142"/>
        <v>12864.110486284944</v>
      </c>
      <c r="AM231" s="40">
        <f t="shared" si="143"/>
        <v>2173.295719802496</v>
      </c>
      <c r="AN231" s="40">
        <f t="shared" si="144"/>
        <v>1336.4922851051772</v>
      </c>
      <c r="AO231" s="40">
        <f t="shared" si="145"/>
        <v>2214.9073147203871</v>
      </c>
      <c r="AP231" s="40">
        <f t="shared" si="146"/>
        <v>1830.6686860045002</v>
      </c>
      <c r="AQ231" s="40">
        <f t="shared" si="147"/>
        <v>2214.9073147203871</v>
      </c>
      <c r="AR231" s="41">
        <f t="shared" si="148"/>
        <v>0.73931108397611978</v>
      </c>
      <c r="AS231" s="41">
        <f t="shared" si="149"/>
        <v>0.24505511520096468</v>
      </c>
      <c r="AT231" s="64">
        <f t="shared" si="150"/>
        <v>12.015148548368597</v>
      </c>
      <c r="AU231" s="64">
        <f>APPLICANTS_PER_YEAR*($H231/Segments!$AH$2)*AS231</f>
        <v>14.703306912057881</v>
      </c>
      <c r="AV231" s="64">
        <f t="shared" si="151"/>
        <v>26.718455460426476</v>
      </c>
      <c r="AW231" s="40">
        <f t="shared" si="152"/>
        <v>2214.9073147203876</v>
      </c>
      <c r="AX231" s="65">
        <f t="shared" si="153"/>
        <v>59178.902437329481</v>
      </c>
      <c r="AY231" s="65">
        <f t="shared" si="154"/>
        <v>39994.090743920635</v>
      </c>
      <c r="AZ231" s="65">
        <f t="shared" si="155"/>
        <v>13226.590513718604</v>
      </c>
    </row>
    <row r="232" spans="1:52" ht="15" customHeight="1" x14ac:dyDescent="0.35">
      <c r="A232" s="61" t="str">
        <f>Segments!$A$212</f>
        <v>Greek</v>
      </c>
      <c r="B232" s="61" t="str">
        <f>Segments!$B$212</f>
        <v>On campus</v>
      </c>
      <c r="C232" s="61" t="str">
        <f>Segments!$C$212</f>
        <v>Yes</v>
      </c>
      <c r="D232" s="61" t="str">
        <f>Segments!$D$212</f>
        <v>1.0-2.0</v>
      </c>
      <c r="E232" s="61" t="str">
        <f>Segments!$E$212</f>
        <v>Junior</v>
      </c>
      <c r="F232" s="61">
        <f>Segments!$F$212</f>
        <v>2</v>
      </c>
      <c r="G232" s="61" t="str">
        <f>Segments!$G$212</f>
        <v>Base</v>
      </c>
      <c r="H232" s="62">
        <f>Segments!$H$212</f>
        <v>49</v>
      </c>
      <c r="I232" s="63">
        <f>Segments!$Y$212</f>
        <v>1505.96392096562</v>
      </c>
      <c r="J232" s="42">
        <v>2</v>
      </c>
      <c r="K232" s="40">
        <f t="shared" si="117"/>
        <v>1426.2297754450396</v>
      </c>
      <c r="L232" s="40">
        <f t="shared" si="118"/>
        <v>1505.96392096562</v>
      </c>
      <c r="M232" s="40">
        <f t="shared" si="119"/>
        <v>2490.4814065791279</v>
      </c>
      <c r="N232" s="40">
        <f t="shared" si="120"/>
        <v>1884.6747032990588</v>
      </c>
      <c r="O232" s="40">
        <f t="shared" si="121"/>
        <v>1782.7872193062994</v>
      </c>
      <c r="P232" s="41">
        <f t="shared" si="122"/>
        <v>0.80203052251256124</v>
      </c>
      <c r="Q232" s="41">
        <f t="shared" si="123"/>
        <v>0.18928083127034467</v>
      </c>
      <c r="R232" s="64">
        <f t="shared" si="124"/>
        <v>40.101526125628062</v>
      </c>
      <c r="S232" s="64">
        <f>APPLICANTS_PER_YEAR*($H232/Segments!$AH$2)*Q232</f>
        <v>11.129712878696266</v>
      </c>
      <c r="T232" s="64">
        <f t="shared" si="125"/>
        <v>51.23123900432433</v>
      </c>
      <c r="U232" s="40">
        <f t="shared" si="126"/>
        <v>1936.5299993628983</v>
      </c>
      <c r="V232" s="65">
        <f t="shared" si="127"/>
        <v>99210.831236404687</v>
      </c>
      <c r="W232" s="65">
        <f t="shared" si="128"/>
        <v>86410.685274904565</v>
      </c>
      <c r="X232" s="65">
        <f t="shared" si="129"/>
        <v>21023.856710207885</v>
      </c>
      <c r="Y232" s="40">
        <f t="shared" si="130"/>
        <v>1861.7247809082171</v>
      </c>
      <c r="Z232" s="40">
        <f t="shared" si="131"/>
        <v>1551.1428385945887</v>
      </c>
      <c r="AA232" s="40">
        <f t="shared" si="132"/>
        <v>2563.9458487765023</v>
      </c>
      <c r="AB232" s="40">
        <f t="shared" si="133"/>
        <v>1940.7419172879129</v>
      </c>
      <c r="AC232" s="40">
        <f t="shared" si="134"/>
        <v>2327.1559761352714</v>
      </c>
      <c r="AD232" s="41">
        <f t="shared" si="135"/>
        <v>0.67544682000083966</v>
      </c>
      <c r="AE232" s="41">
        <f t="shared" si="136"/>
        <v>0.18944183254425584</v>
      </c>
      <c r="AF232" s="64">
        <f t="shared" si="137"/>
        <v>38.615850351277913</v>
      </c>
      <c r="AG232" s="64">
        <f>APPLICANTS_PER_YEAR*($H232/Segments!$AH$2)*AE232</f>
        <v>11.139179753602242</v>
      </c>
      <c r="AH232" s="64">
        <f t="shared" si="138"/>
        <v>49.755030104880156</v>
      </c>
      <c r="AI232" s="40">
        <f t="shared" si="139"/>
        <v>2380.1686052025893</v>
      </c>
      <c r="AJ232" s="65">
        <f t="shared" si="140"/>
        <v>118425.36060654545</v>
      </c>
      <c r="AK232" s="65">
        <f t="shared" si="141"/>
        <v>86438.417666992202</v>
      </c>
      <c r="AL232" s="65">
        <f t="shared" si="142"/>
        <v>24655.582129655581</v>
      </c>
      <c r="AM232" s="40">
        <f t="shared" si="143"/>
        <v>2151.6090434178523</v>
      </c>
      <c r="AN232" s="40">
        <f t="shared" si="144"/>
        <v>1597.6771237524263</v>
      </c>
      <c r="AO232" s="40">
        <f t="shared" si="145"/>
        <v>2639.6142242397973</v>
      </c>
      <c r="AP232" s="40">
        <f t="shared" si="146"/>
        <v>1998.4910340552124</v>
      </c>
      <c r="AQ232" s="40">
        <f t="shared" si="147"/>
        <v>2639.6142242397973</v>
      </c>
      <c r="AR232" s="41">
        <f t="shared" si="148"/>
        <v>0.62155535857651156</v>
      </c>
      <c r="AS232" s="41">
        <f t="shared" si="149"/>
        <v>0.18959818201344192</v>
      </c>
      <c r="AT232" s="64">
        <f t="shared" si="150"/>
        <v>16.5935445088728</v>
      </c>
      <c r="AU232" s="64">
        <f>APPLICANTS_PER_YEAR*($H232/Segments!$AH$2)*AS232</f>
        <v>11.148373102390384</v>
      </c>
      <c r="AV232" s="64">
        <f t="shared" si="151"/>
        <v>27.741917611263183</v>
      </c>
      <c r="AW232" s="40">
        <f t="shared" si="152"/>
        <v>2639.6142242397973</v>
      </c>
      <c r="AX232" s="65">
        <f t="shared" si="153"/>
        <v>73227.960334378833</v>
      </c>
      <c r="AY232" s="65">
        <f t="shared" si="154"/>
        <v>49641.342392924511</v>
      </c>
      <c r="AZ232" s="65">
        <f t="shared" si="155"/>
        <v>15703.591330619694</v>
      </c>
    </row>
    <row r="233" spans="1:52" ht="15" customHeight="1" x14ac:dyDescent="0.35">
      <c r="A233" s="61" t="str">
        <f>Segments!$A$213</f>
        <v>Greek</v>
      </c>
      <c r="B233" s="61" t="str">
        <f>Segments!$B$213</f>
        <v>On campus</v>
      </c>
      <c r="C233" s="61" t="str">
        <f>Segments!$C$213</f>
        <v>Yes</v>
      </c>
      <c r="D233" s="61" t="str">
        <f>Segments!$D$213</f>
        <v>1.0-2.0</v>
      </c>
      <c r="E233" s="61" t="str">
        <f>Segments!$E$213</f>
        <v>Senior</v>
      </c>
      <c r="F233" s="61">
        <f>Segments!$F$213</f>
        <v>3</v>
      </c>
      <c r="G233" s="61" t="str">
        <f>Segments!$G$213</f>
        <v>Base</v>
      </c>
      <c r="H233" s="62">
        <f>Segments!$H$213</f>
        <v>47</v>
      </c>
      <c r="I233" s="63">
        <f>Segments!$Y$213</f>
        <v>1407.6055867933728</v>
      </c>
      <c r="J233" s="42">
        <v>3</v>
      </c>
      <c r="K233" s="40">
        <f t="shared" si="117"/>
        <v>1426.2297754450396</v>
      </c>
      <c r="L233" s="40">
        <f t="shared" si="118"/>
        <v>1407.6055867933728</v>
      </c>
      <c r="M233" s="40">
        <f t="shared" si="119"/>
        <v>2330.5430872336055</v>
      </c>
      <c r="N233" s="40">
        <f t="shared" si="120"/>
        <v>1823.1538453926962</v>
      </c>
      <c r="O233" s="40">
        <f t="shared" si="121"/>
        <v>1782.7872193062994</v>
      </c>
      <c r="P233" s="41">
        <f t="shared" si="122"/>
        <v>0.78607054848618718</v>
      </c>
      <c r="Q233" s="41">
        <f t="shared" si="123"/>
        <v>0.21084848431109204</v>
      </c>
      <c r="R233" s="64">
        <f t="shared" si="124"/>
        <v>38.517456875823171</v>
      </c>
      <c r="S233" s="64">
        <f>APPLICANTS_PER_YEAR*($H233/Segments!$AH$2)*Q233</f>
        <v>11.891854515145592</v>
      </c>
      <c r="T233" s="64">
        <f t="shared" si="125"/>
        <v>50.409311390968767</v>
      </c>
      <c r="U233" s="40">
        <f t="shared" si="126"/>
        <v>1912.0060662111557</v>
      </c>
      <c r="V233" s="65">
        <f t="shared" si="127"/>
        <v>96382.909173059394</v>
      </c>
      <c r="W233" s="65">
        <f t="shared" si="128"/>
        <v>79471.199741174583</v>
      </c>
      <c r="X233" s="65">
        <f t="shared" si="129"/>
        <v>20491.85920111935</v>
      </c>
      <c r="Y233" s="40">
        <f t="shared" si="130"/>
        <v>1936.5299993628983</v>
      </c>
      <c r="Z233" s="40">
        <f t="shared" si="131"/>
        <v>1449.8337543971741</v>
      </c>
      <c r="AA233" s="40">
        <f t="shared" si="132"/>
        <v>2399.2093798506139</v>
      </c>
      <c r="AB233" s="40">
        <f t="shared" si="133"/>
        <v>1877.3594676358796</v>
      </c>
      <c r="AC233" s="40">
        <f t="shared" si="134"/>
        <v>2399.2093798506139</v>
      </c>
      <c r="AD233" s="41">
        <f t="shared" si="135"/>
        <v>0.63933835701829378</v>
      </c>
      <c r="AE233" s="41">
        <f t="shared" si="136"/>
        <v>0.21101491983528087</v>
      </c>
      <c r="AF233" s="64">
        <f t="shared" si="137"/>
        <v>32.754096173036245</v>
      </c>
      <c r="AG233" s="64">
        <f>APPLICANTS_PER_YEAR*($H233/Segments!$AH$2)*AE233</f>
        <v>11.901241478709842</v>
      </c>
      <c r="AH233" s="64">
        <f t="shared" si="138"/>
        <v>44.655337651746088</v>
      </c>
      <c r="AI233" s="40">
        <f t="shared" si="139"/>
        <v>2399.2093798506139</v>
      </c>
      <c r="AJ233" s="65">
        <f t="shared" si="140"/>
        <v>107137.5049544655</v>
      </c>
      <c r="AK233" s="65">
        <f t="shared" si="141"/>
        <v>72511.953742485071</v>
      </c>
      <c r="AL233" s="65">
        <f t="shared" si="142"/>
        <v>22439.001182962224</v>
      </c>
      <c r="AM233" s="40">
        <f t="shared" si="143"/>
        <v>2380.1686052025893</v>
      </c>
      <c r="AN233" s="40">
        <f t="shared" si="144"/>
        <v>1493.3287670290892</v>
      </c>
      <c r="AO233" s="40">
        <f t="shared" si="145"/>
        <v>2469.9356612461324</v>
      </c>
      <c r="AP233" s="40">
        <f t="shared" si="146"/>
        <v>1933.1911330021369</v>
      </c>
      <c r="AQ233" s="40">
        <f t="shared" si="147"/>
        <v>2469.9356612461324</v>
      </c>
      <c r="AR233" s="41">
        <f t="shared" si="148"/>
        <v>0.69986217561618169</v>
      </c>
      <c r="AS233" s="41">
        <f t="shared" si="149"/>
        <v>0.21117654920895956</v>
      </c>
      <c r="AT233" s="64">
        <f t="shared" si="150"/>
        <v>34.821663617050042</v>
      </c>
      <c r="AU233" s="64">
        <f>APPLICANTS_PER_YEAR*($H233/Segments!$AH$2)*AS233</f>
        <v>11.91035737538532</v>
      </c>
      <c r="AV233" s="64">
        <f t="shared" si="151"/>
        <v>46.732020992435366</v>
      </c>
      <c r="AW233" s="40">
        <f t="shared" si="152"/>
        <v>2469.935661246132</v>
      </c>
      <c r="AX233" s="65">
        <f t="shared" si="153"/>
        <v>115425.08517131898</v>
      </c>
      <c r="AY233" s="65">
        <f t="shared" si="154"/>
        <v>78160.62384414034</v>
      </c>
      <c r="AZ233" s="65">
        <f t="shared" si="155"/>
        <v>24077.364026300384</v>
      </c>
    </row>
    <row r="234" spans="1:52" ht="15" customHeight="1" x14ac:dyDescent="0.35">
      <c r="A234" s="61" t="str">
        <f>Segments!$A$214</f>
        <v>Greek</v>
      </c>
      <c r="B234" s="61" t="str">
        <f>Segments!$B$214</f>
        <v>On campus</v>
      </c>
      <c r="C234" s="61" t="str">
        <f>Segments!$C$214</f>
        <v>Yes</v>
      </c>
      <c r="D234" s="61" t="str">
        <f>Segments!$D$214</f>
        <v>1.0-2.0</v>
      </c>
      <c r="E234" s="61" t="str">
        <f>Segments!$E$214</f>
        <v>Grad student</v>
      </c>
      <c r="F234" s="61">
        <f>Segments!$F$214</f>
        <v>3</v>
      </c>
      <c r="G234" s="61" t="str">
        <f>Segments!$G$214</f>
        <v>Grad</v>
      </c>
      <c r="H234" s="62">
        <f>Segments!$H$214</f>
        <v>18</v>
      </c>
      <c r="I234" s="63">
        <f>Segments!$Y$214</f>
        <v>1676.0084210972461</v>
      </c>
      <c r="J234" s="42">
        <v>4</v>
      </c>
      <c r="K234" s="40">
        <f t="shared" si="117"/>
        <v>1426.2297754450396</v>
      </c>
      <c r="L234" s="40">
        <f t="shared" si="118"/>
        <v>1676.0084210972461</v>
      </c>
      <c r="M234" s="40">
        <f t="shared" si="119"/>
        <v>2766.9870204031122</v>
      </c>
      <c r="N234" s="40">
        <f t="shared" si="120"/>
        <v>1986.5445569553353</v>
      </c>
      <c r="O234" s="40">
        <f t="shared" si="121"/>
        <v>1782.7872193062994</v>
      </c>
      <c r="P234" s="41">
        <f t="shared" si="122"/>
        <v>0.8262843613136277</v>
      </c>
      <c r="Q234" s="41">
        <f t="shared" si="123"/>
        <v>0.15356784328967754</v>
      </c>
      <c r="R234" s="64">
        <f t="shared" si="124"/>
        <v>7.4365592518226489</v>
      </c>
      <c r="S234" s="64">
        <f>APPLICANTS_PER_YEAR*($H234/Segments!$AH$2)*Q234</f>
        <v>3.3170654150570344</v>
      </c>
      <c r="T234" s="64">
        <f t="shared" si="125"/>
        <v>10.753624666879684</v>
      </c>
      <c r="U234" s="40">
        <f t="shared" si="126"/>
        <v>2086.3737050592499</v>
      </c>
      <c r="V234" s="65">
        <f t="shared" si="127"/>
        <v>22436.079739054308</v>
      </c>
      <c r="W234" s="65">
        <f t="shared" si="128"/>
        <v>20185.945358890549</v>
      </c>
      <c r="X234" s="65">
        <f t="shared" si="129"/>
        <v>4859.6578926204656</v>
      </c>
      <c r="Y234" s="40">
        <f t="shared" si="130"/>
        <v>2086.3737050592499</v>
      </c>
      <c r="Z234" s="40">
        <f t="shared" si="131"/>
        <v>1726.2886737301635</v>
      </c>
      <c r="AA234" s="40">
        <f t="shared" si="132"/>
        <v>2848.7466310152054</v>
      </c>
      <c r="AB234" s="40">
        <f t="shared" si="133"/>
        <v>2045.6921288131819</v>
      </c>
      <c r="AC234" s="40">
        <f t="shared" si="134"/>
        <v>2607.9671313240624</v>
      </c>
      <c r="AD234" s="41">
        <f t="shared" si="135"/>
        <v>0.63757096202518826</v>
      </c>
      <c r="AE234" s="41">
        <f t="shared" si="136"/>
        <v>0.15372058657039478</v>
      </c>
      <c r="AF234" s="64">
        <f t="shared" si="137"/>
        <v>3.4280994120601376</v>
      </c>
      <c r="AG234" s="64">
        <f>APPLICANTS_PER_YEAR*($H234/Segments!$AH$2)*AE234</f>
        <v>3.3203646699205267</v>
      </c>
      <c r="AH234" s="64">
        <f t="shared" si="138"/>
        <v>6.7484640819806643</v>
      </c>
      <c r="AI234" s="40">
        <f t="shared" si="139"/>
        <v>2726.4349388582723</v>
      </c>
      <c r="AJ234" s="65">
        <f t="shared" si="140"/>
        <v>18399.248256742198</v>
      </c>
      <c r="AK234" s="65">
        <f t="shared" si="141"/>
        <v>13047.772762973813</v>
      </c>
      <c r="AL234" s="65">
        <f t="shared" si="142"/>
        <v>4026.4970372631319</v>
      </c>
      <c r="AM234" s="40">
        <f t="shared" si="143"/>
        <v>2726.4349388582723</v>
      </c>
      <c r="AN234" s="40">
        <f t="shared" si="144"/>
        <v>1778.0773339420684</v>
      </c>
      <c r="AO234" s="40">
        <f t="shared" si="145"/>
        <v>2932.9590299456618</v>
      </c>
      <c r="AP234" s="40">
        <f t="shared" si="146"/>
        <v>2106.6140307939277</v>
      </c>
      <c r="AQ234" s="40">
        <f t="shared" si="147"/>
        <v>2932.9590299456618</v>
      </c>
      <c r="AR234" s="41">
        <f t="shared" si="148"/>
        <v>0.63114428230406072</v>
      </c>
      <c r="AS234" s="41">
        <f t="shared" si="149"/>
        <v>0.15386891308221606</v>
      </c>
      <c r="AT234" s="64">
        <f t="shared" si="150"/>
        <v>2.1296272598382093</v>
      </c>
      <c r="AU234" s="64">
        <f>APPLICANTS_PER_YEAR*($H234/Segments!$AH$2)*AS234</f>
        <v>3.3235685225758664</v>
      </c>
      <c r="AV234" s="64">
        <f t="shared" si="151"/>
        <v>5.4531957824140758</v>
      </c>
      <c r="AW234" s="40">
        <f t="shared" si="152"/>
        <v>2932.9590299456618</v>
      </c>
      <c r="AX234" s="65">
        <f t="shared" si="153"/>
        <v>15993.999812092961</v>
      </c>
      <c r="AY234" s="65">
        <f t="shared" si="154"/>
        <v>10859.748276450027</v>
      </c>
      <c r="AZ234" s="65">
        <f t="shared" si="155"/>
        <v>3556.1952540458697</v>
      </c>
    </row>
    <row r="235" spans="1:52" ht="15" customHeight="1" x14ac:dyDescent="0.35">
      <c r="A235" s="59" t="str">
        <f>Segments!$A$215</f>
        <v>Greek</v>
      </c>
      <c r="B235" s="59" t="str">
        <f>Segments!$B$215</f>
        <v>On campus</v>
      </c>
      <c r="C235" s="59" t="str">
        <f>Segments!$C$215</f>
        <v>Yes</v>
      </c>
      <c r="D235" s="59" t="str">
        <f>Segments!$D$215</f>
        <v>2.0-3.0</v>
      </c>
      <c r="E235" s="59" t="str">
        <f>Segments!$E$215</f>
        <v>Freshman</v>
      </c>
      <c r="F235" s="59">
        <f>Segments!$F$215</f>
        <v>1</v>
      </c>
      <c r="G235" s="59" t="str">
        <f>Segments!$G$215</f>
        <v>Base</v>
      </c>
      <c r="H235" s="60">
        <f>Segments!$H$215</f>
        <v>88</v>
      </c>
      <c r="I235" s="26">
        <f>Segments!$Y$215</f>
        <v>1250.6766337657414</v>
      </c>
      <c r="J235" s="29">
        <v>0</v>
      </c>
      <c r="K235" s="14">
        <f t="shared" si="117"/>
        <v>2075.3643754841978</v>
      </c>
      <c r="L235" s="14">
        <f t="shared" si="118"/>
        <v>1250.6766337657414</v>
      </c>
      <c r="M235" s="14">
        <f t="shared" si="119"/>
        <v>2075.3643754841978</v>
      </c>
      <c r="N235" s="14">
        <f t="shared" si="120"/>
        <v>1720.4494956881074</v>
      </c>
      <c r="O235" s="14">
        <f t="shared" si="121"/>
        <v>2075.3643754841978</v>
      </c>
      <c r="P235" s="33">
        <f t="shared" si="122"/>
        <v>0.74685402544927959</v>
      </c>
      <c r="Q235" s="33">
        <f t="shared" si="123"/>
        <v>0.24685402544927959</v>
      </c>
      <c r="R235" s="51">
        <f t="shared" si="124"/>
        <v>0</v>
      </c>
      <c r="S235" s="51">
        <f>APPLICANTS_PER_YEAR*($H235/Segments!$AH$2)*Q235</f>
        <v>26.067785087443927</v>
      </c>
      <c r="T235" s="51">
        <f t="shared" si="125"/>
        <v>26.067785087443927</v>
      </c>
      <c r="U235" s="14">
        <f t="shared" si="126"/>
        <v>2075.3643754841978</v>
      </c>
      <c r="V235" s="44">
        <f t="shared" si="127"/>
        <v>54100.152518259347</v>
      </c>
      <c r="W235" s="44">
        <f t="shared" si="128"/>
        <v>36514.65406724035</v>
      </c>
      <c r="X235" s="44">
        <f t="shared" si="129"/>
        <v>13291.484493025071</v>
      </c>
      <c r="Y235" s="14">
        <f t="shared" si="130"/>
        <v>2136.3753067487237</v>
      </c>
      <c r="Z235" s="14">
        <f t="shared" si="131"/>
        <v>1288.1969327787137</v>
      </c>
      <c r="AA235" s="14">
        <f t="shared" si="132"/>
        <v>2136.3753067487237</v>
      </c>
      <c r="AB235" s="14">
        <f t="shared" si="133"/>
        <v>1771.5447880962186</v>
      </c>
      <c r="AC235" s="14">
        <f t="shared" si="134"/>
        <v>2136.3753067487237</v>
      </c>
      <c r="AD235" s="33">
        <f t="shared" si="135"/>
        <v>0.74703039937122662</v>
      </c>
      <c r="AE235" s="33">
        <f t="shared" si="136"/>
        <v>0.24703039937122662</v>
      </c>
      <c r="AF235" s="51">
        <f t="shared" si="137"/>
        <v>0</v>
      </c>
      <c r="AG235" s="51">
        <f>APPLICANTS_PER_YEAR*($H235/Segments!$AH$2)*AE235</f>
        <v>26.086410173601532</v>
      </c>
      <c r="AH235" s="51">
        <f t="shared" si="138"/>
        <v>26.086410173601532</v>
      </c>
      <c r="AI235" s="14">
        <f t="shared" si="139"/>
        <v>2136.3753067487237</v>
      </c>
      <c r="AJ235" s="44">
        <f t="shared" si="140"/>
        <v>55730.362536601002</v>
      </c>
      <c r="AK235" s="44">
        <f t="shared" si="141"/>
        <v>37636.96560158184</v>
      </c>
      <c r="AL235" s="44">
        <f t="shared" si="142"/>
        <v>13657.489666010693</v>
      </c>
      <c r="AM235" s="14">
        <f t="shared" si="143"/>
        <v>2199.2165659511852</v>
      </c>
      <c r="AN235" s="14">
        <f t="shared" si="144"/>
        <v>1326.842840762075</v>
      </c>
      <c r="AO235" s="14">
        <f t="shared" si="145"/>
        <v>2199.2165659511852</v>
      </c>
      <c r="AP235" s="14">
        <f t="shared" si="146"/>
        <v>1824.17278986569</v>
      </c>
      <c r="AQ235" s="14">
        <f t="shared" si="147"/>
        <v>2199.2165659511852</v>
      </c>
      <c r="AR235" s="33">
        <f t="shared" si="148"/>
        <v>0.74720168556151167</v>
      </c>
      <c r="AS235" s="33">
        <f t="shared" si="149"/>
        <v>0.24720168556151167</v>
      </c>
      <c r="AT235" s="51">
        <f t="shared" si="150"/>
        <v>0</v>
      </c>
      <c r="AU235" s="51">
        <f>APPLICANTS_PER_YEAR*($H235/Segments!$AH$2)*AS235</f>
        <v>26.104497995295635</v>
      </c>
      <c r="AV235" s="51">
        <f t="shared" si="151"/>
        <v>26.104497995295635</v>
      </c>
      <c r="AW235" s="14">
        <f t="shared" si="152"/>
        <v>2199.2165659511852</v>
      </c>
      <c r="AX235" s="44">
        <f t="shared" si="153"/>
        <v>57409.444437093662</v>
      </c>
      <c r="AY235" s="44">
        <f t="shared" si="154"/>
        <v>38792.954229955467</v>
      </c>
      <c r="AZ235" s="44">
        <f t="shared" si="155"/>
        <v>14034.417963697282</v>
      </c>
    </row>
    <row r="236" spans="1:52" ht="15" customHeight="1" x14ac:dyDescent="0.35">
      <c r="A236" s="59" t="str">
        <f>Segments!$A$216</f>
        <v>Greek</v>
      </c>
      <c r="B236" s="59" t="str">
        <f>Segments!$B$216</f>
        <v>On campus</v>
      </c>
      <c r="C236" s="59" t="str">
        <f>Segments!$C$216</f>
        <v>Yes</v>
      </c>
      <c r="D236" s="59" t="str">
        <f>Segments!$D$216</f>
        <v>2.0-3.0</v>
      </c>
      <c r="E236" s="59" t="str">
        <f>Segments!$E$216</f>
        <v>Sophomore</v>
      </c>
      <c r="F236" s="59">
        <f>Segments!$F$216</f>
        <v>1</v>
      </c>
      <c r="G236" s="59" t="str">
        <f>Segments!$G$216</f>
        <v>Sophomore</v>
      </c>
      <c r="H236" s="60">
        <f>Segments!$H$216</f>
        <v>86</v>
      </c>
      <c r="I236" s="26">
        <f>Segments!$Y$216</f>
        <v>1237.9525533829876</v>
      </c>
      <c r="J236" s="29">
        <v>1</v>
      </c>
      <c r="K236" s="14">
        <f t="shared" si="117"/>
        <v>1426.2297754450396</v>
      </c>
      <c r="L236" s="14">
        <f t="shared" si="118"/>
        <v>1237.9525533829876</v>
      </c>
      <c r="M236" s="14">
        <f t="shared" si="119"/>
        <v>2054.6740288169685</v>
      </c>
      <c r="N236" s="14">
        <f t="shared" si="120"/>
        <v>1711.8520025786049</v>
      </c>
      <c r="O236" s="14">
        <f t="shared" si="121"/>
        <v>1782.7872193062994</v>
      </c>
      <c r="P236" s="33">
        <f t="shared" si="122"/>
        <v>0.75428114795530132</v>
      </c>
      <c r="Q236" s="33">
        <f t="shared" si="123"/>
        <v>0.2498680885608211</v>
      </c>
      <c r="R236" s="51">
        <f t="shared" si="124"/>
        <v>66.376741020066518</v>
      </c>
      <c r="S236" s="51">
        <f>APPLICANTS_PER_YEAR*($H236/Segments!$AH$2)*Q236</f>
        <v>25.78638673947674</v>
      </c>
      <c r="T236" s="51">
        <f t="shared" si="125"/>
        <v>92.163127759543258</v>
      </c>
      <c r="U236" s="14">
        <f t="shared" si="126"/>
        <v>1858.8586221529611</v>
      </c>
      <c r="V236" s="44">
        <f t="shared" si="127"/>
        <v>171318.22468041189</v>
      </c>
      <c r="W236" s="44">
        <f t="shared" si="128"/>
        <v>127784.80885821178</v>
      </c>
      <c r="X236" s="44">
        <f t="shared" si="129"/>
        <v>36721.45835784779</v>
      </c>
      <c r="Y236" s="14">
        <f t="shared" si="130"/>
        <v>2075.3643754841978</v>
      </c>
      <c r="Z236" s="14">
        <f t="shared" si="131"/>
        <v>1275.0911299844772</v>
      </c>
      <c r="AA236" s="14">
        <f t="shared" si="132"/>
        <v>2115.0642496814776</v>
      </c>
      <c r="AB236" s="14">
        <f t="shared" si="133"/>
        <v>1762.686766890617</v>
      </c>
      <c r="AC236" s="14">
        <f t="shared" si="134"/>
        <v>2115.0642496814776</v>
      </c>
      <c r="AD236" s="33">
        <f t="shared" si="135"/>
        <v>0.74430661544153953</v>
      </c>
      <c r="AE236" s="33">
        <f t="shared" si="136"/>
        <v>0.25004534855263727</v>
      </c>
      <c r="AF236" s="51">
        <f t="shared" si="137"/>
        <v>19.402424890492824</v>
      </c>
      <c r="AG236" s="51">
        <f>APPLICANTS_PER_YEAR*($H236/Segments!$AH$2)*AE236</f>
        <v>25.804679970632169</v>
      </c>
      <c r="AH236" s="51">
        <f t="shared" si="138"/>
        <v>45.207104861124989</v>
      </c>
      <c r="AI236" s="14">
        <f t="shared" si="139"/>
        <v>2115.064249681478</v>
      </c>
      <c r="AJ236" s="44">
        <f t="shared" si="140"/>
        <v>95615.931323367215</v>
      </c>
      <c r="AK236" s="44">
        <f t="shared" si="141"/>
        <v>64560.359831182453</v>
      </c>
      <c r="AL236" s="44">
        <f t="shared" si="142"/>
        <v>21530.919579417157</v>
      </c>
      <c r="AM236" s="14">
        <f t="shared" si="143"/>
        <v>2136.3753067487237</v>
      </c>
      <c r="AN236" s="14">
        <f t="shared" si="144"/>
        <v>1313.3438638840114</v>
      </c>
      <c r="AO236" s="14">
        <f t="shared" si="145"/>
        <v>2177.2661771719218</v>
      </c>
      <c r="AP236" s="14">
        <f t="shared" si="146"/>
        <v>1815.0464224572788</v>
      </c>
      <c r="AQ236" s="14">
        <f t="shared" si="147"/>
        <v>2177.2661771719218</v>
      </c>
      <c r="AR236" s="33">
        <f t="shared" si="148"/>
        <v>0.74447540489088437</v>
      </c>
      <c r="AS236" s="33">
        <f t="shared" si="149"/>
        <v>0.25021749575301322</v>
      </c>
      <c r="AT236" s="51">
        <f t="shared" si="150"/>
        <v>19.420690776141686</v>
      </c>
      <c r="AU236" s="51">
        <f>APPLICANTS_PER_YEAR*($H236/Segments!$AH$2)*AS236</f>
        <v>25.822445561710964</v>
      </c>
      <c r="AV236" s="51">
        <f t="shared" si="151"/>
        <v>45.243136337852647</v>
      </c>
      <c r="AW236" s="14">
        <f t="shared" si="152"/>
        <v>2177.2661771719218</v>
      </c>
      <c r="AX236" s="44">
        <f t="shared" si="153"/>
        <v>98506.350497584499</v>
      </c>
      <c r="AY236" s="44">
        <f t="shared" si="154"/>
        <v>66550.170951248903</v>
      </c>
      <c r="AZ236" s="44">
        <f t="shared" si="155"/>
        <v>22135.90591651147</v>
      </c>
    </row>
    <row r="237" spans="1:52" ht="15" customHeight="1" x14ac:dyDescent="0.35">
      <c r="A237" s="59" t="str">
        <f>Segments!$A$217</f>
        <v>Greek</v>
      </c>
      <c r="B237" s="59" t="str">
        <f>Segments!$B$217</f>
        <v>On campus</v>
      </c>
      <c r="C237" s="59" t="str">
        <f>Segments!$C$217</f>
        <v>Yes</v>
      </c>
      <c r="D237" s="59" t="str">
        <f>Segments!$D$217</f>
        <v>2.0-3.0</v>
      </c>
      <c r="E237" s="59" t="str">
        <f>Segments!$E$217</f>
        <v>Junior</v>
      </c>
      <c r="F237" s="59">
        <f>Segments!$F$217</f>
        <v>2</v>
      </c>
      <c r="G237" s="59" t="str">
        <f>Segments!$G$217</f>
        <v>Base</v>
      </c>
      <c r="H237" s="60">
        <f>Segments!$H$217</f>
        <v>83</v>
      </c>
      <c r="I237" s="26">
        <f>Segments!$Y$217</f>
        <v>1479.8802034800028</v>
      </c>
      <c r="J237" s="29">
        <v>2</v>
      </c>
      <c r="K237" s="14">
        <f t="shared" si="117"/>
        <v>1426.2297754450396</v>
      </c>
      <c r="L237" s="14">
        <f t="shared" si="118"/>
        <v>1479.8802034800028</v>
      </c>
      <c r="M237" s="14">
        <f t="shared" si="119"/>
        <v>2448.0672484699912</v>
      </c>
      <c r="N237" s="14">
        <f t="shared" si="120"/>
        <v>1868.5573049975512</v>
      </c>
      <c r="O237" s="14">
        <f t="shared" si="121"/>
        <v>1782.7872193062994</v>
      </c>
      <c r="P237" s="33">
        <f t="shared" si="122"/>
        <v>0.79795088447698537</v>
      </c>
      <c r="Q237" s="33">
        <f t="shared" si="123"/>
        <v>0.19493118248969099</v>
      </c>
      <c r="R237" s="51">
        <f t="shared" si="124"/>
        <v>68.623776065020735</v>
      </c>
      <c r="S237" s="51">
        <f>APPLICANTS_PER_YEAR*($H237/Segments!$AH$2)*Q237</f>
        <v>19.415145775973222</v>
      </c>
      <c r="T237" s="51">
        <f t="shared" si="125"/>
        <v>88.038921840993964</v>
      </c>
      <c r="U237" s="14">
        <f t="shared" si="126"/>
        <v>1929.5008373056785</v>
      </c>
      <c r="V237" s="44">
        <f t="shared" si="127"/>
        <v>169871.17340768705</v>
      </c>
      <c r="W237" s="44">
        <f t="shared" si="128"/>
        <v>145921.50447639544</v>
      </c>
      <c r="X237" s="44">
        <f t="shared" si="129"/>
        <v>36015.344242717125</v>
      </c>
      <c r="Y237" s="14">
        <f t="shared" si="130"/>
        <v>1858.8586221529611</v>
      </c>
      <c r="Z237" s="14">
        <f t="shared" si="131"/>
        <v>1524.2766095844029</v>
      </c>
      <c r="AA237" s="14">
        <f t="shared" si="132"/>
        <v>2520.2592659240909</v>
      </c>
      <c r="AB237" s="14">
        <f t="shared" si="133"/>
        <v>1924.1369158948285</v>
      </c>
      <c r="AC237" s="14">
        <f t="shared" si="134"/>
        <v>2323.5732776912014</v>
      </c>
      <c r="AD237" s="33">
        <f t="shared" si="135"/>
        <v>0.67120375803386811</v>
      </c>
      <c r="AE237" s="33">
        <f t="shared" si="136"/>
        <v>0.19509357283651685</v>
      </c>
      <c r="AF237" s="51">
        <f t="shared" si="137"/>
        <v>61.860237704360948</v>
      </c>
      <c r="AG237" s="51">
        <f>APPLICANTS_PER_YEAR*($H237/Segments!$AH$2)*AE237</f>
        <v>19.431319854517078</v>
      </c>
      <c r="AH237" s="51">
        <f t="shared" si="138"/>
        <v>81.291557558878026</v>
      </c>
      <c r="AI237" s="14">
        <f t="shared" si="139"/>
        <v>2370.5876105816365</v>
      </c>
      <c r="AJ237" s="44">
        <f t="shared" si="140"/>
        <v>192708.75919396023</v>
      </c>
      <c r="AK237" s="44">
        <f t="shared" si="141"/>
        <v>138780.11811292378</v>
      </c>
      <c r="AL237" s="44">
        <f t="shared" si="142"/>
        <v>40247.588372135819</v>
      </c>
      <c r="AM237" s="14">
        <f t="shared" si="143"/>
        <v>2115.064249681478</v>
      </c>
      <c r="AN237" s="14">
        <f t="shared" si="144"/>
        <v>1570.0049078719348</v>
      </c>
      <c r="AO237" s="14">
        <f t="shared" si="145"/>
        <v>2594.6170439018133</v>
      </c>
      <c r="AP237" s="14">
        <f t="shared" si="146"/>
        <v>1981.3837985102368</v>
      </c>
      <c r="AQ237" s="14">
        <f t="shared" si="147"/>
        <v>2594.6170439018133</v>
      </c>
      <c r="AR237" s="33">
        <f t="shared" si="148"/>
        <v>0.62723166526817331</v>
      </c>
      <c r="AS237" s="33">
        <f t="shared" si="149"/>
        <v>0.19525127190081637</v>
      </c>
      <c r="AT237" s="51">
        <f t="shared" si="150"/>
        <v>28.355327663996359</v>
      </c>
      <c r="AU237" s="51">
        <f>APPLICANTS_PER_YEAR*($H237/Segments!$AH$2)*AS237</f>
        <v>19.447026681321308</v>
      </c>
      <c r="AV237" s="51">
        <f t="shared" si="151"/>
        <v>47.802354345317667</v>
      </c>
      <c r="AW237" s="14">
        <f t="shared" si="152"/>
        <v>2594.6170439018138</v>
      </c>
      <c r="AX237" s="44">
        <f t="shared" si="153"/>
        <v>124028.80332299514</v>
      </c>
      <c r="AY237" s="44">
        <f t="shared" si="154"/>
        <v>84055.922641579906</v>
      </c>
      <c r="AZ237" s="44">
        <f t="shared" si="155"/>
        <v>26649.682122805403</v>
      </c>
    </row>
    <row r="238" spans="1:52" ht="15" customHeight="1" x14ac:dyDescent="0.35">
      <c r="A238" s="59" t="str">
        <f>Segments!$A$218</f>
        <v>Greek</v>
      </c>
      <c r="B238" s="59" t="str">
        <f>Segments!$B$218</f>
        <v>On campus</v>
      </c>
      <c r="C238" s="59" t="str">
        <f>Segments!$C$218</f>
        <v>Yes</v>
      </c>
      <c r="D238" s="59" t="str">
        <f>Segments!$D$218</f>
        <v>2.0-3.0</v>
      </c>
      <c r="E238" s="59" t="str">
        <f>Segments!$E$218</f>
        <v>Senior</v>
      </c>
      <c r="F238" s="59">
        <f>Segments!$F$218</f>
        <v>3</v>
      </c>
      <c r="G238" s="59" t="str">
        <f>Segments!$G$218</f>
        <v>Base</v>
      </c>
      <c r="H238" s="60">
        <f>Segments!$H$218</f>
        <v>102</v>
      </c>
      <c r="I238" s="26">
        <f>Segments!$Y$218</f>
        <v>1383.2254632419715</v>
      </c>
      <c r="J238" s="29">
        <v>3</v>
      </c>
      <c r="K238" s="14">
        <f t="shared" si="117"/>
        <v>1426.2297754450396</v>
      </c>
      <c r="L238" s="14">
        <f t="shared" si="118"/>
        <v>1383.2254632419715</v>
      </c>
      <c r="M238" s="14">
        <f t="shared" si="119"/>
        <v>2290.8991056730929</v>
      </c>
      <c r="N238" s="14">
        <f t="shared" si="120"/>
        <v>1807.580846615547</v>
      </c>
      <c r="O238" s="14">
        <f t="shared" si="121"/>
        <v>1782.7872193062994</v>
      </c>
      <c r="P238" s="33">
        <f t="shared" si="122"/>
        <v>0.7818582346830214</v>
      </c>
      <c r="Q238" s="33">
        <f t="shared" si="123"/>
        <v>0.21630798285938502</v>
      </c>
      <c r="R238" s="51">
        <f t="shared" si="124"/>
        <v>64.894233478690779</v>
      </c>
      <c r="S238" s="51">
        <f>APPLICANTS_PER_YEAR*($H238/Segments!$AH$2)*Q238</f>
        <v>26.476097101988728</v>
      </c>
      <c r="T238" s="51">
        <f t="shared" si="125"/>
        <v>91.370330580679507</v>
      </c>
      <c r="U238" s="14">
        <f t="shared" si="126"/>
        <v>1930.0212235681438</v>
      </c>
      <c r="V238" s="44">
        <f t="shared" si="127"/>
        <v>176346.67722514886</v>
      </c>
      <c r="W238" s="44">
        <f t="shared" si="128"/>
        <v>141552.05998531639</v>
      </c>
      <c r="X238" s="44">
        <f t="shared" si="129"/>
        <v>37941.723385759542</v>
      </c>
      <c r="Y238" s="14">
        <f t="shared" si="130"/>
        <v>1929.5008373056785</v>
      </c>
      <c r="Z238" s="14">
        <f t="shared" si="131"/>
        <v>1424.7222271392307</v>
      </c>
      <c r="AA238" s="14">
        <f t="shared" si="132"/>
        <v>2358.3760788432855</v>
      </c>
      <c r="AB238" s="14">
        <f t="shared" si="133"/>
        <v>1861.3150649215518</v>
      </c>
      <c r="AC238" s="14">
        <f t="shared" si="134"/>
        <v>2358.3760788432855</v>
      </c>
      <c r="AD238" s="33">
        <f t="shared" si="135"/>
        <v>0.64979406120425964</v>
      </c>
      <c r="AE238" s="33">
        <f t="shared" si="136"/>
        <v>0.21647585266745706</v>
      </c>
      <c r="AF238" s="51">
        <f t="shared" si="137"/>
        <v>57.207168567103864</v>
      </c>
      <c r="AG238" s="51">
        <f>APPLICANTS_PER_YEAR*($H238/Segments!$AH$2)*AE238</f>
        <v>26.496644366496746</v>
      </c>
      <c r="AH238" s="51">
        <f t="shared" si="138"/>
        <v>83.703812933600602</v>
      </c>
      <c r="AI238" s="14">
        <f t="shared" si="139"/>
        <v>2358.376078843286</v>
      </c>
      <c r="AJ238" s="44">
        <f t="shared" si="140"/>
        <v>197405.0701305769</v>
      </c>
      <c r="AK238" s="44">
        <f t="shared" si="141"/>
        <v>133565.24471674161</v>
      </c>
      <c r="AL238" s="44">
        <f t="shared" si="142"/>
        <v>41833.167451038193</v>
      </c>
      <c r="AM238" s="14">
        <f t="shared" si="143"/>
        <v>2370.5876105816365</v>
      </c>
      <c r="AN238" s="14">
        <f t="shared" si="144"/>
        <v>1467.4638939534075</v>
      </c>
      <c r="AO238" s="14">
        <f t="shared" si="145"/>
        <v>2427.8773612085843</v>
      </c>
      <c r="AP238" s="14">
        <f t="shared" si="146"/>
        <v>1916.6611809579197</v>
      </c>
      <c r="AQ238" s="14">
        <f t="shared" si="147"/>
        <v>2427.8773612085843</v>
      </c>
      <c r="AR238" s="33">
        <f t="shared" si="148"/>
        <v>0.70938880602405985</v>
      </c>
      <c r="AS238" s="33">
        <f t="shared" si="149"/>
        <v>0.21663887563185102</v>
      </c>
      <c r="AT238" s="51">
        <f t="shared" si="150"/>
        <v>57.66732095652862</v>
      </c>
      <c r="AU238" s="51">
        <f>APPLICANTS_PER_YEAR*($H238/Segments!$AH$2)*AS238</f>
        <v>26.516598377338568</v>
      </c>
      <c r="AV238" s="51">
        <f t="shared" si="151"/>
        <v>84.183919333867181</v>
      </c>
      <c r="AW238" s="14">
        <f t="shared" si="152"/>
        <v>2427.8773612085847</v>
      </c>
      <c r="AX238" s="44">
        <f t="shared" si="153"/>
        <v>204388.23192850579</v>
      </c>
      <c r="AY238" s="44">
        <f t="shared" si="154"/>
        <v>138361.28552280864</v>
      </c>
      <c r="AZ238" s="44">
        <f t="shared" si="155"/>
        <v>43229.235891979421</v>
      </c>
    </row>
    <row r="239" spans="1:52" ht="15" customHeight="1" x14ac:dyDescent="0.35">
      <c r="A239" s="59" t="str">
        <f>Segments!$A$219</f>
        <v>Greek</v>
      </c>
      <c r="B239" s="59" t="str">
        <f>Segments!$B$219</f>
        <v>On campus</v>
      </c>
      <c r="C239" s="59" t="str">
        <f>Segments!$C$219</f>
        <v>Yes</v>
      </c>
      <c r="D239" s="59" t="str">
        <f>Segments!$D$219</f>
        <v>2.0-3.0</v>
      </c>
      <c r="E239" s="59" t="str">
        <f>Segments!$E$219</f>
        <v>Grad student</v>
      </c>
      <c r="F239" s="59">
        <f>Segments!$F$219</f>
        <v>3</v>
      </c>
      <c r="G239" s="59" t="str">
        <f>Segments!$G$219</f>
        <v>Grad</v>
      </c>
      <c r="H239" s="60">
        <f>Segments!$H$219</f>
        <v>42</v>
      </c>
      <c r="I239" s="26">
        <f>Segments!$Y$219</f>
        <v>1646.9794851773304</v>
      </c>
      <c r="J239" s="29">
        <v>4</v>
      </c>
      <c r="K239" s="14">
        <f t="shared" si="117"/>
        <v>1426.2297754450396</v>
      </c>
      <c r="L239" s="14">
        <f t="shared" si="118"/>
        <v>1646.9794851773304</v>
      </c>
      <c r="M239" s="14">
        <f t="shared" si="119"/>
        <v>2719.7837075116031</v>
      </c>
      <c r="N239" s="14">
        <f t="shared" si="120"/>
        <v>1969.5269752972035</v>
      </c>
      <c r="O239" s="14">
        <f t="shared" si="121"/>
        <v>1782.7872193062994</v>
      </c>
      <c r="P239" s="33">
        <f t="shared" si="122"/>
        <v>0.82240726030490774</v>
      </c>
      <c r="Q239" s="33">
        <f t="shared" si="123"/>
        <v>0.15953377597146512</v>
      </c>
      <c r="R239" s="51">
        <f t="shared" si="124"/>
        <v>17.270552466403064</v>
      </c>
      <c r="S239" s="51">
        <f>APPLICANTS_PER_YEAR*($H239/Segments!$AH$2)*Q239</f>
        <v>8.040502308961841</v>
      </c>
      <c r="T239" s="51">
        <f t="shared" si="125"/>
        <v>25.311054775364905</v>
      </c>
      <c r="U239" s="14">
        <f t="shared" si="126"/>
        <v>2080.4406554735115</v>
      </c>
      <c r="V239" s="44">
        <f t="shared" si="127"/>
        <v>52658.147387586112</v>
      </c>
      <c r="W239" s="44">
        <f t="shared" si="128"/>
        <v>46689.202518812788</v>
      </c>
      <c r="X239" s="44">
        <f t="shared" si="129"/>
        <v>11425.018460789455</v>
      </c>
      <c r="Y239" s="14">
        <f t="shared" si="130"/>
        <v>2080.4406554735115</v>
      </c>
      <c r="Z239" s="14">
        <f t="shared" si="131"/>
        <v>1696.3888697326504</v>
      </c>
      <c r="AA239" s="14">
        <f t="shared" si="132"/>
        <v>2800.1272187369514</v>
      </c>
      <c r="AB239" s="14">
        <f t="shared" si="133"/>
        <v>2028.1601413174078</v>
      </c>
      <c r="AC239" s="14">
        <f t="shared" si="134"/>
        <v>2600.5508193418891</v>
      </c>
      <c r="AD239" s="33">
        <f t="shared" si="135"/>
        <v>0.63388918079893819</v>
      </c>
      <c r="AE239" s="33">
        <f t="shared" si="136"/>
        <v>0.15968783931477271</v>
      </c>
      <c r="AF239" s="51">
        <f t="shared" si="137"/>
        <v>8.0222018883565553</v>
      </c>
      <c r="AG239" s="51">
        <f>APPLICANTS_PER_YEAR*($H239/Segments!$AH$2)*AE239</f>
        <v>8.0482671014645444</v>
      </c>
      <c r="AH239" s="51">
        <f t="shared" si="138"/>
        <v>16.070468989821102</v>
      </c>
      <c r="AI239" s="14">
        <f t="shared" si="139"/>
        <v>2700.5008687460108</v>
      </c>
      <c r="AJ239" s="44">
        <f t="shared" si="140"/>
        <v>43398.315468167712</v>
      </c>
      <c r="AK239" s="44">
        <f t="shared" si="141"/>
        <v>30533.176492802177</v>
      </c>
      <c r="AL239" s="44">
        <f t="shared" si="142"/>
        <v>9513.6636929233937</v>
      </c>
      <c r="AM239" s="14">
        <f t="shared" si="143"/>
        <v>2700.5008687460108</v>
      </c>
      <c r="AN239" s="14">
        <f t="shared" si="144"/>
        <v>1747.2805358246296</v>
      </c>
      <c r="AO239" s="14">
        <f t="shared" si="145"/>
        <v>2882.8810352990595</v>
      </c>
      <c r="AP239" s="14">
        <f t="shared" si="146"/>
        <v>2088.5522027472402</v>
      </c>
      <c r="AQ239" s="14">
        <f t="shared" si="147"/>
        <v>2882.8810352990595</v>
      </c>
      <c r="AR239" s="33">
        <f t="shared" si="148"/>
        <v>0.63957674383049468</v>
      </c>
      <c r="AS239" s="33">
        <f t="shared" si="149"/>
        <v>0.15983744827948876</v>
      </c>
      <c r="AT239" s="51">
        <f t="shared" si="150"/>
        <v>5.1391491141693599</v>
      </c>
      <c r="AU239" s="51">
        <f>APPLICANTS_PER_YEAR*($H239/Segments!$AH$2)*AS239</f>
        <v>8.0558073932862335</v>
      </c>
      <c r="AV239" s="51">
        <f t="shared" si="151"/>
        <v>13.194956507455593</v>
      </c>
      <c r="AW239" s="14">
        <f t="shared" si="152"/>
        <v>2882.881035299059</v>
      </c>
      <c r="AX239" s="44">
        <f t="shared" si="153"/>
        <v>38039.489876939639</v>
      </c>
      <c r="AY239" s="44">
        <f t="shared" si="154"/>
        <v>25821.925557713261</v>
      </c>
      <c r="AZ239" s="44">
        <f t="shared" si="155"/>
        <v>8467.5956042572998</v>
      </c>
    </row>
    <row r="240" spans="1:52" ht="15" customHeight="1" x14ac:dyDescent="0.35">
      <c r="A240" s="61" t="str">
        <f>Segments!$A$220</f>
        <v>Greek</v>
      </c>
      <c r="B240" s="61" t="str">
        <f>Segments!$B$220</f>
        <v>On campus</v>
      </c>
      <c r="C240" s="61" t="str">
        <f>Segments!$C$220</f>
        <v>Yes</v>
      </c>
      <c r="D240" s="61" t="str">
        <f>Segments!$D$220</f>
        <v>3.0+</v>
      </c>
      <c r="E240" s="61" t="str">
        <f>Segments!$E$220</f>
        <v>Freshman</v>
      </c>
      <c r="F240" s="61">
        <f>Segments!$F$220</f>
        <v>1</v>
      </c>
      <c r="G240" s="61" t="str">
        <f>Segments!$G$220</f>
        <v>Base</v>
      </c>
      <c r="H240" s="62">
        <f>Segments!$H$220</f>
        <v>54</v>
      </c>
      <c r="I240" s="63">
        <f>Segments!$Y$220</f>
        <v>1096.2776237930291</v>
      </c>
      <c r="J240" s="42">
        <v>0</v>
      </c>
      <c r="K240" s="40">
        <f t="shared" si="117"/>
        <v>1824.2995483755672</v>
      </c>
      <c r="L240" s="40">
        <f t="shared" si="118"/>
        <v>1096.2776237930291</v>
      </c>
      <c r="M240" s="40">
        <f t="shared" si="119"/>
        <v>1824.2995483755672</v>
      </c>
      <c r="N240" s="40">
        <f t="shared" si="120"/>
        <v>1613.0314117289138</v>
      </c>
      <c r="O240" s="40">
        <f t="shared" si="121"/>
        <v>1824.2995483755672</v>
      </c>
      <c r="P240" s="41">
        <f t="shared" si="122"/>
        <v>0.78451208230960379</v>
      </c>
      <c r="Q240" s="41">
        <f t="shared" si="123"/>
        <v>0.28451208230960379</v>
      </c>
      <c r="R240" s="64">
        <f t="shared" si="124"/>
        <v>0</v>
      </c>
      <c r="S240" s="64">
        <f>APPLICANTS_PER_YEAR*($H240/Segments!$AH$2)*Q240</f>
        <v>18.436382933662326</v>
      </c>
      <c r="T240" s="64">
        <f t="shared" si="125"/>
        <v>18.436382933662326</v>
      </c>
      <c r="U240" s="40">
        <f t="shared" si="126"/>
        <v>1824.2995483755669</v>
      </c>
      <c r="V240" s="65">
        <f t="shared" si="127"/>
        <v>33633.485059559192</v>
      </c>
      <c r="W240" s="65">
        <f t="shared" si="128"/>
        <v>22636.761362716134</v>
      </c>
      <c r="X240" s="65">
        <f t="shared" si="129"/>
        <v>8363.5378853560651</v>
      </c>
      <c r="Y240" s="40">
        <f t="shared" si="130"/>
        <v>1877.7785348268344</v>
      </c>
      <c r="Z240" s="40">
        <f t="shared" si="131"/>
        <v>1129.1659525068201</v>
      </c>
      <c r="AA240" s="40">
        <f t="shared" si="132"/>
        <v>1877.7785348268344</v>
      </c>
      <c r="AB240" s="40">
        <f t="shared" si="133"/>
        <v>1660.8696420259596</v>
      </c>
      <c r="AC240" s="40">
        <f t="shared" si="134"/>
        <v>1877.7785348268344</v>
      </c>
      <c r="AD240" s="41">
        <f t="shared" si="135"/>
        <v>0.78470020544891006</v>
      </c>
      <c r="AE240" s="41">
        <f t="shared" si="136"/>
        <v>0.28470020544891006</v>
      </c>
      <c r="AF240" s="64">
        <f t="shared" si="137"/>
        <v>0</v>
      </c>
      <c r="AG240" s="64">
        <f>APPLICANTS_PER_YEAR*($H240/Segments!$AH$2)*AE240</f>
        <v>18.448573313089373</v>
      </c>
      <c r="AH240" s="64">
        <f t="shared" si="138"/>
        <v>18.448573313089373</v>
      </c>
      <c r="AI240" s="40">
        <f t="shared" si="139"/>
        <v>1877.7785348268342</v>
      </c>
      <c r="AJ240" s="65">
        <f t="shared" si="140"/>
        <v>34642.334965498398</v>
      </c>
      <c r="AK240" s="65">
        <f t="shared" si="141"/>
        <v>23331.280960362441</v>
      </c>
      <c r="AL240" s="65">
        <f t="shared" si="142"/>
        <v>8590.0688313606624</v>
      </c>
      <c r="AM240" s="40">
        <f t="shared" si="143"/>
        <v>1932.8618908716394</v>
      </c>
      <c r="AN240" s="40">
        <f t="shared" si="144"/>
        <v>1163.0409310820246</v>
      </c>
      <c r="AO240" s="40">
        <f t="shared" si="145"/>
        <v>1932.8618908716394</v>
      </c>
      <c r="AP240" s="40">
        <f t="shared" si="146"/>
        <v>1710.1428379178467</v>
      </c>
      <c r="AQ240" s="40">
        <f t="shared" si="147"/>
        <v>1932.8618908716394</v>
      </c>
      <c r="AR240" s="41">
        <f t="shared" si="148"/>
        <v>0.78488290918875514</v>
      </c>
      <c r="AS240" s="41">
        <f t="shared" si="149"/>
        <v>0.28488290918875514</v>
      </c>
      <c r="AT240" s="64">
        <f t="shared" si="150"/>
        <v>0</v>
      </c>
      <c r="AU240" s="64">
        <f>APPLICANTS_PER_YEAR*($H240/Segments!$AH$2)*AS240</f>
        <v>18.460412515431333</v>
      </c>
      <c r="AV240" s="64">
        <f t="shared" si="151"/>
        <v>18.460412515431333</v>
      </c>
      <c r="AW240" s="40">
        <f t="shared" si="152"/>
        <v>1932.8618908716396</v>
      </c>
      <c r="AX240" s="65">
        <f t="shared" si="153"/>
        <v>35681.427840847085</v>
      </c>
      <c r="AY240" s="65">
        <f t="shared" si="154"/>
        <v>24046.641203318184</v>
      </c>
      <c r="AZ240" s="65">
        <f t="shared" si="155"/>
        <v>8823.3583995441568</v>
      </c>
    </row>
    <row r="241" spans="1:52" ht="15" customHeight="1" x14ac:dyDescent="0.35">
      <c r="A241" s="61" t="str">
        <f>Segments!$A$221</f>
        <v>Greek</v>
      </c>
      <c r="B241" s="61" t="str">
        <f>Segments!$B$221</f>
        <v>On campus</v>
      </c>
      <c r="C241" s="61" t="str">
        <f>Segments!$C$221</f>
        <v>Yes</v>
      </c>
      <c r="D241" s="61" t="str">
        <f>Segments!$D$221</f>
        <v>3.0+</v>
      </c>
      <c r="E241" s="61" t="str">
        <f>Segments!$E$221</f>
        <v>Sophomore</v>
      </c>
      <c r="F241" s="61">
        <f>Segments!$F$221</f>
        <v>1</v>
      </c>
      <c r="G241" s="61" t="str">
        <f>Segments!$G$221</f>
        <v>Sophomore</v>
      </c>
      <c r="H241" s="62">
        <f>Segments!$H$221</f>
        <v>48</v>
      </c>
      <c r="I241" s="63">
        <f>Segments!$Y$221</f>
        <v>1085.124361446585</v>
      </c>
      <c r="J241" s="42">
        <v>1</v>
      </c>
      <c r="K241" s="40">
        <f t="shared" si="117"/>
        <v>1426.2297754450396</v>
      </c>
      <c r="L241" s="40">
        <f t="shared" si="118"/>
        <v>1085.124361446585</v>
      </c>
      <c r="M241" s="40">
        <f t="shared" si="119"/>
        <v>1806.1634742958042</v>
      </c>
      <c r="N241" s="40">
        <f t="shared" si="120"/>
        <v>1604.993497295842</v>
      </c>
      <c r="O241" s="40">
        <f t="shared" si="121"/>
        <v>1782.7872193062994</v>
      </c>
      <c r="P241" s="41">
        <f t="shared" si="122"/>
        <v>0.71961232325551117</v>
      </c>
      <c r="Q241" s="41">
        <f t="shared" si="123"/>
        <v>0.28732997132421356</v>
      </c>
      <c r="R241" s="64">
        <f t="shared" si="124"/>
        <v>38.859065455797605</v>
      </c>
      <c r="S241" s="64">
        <f>APPLICANTS_PER_YEAR*($H241/Segments!$AH$2)*Q241</f>
        <v>16.550206348274699</v>
      </c>
      <c r="T241" s="64">
        <f t="shared" si="125"/>
        <v>55.409271804072304</v>
      </c>
      <c r="U241" s="40">
        <f t="shared" si="126"/>
        <v>1789.7694775300533</v>
      </c>
      <c r="V241" s="65">
        <f t="shared" si="127"/>
        <v>99169.823447095201</v>
      </c>
      <c r="W241" s="65">
        <f t="shared" si="128"/>
        <v>67341.064766767944</v>
      </c>
      <c r="X241" s="65">
        <f t="shared" si="129"/>
        <v>21311.270463230238</v>
      </c>
      <c r="Y241" s="40">
        <f t="shared" si="130"/>
        <v>1824.2995483755669</v>
      </c>
      <c r="Z241" s="40">
        <f t="shared" si="131"/>
        <v>1117.6780922899825</v>
      </c>
      <c r="AA241" s="40">
        <f t="shared" si="132"/>
        <v>1859.0983785246781</v>
      </c>
      <c r="AB241" s="40">
        <f t="shared" si="133"/>
        <v>1652.5878212129887</v>
      </c>
      <c r="AC241" s="40">
        <f t="shared" si="134"/>
        <v>1859.0983785246781</v>
      </c>
      <c r="AD241" s="41">
        <f t="shared" si="135"/>
        <v>0.78179648490409182</v>
      </c>
      <c r="AE241" s="41">
        <f t="shared" si="136"/>
        <v>0.28751903691263081</v>
      </c>
      <c r="AF241" s="64">
        <f t="shared" si="137"/>
        <v>14.413499371882995</v>
      </c>
      <c r="AG241" s="64">
        <f>APPLICANTS_PER_YEAR*($H241/Segments!$AH$2)*AE241</f>
        <v>16.561096526167532</v>
      </c>
      <c r="AH241" s="64">
        <f t="shared" si="138"/>
        <v>30.974595898050527</v>
      </c>
      <c r="AI241" s="40">
        <f t="shared" si="139"/>
        <v>1859.0983785246783</v>
      </c>
      <c r="AJ241" s="65">
        <f t="shared" si="140"/>
        <v>57584.821009522886</v>
      </c>
      <c r="AK241" s="65">
        <f t="shared" si="141"/>
        <v>38773.982523120583</v>
      </c>
      <c r="AL241" s="65">
        <f t="shared" si="142"/>
        <v>12994.655271358632</v>
      </c>
      <c r="AM241" s="40">
        <f t="shared" si="143"/>
        <v>1877.7785348268342</v>
      </c>
      <c r="AN241" s="40">
        <f t="shared" si="144"/>
        <v>1151.208435058682</v>
      </c>
      <c r="AO241" s="40">
        <f t="shared" si="145"/>
        <v>1913.6213298804184</v>
      </c>
      <c r="AP241" s="40">
        <f t="shared" si="146"/>
        <v>1701.6097907939884</v>
      </c>
      <c r="AQ241" s="40">
        <f t="shared" si="147"/>
        <v>1913.6213298804184</v>
      </c>
      <c r="AR241" s="41">
        <f t="shared" si="148"/>
        <v>0.78197629515877842</v>
      </c>
      <c r="AS241" s="41">
        <f t="shared" si="149"/>
        <v>0.28770265655691152</v>
      </c>
      <c r="AT241" s="64">
        <f t="shared" si="150"/>
        <v>14.426347010334737</v>
      </c>
      <c r="AU241" s="64">
        <f>APPLICANTS_PER_YEAR*($H241/Segments!$AH$2)*AS241</f>
        <v>16.571673017678101</v>
      </c>
      <c r="AV241" s="64">
        <f t="shared" si="151"/>
        <v>30.998020028012839</v>
      </c>
      <c r="AW241" s="40">
        <f t="shared" si="152"/>
        <v>1913.6213298804182</v>
      </c>
      <c r="AX241" s="65">
        <f t="shared" si="153"/>
        <v>59318.472309665769</v>
      </c>
      <c r="AY241" s="65">
        <f t="shared" si="154"/>
        <v>39967.403981530311</v>
      </c>
      <c r="AZ241" s="65">
        <f t="shared" si="155"/>
        <v>13355.360236074182</v>
      </c>
    </row>
    <row r="242" spans="1:52" ht="15" customHeight="1" x14ac:dyDescent="0.35">
      <c r="A242" s="61" t="str">
        <f>Segments!$A$222</f>
        <v>Greek</v>
      </c>
      <c r="B242" s="61" t="str">
        <f>Segments!$B$222</f>
        <v>On campus</v>
      </c>
      <c r="C242" s="61" t="str">
        <f>Segments!$C$222</f>
        <v>Yes</v>
      </c>
      <c r="D242" s="61" t="str">
        <f>Segments!$D$222</f>
        <v>3.0+</v>
      </c>
      <c r="E242" s="61" t="str">
        <f>Segments!$E$222</f>
        <v>Junior</v>
      </c>
      <c r="F242" s="61">
        <f>Segments!$F$222</f>
        <v>2</v>
      </c>
      <c r="G242" s="61" t="str">
        <f>Segments!$G$222</f>
        <v>Base</v>
      </c>
      <c r="H242" s="62">
        <f>Segments!$H$222</f>
        <v>55</v>
      </c>
      <c r="I242" s="63">
        <f>Segments!$Y$222</f>
        <v>1297.1854667857165</v>
      </c>
      <c r="J242" s="42">
        <v>2</v>
      </c>
      <c r="K242" s="40">
        <f t="shared" si="117"/>
        <v>1426.2297754450396</v>
      </c>
      <c r="L242" s="40">
        <f t="shared" si="118"/>
        <v>1297.1854667857165</v>
      </c>
      <c r="M242" s="40">
        <f t="shared" si="119"/>
        <v>2150.9913637870886</v>
      </c>
      <c r="N242" s="40">
        <f t="shared" si="120"/>
        <v>1751.5158948060619</v>
      </c>
      <c r="O242" s="40">
        <f t="shared" si="121"/>
        <v>1782.7872193062994</v>
      </c>
      <c r="P242" s="41">
        <f t="shared" si="122"/>
        <v>0.76607306859361957</v>
      </c>
      <c r="Q242" s="41">
        <f t="shared" si="123"/>
        <v>0.23596293354641262</v>
      </c>
      <c r="R242" s="64">
        <f t="shared" si="124"/>
        <v>36.771507292493737</v>
      </c>
      <c r="S242" s="64">
        <f>APPLICANTS_PER_YEAR*($H242/Segments!$AH$2)*Q242</f>
        <v>15.573553614063233</v>
      </c>
      <c r="T242" s="64">
        <f t="shared" si="125"/>
        <v>52.345060906556967</v>
      </c>
      <c r="U242" s="40">
        <f t="shared" si="126"/>
        <v>1892.3342689358387</v>
      </c>
      <c r="V242" s="65">
        <f t="shared" si="127"/>
        <v>99054.352563011431</v>
      </c>
      <c r="W242" s="65">
        <f t="shared" si="128"/>
        <v>76049.402537918737</v>
      </c>
      <c r="X242" s="65">
        <f t="shared" si="129"/>
        <v>21329.962969348268</v>
      </c>
      <c r="Y242" s="40">
        <f t="shared" si="130"/>
        <v>1789.7694775300533</v>
      </c>
      <c r="Z242" s="40">
        <f t="shared" si="131"/>
        <v>1336.101030789288</v>
      </c>
      <c r="AA242" s="40">
        <f t="shared" si="132"/>
        <v>2214.271104700701</v>
      </c>
      <c r="AB242" s="40">
        <f t="shared" si="133"/>
        <v>1803.5523729142637</v>
      </c>
      <c r="AC242" s="40">
        <f t="shared" si="134"/>
        <v>2214.271104700701</v>
      </c>
      <c r="AD242" s="41">
        <f t="shared" si="135"/>
        <v>0.66498149060052569</v>
      </c>
      <c r="AE242" s="41">
        <f t="shared" si="136"/>
        <v>0.23613617825725264</v>
      </c>
      <c r="AF242" s="64">
        <f t="shared" si="137"/>
        <v>36.846140157361681</v>
      </c>
      <c r="AG242" s="64">
        <f>APPLICANTS_PER_YEAR*($H242/Segments!$AH$2)*AE242</f>
        <v>15.584987764978674</v>
      </c>
      <c r="AH242" s="64">
        <f t="shared" si="138"/>
        <v>52.431127922340352</v>
      </c>
      <c r="AI242" s="40">
        <f t="shared" si="139"/>
        <v>2214.2711047007015</v>
      </c>
      <c r="AJ242" s="65">
        <f t="shared" si="140"/>
        <v>116096.73154530436</v>
      </c>
      <c r="AK242" s="65">
        <f t="shared" si="141"/>
        <v>78459.678149982035</v>
      </c>
      <c r="AL242" s="65">
        <f t="shared" si="142"/>
        <v>24588.358097262517</v>
      </c>
      <c r="AM242" s="40">
        <f t="shared" si="143"/>
        <v>1859.0983785246783</v>
      </c>
      <c r="AN242" s="40">
        <f t="shared" si="144"/>
        <v>1376.1840617129665</v>
      </c>
      <c r="AO242" s="40">
        <f t="shared" si="145"/>
        <v>2279.4492378417217</v>
      </c>
      <c r="AP242" s="40">
        <f t="shared" si="146"/>
        <v>1857.1498037692195</v>
      </c>
      <c r="AQ242" s="40">
        <f t="shared" si="147"/>
        <v>2279.4492378417217</v>
      </c>
      <c r="AR242" s="41">
        <f t="shared" si="148"/>
        <v>0.6684730173188721</v>
      </c>
      <c r="AS242" s="41">
        <f t="shared" si="149"/>
        <v>0.23630442379623462</v>
      </c>
      <c r="AT242" s="64">
        <f t="shared" si="150"/>
        <v>20.705681580202594</v>
      </c>
      <c r="AU242" s="64">
        <f>APPLICANTS_PER_YEAR*($H242/Segments!$AH$2)*AS242</f>
        <v>15.596091970551484</v>
      </c>
      <c r="AV242" s="64">
        <f t="shared" si="151"/>
        <v>36.301773550754078</v>
      </c>
      <c r="AW242" s="40">
        <f t="shared" si="152"/>
        <v>2279.4492378417217</v>
      </c>
      <c r="AX242" s="65">
        <f t="shared" si="153"/>
        <v>82748.05005256916</v>
      </c>
      <c r="AY242" s="65">
        <f t="shared" si="154"/>
        <v>55952.87283315642</v>
      </c>
      <c r="AZ242" s="65">
        <f t="shared" si="155"/>
        <v>17999.586728659844</v>
      </c>
    </row>
    <row r="243" spans="1:52" ht="15" customHeight="1" x14ac:dyDescent="0.35">
      <c r="A243" s="61" t="str">
        <f>Segments!$A$223</f>
        <v>Greek</v>
      </c>
      <c r="B243" s="61" t="str">
        <f>Segments!$B$223</f>
        <v>On campus</v>
      </c>
      <c r="C243" s="61" t="str">
        <f>Segments!$C$223</f>
        <v>Yes</v>
      </c>
      <c r="D243" s="61" t="str">
        <f>Segments!$D$223</f>
        <v>3.0+</v>
      </c>
      <c r="E243" s="61" t="str">
        <f>Segments!$E$223</f>
        <v>Senior</v>
      </c>
      <c r="F243" s="61">
        <f>Segments!$F$223</f>
        <v>3</v>
      </c>
      <c r="G243" s="61" t="str">
        <f>Segments!$G$223</f>
        <v>Base</v>
      </c>
      <c r="H243" s="62">
        <f>Segments!$H$223</f>
        <v>38</v>
      </c>
      <c r="I243" s="63">
        <f>Segments!$Y$223</f>
        <v>1212.4629844943199</v>
      </c>
      <c r="J243" s="42">
        <v>3</v>
      </c>
      <c r="K243" s="40">
        <f t="shared" si="117"/>
        <v>1426.2297754450396</v>
      </c>
      <c r="L243" s="40">
        <f t="shared" si="118"/>
        <v>1212.4629844943199</v>
      </c>
      <c r="M243" s="40">
        <f t="shared" si="119"/>
        <v>2013.226002646089</v>
      </c>
      <c r="N243" s="40">
        <f t="shared" si="120"/>
        <v>1694.4978222689006</v>
      </c>
      <c r="O243" s="40">
        <f t="shared" si="121"/>
        <v>1782.7872193062994</v>
      </c>
      <c r="P243" s="41">
        <f t="shared" si="122"/>
        <v>0.74894821171290116</v>
      </c>
      <c r="Q243" s="41">
        <f t="shared" si="123"/>
        <v>0.25595202419604834</v>
      </c>
      <c r="R243" s="64">
        <f t="shared" si="124"/>
        <v>41.192151644209567</v>
      </c>
      <c r="S243" s="64">
        <f>APPLICANTS_PER_YEAR*($H243/Segments!$AH$2)*Q243</f>
        <v>11.671412303339805</v>
      </c>
      <c r="T243" s="64">
        <f t="shared" si="125"/>
        <v>52.863563947549373</v>
      </c>
      <c r="U243" s="40">
        <f t="shared" si="126"/>
        <v>1833.6643424171668</v>
      </c>
      <c r="V243" s="65">
        <f t="shared" si="127"/>
        <v>96934.032223710965</v>
      </c>
      <c r="W243" s="65">
        <f t="shared" si="128"/>
        <v>71786.528256634294</v>
      </c>
      <c r="X243" s="65">
        <f t="shared" si="129"/>
        <v>20491.990352599903</v>
      </c>
      <c r="Y243" s="40">
        <f t="shared" si="130"/>
        <v>1892.3342689358387</v>
      </c>
      <c r="Z243" s="40">
        <f t="shared" si="131"/>
        <v>1248.8368740291496</v>
      </c>
      <c r="AA243" s="40">
        <f t="shared" si="132"/>
        <v>2072.372782725472</v>
      </c>
      <c r="AB243" s="40">
        <f t="shared" si="133"/>
        <v>1744.8066258474921</v>
      </c>
      <c r="AC243" s="40">
        <f t="shared" si="134"/>
        <v>2072.372782725472</v>
      </c>
      <c r="AD243" s="41">
        <f t="shared" si="135"/>
        <v>0.72758880979205798</v>
      </c>
      <c r="AE243" s="41">
        <f t="shared" si="136"/>
        <v>0.25613110013871199</v>
      </c>
      <c r="AF243" s="64">
        <f t="shared" si="137"/>
        <v>38.08568056349457</v>
      </c>
      <c r="AG243" s="64">
        <f>APPLICANTS_PER_YEAR*($H243/Segments!$AH$2)*AE243</f>
        <v>11.679578166325268</v>
      </c>
      <c r="AH243" s="64">
        <f t="shared" si="138"/>
        <v>49.765258729819834</v>
      </c>
      <c r="AI243" s="40">
        <f t="shared" si="139"/>
        <v>2072.372782725472</v>
      </c>
      <c r="AJ243" s="65">
        <f t="shared" si="140"/>
        <v>103132.16771696982</v>
      </c>
      <c r="AK243" s="65">
        <f t="shared" si="141"/>
        <v>69606.532965088059</v>
      </c>
      <c r="AL243" s="65">
        <f t="shared" si="142"/>
        <v>21626.429723958077</v>
      </c>
      <c r="AM243" s="40">
        <f t="shared" si="143"/>
        <v>2214.2711047007015</v>
      </c>
      <c r="AN243" s="40">
        <f t="shared" si="144"/>
        <v>1286.3019802500239</v>
      </c>
      <c r="AO243" s="40">
        <f t="shared" si="145"/>
        <v>2133.2939662072354</v>
      </c>
      <c r="AP243" s="40">
        <f t="shared" si="146"/>
        <v>1796.6245371478894</v>
      </c>
      <c r="AQ243" s="40">
        <f t="shared" si="147"/>
        <v>2133.2939662072354</v>
      </c>
      <c r="AR243" s="41">
        <f t="shared" si="148"/>
        <v>0.75630501195486199</v>
      </c>
      <c r="AS243" s="41">
        <f t="shared" si="149"/>
        <v>0.25630501195486199</v>
      </c>
      <c r="AT243" s="64">
        <f t="shared" si="150"/>
        <v>39.653924830112516</v>
      </c>
      <c r="AU243" s="64">
        <f>APPLICANTS_PER_YEAR*($H243/Segments!$AH$2)*AS243</f>
        <v>11.687508545141707</v>
      </c>
      <c r="AV243" s="64">
        <f t="shared" si="151"/>
        <v>51.341433375254226</v>
      </c>
      <c r="AW243" s="40">
        <f t="shared" si="152"/>
        <v>2133.2939662072354</v>
      </c>
      <c r="AX243" s="65">
        <f t="shared" si="153"/>
        <v>109526.37003586061</v>
      </c>
      <c r="AY243" s="65">
        <f t="shared" si="154"/>
        <v>73965.457909799894</v>
      </c>
      <c r="AZ243" s="65">
        <f t="shared" si="155"/>
        <v>22892.151518988405</v>
      </c>
    </row>
    <row r="244" spans="1:52" ht="15" customHeight="1" x14ac:dyDescent="0.35">
      <c r="A244" s="61" t="str">
        <f>Segments!$A$224</f>
        <v>Greek</v>
      </c>
      <c r="B244" s="61" t="str">
        <f>Segments!$B$224</f>
        <v>On campus</v>
      </c>
      <c r="C244" s="61" t="str">
        <f>Segments!$C$224</f>
        <v>Yes</v>
      </c>
      <c r="D244" s="61" t="str">
        <f>Segments!$D$224</f>
        <v>3.0+</v>
      </c>
      <c r="E244" s="61" t="str">
        <f>Segments!$E$224</f>
        <v>Grad student</v>
      </c>
      <c r="F244" s="61">
        <f>Segments!$F$224</f>
        <v>3</v>
      </c>
      <c r="G244" s="61" t="str">
        <f>Segments!$G$224</f>
        <v>Grad</v>
      </c>
      <c r="H244" s="62">
        <f>Segments!$H$224</f>
        <v>15</v>
      </c>
      <c r="I244" s="63">
        <f>Segments!$Y$224</f>
        <v>1443.6559440705589</v>
      </c>
      <c r="J244" s="42">
        <v>4</v>
      </c>
      <c r="K244" s="40">
        <f t="shared" si="117"/>
        <v>1426.2297754450396</v>
      </c>
      <c r="L244" s="40">
        <f t="shared" si="118"/>
        <v>1443.6559440705589</v>
      </c>
      <c r="M244" s="40">
        <f t="shared" si="119"/>
        <v>2389.1637786395981</v>
      </c>
      <c r="N244" s="40">
        <f t="shared" si="120"/>
        <v>1845.9405514562425</v>
      </c>
      <c r="O244" s="40">
        <f t="shared" si="121"/>
        <v>1782.7872193062994</v>
      </c>
      <c r="P244" s="41">
        <f t="shared" si="122"/>
        <v>0.79210600379305873</v>
      </c>
      <c r="Q244" s="41">
        <f t="shared" si="123"/>
        <v>0.20286004287765036</v>
      </c>
      <c r="R244" s="64">
        <f t="shared" si="124"/>
        <v>5.9407950284479405</v>
      </c>
      <c r="S244" s="64">
        <f>APPLICANTS_PER_YEAR*($H244/Segments!$AH$2)*Q244</f>
        <v>3.6514807717977065</v>
      </c>
      <c r="T244" s="64">
        <f t="shared" si="125"/>
        <v>9.5922758002456465</v>
      </c>
      <c r="U244" s="40">
        <f t="shared" si="126"/>
        <v>2013.6158978163241</v>
      </c>
      <c r="V244" s="65">
        <f t="shared" si="127"/>
        <v>19315.159047613437</v>
      </c>
      <c r="W244" s="65">
        <f t="shared" si="128"/>
        <v>15509.699493331464</v>
      </c>
      <c r="X244" s="65">
        <f t="shared" si="129"/>
        <v>4239.0370912420267</v>
      </c>
      <c r="Y244" s="40">
        <f t="shared" si="130"/>
        <v>2013.6158978163241</v>
      </c>
      <c r="Z244" s="40">
        <f t="shared" si="131"/>
        <v>1486.9656223926756</v>
      </c>
      <c r="AA244" s="40">
        <f t="shared" si="132"/>
        <v>2459.5886919987861</v>
      </c>
      <c r="AB244" s="40">
        <f t="shared" si="133"/>
        <v>1900.8358126658086</v>
      </c>
      <c r="AC244" s="40">
        <f t="shared" si="134"/>
        <v>2459.5886919987861</v>
      </c>
      <c r="AD244" s="41">
        <f t="shared" si="135"/>
        <v>0.63658084869319531</v>
      </c>
      <c r="AE244" s="41">
        <f t="shared" si="136"/>
        <v>0.20302442335896442</v>
      </c>
      <c r="AF244" s="64">
        <f t="shared" si="137"/>
        <v>3.0531295349097864</v>
      </c>
      <c r="AG244" s="64">
        <f>APPLICANTS_PER_YEAR*($H244/Segments!$AH$2)*AE244</f>
        <v>3.6544396204613596</v>
      </c>
      <c r="AH244" s="64">
        <f t="shared" si="138"/>
        <v>6.7075691553711465</v>
      </c>
      <c r="AI244" s="40">
        <f t="shared" si="139"/>
        <v>2459.5886919987861</v>
      </c>
      <c r="AJ244" s="65">
        <f t="shared" si="140"/>
        <v>16497.861245350719</v>
      </c>
      <c r="AK244" s="65">
        <f t="shared" si="141"/>
        <v>11170.795713121375</v>
      </c>
      <c r="AL244" s="65">
        <f t="shared" si="142"/>
        <v>3658.2027918030112</v>
      </c>
      <c r="AM244" s="40">
        <f t="shared" si="143"/>
        <v>2459.5886919987861</v>
      </c>
      <c r="AN244" s="40">
        <f t="shared" si="144"/>
        <v>1531.5745910644559</v>
      </c>
      <c r="AO244" s="40">
        <f t="shared" si="145"/>
        <v>2532.1263527587494</v>
      </c>
      <c r="AP244" s="40">
        <f t="shared" si="146"/>
        <v>1957.3778107618207</v>
      </c>
      <c r="AQ244" s="40">
        <f t="shared" si="147"/>
        <v>2532.1263527587494</v>
      </c>
      <c r="AR244" s="41">
        <f t="shared" si="148"/>
        <v>0.69433652054338146</v>
      </c>
      <c r="AS244" s="41">
        <f t="shared" si="149"/>
        <v>0.20318405602717193</v>
      </c>
      <c r="AT244" s="64">
        <f t="shared" si="150"/>
        <v>2.3286551143222551</v>
      </c>
      <c r="AU244" s="64">
        <f>APPLICANTS_PER_YEAR*($H244/Segments!$AH$2)*AS244</f>
        <v>3.657313008489095</v>
      </c>
      <c r="AV244" s="64">
        <f t="shared" si="151"/>
        <v>5.9859681228113502</v>
      </c>
      <c r="AW244" s="40">
        <f t="shared" si="152"/>
        <v>2532.1263527587498</v>
      </c>
      <c r="AX244" s="65">
        <f t="shared" si="153"/>
        <v>15157.227630544443</v>
      </c>
      <c r="AY244" s="65">
        <f t="shared" si="154"/>
        <v>10268.111481398024</v>
      </c>
      <c r="AZ244" s="65">
        <f t="shared" si="155"/>
        <v>3399.9954625592459</v>
      </c>
    </row>
    <row r="245" spans="1:52" ht="15" customHeight="1" x14ac:dyDescent="0.35">
      <c r="A245" s="59" t="str">
        <f>Segments!$A$225</f>
        <v>Greek</v>
      </c>
      <c r="B245" s="59" t="str">
        <f>Segments!$B$225</f>
        <v>On campus</v>
      </c>
      <c r="C245" s="59" t="str">
        <f>Segments!$C$225</f>
        <v>No</v>
      </c>
      <c r="D245" s="59" t="str">
        <f>Segments!$D$225</f>
        <v>&lt;1.0</v>
      </c>
      <c r="E245" s="59" t="str">
        <f>Segments!$E$225</f>
        <v>Freshman</v>
      </c>
      <c r="F245" s="59">
        <f>Segments!$F$225</f>
        <v>1</v>
      </c>
      <c r="G245" s="59" t="str">
        <f>Segments!$G$225</f>
        <v>Base</v>
      </c>
      <c r="H245" s="60">
        <f>Segments!$H$225</f>
        <v>8</v>
      </c>
      <c r="I245" s="26">
        <f>Segments!$Y$225</f>
        <v>2160.0608199582612</v>
      </c>
      <c r="J245" s="29">
        <v>0</v>
      </c>
      <c r="K245" s="14">
        <f t="shared" si="117"/>
        <v>3554.0939575074176</v>
      </c>
      <c r="L245" s="14">
        <f t="shared" si="118"/>
        <v>2160.0608199582612</v>
      </c>
      <c r="M245" s="14">
        <f t="shared" si="119"/>
        <v>3554.0939575074176</v>
      </c>
      <c r="N245" s="14">
        <f t="shared" si="120"/>
        <v>2251.4339046319737</v>
      </c>
      <c r="O245" s="14">
        <f t="shared" si="121"/>
        <v>3554.0939575074176</v>
      </c>
      <c r="P245" s="33">
        <f t="shared" si="122"/>
        <v>0.56070435374642258</v>
      </c>
      <c r="Q245" s="33">
        <f t="shared" si="123"/>
        <v>6.0704353746422579E-2</v>
      </c>
      <c r="R245" s="51">
        <f t="shared" si="124"/>
        <v>0</v>
      </c>
      <c r="S245" s="51">
        <f>APPLICANTS_PER_YEAR*($H245/Segments!$AH$2)*Q245</f>
        <v>0.58276179596565669</v>
      </c>
      <c r="T245" s="51">
        <f t="shared" si="125"/>
        <v>0.58276179596565669</v>
      </c>
      <c r="U245" s="14">
        <f t="shared" si="126"/>
        <v>3554.0939575074176</v>
      </c>
      <c r="V245" s="44">
        <f t="shared" si="127"/>
        <v>2071.190177707711</v>
      </c>
      <c r="W245" s="44">
        <f t="shared" si="128"/>
        <v>1409.8570335739967</v>
      </c>
      <c r="X245" s="44">
        <f t="shared" si="129"/>
        <v>490.17088062498186</v>
      </c>
      <c r="Y245" s="14">
        <f t="shared" si="130"/>
        <v>3659.4667762326403</v>
      </c>
      <c r="Z245" s="14">
        <f t="shared" si="131"/>
        <v>2224.8626445570089</v>
      </c>
      <c r="AA245" s="14">
        <f t="shared" si="132"/>
        <v>3659.4667762326403</v>
      </c>
      <c r="AB245" s="14">
        <f t="shared" si="133"/>
        <v>2318.5809653471902</v>
      </c>
      <c r="AC245" s="14">
        <f t="shared" si="134"/>
        <v>3659.4667762326403</v>
      </c>
      <c r="AD245" s="33">
        <f t="shared" si="135"/>
        <v>0.56083912295366778</v>
      </c>
      <c r="AE245" s="33">
        <f t="shared" si="136"/>
        <v>6.0839122953667779E-2</v>
      </c>
      <c r="AF245" s="51">
        <f t="shared" si="137"/>
        <v>0</v>
      </c>
      <c r="AG245" s="51">
        <f>APPLICANTS_PER_YEAR*($H245/Segments!$AH$2)*AE245</f>
        <v>0.58405558035521066</v>
      </c>
      <c r="AH245" s="51">
        <f t="shared" si="138"/>
        <v>0.58405558035521066</v>
      </c>
      <c r="AI245" s="14">
        <f t="shared" si="139"/>
        <v>3659.4667762326399</v>
      </c>
      <c r="AJ245" s="44">
        <f t="shared" si="140"/>
        <v>2137.3319917831664</v>
      </c>
      <c r="AK245" s="44">
        <f t="shared" si="141"/>
        <v>1455.3766562466576</v>
      </c>
      <c r="AL245" s="44">
        <f t="shared" si="142"/>
        <v>505.04486727541382</v>
      </c>
      <c r="AM245" s="14">
        <f t="shared" si="143"/>
        <v>3768.0007795196198</v>
      </c>
      <c r="AN245" s="14">
        <f t="shared" si="144"/>
        <v>2291.6085238937194</v>
      </c>
      <c r="AO245" s="14">
        <f t="shared" si="145"/>
        <v>3768.0007795196198</v>
      </c>
      <c r="AP245" s="14">
        <f t="shared" si="146"/>
        <v>2387.742371237975</v>
      </c>
      <c r="AQ245" s="14">
        <f t="shared" si="147"/>
        <v>3768.0007795196198</v>
      </c>
      <c r="AR245" s="33">
        <f t="shared" si="148"/>
        <v>0.56096998886734561</v>
      </c>
      <c r="AS245" s="33">
        <f t="shared" si="149"/>
        <v>6.0969988867345615E-2</v>
      </c>
      <c r="AT245" s="51">
        <f t="shared" si="150"/>
        <v>0</v>
      </c>
      <c r="AU245" s="51">
        <f>APPLICANTS_PER_YEAR*($H245/Segments!$AH$2)*AS245</f>
        <v>0.58531189312651788</v>
      </c>
      <c r="AV245" s="51">
        <f t="shared" si="151"/>
        <v>0.58531189312651788</v>
      </c>
      <c r="AW245" s="14">
        <f t="shared" si="152"/>
        <v>3768.0007795196202</v>
      </c>
      <c r="AX245" s="44">
        <f t="shared" si="153"/>
        <v>2205.4556695628239</v>
      </c>
      <c r="AY245" s="44">
        <f t="shared" si="154"/>
        <v>1502.2624102361099</v>
      </c>
      <c r="AZ245" s="44">
        <f t="shared" si="155"/>
        <v>520.36110517276586</v>
      </c>
    </row>
    <row r="246" spans="1:52" ht="15" customHeight="1" x14ac:dyDescent="0.35">
      <c r="A246" s="59" t="str">
        <f>Segments!$A$226</f>
        <v>Greek</v>
      </c>
      <c r="B246" s="59" t="str">
        <f>Segments!$B$226</f>
        <v>On campus</v>
      </c>
      <c r="C246" s="59" t="str">
        <f>Segments!$C$226</f>
        <v>No</v>
      </c>
      <c r="D246" s="59" t="str">
        <f>Segments!$D$226</f>
        <v>&lt;1.0</v>
      </c>
      <c r="E246" s="59" t="str">
        <f>Segments!$E$226</f>
        <v>Sophomore</v>
      </c>
      <c r="F246" s="59">
        <f>Segments!$F$226</f>
        <v>1</v>
      </c>
      <c r="G246" s="59" t="str">
        <f>Segments!$G$226</f>
        <v>Sophomore</v>
      </c>
      <c r="H246" s="60">
        <f>Segments!$H$226</f>
        <v>8</v>
      </c>
      <c r="I246" s="26">
        <f>Segments!$Y$226</f>
        <v>2138.0848856817647</v>
      </c>
      <c r="J246" s="29">
        <v>1</v>
      </c>
      <c r="K246" s="14">
        <f t="shared" si="117"/>
        <v>1426.2297754450396</v>
      </c>
      <c r="L246" s="14">
        <f t="shared" si="118"/>
        <v>2138.0848856817647</v>
      </c>
      <c r="M246" s="14">
        <f t="shared" si="119"/>
        <v>3518.3593751376584</v>
      </c>
      <c r="N246" s="14">
        <f t="shared" si="120"/>
        <v>2240.0868066969042</v>
      </c>
      <c r="O246" s="14">
        <f t="shared" si="121"/>
        <v>1782.7872193062994</v>
      </c>
      <c r="P246" s="33">
        <f t="shared" si="122"/>
        <v>0.87707184516766801</v>
      </c>
      <c r="Q246" s="33">
        <f t="shared" si="123"/>
        <v>6.4682358598946998E-2</v>
      </c>
      <c r="R246" s="51">
        <f t="shared" si="124"/>
        <v>7.0165747613413441</v>
      </c>
      <c r="S246" s="51">
        <f>APPLICANTS_PER_YEAR*($H246/Segments!$AH$2)*Q246</f>
        <v>0.62095064254989119</v>
      </c>
      <c r="T246" s="51">
        <f t="shared" si="125"/>
        <v>7.6375254038912352</v>
      </c>
      <c r="U246" s="14">
        <f t="shared" si="126"/>
        <v>1923.8937411656052</v>
      </c>
      <c r="V246" s="44">
        <f t="shared" si="127"/>
        <v>14693.787322539658</v>
      </c>
      <c r="W246" s="44">
        <f t="shared" si="128"/>
        <v>18289.238945678811</v>
      </c>
      <c r="X246" s="44">
        <f t="shared" si="129"/>
        <v>3021.8655411165278</v>
      </c>
      <c r="Y246" s="14">
        <f t="shared" si="130"/>
        <v>3554.0939575074176</v>
      </c>
      <c r="Z246" s="14">
        <f t="shared" si="131"/>
        <v>2202.2274322522176</v>
      </c>
      <c r="AA246" s="14">
        <f t="shared" si="132"/>
        <v>3622.660156391788</v>
      </c>
      <c r="AB246" s="14">
        <f t="shared" si="133"/>
        <v>2306.8914484225916</v>
      </c>
      <c r="AC246" s="14">
        <f t="shared" si="134"/>
        <v>3622.660156391788</v>
      </c>
      <c r="AD246" s="33">
        <f t="shared" si="135"/>
        <v>0.55903015840655068</v>
      </c>
      <c r="AE246" s="33">
        <f t="shared" si="136"/>
        <v>6.4817810593364888E-2</v>
      </c>
      <c r="AF246" s="51">
        <f t="shared" si="137"/>
        <v>0.32578141911196701</v>
      </c>
      <c r="AG246" s="51">
        <f>APPLICANTS_PER_YEAR*($H246/Segments!$AH$2)*AE246</f>
        <v>0.62225098169630289</v>
      </c>
      <c r="AH246" s="51">
        <f t="shared" si="138"/>
        <v>0.94803240080826989</v>
      </c>
      <c r="AI246" s="14">
        <f t="shared" si="139"/>
        <v>3622.6601563917884</v>
      </c>
      <c r="AJ246" s="44">
        <f t="shared" si="140"/>
        <v>3434.3992053765696</v>
      </c>
      <c r="AK246" s="44">
        <f t="shared" si="141"/>
        <v>2338.31691489077</v>
      </c>
      <c r="AL246" s="44">
        <f t="shared" si="142"/>
        <v>762.51550672808514</v>
      </c>
      <c r="AM246" s="14">
        <f t="shared" si="143"/>
        <v>3659.4667762326399</v>
      </c>
      <c r="AN246" s="14">
        <f t="shared" si="144"/>
        <v>2268.2942552197842</v>
      </c>
      <c r="AO246" s="14">
        <f t="shared" si="145"/>
        <v>3730.0899610835418</v>
      </c>
      <c r="AP246" s="14">
        <f t="shared" si="146"/>
        <v>2375.700161735896</v>
      </c>
      <c r="AQ246" s="14">
        <f t="shared" si="147"/>
        <v>3730.0899610835418</v>
      </c>
      <c r="AR246" s="33">
        <f t="shared" si="148"/>
        <v>0.55915971061169478</v>
      </c>
      <c r="AS246" s="33">
        <f t="shared" si="149"/>
        <v>6.4949339743696988E-2</v>
      </c>
      <c r="AT246" s="51">
        <f t="shared" si="150"/>
        <v>0.32658034929256502</v>
      </c>
      <c r="AU246" s="51">
        <f>APPLICANTS_PER_YEAR*($H246/Segments!$AH$2)*AS246</f>
        <v>0.62351366153949106</v>
      </c>
      <c r="AV246" s="51">
        <f t="shared" si="151"/>
        <v>0.95009401083205614</v>
      </c>
      <c r="AW246" s="14">
        <f t="shared" si="152"/>
        <v>3730.0899610835418</v>
      </c>
      <c r="AX246" s="44">
        <f t="shared" si="153"/>
        <v>3543.9361318902502</v>
      </c>
      <c r="AY246" s="44">
        <f t="shared" si="154"/>
        <v>2413.703921091766</v>
      </c>
      <c r="AZ246" s="44">
        <f t="shared" si="155"/>
        <v>785.79532241512709</v>
      </c>
    </row>
    <row r="247" spans="1:52" ht="15" customHeight="1" x14ac:dyDescent="0.35">
      <c r="A247" s="59" t="str">
        <f>Segments!$A$227</f>
        <v>Greek</v>
      </c>
      <c r="B247" s="59" t="str">
        <f>Segments!$B$227</f>
        <v>On campus</v>
      </c>
      <c r="C247" s="59" t="str">
        <f>Segments!$C$227</f>
        <v>No</v>
      </c>
      <c r="D247" s="59" t="str">
        <f>Segments!$D$227</f>
        <v>&lt;1.0</v>
      </c>
      <c r="E247" s="59" t="str">
        <f>Segments!$E$227</f>
        <v>Junior</v>
      </c>
      <c r="F247" s="59">
        <f>Segments!$F$227</f>
        <v>2</v>
      </c>
      <c r="G247" s="59" t="str">
        <f>Segments!$G$227</f>
        <v>Base</v>
      </c>
      <c r="H247" s="60">
        <f>Segments!$H$227</f>
        <v>10</v>
      </c>
      <c r="I247" s="26">
        <f>Segments!$Y$227</f>
        <v>2555.9214584061378</v>
      </c>
      <c r="J247" s="29">
        <v>2</v>
      </c>
      <c r="K247" s="14">
        <f t="shared" si="117"/>
        <v>1426.2297754450396</v>
      </c>
      <c r="L247" s="14">
        <f t="shared" si="118"/>
        <v>2555.9214584061378</v>
      </c>
      <c r="M247" s="14">
        <f t="shared" si="119"/>
        <v>4197.7942167810588</v>
      </c>
      <c r="N247" s="14">
        <f t="shared" si="120"/>
        <v>2446.8385936068885</v>
      </c>
      <c r="O247" s="14">
        <f t="shared" si="121"/>
        <v>1782.7872193062994</v>
      </c>
      <c r="P247" s="33">
        <f t="shared" si="122"/>
        <v>0.9106957863987486</v>
      </c>
      <c r="Q247" s="33">
        <f t="shared" si="123"/>
        <v>0.02</v>
      </c>
      <c r="R247" s="51">
        <f t="shared" si="124"/>
        <v>7.2855662911899888</v>
      </c>
      <c r="S247" s="51">
        <f>APPLICANTS_PER_YEAR*($H247/Segments!$AH$2)*Q247</f>
        <v>0.24</v>
      </c>
      <c r="T247" s="51">
        <f t="shared" si="125"/>
        <v>7.525566291189989</v>
      </c>
      <c r="U247" s="14">
        <f t="shared" si="126"/>
        <v>1859.8049023572703</v>
      </c>
      <c r="V247" s="44">
        <f t="shared" si="127"/>
        <v>13996.085081369762</v>
      </c>
      <c r="W247" s="44">
        <f t="shared" si="128"/>
        <v>21542.927134747635</v>
      </c>
      <c r="X247" s="44">
        <f t="shared" si="129"/>
        <v>2837.0328776236456</v>
      </c>
      <c r="Y247" s="14">
        <f t="shared" si="130"/>
        <v>1923.8937411656052</v>
      </c>
      <c r="Z247" s="14">
        <f t="shared" si="131"/>
        <v>2632.5991021583222</v>
      </c>
      <c r="AA247" s="14">
        <f t="shared" si="132"/>
        <v>4322.4780432844909</v>
      </c>
      <c r="AB247" s="14">
        <f t="shared" si="133"/>
        <v>2519.8794208673849</v>
      </c>
      <c r="AC247" s="14">
        <f t="shared" si="134"/>
        <v>2404.8671764570063</v>
      </c>
      <c r="AD247" s="33">
        <f t="shared" si="135"/>
        <v>0.79782098172197258</v>
      </c>
      <c r="AE247" s="33">
        <f t="shared" si="136"/>
        <v>0.02</v>
      </c>
      <c r="AF247" s="51">
        <f t="shared" si="137"/>
        <v>6.0933780156590105</v>
      </c>
      <c r="AG247" s="51">
        <f>APPLICANTS_PER_YEAR*($H247/Segments!$AH$2)*AE247</f>
        <v>0.24</v>
      </c>
      <c r="AH247" s="51">
        <f t="shared" si="138"/>
        <v>6.3333780156590107</v>
      </c>
      <c r="AI247" s="14">
        <f t="shared" si="139"/>
        <v>2477.534022948832</v>
      </c>
      <c r="AJ247" s="44">
        <f t="shared" si="140"/>
        <v>15691.159513991359</v>
      </c>
      <c r="AK247" s="44">
        <f t="shared" si="141"/>
        <v>18674.034710971551</v>
      </c>
      <c r="AL247" s="44">
        <f t="shared" si="142"/>
        <v>3134.6055240211367</v>
      </c>
      <c r="AM247" s="14">
        <f t="shared" si="143"/>
        <v>3622.6601563917884</v>
      </c>
      <c r="AN247" s="14">
        <f t="shared" si="144"/>
        <v>2711.5770752230715</v>
      </c>
      <c r="AO247" s="14">
        <f t="shared" si="145"/>
        <v>4450.9023845830252</v>
      </c>
      <c r="AP247" s="14">
        <f t="shared" si="146"/>
        <v>2595.1114210296982</v>
      </c>
      <c r="AQ247" s="14">
        <f t="shared" si="147"/>
        <v>4450.9023845830252</v>
      </c>
      <c r="AR247" s="33">
        <f t="shared" si="148"/>
        <v>0.42385638259617814</v>
      </c>
      <c r="AS247" s="33">
        <f t="shared" si="149"/>
        <v>0.02</v>
      </c>
      <c r="AT247" s="51">
        <f t="shared" si="150"/>
        <v>0.40182958399056334</v>
      </c>
      <c r="AU247" s="51">
        <f>APPLICANTS_PER_YEAR*($H247/Segments!$AH$2)*AS247</f>
        <v>0.24</v>
      </c>
      <c r="AV247" s="51">
        <f t="shared" si="151"/>
        <v>0.64182958399056333</v>
      </c>
      <c r="AW247" s="14">
        <f t="shared" si="152"/>
        <v>4450.9023845830243</v>
      </c>
      <c r="AX247" s="44">
        <f t="shared" si="153"/>
        <v>2856.720825879529</v>
      </c>
      <c r="AY247" s="44">
        <f t="shared" si="154"/>
        <v>1949.2148324866253</v>
      </c>
      <c r="AZ247" s="44">
        <f t="shared" si="155"/>
        <v>596.14440780153961</v>
      </c>
    </row>
    <row r="248" spans="1:52" ht="15" customHeight="1" x14ac:dyDescent="0.35">
      <c r="A248" s="59" t="str">
        <f>Segments!$A$228</f>
        <v>Greek</v>
      </c>
      <c r="B248" s="59" t="str">
        <f>Segments!$B$228</f>
        <v>On campus</v>
      </c>
      <c r="C248" s="59" t="str">
        <f>Segments!$C$228</f>
        <v>No</v>
      </c>
      <c r="D248" s="59" t="str">
        <f>Segments!$D$228</f>
        <v>&lt;1.0</v>
      </c>
      <c r="E248" s="59" t="str">
        <f>Segments!$E$228</f>
        <v>Senior</v>
      </c>
      <c r="F248" s="59">
        <f>Segments!$F$228</f>
        <v>3</v>
      </c>
      <c r="G248" s="59" t="str">
        <f>Segments!$G$228</f>
        <v>Base</v>
      </c>
      <c r="H248" s="60">
        <f>Segments!$H$228</f>
        <v>5</v>
      </c>
      <c r="I248" s="26">
        <f>Segments!$Y$228</f>
        <v>2388.9877268445393</v>
      </c>
      <c r="J248" s="29">
        <v>3</v>
      </c>
      <c r="K248" s="14">
        <f t="shared" si="117"/>
        <v>1426.2297754450396</v>
      </c>
      <c r="L248" s="14">
        <f t="shared" si="118"/>
        <v>2388.9877268445393</v>
      </c>
      <c r="M248" s="14">
        <f t="shared" si="119"/>
        <v>3926.3469551663729</v>
      </c>
      <c r="N248" s="14">
        <f t="shared" si="120"/>
        <v>2366.4050659568516</v>
      </c>
      <c r="O248" s="14">
        <f t="shared" si="121"/>
        <v>1782.7872193062994</v>
      </c>
      <c r="P248" s="33">
        <f t="shared" si="122"/>
        <v>0.89831317555191403</v>
      </c>
      <c r="Q248" s="33">
        <f t="shared" si="123"/>
        <v>2.0398379455217719E-2</v>
      </c>
      <c r="R248" s="51">
        <f t="shared" si="124"/>
        <v>8.9831317555191408</v>
      </c>
      <c r="S248" s="51">
        <f>APPLICANTS_PER_YEAR*($H248/Segments!$AH$2)*Q248</f>
        <v>0.12239027673130631</v>
      </c>
      <c r="T248" s="51">
        <f t="shared" si="125"/>
        <v>9.1055220322504464</v>
      </c>
      <c r="U248" s="14">
        <f t="shared" si="126"/>
        <v>1811.5995013844488</v>
      </c>
      <c r="V248" s="44">
        <f t="shared" si="127"/>
        <v>16495.559173470021</v>
      </c>
      <c r="W248" s="44">
        <f t="shared" si="128"/>
        <v>24363.33802734593</v>
      </c>
      <c r="X248" s="44">
        <f t="shared" si="129"/>
        <v>3319.6500155126332</v>
      </c>
      <c r="Y248" s="14">
        <f t="shared" si="130"/>
        <v>1859.8049023572703</v>
      </c>
      <c r="Z248" s="14">
        <f t="shared" si="131"/>
        <v>2460.6573586498757</v>
      </c>
      <c r="AA248" s="14">
        <f t="shared" si="132"/>
        <v>4042.8873638213645</v>
      </c>
      <c r="AB248" s="14">
        <f t="shared" si="133"/>
        <v>2437.0205019991331</v>
      </c>
      <c r="AC248" s="14">
        <f t="shared" si="134"/>
        <v>2324.7561279465881</v>
      </c>
      <c r="AD248" s="33">
        <f t="shared" si="135"/>
        <v>0.798033120558578</v>
      </c>
      <c r="AE248" s="33">
        <f t="shared" si="136"/>
        <v>2.052659989833705E-2</v>
      </c>
      <c r="AF248" s="51">
        <f t="shared" si="137"/>
        <v>6.0056511513287916</v>
      </c>
      <c r="AG248" s="51">
        <f>APPLICANTS_PER_YEAR*($H248/Segments!$AH$2)*AE248</f>
        <v>0.1231595993900223</v>
      </c>
      <c r="AH248" s="51">
        <f t="shared" si="138"/>
        <v>6.1288107507188139</v>
      </c>
      <c r="AI248" s="14">
        <f t="shared" si="139"/>
        <v>2359.2822967771403</v>
      </c>
      <c r="AJ248" s="44">
        <f t="shared" si="140"/>
        <v>14459.594704468313</v>
      </c>
      <c r="AK248" s="44">
        <f t="shared" si="141"/>
        <v>16890.611666352164</v>
      </c>
      <c r="AL248" s="44">
        <f t="shared" si="142"/>
        <v>2875.9458177273905</v>
      </c>
      <c r="AM248" s="14">
        <f t="shared" si="143"/>
        <v>2477.534022948832</v>
      </c>
      <c r="AN248" s="14">
        <f t="shared" si="144"/>
        <v>2534.4770794093715</v>
      </c>
      <c r="AO248" s="14">
        <f t="shared" si="145"/>
        <v>4162.923984736005</v>
      </c>
      <c r="AP248" s="14">
        <f t="shared" si="146"/>
        <v>2509.7543437291711</v>
      </c>
      <c r="AQ248" s="14">
        <f t="shared" si="147"/>
        <v>3096.91752868604</v>
      </c>
      <c r="AR248" s="33">
        <f t="shared" si="148"/>
        <v>0.65802377353705066</v>
      </c>
      <c r="AS248" s="33">
        <f t="shared" si="149"/>
        <v>2.0651104731143288E-2</v>
      </c>
      <c r="AT248" s="51">
        <f t="shared" si="150"/>
        <v>4.1675133011005405</v>
      </c>
      <c r="AU248" s="51">
        <f>APPLICANTS_PER_YEAR*($H248/Segments!$AH$2)*AS248</f>
        <v>0.12390662838685973</v>
      </c>
      <c r="AV248" s="51">
        <f t="shared" si="151"/>
        <v>4.2914199294874003</v>
      </c>
      <c r="AW248" s="14">
        <f t="shared" si="152"/>
        <v>3127.6964475469481</v>
      </c>
      <c r="AX248" s="44">
        <f t="shared" si="153"/>
        <v>13422.258868389916</v>
      </c>
      <c r="AY248" s="44">
        <f t="shared" si="154"/>
        <v>12181.686103335165</v>
      </c>
      <c r="AZ248" s="44">
        <f t="shared" si="155"/>
        <v>2643.7864760563934</v>
      </c>
    </row>
    <row r="249" spans="1:52" ht="15" customHeight="1" x14ac:dyDescent="0.35">
      <c r="A249" s="59" t="str">
        <f>Segments!$A$229</f>
        <v>Greek</v>
      </c>
      <c r="B249" s="59" t="str">
        <f>Segments!$B$229</f>
        <v>On campus</v>
      </c>
      <c r="C249" s="59" t="str">
        <f>Segments!$C$229</f>
        <v>No</v>
      </c>
      <c r="D249" s="59" t="str">
        <f>Segments!$D$229</f>
        <v>&lt;1.0</v>
      </c>
      <c r="E249" s="59" t="str">
        <f>Segments!$E$229</f>
        <v>Grad student</v>
      </c>
      <c r="F249" s="59">
        <f>Segments!$F$229</f>
        <v>3</v>
      </c>
      <c r="G249" s="59" t="str">
        <f>Segments!$G$229</f>
        <v>Grad</v>
      </c>
      <c r="H249" s="60">
        <f>Segments!$H$229</f>
        <v>4</v>
      </c>
      <c r="I249" s="26">
        <f>Segments!$Y$229</f>
        <v>2844.5209266402048</v>
      </c>
      <c r="J249" s="29">
        <v>4</v>
      </c>
      <c r="K249" s="14">
        <f t="shared" si="117"/>
        <v>1426.2297754450396</v>
      </c>
      <c r="L249" s="14">
        <f t="shared" si="118"/>
        <v>2844.5209266402048</v>
      </c>
      <c r="M249" s="14">
        <f t="shared" si="119"/>
        <v>4667.0794512436023</v>
      </c>
      <c r="N249" s="14">
        <f t="shared" si="120"/>
        <v>2579.9859840183867</v>
      </c>
      <c r="O249" s="14">
        <f t="shared" si="121"/>
        <v>1782.7872193062994</v>
      </c>
      <c r="P249" s="33">
        <f t="shared" si="122"/>
        <v>0.92949672394545968</v>
      </c>
      <c r="Q249" s="33">
        <f t="shared" si="123"/>
        <v>0.02</v>
      </c>
      <c r="R249" s="51">
        <f t="shared" si="124"/>
        <v>1.8589934478909194</v>
      </c>
      <c r="S249" s="51">
        <f>APPLICANTS_PER_YEAR*($H249/Segments!$AH$2)*Q249</f>
        <v>9.6000000000000002E-2</v>
      </c>
      <c r="T249" s="51">
        <f t="shared" si="125"/>
        <v>1.9549934478909194</v>
      </c>
      <c r="U249" s="14">
        <f t="shared" si="126"/>
        <v>1924.4204583152061</v>
      </c>
      <c r="V249" s="44">
        <f t="shared" si="127"/>
        <v>3762.2293869934683</v>
      </c>
      <c r="W249" s="44">
        <f t="shared" si="128"/>
        <v>6228.3421468466322</v>
      </c>
      <c r="X249" s="44">
        <f t="shared" si="129"/>
        <v>768.24261005576238</v>
      </c>
      <c r="Y249" s="14">
        <f t="shared" si="130"/>
        <v>1924.4204583152061</v>
      </c>
      <c r="Z249" s="14">
        <f t="shared" si="131"/>
        <v>2929.856554439411</v>
      </c>
      <c r="AA249" s="14">
        <f t="shared" si="132"/>
        <v>4805.8418347809102</v>
      </c>
      <c r="AB249" s="14">
        <f t="shared" si="133"/>
        <v>2657.0400377994442</v>
      </c>
      <c r="AC249" s="14">
        <f t="shared" si="134"/>
        <v>2405.5255728940078</v>
      </c>
      <c r="AD249" s="33">
        <f t="shared" si="135"/>
        <v>0.82232982215686534</v>
      </c>
      <c r="AE249" s="33">
        <f t="shared" si="136"/>
        <v>0.02</v>
      </c>
      <c r="AF249" s="51">
        <f t="shared" si="137"/>
        <v>0.80382470716098842</v>
      </c>
      <c r="AG249" s="51">
        <f>APPLICANTS_PER_YEAR*($H249/Segments!$AH$2)*AE249</f>
        <v>9.6000000000000002E-2</v>
      </c>
      <c r="AH249" s="51">
        <f t="shared" si="138"/>
        <v>0.89982470716098839</v>
      </c>
      <c r="AI249" s="14">
        <f t="shared" si="139"/>
        <v>2661.6091848545716</v>
      </c>
      <c r="AJ249" s="44">
        <f t="shared" si="140"/>
        <v>2394.9817053387619</v>
      </c>
      <c r="AK249" s="44">
        <f t="shared" si="141"/>
        <v>2952.7201940568029</v>
      </c>
      <c r="AL249" s="44">
        <f t="shared" si="142"/>
        <v>489.1956650171096</v>
      </c>
      <c r="AM249" s="14">
        <f t="shared" si="143"/>
        <v>2661.6091848545716</v>
      </c>
      <c r="AN249" s="14">
        <f t="shared" si="144"/>
        <v>3017.752251072593</v>
      </c>
      <c r="AO249" s="14">
        <f t="shared" si="145"/>
        <v>4948.7670898243368</v>
      </c>
      <c r="AP249" s="14">
        <f t="shared" si="146"/>
        <v>2736.405668909983</v>
      </c>
      <c r="AQ249" s="14">
        <f t="shared" si="147"/>
        <v>3327.0114810682144</v>
      </c>
      <c r="AR249" s="33">
        <f t="shared" si="148"/>
        <v>0.66708365213015131</v>
      </c>
      <c r="AS249" s="33">
        <f t="shared" si="149"/>
        <v>0.02</v>
      </c>
      <c r="AT249" s="51">
        <f t="shared" si="150"/>
        <v>0.30012917596494804</v>
      </c>
      <c r="AU249" s="51">
        <f>APPLICANTS_PER_YEAR*($H249/Segments!$AH$2)*AS249</f>
        <v>9.6000000000000002E-2</v>
      </c>
      <c r="AV249" s="51">
        <f t="shared" si="151"/>
        <v>0.39612917596494801</v>
      </c>
      <c r="AW249" s="14">
        <f t="shared" si="152"/>
        <v>3720.0361505118108</v>
      </c>
      <c r="AX249" s="44">
        <f t="shared" si="153"/>
        <v>1473.6148548620608</v>
      </c>
      <c r="AY249" s="44">
        <f t="shared" si="154"/>
        <v>1338.8700779818037</v>
      </c>
      <c r="AZ249" s="44">
        <f t="shared" si="155"/>
        <v>305.46364851003818</v>
      </c>
    </row>
    <row r="250" spans="1:52" ht="15" customHeight="1" x14ac:dyDescent="0.35">
      <c r="A250" s="61" t="str">
        <f>Segments!$A$230</f>
        <v>Greek</v>
      </c>
      <c r="B250" s="61" t="str">
        <f>Segments!$B$230</f>
        <v>On campus</v>
      </c>
      <c r="C250" s="61" t="str">
        <f>Segments!$C$230</f>
        <v>No</v>
      </c>
      <c r="D250" s="61" t="str">
        <f>Segments!$D$230</f>
        <v>1.0-2.0</v>
      </c>
      <c r="E250" s="61" t="str">
        <f>Segments!$E$230</f>
        <v>Freshman</v>
      </c>
      <c r="F250" s="61">
        <f>Segments!$F$230</f>
        <v>1</v>
      </c>
      <c r="G250" s="61" t="str">
        <f>Segments!$G$230</f>
        <v>Base</v>
      </c>
      <c r="H250" s="62">
        <f>Segments!$H$230</f>
        <v>24</v>
      </c>
      <c r="I250" s="63">
        <f>Segments!$Y$230</f>
        <v>1960.0847278091142</v>
      </c>
      <c r="J250" s="42">
        <v>0</v>
      </c>
      <c r="K250" s="40">
        <f t="shared" si="117"/>
        <v>3228.9172416064639</v>
      </c>
      <c r="L250" s="40">
        <f t="shared" si="118"/>
        <v>1960.0847278091142</v>
      </c>
      <c r="M250" s="40">
        <f t="shared" si="119"/>
        <v>3228.9172416064639</v>
      </c>
      <c r="N250" s="40">
        <f t="shared" si="120"/>
        <v>2145.9678265125513</v>
      </c>
      <c r="O250" s="40">
        <f t="shared" si="121"/>
        <v>3228.9172416064639</v>
      </c>
      <c r="P250" s="41">
        <f t="shared" si="122"/>
        <v>0.59767808684861967</v>
      </c>
      <c r="Q250" s="41">
        <f t="shared" si="123"/>
        <v>9.7678086848619672E-2</v>
      </c>
      <c r="R250" s="64">
        <f t="shared" si="124"/>
        <v>0</v>
      </c>
      <c r="S250" s="64">
        <f>APPLICANTS_PER_YEAR*($H250/Segments!$AH$2)*Q250</f>
        <v>2.8131289012402463</v>
      </c>
      <c r="T250" s="64">
        <f t="shared" si="125"/>
        <v>2.8131289012402463</v>
      </c>
      <c r="U250" s="40">
        <f t="shared" si="126"/>
        <v>3228.9172416064639</v>
      </c>
      <c r="V250" s="65">
        <f t="shared" si="127"/>
        <v>9083.3604120760792</v>
      </c>
      <c r="W250" s="65">
        <f t="shared" si="128"/>
        <v>6175.6475162809738</v>
      </c>
      <c r="X250" s="65">
        <f t="shared" si="129"/>
        <v>2161.263532860853</v>
      </c>
      <c r="Y250" s="40">
        <f t="shared" si="130"/>
        <v>3324.5347588546579</v>
      </c>
      <c r="Z250" s="40">
        <f t="shared" si="131"/>
        <v>2018.8872696433875</v>
      </c>
      <c r="AA250" s="40">
        <f t="shared" si="132"/>
        <v>3324.5347588546579</v>
      </c>
      <c r="AB250" s="40">
        <f t="shared" si="133"/>
        <v>2209.9314415741324</v>
      </c>
      <c r="AC250" s="40">
        <f t="shared" si="134"/>
        <v>3324.5347588546579</v>
      </c>
      <c r="AD250" s="41">
        <f t="shared" si="135"/>
        <v>0.59781948066076773</v>
      </c>
      <c r="AE250" s="41">
        <f t="shared" si="136"/>
        <v>9.7819480660767733E-2</v>
      </c>
      <c r="AF250" s="64">
        <f t="shared" si="137"/>
        <v>0</v>
      </c>
      <c r="AG250" s="64">
        <f>APPLICANTS_PER_YEAR*($H250/Segments!$AH$2)*AE250</f>
        <v>2.8172010430301104</v>
      </c>
      <c r="AH250" s="64">
        <f t="shared" si="138"/>
        <v>2.8172010430301104</v>
      </c>
      <c r="AI250" s="40">
        <f t="shared" si="139"/>
        <v>3324.5347588546579</v>
      </c>
      <c r="AJ250" s="65">
        <f t="shared" si="140"/>
        <v>9365.8827902351986</v>
      </c>
      <c r="AK250" s="65">
        <f t="shared" si="141"/>
        <v>6370.1246804155116</v>
      </c>
      <c r="AL250" s="65">
        <f t="shared" si="142"/>
        <v>2224.7317919490392</v>
      </c>
      <c r="AM250" s="40">
        <f t="shared" si="143"/>
        <v>3423.0208016202973</v>
      </c>
      <c r="AN250" s="40">
        <f t="shared" si="144"/>
        <v>2079.4538877326891</v>
      </c>
      <c r="AO250" s="40">
        <f t="shared" si="145"/>
        <v>3423.0208016202973</v>
      </c>
      <c r="AP250" s="40">
        <f t="shared" si="146"/>
        <v>2275.8138881207419</v>
      </c>
      <c r="AQ250" s="40">
        <f t="shared" si="147"/>
        <v>3423.0208016202973</v>
      </c>
      <c r="AR250" s="41">
        <f t="shared" si="148"/>
        <v>0.59795678164024568</v>
      </c>
      <c r="AS250" s="41">
        <f t="shared" si="149"/>
        <v>9.7956781640245683E-2</v>
      </c>
      <c r="AT250" s="64">
        <f t="shared" si="150"/>
        <v>0</v>
      </c>
      <c r="AU250" s="64">
        <f>APPLICANTS_PER_YEAR*($H250/Segments!$AH$2)*AS250</f>
        <v>2.8211553112390755</v>
      </c>
      <c r="AV250" s="64">
        <f t="shared" si="151"/>
        <v>2.8211553112390755</v>
      </c>
      <c r="AW250" s="40">
        <f t="shared" si="152"/>
        <v>3423.0208016202973</v>
      </c>
      <c r="AX250" s="65">
        <f t="shared" si="153"/>
        <v>9656.8733149729396</v>
      </c>
      <c r="AY250" s="65">
        <f t="shared" si="154"/>
        <v>6570.4378654362781</v>
      </c>
      <c r="AZ250" s="65">
        <f t="shared" si="155"/>
        <v>2290.0916115596965</v>
      </c>
    </row>
    <row r="251" spans="1:52" ht="15" customHeight="1" x14ac:dyDescent="0.35">
      <c r="A251" s="61" t="str">
        <f>Segments!$A$231</f>
        <v>Greek</v>
      </c>
      <c r="B251" s="61" t="str">
        <f>Segments!$B$231</f>
        <v>On campus</v>
      </c>
      <c r="C251" s="61" t="str">
        <f>Segments!$C$231</f>
        <v>No</v>
      </c>
      <c r="D251" s="61" t="str">
        <f>Segments!$D$231</f>
        <v>1.0-2.0</v>
      </c>
      <c r="E251" s="61" t="str">
        <f>Segments!$E$231</f>
        <v>Sophomore</v>
      </c>
      <c r="F251" s="61">
        <f>Segments!$F$231</f>
        <v>1</v>
      </c>
      <c r="G251" s="61" t="str">
        <f>Segments!$G$231</f>
        <v>Sophomore</v>
      </c>
      <c r="H251" s="62">
        <f>Segments!$H$231</f>
        <v>23</v>
      </c>
      <c r="I251" s="63">
        <f>Segments!$Y$231</f>
        <v>1940.1433017359677</v>
      </c>
      <c r="J251" s="42">
        <v>1</v>
      </c>
      <c r="K251" s="40">
        <f t="shared" si="117"/>
        <v>1426.2297754450396</v>
      </c>
      <c r="L251" s="40">
        <f t="shared" si="118"/>
        <v>1940.1433017359677</v>
      </c>
      <c r="M251" s="40">
        <f t="shared" si="119"/>
        <v>3196.4909281849018</v>
      </c>
      <c r="N251" s="40">
        <f t="shared" si="120"/>
        <v>2135.1652251564183</v>
      </c>
      <c r="O251" s="40">
        <f t="shared" si="121"/>
        <v>1782.7872193062994</v>
      </c>
      <c r="P251" s="41">
        <f t="shared" si="122"/>
        <v>0.8575177371986058</v>
      </c>
      <c r="Q251" s="41">
        <f t="shared" si="123"/>
        <v>0.10146520500521616</v>
      </c>
      <c r="R251" s="64">
        <f t="shared" si="124"/>
        <v>20.580425692766539</v>
      </c>
      <c r="S251" s="64">
        <f>APPLICANTS_PER_YEAR*($H251/Segments!$AH$2)*Q251</f>
        <v>2.8004396581439659</v>
      </c>
      <c r="T251" s="64">
        <f t="shared" si="125"/>
        <v>23.380865350910504</v>
      </c>
      <c r="U251" s="40">
        <f t="shared" si="126"/>
        <v>1952.113370062079</v>
      </c>
      <c r="V251" s="65">
        <f t="shared" si="127"/>
        <v>45642.099855133594</v>
      </c>
      <c r="W251" s="65">
        <f t="shared" si="128"/>
        <v>50805.696815282747</v>
      </c>
      <c r="X251" s="65">
        <f t="shared" si="129"/>
        <v>9477.2904697685826</v>
      </c>
      <c r="Y251" s="40">
        <f t="shared" si="130"/>
        <v>3228.9172416064639</v>
      </c>
      <c r="Z251" s="40">
        <f t="shared" si="131"/>
        <v>1998.3476007880467</v>
      </c>
      <c r="AA251" s="40">
        <f t="shared" si="132"/>
        <v>3291.1356560304489</v>
      </c>
      <c r="AB251" s="40">
        <f t="shared" si="133"/>
        <v>2198.8026600150488</v>
      </c>
      <c r="AC251" s="40">
        <f t="shared" si="134"/>
        <v>3291.1356560304489</v>
      </c>
      <c r="AD251" s="41">
        <f t="shared" si="135"/>
        <v>0.59582657640085046</v>
      </c>
      <c r="AE251" s="41">
        <f t="shared" si="136"/>
        <v>0.10160731431716474</v>
      </c>
      <c r="AF251" s="64">
        <f t="shared" si="137"/>
        <v>1.6761369622002622</v>
      </c>
      <c r="AG251" s="64">
        <f>APPLICANTS_PER_YEAR*($H251/Segments!$AH$2)*AE251</f>
        <v>2.8043618751537469</v>
      </c>
      <c r="AH251" s="64">
        <f t="shared" si="138"/>
        <v>4.4804988373540091</v>
      </c>
      <c r="AI251" s="40">
        <f t="shared" si="139"/>
        <v>3291.1356560304484</v>
      </c>
      <c r="AJ251" s="65">
        <f t="shared" si="140"/>
        <v>14745.929480418748</v>
      </c>
      <c r="AK251" s="65">
        <f t="shared" si="141"/>
        <v>10028.025394195221</v>
      </c>
      <c r="AL251" s="65">
        <f t="shared" si="142"/>
        <v>3269.7334330156491</v>
      </c>
      <c r="AM251" s="40">
        <f t="shared" si="143"/>
        <v>3324.5347588546579</v>
      </c>
      <c r="AN251" s="40">
        <f t="shared" si="144"/>
        <v>2058.2980288116883</v>
      </c>
      <c r="AO251" s="40">
        <f t="shared" si="145"/>
        <v>3388.6197257113627</v>
      </c>
      <c r="AP251" s="40">
        <f t="shared" si="146"/>
        <v>2264.3491397780444</v>
      </c>
      <c r="AQ251" s="40">
        <f t="shared" si="147"/>
        <v>3388.6197257113627</v>
      </c>
      <c r="AR251" s="41">
        <f t="shared" si="148"/>
        <v>0.59596239891460157</v>
      </c>
      <c r="AS251" s="41">
        <f t="shared" si="149"/>
        <v>0.10174531034478163</v>
      </c>
      <c r="AT251" s="64">
        <f t="shared" si="150"/>
        <v>1.6789458918289424</v>
      </c>
      <c r="AU251" s="64">
        <f>APPLICANTS_PER_YEAR*($H251/Segments!$AH$2)*AS251</f>
        <v>2.8081705655159728</v>
      </c>
      <c r="AV251" s="64">
        <f t="shared" si="151"/>
        <v>4.4871164573449152</v>
      </c>
      <c r="AW251" s="40">
        <f t="shared" si="152"/>
        <v>3388.6197257113627</v>
      </c>
      <c r="AX251" s="65">
        <f t="shared" si="153"/>
        <v>15205.131338923067</v>
      </c>
      <c r="AY251" s="65">
        <f t="shared" si="154"/>
        <v>10344.121714305709</v>
      </c>
      <c r="AZ251" s="65">
        <f t="shared" si="155"/>
        <v>3366.7701923426885</v>
      </c>
    </row>
    <row r="252" spans="1:52" ht="15" customHeight="1" x14ac:dyDescent="0.35">
      <c r="A252" s="61" t="str">
        <f>Segments!$A$232</f>
        <v>Greek</v>
      </c>
      <c r="B252" s="61" t="str">
        <f>Segments!$B$232</f>
        <v>On campus</v>
      </c>
      <c r="C252" s="61" t="str">
        <f>Segments!$C$232</f>
        <v>No</v>
      </c>
      <c r="D252" s="61" t="str">
        <f>Segments!$D$232</f>
        <v>1.0-2.0</v>
      </c>
      <c r="E252" s="61" t="str">
        <f>Segments!$E$232</f>
        <v>Junior</v>
      </c>
      <c r="F252" s="61">
        <f>Segments!$F$232</f>
        <v>2</v>
      </c>
      <c r="G252" s="61" t="str">
        <f>Segments!$G$232</f>
        <v>Base</v>
      </c>
      <c r="H252" s="62">
        <f>Segments!$H$232</f>
        <v>22</v>
      </c>
      <c r="I252" s="63">
        <f>Segments!$Y$232</f>
        <v>2319.2970169230116</v>
      </c>
      <c r="J252" s="42">
        <v>2</v>
      </c>
      <c r="K252" s="40">
        <f t="shared" si="117"/>
        <v>1426.2297754450396</v>
      </c>
      <c r="L252" s="40">
        <f t="shared" si="118"/>
        <v>2319.2970169230116</v>
      </c>
      <c r="M252" s="40">
        <f t="shared" si="119"/>
        <v>3813.0244277705142</v>
      </c>
      <c r="N252" s="40">
        <f t="shared" si="120"/>
        <v>2332.0053544933362</v>
      </c>
      <c r="O252" s="40">
        <f t="shared" si="121"/>
        <v>1782.7872193062994</v>
      </c>
      <c r="P252" s="41">
        <f t="shared" si="122"/>
        <v>0.89275661966830322</v>
      </c>
      <c r="Q252" s="41">
        <f t="shared" si="123"/>
        <v>3.245804615681247E-2</v>
      </c>
      <c r="R252" s="64">
        <f t="shared" si="124"/>
        <v>20.533402252370973</v>
      </c>
      <c r="S252" s="64">
        <f>APPLICANTS_PER_YEAR*($H252/Segments!$AH$2)*Q252</f>
        <v>0.85689241853984932</v>
      </c>
      <c r="T252" s="64">
        <f t="shared" si="125"/>
        <v>21.390294670910823</v>
      </c>
      <c r="U252" s="40">
        <f t="shared" si="126"/>
        <v>1864.1182574493291</v>
      </c>
      <c r="V252" s="65">
        <f t="shared" si="127"/>
        <v>39874.038828265955</v>
      </c>
      <c r="W252" s="65">
        <f t="shared" si="128"/>
        <v>55563.70021590939</v>
      </c>
      <c r="X252" s="65">
        <f t="shared" si="129"/>
        <v>8099.778852759212</v>
      </c>
      <c r="Y252" s="40">
        <f t="shared" si="130"/>
        <v>1952.113370062079</v>
      </c>
      <c r="Z252" s="40">
        <f t="shared" si="131"/>
        <v>2388.8759274307022</v>
      </c>
      <c r="AA252" s="40">
        <f t="shared" si="132"/>
        <v>3926.1651606036303</v>
      </c>
      <c r="AB252" s="40">
        <f t="shared" si="133"/>
        <v>2401.5832413282883</v>
      </c>
      <c r="AC252" s="40">
        <f t="shared" si="134"/>
        <v>2440.1417125775988</v>
      </c>
      <c r="AD252" s="41">
        <f t="shared" si="135"/>
        <v>0.76697228091332281</v>
      </c>
      <c r="AE252" s="41">
        <f t="shared" si="136"/>
        <v>3.2588158295085101E-2</v>
      </c>
      <c r="AF252" s="64">
        <f t="shared" si="137"/>
        <v>17.932475627915107</v>
      </c>
      <c r="AG252" s="64">
        <f>APPLICANTS_PER_YEAR*($H252/Segments!$AH$2)*AE252</f>
        <v>0.86032737899024669</v>
      </c>
      <c r="AH252" s="64">
        <f t="shared" si="138"/>
        <v>18.792803006905352</v>
      </c>
      <c r="AI252" s="40">
        <f t="shared" si="139"/>
        <v>2508.1713012285586</v>
      </c>
      <c r="AJ252" s="65">
        <f t="shared" si="140"/>
        <v>47135.569171561765</v>
      </c>
      <c r="AK252" s="65">
        <f t="shared" si="141"/>
        <v>50280.915677600737</v>
      </c>
      <c r="AL252" s="65">
        <f t="shared" si="142"/>
        <v>9424.2093764117089</v>
      </c>
      <c r="AM252" s="40">
        <f t="shared" si="143"/>
        <v>3291.1356560304484</v>
      </c>
      <c r="AN252" s="40">
        <f t="shared" si="144"/>
        <v>2460.5422052536228</v>
      </c>
      <c r="AO252" s="40">
        <f t="shared" si="145"/>
        <v>4042.7001154217382</v>
      </c>
      <c r="AP252" s="40">
        <f t="shared" si="146"/>
        <v>2473.2484047964504</v>
      </c>
      <c r="AQ252" s="40">
        <f t="shared" si="147"/>
        <v>4042.7001154217382</v>
      </c>
      <c r="AR252" s="41">
        <f t="shared" si="148"/>
        <v>0.46420643485694812</v>
      </c>
      <c r="AS252" s="41">
        <f t="shared" si="149"/>
        <v>3.2714500577135763E-2</v>
      </c>
      <c r="AT252" s="64">
        <f t="shared" si="150"/>
        <v>2.0798763916688054</v>
      </c>
      <c r="AU252" s="64">
        <f>APPLICANTS_PER_YEAR*($H252/Segments!$AH$2)*AS252</f>
        <v>0.86366281523638422</v>
      </c>
      <c r="AV252" s="64">
        <f t="shared" si="151"/>
        <v>2.9435392069051898</v>
      </c>
      <c r="AW252" s="40">
        <f t="shared" si="152"/>
        <v>4042.7001154217378</v>
      </c>
      <c r="AX252" s="65">
        <f t="shared" si="153"/>
        <v>11899.846291504022</v>
      </c>
      <c r="AY252" s="65">
        <f t="shared" si="154"/>
        <v>8111.8267455780751</v>
      </c>
      <c r="AZ252" s="65">
        <f t="shared" si="155"/>
        <v>2451.7368453127292</v>
      </c>
    </row>
    <row r="253" spans="1:52" ht="15" customHeight="1" x14ac:dyDescent="0.35">
      <c r="A253" s="61" t="str">
        <f>Segments!$A$233</f>
        <v>Greek</v>
      </c>
      <c r="B253" s="61" t="str">
        <f>Segments!$B$233</f>
        <v>On campus</v>
      </c>
      <c r="C253" s="61" t="str">
        <f>Segments!$C$233</f>
        <v>No</v>
      </c>
      <c r="D253" s="61" t="str">
        <f>Segments!$D$233</f>
        <v>1.0-2.0</v>
      </c>
      <c r="E253" s="61" t="str">
        <f>Segments!$E$233</f>
        <v>Senior</v>
      </c>
      <c r="F253" s="61">
        <f>Segments!$F$233</f>
        <v>3</v>
      </c>
      <c r="G253" s="61" t="str">
        <f>Segments!$G$233</f>
        <v>Base</v>
      </c>
      <c r="H253" s="62">
        <f>Segments!$H$233</f>
        <v>23</v>
      </c>
      <c r="I253" s="63">
        <f>Segments!$Y$233</f>
        <v>2167.8178295006874</v>
      </c>
      <c r="J253" s="42">
        <v>3</v>
      </c>
      <c r="K253" s="40">
        <f t="shared" si="117"/>
        <v>1426.2297754450396</v>
      </c>
      <c r="L253" s="40">
        <f t="shared" si="118"/>
        <v>2167.8178295006874</v>
      </c>
      <c r="M253" s="40">
        <f t="shared" si="119"/>
        <v>3566.7074597571627</v>
      </c>
      <c r="N253" s="40">
        <f t="shared" si="120"/>
        <v>2255.4255428649394</v>
      </c>
      <c r="O253" s="40">
        <f t="shared" si="121"/>
        <v>1782.7872193062994</v>
      </c>
      <c r="P253" s="41">
        <f t="shared" si="122"/>
        <v>0.87977808169146532</v>
      </c>
      <c r="Q253" s="41">
        <f t="shared" si="123"/>
        <v>5.930498658213823E-2</v>
      </c>
      <c r="R253" s="64">
        <f t="shared" si="124"/>
        <v>19.355117797212237</v>
      </c>
      <c r="S253" s="64">
        <f>APPLICANTS_PER_YEAR*($H253/Segments!$AH$2)*Q253</f>
        <v>1.6368176296670149</v>
      </c>
      <c r="T253" s="64">
        <f t="shared" si="125"/>
        <v>20.991935426879252</v>
      </c>
      <c r="U253" s="40">
        <f t="shared" si="126"/>
        <v>1921.885975095674</v>
      </c>
      <c r="V253" s="65">
        <f t="shared" si="127"/>
        <v>40344.106287033253</v>
      </c>
      <c r="W253" s="65">
        <f t="shared" si="128"/>
        <v>50967.494921409889</v>
      </c>
      <c r="X253" s="65">
        <f t="shared" si="129"/>
        <v>8290.1269752783828</v>
      </c>
      <c r="Y253" s="40">
        <f t="shared" si="130"/>
        <v>1864.1182574493291</v>
      </c>
      <c r="Z253" s="40">
        <f t="shared" si="131"/>
        <v>2232.8523643857079</v>
      </c>
      <c r="AA253" s="40">
        <f t="shared" si="132"/>
        <v>3672.4586835498776</v>
      </c>
      <c r="AB253" s="40">
        <f t="shared" si="133"/>
        <v>2322.6930536077389</v>
      </c>
      <c r="AC253" s="40">
        <f t="shared" si="134"/>
        <v>2330.1478218116613</v>
      </c>
      <c r="AD253" s="41">
        <f t="shared" si="135"/>
        <v>0.77339523173491587</v>
      </c>
      <c r="AE253" s="41">
        <f t="shared" si="136"/>
        <v>5.9439517235046146E-2</v>
      </c>
      <c r="AF253" s="64">
        <f t="shared" si="137"/>
        <v>16.54315190388721</v>
      </c>
      <c r="AG253" s="64">
        <f>APPLICANTS_PER_YEAR*($H253/Segments!$AH$2)*AE253</f>
        <v>1.6405306756872735</v>
      </c>
      <c r="AH253" s="64">
        <f t="shared" si="138"/>
        <v>18.183682579574484</v>
      </c>
      <c r="AI253" s="40">
        <f t="shared" si="139"/>
        <v>2451.2510216367259</v>
      </c>
      <c r="AJ253" s="65">
        <f t="shared" si="140"/>
        <v>44572.770500299892</v>
      </c>
      <c r="AK253" s="65">
        <f t="shared" si="141"/>
        <v>45473.656077967149</v>
      </c>
      <c r="AL253" s="65">
        <f t="shared" si="142"/>
        <v>9039.8078824348686</v>
      </c>
      <c r="AM253" s="40">
        <f t="shared" si="143"/>
        <v>2508.1713012285586</v>
      </c>
      <c r="AN253" s="40">
        <f t="shared" si="144"/>
        <v>2299.8379353172791</v>
      </c>
      <c r="AO253" s="40">
        <f t="shared" si="145"/>
        <v>3781.382444056374</v>
      </c>
      <c r="AP253" s="40">
        <f t="shared" si="146"/>
        <v>2391.9785233802768</v>
      </c>
      <c r="AQ253" s="40">
        <f t="shared" si="147"/>
        <v>3135.2141265356981</v>
      </c>
      <c r="AR253" s="41">
        <f t="shared" si="148"/>
        <v>0.61963999239736034</v>
      </c>
      <c r="AS253" s="41">
        <f t="shared" si="149"/>
        <v>5.9570151425809903E-2</v>
      </c>
      <c r="AT253" s="64">
        <f t="shared" si="150"/>
        <v>11.644772312323923</v>
      </c>
      <c r="AU253" s="64">
        <f>APPLICANTS_PER_YEAR*($H253/Segments!$AH$2)*AS253</f>
        <v>1.6441361793523532</v>
      </c>
      <c r="AV253" s="64">
        <f t="shared" si="151"/>
        <v>13.288908491676276</v>
      </c>
      <c r="AW253" s="40">
        <f t="shared" si="152"/>
        <v>3215.1596472270644</v>
      </c>
      <c r="AX253" s="65">
        <f t="shared" si="153"/>
        <v>42725.962338130637</v>
      </c>
      <c r="AY253" s="65">
        <f t="shared" si="154"/>
        <v>34229.816172291074</v>
      </c>
      <c r="AZ253" s="65">
        <f t="shared" si="155"/>
        <v>8599.6872251724562</v>
      </c>
    </row>
    <row r="254" spans="1:52" ht="15" customHeight="1" x14ac:dyDescent="0.35">
      <c r="A254" s="61" t="str">
        <f>Segments!$A$234</f>
        <v>Greek</v>
      </c>
      <c r="B254" s="61" t="str">
        <f>Segments!$B$234</f>
        <v>On campus</v>
      </c>
      <c r="C254" s="61" t="str">
        <f>Segments!$C$234</f>
        <v>No</v>
      </c>
      <c r="D254" s="61" t="str">
        <f>Segments!$D$234</f>
        <v>1.0-2.0</v>
      </c>
      <c r="E254" s="61" t="str">
        <f>Segments!$E$234</f>
        <v>Grad student</v>
      </c>
      <c r="F254" s="61">
        <f>Segments!$F$234</f>
        <v>3</v>
      </c>
      <c r="G254" s="61" t="str">
        <f>Segments!$G$234</f>
        <v>Grad</v>
      </c>
      <c r="H254" s="62">
        <f>Segments!$H$234</f>
        <v>8</v>
      </c>
      <c r="I254" s="63">
        <f>Segments!$Y$234</f>
        <v>2581.1782588365409</v>
      </c>
      <c r="J254" s="42">
        <v>4</v>
      </c>
      <c r="K254" s="40">
        <f t="shared" si="117"/>
        <v>1426.2297754450396</v>
      </c>
      <c r="L254" s="40">
        <f t="shared" si="118"/>
        <v>2581.1782588365409</v>
      </c>
      <c r="M254" s="40">
        <f t="shared" si="119"/>
        <v>4238.8637432922524</v>
      </c>
      <c r="N254" s="40">
        <f t="shared" si="120"/>
        <v>2458.778901149477</v>
      </c>
      <c r="O254" s="40">
        <f t="shared" si="121"/>
        <v>1782.7872193062994</v>
      </c>
      <c r="P254" s="41">
        <f t="shared" si="122"/>
        <v>0.9124649183639798</v>
      </c>
      <c r="Q254" s="41">
        <f t="shared" si="123"/>
        <v>0.02</v>
      </c>
      <c r="R254" s="64">
        <f t="shared" si="124"/>
        <v>3.6498596734559192</v>
      </c>
      <c r="S254" s="64">
        <f>APPLICANTS_PER_YEAR*($H254/Segments!$AH$2)*Q254</f>
        <v>0.192</v>
      </c>
      <c r="T254" s="64">
        <f t="shared" si="125"/>
        <v>3.8418596734559194</v>
      </c>
      <c r="U254" s="40">
        <f t="shared" si="126"/>
        <v>1905.5316016332854</v>
      </c>
      <c r="V254" s="65">
        <f t="shared" si="127"/>
        <v>7320.7850168107889</v>
      </c>
      <c r="W254" s="65">
        <f t="shared" si="128"/>
        <v>11106.507622140305</v>
      </c>
      <c r="X254" s="65">
        <f t="shared" si="129"/>
        <v>1493.7507260012812</v>
      </c>
      <c r="Y254" s="40">
        <f t="shared" si="130"/>
        <v>1905.5316016332854</v>
      </c>
      <c r="Z254" s="40">
        <f t="shared" si="131"/>
        <v>2658.613606601637</v>
      </c>
      <c r="AA254" s="40">
        <f t="shared" si="132"/>
        <v>4364.7796555910199</v>
      </c>
      <c r="AB254" s="40">
        <f t="shared" si="133"/>
        <v>2532.1797071500432</v>
      </c>
      <c r="AC254" s="40">
        <f t="shared" si="134"/>
        <v>2381.9145020416067</v>
      </c>
      <c r="AD254" s="41">
        <f t="shared" si="135"/>
        <v>0.80467111786816259</v>
      </c>
      <c r="AE254" s="41">
        <f t="shared" si="136"/>
        <v>0.02</v>
      </c>
      <c r="AF254" s="64">
        <f t="shared" si="137"/>
        <v>1.5457167590661944</v>
      </c>
      <c r="AG254" s="64">
        <f>APPLICANTS_PER_YEAR*($H254/Segments!$AH$2)*AE254</f>
        <v>0.192</v>
      </c>
      <c r="AH254" s="64">
        <f t="shared" si="138"/>
        <v>1.7377167590661944</v>
      </c>
      <c r="AI254" s="40">
        <f t="shared" si="139"/>
        <v>2601.0009023397033</v>
      </c>
      <c r="AJ254" s="65">
        <f t="shared" si="140"/>
        <v>4519.8028583419964</v>
      </c>
      <c r="AK254" s="65">
        <f t="shared" si="141"/>
        <v>5174.3075104818536</v>
      </c>
      <c r="AL254" s="65">
        <f t="shared" si="142"/>
        <v>923.12839469353287</v>
      </c>
      <c r="AM254" s="40">
        <f t="shared" si="143"/>
        <v>2601.0009023397033</v>
      </c>
      <c r="AN254" s="40">
        <f t="shared" si="144"/>
        <v>2738.372014799686</v>
      </c>
      <c r="AO254" s="40">
        <f t="shared" si="145"/>
        <v>4494.4730452587501</v>
      </c>
      <c r="AP254" s="40">
        <f t="shared" si="146"/>
        <v>2607.7824861675172</v>
      </c>
      <c r="AQ254" s="40">
        <f t="shared" si="147"/>
        <v>3251.2511279246291</v>
      </c>
      <c r="AR254" s="41">
        <f t="shared" si="148"/>
        <v>0.6516253233982765</v>
      </c>
      <c r="AS254" s="41">
        <f t="shared" si="149"/>
        <v>0.02</v>
      </c>
      <c r="AT254" s="64">
        <f t="shared" si="150"/>
        <v>0.56617012255055688</v>
      </c>
      <c r="AU254" s="64">
        <f>APPLICANTS_PER_YEAR*($H254/Segments!$AH$2)*AS254</f>
        <v>0.192</v>
      </c>
      <c r="AV254" s="64">
        <f t="shared" si="151"/>
        <v>0.75817012255055682</v>
      </c>
      <c r="AW254" s="40">
        <f t="shared" si="152"/>
        <v>3566.0862830282704</v>
      </c>
      <c r="AX254" s="65">
        <f t="shared" si="153"/>
        <v>2703.7000742294035</v>
      </c>
      <c r="AY254" s="65">
        <f t="shared" si="154"/>
        <v>2325.2900675756564</v>
      </c>
      <c r="AZ254" s="65">
        <f t="shared" si="155"/>
        <v>561.16557534450726</v>
      </c>
    </row>
    <row r="255" spans="1:52" ht="15" customHeight="1" x14ac:dyDescent="0.35">
      <c r="A255" s="59" t="str">
        <f>Segments!$A$235</f>
        <v>Greek</v>
      </c>
      <c r="B255" s="59" t="str">
        <f>Segments!$B$235</f>
        <v>On campus</v>
      </c>
      <c r="C255" s="59" t="str">
        <f>Segments!$C$235</f>
        <v>No</v>
      </c>
      <c r="D255" s="59" t="str">
        <f>Segments!$D$235</f>
        <v>2.0-3.0</v>
      </c>
      <c r="E255" s="59" t="str">
        <f>Segments!$E$235</f>
        <v>Freshman</v>
      </c>
      <c r="F255" s="59">
        <f>Segments!$F$235</f>
        <v>1</v>
      </c>
      <c r="G255" s="59" t="str">
        <f>Segments!$G$235</f>
        <v>Base</v>
      </c>
      <c r="H255" s="60">
        <f>Segments!$H$235</f>
        <v>34</v>
      </c>
      <c r="I255" s="26">
        <f>Segments!$Y$235</f>
        <v>1926.1355105826724</v>
      </c>
      <c r="J255" s="29">
        <v>0</v>
      </c>
      <c r="K255" s="14">
        <f t="shared" si="117"/>
        <v>3173.7131677271277</v>
      </c>
      <c r="L255" s="14">
        <f t="shared" si="118"/>
        <v>1926.1355105826724</v>
      </c>
      <c r="M255" s="14">
        <f t="shared" si="119"/>
        <v>3173.7131677271277</v>
      </c>
      <c r="N255" s="14">
        <f t="shared" si="120"/>
        <v>2127.5441754601543</v>
      </c>
      <c r="O255" s="14">
        <f t="shared" si="121"/>
        <v>3173.7131677271277</v>
      </c>
      <c r="P255" s="33">
        <f t="shared" si="122"/>
        <v>0.60413695181189275</v>
      </c>
      <c r="Q255" s="33">
        <f t="shared" si="123"/>
        <v>0.10413695181189275</v>
      </c>
      <c r="R255" s="51">
        <f t="shared" si="124"/>
        <v>0</v>
      </c>
      <c r="S255" s="51">
        <f>APPLICANTS_PER_YEAR*($H255/Segments!$AH$2)*Q255</f>
        <v>4.2487876339252244</v>
      </c>
      <c r="T255" s="51">
        <f t="shared" si="125"/>
        <v>4.2487876339252244</v>
      </c>
      <c r="U255" s="14">
        <f t="shared" si="126"/>
        <v>3173.7131677271277</v>
      </c>
      <c r="V255" s="44">
        <f t="shared" si="127"/>
        <v>13484.433260664671</v>
      </c>
      <c r="W255" s="44">
        <f t="shared" si="128"/>
        <v>9165.789627263257</v>
      </c>
      <c r="X255" s="44">
        <f t="shared" si="129"/>
        <v>3211.7084939155216</v>
      </c>
      <c r="Y255" s="14">
        <f t="shared" si="130"/>
        <v>3267.6745627589421</v>
      </c>
      <c r="Z255" s="14">
        <f t="shared" si="131"/>
        <v>1983.9195759001527</v>
      </c>
      <c r="AA255" s="14">
        <f t="shared" si="132"/>
        <v>3267.6745627589421</v>
      </c>
      <c r="AB255" s="14">
        <f t="shared" si="133"/>
        <v>2190.9514829423515</v>
      </c>
      <c r="AC255" s="14">
        <f t="shared" si="134"/>
        <v>3267.6745627589421</v>
      </c>
      <c r="AD255" s="33">
        <f t="shared" si="135"/>
        <v>0.60427957026903245</v>
      </c>
      <c r="AE255" s="33">
        <f t="shared" si="136"/>
        <v>0.10427957026903245</v>
      </c>
      <c r="AF255" s="51">
        <f t="shared" si="137"/>
        <v>0</v>
      </c>
      <c r="AG255" s="51">
        <f>APPLICANTS_PER_YEAR*($H255/Segments!$AH$2)*AE255</f>
        <v>4.254606466976524</v>
      </c>
      <c r="AH255" s="51">
        <f t="shared" si="138"/>
        <v>4.254606466976524</v>
      </c>
      <c r="AI255" s="14">
        <f t="shared" si="139"/>
        <v>3267.6745627589421</v>
      </c>
      <c r="AJ255" s="44">
        <f t="shared" si="140"/>
        <v>13902.66932668888</v>
      </c>
      <c r="AK255" s="44">
        <f t="shared" si="141"/>
        <v>9453.6927044964468</v>
      </c>
      <c r="AL255" s="44">
        <f t="shared" si="142"/>
        <v>3305.6552201922527</v>
      </c>
      <c r="AM255" s="14">
        <f t="shared" si="143"/>
        <v>3364.45479964171</v>
      </c>
      <c r="AN255" s="14">
        <f t="shared" si="144"/>
        <v>2043.4371631771571</v>
      </c>
      <c r="AO255" s="14">
        <f t="shared" si="145"/>
        <v>3364.45479964171</v>
      </c>
      <c r="AP255" s="14">
        <f t="shared" si="146"/>
        <v>2256.2609306645609</v>
      </c>
      <c r="AQ255" s="14">
        <f t="shared" si="147"/>
        <v>3364.45479964171</v>
      </c>
      <c r="AR255" s="33">
        <f t="shared" si="148"/>
        <v>0.60441806089095795</v>
      </c>
      <c r="AS255" s="33">
        <f t="shared" si="149"/>
        <v>0.10441806089095795</v>
      </c>
      <c r="AT255" s="51">
        <f t="shared" si="150"/>
        <v>0</v>
      </c>
      <c r="AU255" s="51">
        <f>APPLICANTS_PER_YEAR*($H255/Segments!$AH$2)*AS255</f>
        <v>4.260256884351084</v>
      </c>
      <c r="AV255" s="51">
        <f t="shared" si="151"/>
        <v>4.260256884351084</v>
      </c>
      <c r="AW255" s="14">
        <f t="shared" si="152"/>
        <v>3364.45479964171</v>
      </c>
      <c r="AX255" s="44">
        <f t="shared" si="153"/>
        <v>14333.441722261641</v>
      </c>
      <c r="AY255" s="44">
        <f t="shared" si="154"/>
        <v>9750.2353112240526</v>
      </c>
      <c r="AZ255" s="44">
        <f t="shared" si="155"/>
        <v>3402.4025055824068</v>
      </c>
    </row>
    <row r="256" spans="1:52" ht="15" customHeight="1" x14ac:dyDescent="0.35">
      <c r="A256" s="59" t="str">
        <f>Segments!$A$236</f>
        <v>Greek</v>
      </c>
      <c r="B256" s="59" t="str">
        <f>Segments!$B$236</f>
        <v>On campus</v>
      </c>
      <c r="C256" s="59" t="str">
        <f>Segments!$C$236</f>
        <v>No</v>
      </c>
      <c r="D256" s="59" t="str">
        <f>Segments!$D$236</f>
        <v>2.0-3.0</v>
      </c>
      <c r="E256" s="59" t="str">
        <f>Segments!$E$236</f>
        <v>Sophomore</v>
      </c>
      <c r="F256" s="59">
        <f>Segments!$F$236</f>
        <v>1</v>
      </c>
      <c r="G256" s="59" t="str">
        <f>Segments!$G$236</f>
        <v>Sophomore</v>
      </c>
      <c r="H256" s="60">
        <f>Segments!$H$236</f>
        <v>39</v>
      </c>
      <c r="I256" s="26">
        <f>Segments!$Y$236</f>
        <v>1906.5394756020423</v>
      </c>
      <c r="J256" s="29">
        <v>1</v>
      </c>
      <c r="K256" s="14">
        <f t="shared" si="117"/>
        <v>1426.2297754450396</v>
      </c>
      <c r="L256" s="14">
        <f t="shared" si="118"/>
        <v>1906.5394756020423</v>
      </c>
      <c r="M256" s="14">
        <f t="shared" si="119"/>
        <v>3141.8484871485666</v>
      </c>
      <c r="N256" s="14">
        <f t="shared" si="120"/>
        <v>2116.8367585404972</v>
      </c>
      <c r="O256" s="14">
        <f t="shared" si="121"/>
        <v>1782.7872193062994</v>
      </c>
      <c r="P256" s="33">
        <f t="shared" si="122"/>
        <v>0.85390299946050541</v>
      </c>
      <c r="Q256" s="33">
        <f t="shared" si="123"/>
        <v>0.10789070071827644</v>
      </c>
      <c r="R256" s="51">
        <f t="shared" si="124"/>
        <v>29.032701981657183</v>
      </c>
      <c r="S256" s="51">
        <f>APPLICANTS_PER_YEAR*($H256/Segments!$AH$2)*Q256</f>
        <v>5.0492847936153371</v>
      </c>
      <c r="T256" s="51">
        <f t="shared" si="125"/>
        <v>34.081986775272519</v>
      </c>
      <c r="U256" s="14">
        <f t="shared" si="126"/>
        <v>1984.13367949231</v>
      </c>
      <c r="V256" s="44">
        <f t="shared" si="127"/>
        <v>67623.217824829713</v>
      </c>
      <c r="W256" s="44">
        <f t="shared" si="128"/>
        <v>72776.091577284271</v>
      </c>
      <c r="X256" s="44">
        <f t="shared" si="129"/>
        <v>14143.90309688874</v>
      </c>
      <c r="Y256" s="14">
        <f t="shared" si="130"/>
        <v>3173.7131677271277</v>
      </c>
      <c r="Z256" s="14">
        <f t="shared" si="131"/>
        <v>1963.7356598701037</v>
      </c>
      <c r="AA256" s="14">
        <f t="shared" si="132"/>
        <v>3234.8539417630241</v>
      </c>
      <c r="AB256" s="14">
        <f t="shared" si="133"/>
        <v>2179.9207236243533</v>
      </c>
      <c r="AC256" s="14">
        <f t="shared" si="134"/>
        <v>3234.8539417630241</v>
      </c>
      <c r="AD256" s="33">
        <f t="shared" si="135"/>
        <v>0.60225461728908358</v>
      </c>
      <c r="AE256" s="33">
        <f t="shared" si="136"/>
        <v>0.10803404070934963</v>
      </c>
      <c r="AF256" s="51">
        <f t="shared" si="137"/>
        <v>2.5588519704122268</v>
      </c>
      <c r="AG256" s="51">
        <f>APPLICANTS_PER_YEAR*($H256/Segments!$AH$2)*AE256</f>
        <v>5.0559931051975626</v>
      </c>
      <c r="AH256" s="51">
        <f t="shared" si="138"/>
        <v>7.6148450756097894</v>
      </c>
      <c r="AI256" s="14">
        <f t="shared" si="139"/>
        <v>3234.8539417630241</v>
      </c>
      <c r="AJ256" s="44">
        <f t="shared" si="140"/>
        <v>24632.911608751081</v>
      </c>
      <c r="AK256" s="44">
        <f t="shared" si="141"/>
        <v>16747.967957684545</v>
      </c>
      <c r="AL256" s="44">
        <f t="shared" si="142"/>
        <v>5506.755996101715</v>
      </c>
      <c r="AM256" s="14">
        <f t="shared" si="143"/>
        <v>3267.6745627589421</v>
      </c>
      <c r="AN256" s="14">
        <f t="shared" si="144"/>
        <v>2022.6477296662067</v>
      </c>
      <c r="AO256" s="14">
        <f t="shared" si="145"/>
        <v>3330.6495600159146</v>
      </c>
      <c r="AP256" s="14">
        <f t="shared" si="146"/>
        <v>2244.8971274711757</v>
      </c>
      <c r="AQ256" s="14">
        <f t="shared" si="147"/>
        <v>3330.6495600159146</v>
      </c>
      <c r="AR256" s="33">
        <f t="shared" si="148"/>
        <v>0.60239159799568109</v>
      </c>
      <c r="AS256" s="33">
        <f t="shared" si="149"/>
        <v>0.10817323224788167</v>
      </c>
      <c r="AT256" s="51">
        <f t="shared" si="150"/>
        <v>2.5629391884847474</v>
      </c>
      <c r="AU256" s="51">
        <f>APPLICANTS_PER_YEAR*($H256/Segments!$AH$2)*AS256</f>
        <v>5.0625072692008617</v>
      </c>
      <c r="AV256" s="51">
        <f t="shared" si="151"/>
        <v>7.6254464576856087</v>
      </c>
      <c r="AW256" s="14">
        <f t="shared" si="152"/>
        <v>3330.6495600159151</v>
      </c>
      <c r="AX256" s="44">
        <f t="shared" si="153"/>
        <v>25397.68988921549</v>
      </c>
      <c r="AY256" s="44">
        <f t="shared" si="154"/>
        <v>17274.423001168499</v>
      </c>
      <c r="AZ256" s="44">
        <f t="shared" si="155"/>
        <v>5669.3853162514042</v>
      </c>
    </row>
    <row r="257" spans="1:52" ht="15" customHeight="1" x14ac:dyDescent="0.35">
      <c r="A257" s="59" t="str">
        <f>Segments!$A$237</f>
        <v>Greek</v>
      </c>
      <c r="B257" s="59" t="str">
        <f>Segments!$B$237</f>
        <v>On campus</v>
      </c>
      <c r="C257" s="59" t="str">
        <f>Segments!$C$237</f>
        <v>No</v>
      </c>
      <c r="D257" s="59" t="str">
        <f>Segments!$D$237</f>
        <v>2.0-3.0</v>
      </c>
      <c r="E257" s="59" t="str">
        <f>Segments!$E$237</f>
        <v>Junior</v>
      </c>
      <c r="F257" s="59">
        <f>Segments!$F$237</f>
        <v>2</v>
      </c>
      <c r="G257" s="59" t="str">
        <f>Segments!$G$237</f>
        <v>Base</v>
      </c>
      <c r="H257" s="60">
        <f>Segments!$H$237</f>
        <v>38</v>
      </c>
      <c r="I257" s="26">
        <f>Segments!$Y$237</f>
        <v>2279.1261421016115</v>
      </c>
      <c r="J257" s="29">
        <v>2</v>
      </c>
      <c r="K257" s="14">
        <f t="shared" si="117"/>
        <v>1426.2297754450396</v>
      </c>
      <c r="L257" s="14">
        <f t="shared" si="118"/>
        <v>2279.1261421016115</v>
      </c>
      <c r="M257" s="14">
        <f t="shared" si="119"/>
        <v>3747.7034536035185</v>
      </c>
      <c r="N257" s="14">
        <f t="shared" si="120"/>
        <v>2311.944258641965</v>
      </c>
      <c r="O257" s="14">
        <f t="shared" si="121"/>
        <v>1782.7872193062994</v>
      </c>
      <c r="P257" s="33">
        <f t="shared" si="122"/>
        <v>0.88943983507770474</v>
      </c>
      <c r="Q257" s="33">
        <f t="shared" si="123"/>
        <v>3.9490957752390199E-2</v>
      </c>
      <c r="R257" s="51">
        <f t="shared" si="124"/>
        <v>34.688153568030486</v>
      </c>
      <c r="S257" s="51">
        <f>APPLICANTS_PER_YEAR*($H257/Segments!$AH$2)*Q257</f>
        <v>1.8007876735089932</v>
      </c>
      <c r="T257" s="51">
        <f t="shared" si="125"/>
        <v>36.488941241539479</v>
      </c>
      <c r="U257" s="14">
        <f t="shared" si="126"/>
        <v>1879.7589815390711</v>
      </c>
      <c r="V257" s="44">
        <f t="shared" si="127"/>
        <v>68590.415025635259</v>
      </c>
      <c r="W257" s="44">
        <f t="shared" si="128"/>
        <v>93142.447866946546</v>
      </c>
      <c r="X257" s="44">
        <f t="shared" si="129"/>
        <v>13974.595592926149</v>
      </c>
      <c r="Y257" s="14">
        <f t="shared" si="130"/>
        <v>1984.13367949231</v>
      </c>
      <c r="Z257" s="14">
        <f t="shared" si="131"/>
        <v>2347.49992636466</v>
      </c>
      <c r="AA257" s="14">
        <f t="shared" si="132"/>
        <v>3858.8845572116243</v>
      </c>
      <c r="AB257" s="14">
        <f t="shared" si="133"/>
        <v>2380.9169950179435</v>
      </c>
      <c r="AC257" s="14">
        <f t="shared" si="134"/>
        <v>2480.1670993653875</v>
      </c>
      <c r="AD257" s="33">
        <f t="shared" si="135"/>
        <v>0.75415716831894508</v>
      </c>
      <c r="AE257" s="33">
        <f t="shared" si="136"/>
        <v>3.962219907575093E-2</v>
      </c>
      <c r="AF257" s="51">
        <f t="shared" si="137"/>
        <v>25.703174637123258</v>
      </c>
      <c r="AG257" s="51">
        <f>APPLICANTS_PER_YEAR*($H257/Segments!$AH$2)*AE257</f>
        <v>1.8067722778542425</v>
      </c>
      <c r="AH257" s="51">
        <f t="shared" si="138"/>
        <v>27.509946914977501</v>
      </c>
      <c r="AI257" s="14">
        <f t="shared" si="139"/>
        <v>2570.7172007352319</v>
      </c>
      <c r="AJ257" s="44">
        <f t="shared" si="140"/>
        <v>70720.293725645795</v>
      </c>
      <c r="AK257" s="44">
        <f t="shared" si="141"/>
        <v>72329.150160070043</v>
      </c>
      <c r="AL257" s="44">
        <f t="shared" si="142"/>
        <v>14205.528156842305</v>
      </c>
      <c r="AM257" s="14">
        <f t="shared" si="143"/>
        <v>3234.8539417630241</v>
      </c>
      <c r="AN257" s="14">
        <f t="shared" si="144"/>
        <v>2417.9249241555995</v>
      </c>
      <c r="AO257" s="14">
        <f t="shared" si="145"/>
        <v>3973.4010939279724</v>
      </c>
      <c r="AP257" s="14">
        <f t="shared" si="146"/>
        <v>2451.9588519381145</v>
      </c>
      <c r="AQ257" s="14">
        <f t="shared" si="147"/>
        <v>3973.4010939279724</v>
      </c>
      <c r="AR257" s="33">
        <f t="shared" si="148"/>
        <v>0.47125685623189811</v>
      </c>
      <c r="AS257" s="33">
        <f t="shared" si="149"/>
        <v>3.9749638174544355E-2</v>
      </c>
      <c r="AT257" s="51">
        <f t="shared" si="150"/>
        <v>3.5885479510248199</v>
      </c>
      <c r="AU257" s="51">
        <f>APPLICANTS_PER_YEAR*($H257/Segments!$AH$2)*AS257</f>
        <v>1.8125835007592226</v>
      </c>
      <c r="AV257" s="51">
        <f t="shared" si="151"/>
        <v>5.4011314517840425</v>
      </c>
      <c r="AW257" s="14">
        <f t="shared" si="152"/>
        <v>3973.4010939279729</v>
      </c>
      <c r="AX257" s="44">
        <f t="shared" si="153"/>
        <v>21460.861618967494</v>
      </c>
      <c r="AY257" s="44">
        <f t="shared" si="154"/>
        <v>14626.673998618477</v>
      </c>
      <c r="AZ257" s="44">
        <f t="shared" si="155"/>
        <v>4461.5143068058542</v>
      </c>
    </row>
    <row r="258" spans="1:52" ht="15" customHeight="1" x14ac:dyDescent="0.35">
      <c r="A258" s="59" t="str">
        <f>Segments!$A$238</f>
        <v>Greek</v>
      </c>
      <c r="B258" s="59" t="str">
        <f>Segments!$B$238</f>
        <v>On campus</v>
      </c>
      <c r="C258" s="59" t="str">
        <f>Segments!$C$238</f>
        <v>No</v>
      </c>
      <c r="D258" s="59" t="str">
        <f>Segments!$D$238</f>
        <v>2.0-3.0</v>
      </c>
      <c r="E258" s="59" t="str">
        <f>Segments!$E$238</f>
        <v>Senior</v>
      </c>
      <c r="F258" s="59">
        <f>Segments!$F$238</f>
        <v>3</v>
      </c>
      <c r="G258" s="59" t="str">
        <f>Segments!$G$238</f>
        <v>Base</v>
      </c>
      <c r="H258" s="60">
        <f>Segments!$H$238</f>
        <v>41</v>
      </c>
      <c r="I258" s="26">
        <f>Segments!$Y$238</f>
        <v>2130.2706166904873</v>
      </c>
      <c r="J258" s="29">
        <v>3</v>
      </c>
      <c r="K258" s="14">
        <f t="shared" si="117"/>
        <v>1426.2297754450396</v>
      </c>
      <c r="L258" s="14">
        <f t="shared" si="118"/>
        <v>2130.2706166904873</v>
      </c>
      <c r="M258" s="14">
        <f t="shared" si="119"/>
        <v>3505.6527645601541</v>
      </c>
      <c r="N258" s="14">
        <f t="shared" si="120"/>
        <v>2236.038093411405</v>
      </c>
      <c r="O258" s="14">
        <f t="shared" si="121"/>
        <v>1782.7872193062994</v>
      </c>
      <c r="P258" s="33">
        <f t="shared" si="122"/>
        <v>0.8763513310530423</v>
      </c>
      <c r="Q258" s="33">
        <f t="shared" si="123"/>
        <v>6.6101734829623338E-2</v>
      </c>
      <c r="R258" s="51">
        <f t="shared" si="124"/>
        <v>33.301350580015608</v>
      </c>
      <c r="S258" s="51">
        <f>APPLICANTS_PER_YEAR*($H258/Segments!$AH$2)*Q258</f>
        <v>3.2522053536174682</v>
      </c>
      <c r="T258" s="51">
        <f t="shared" si="125"/>
        <v>36.553555933633078</v>
      </c>
      <c r="U258" s="14">
        <f t="shared" si="126"/>
        <v>1936.0722392373486</v>
      </c>
      <c r="V258" s="44">
        <f t="shared" si="127"/>
        <v>70770.324888516669</v>
      </c>
      <c r="W258" s="44">
        <f t="shared" si="128"/>
        <v>87213.242077887262</v>
      </c>
      <c r="X258" s="44">
        <f t="shared" si="129"/>
        <v>14587.006250551673</v>
      </c>
      <c r="Y258" s="14">
        <f t="shared" si="130"/>
        <v>1879.7589815390711</v>
      </c>
      <c r="Z258" s="14">
        <f t="shared" si="131"/>
        <v>2194.1787351912021</v>
      </c>
      <c r="AA258" s="14">
        <f t="shared" si="132"/>
        <v>3609.5723474969591</v>
      </c>
      <c r="AB258" s="14">
        <f t="shared" si="133"/>
        <v>2302.7205530376255</v>
      </c>
      <c r="AC258" s="14">
        <f t="shared" si="134"/>
        <v>2349.6987269238389</v>
      </c>
      <c r="AD258" s="33">
        <f t="shared" si="135"/>
        <v>0.76479941925123263</v>
      </c>
      <c r="AE258" s="33">
        <f t="shared" si="136"/>
        <v>6.6237432124491846E-2</v>
      </c>
      <c r="AF258" s="51">
        <f t="shared" si="137"/>
        <v>27.906721070621746</v>
      </c>
      <c r="AG258" s="51">
        <f>APPLICANTS_PER_YEAR*($H258/Segments!$AH$2)*AE258</f>
        <v>3.2588816605249988</v>
      </c>
      <c r="AH258" s="51">
        <f t="shared" si="138"/>
        <v>31.165602731146745</v>
      </c>
      <c r="AI258" s="14">
        <f t="shared" si="139"/>
        <v>2481.4394499281038</v>
      </c>
      <c r="AJ258" s="44">
        <f t="shared" si="140"/>
        <v>77335.556097854584</v>
      </c>
      <c r="AK258" s="44">
        <f t="shared" si="141"/>
        <v>76588.851115950936</v>
      </c>
      <c r="AL258" s="44">
        <f t="shared" si="142"/>
        <v>15732.915118026438</v>
      </c>
      <c r="AM258" s="14">
        <f t="shared" si="143"/>
        <v>2570.7172007352319</v>
      </c>
      <c r="AN258" s="14">
        <f t="shared" si="144"/>
        <v>2260.0040972469378</v>
      </c>
      <c r="AO258" s="14">
        <f t="shared" si="145"/>
        <v>3716.6095179218673</v>
      </c>
      <c r="AP258" s="14">
        <f t="shared" si="146"/>
        <v>2371.4034184201355</v>
      </c>
      <c r="AQ258" s="14">
        <f t="shared" si="147"/>
        <v>3213.3965009190397</v>
      </c>
      <c r="AR258" s="33">
        <f t="shared" si="148"/>
        <v>0.59746945501582926</v>
      </c>
      <c r="AS258" s="33">
        <f t="shared" si="149"/>
        <v>6.6369199552320679E-2</v>
      </c>
      <c r="AT258" s="51">
        <f t="shared" si="150"/>
        <v>16.436352990806</v>
      </c>
      <c r="AU258" s="51">
        <f>APPLICANTS_PER_YEAR*($H258/Segments!$AH$2)*AS258</f>
        <v>3.2653646179741775</v>
      </c>
      <c r="AV258" s="51">
        <f t="shared" si="151"/>
        <v>19.701717608780179</v>
      </c>
      <c r="AW258" s="14">
        <f t="shared" si="152"/>
        <v>3296.799075945939</v>
      </c>
      <c r="AX258" s="44">
        <f t="shared" si="153"/>
        <v>64952.604407174324</v>
      </c>
      <c r="AY258" s="44">
        <f t="shared" si="154"/>
        <v>49869.078020882793</v>
      </c>
      <c r="AZ258" s="44">
        <f t="shared" si="155"/>
        <v>13176.473683233589</v>
      </c>
    </row>
    <row r="259" spans="1:52" ht="15" customHeight="1" x14ac:dyDescent="0.35">
      <c r="A259" s="59" t="str">
        <f>Segments!$A$239</f>
        <v>Greek</v>
      </c>
      <c r="B259" s="59" t="str">
        <f>Segments!$B$239</f>
        <v>On campus</v>
      </c>
      <c r="C259" s="59" t="str">
        <f>Segments!$C$239</f>
        <v>No</v>
      </c>
      <c r="D259" s="59" t="str">
        <f>Segments!$D$239</f>
        <v>2.0-3.0</v>
      </c>
      <c r="E259" s="59" t="str">
        <f>Segments!$E$239</f>
        <v>Grad student</v>
      </c>
      <c r="F259" s="59">
        <f>Segments!$F$239</f>
        <v>3</v>
      </c>
      <c r="G259" s="59" t="str">
        <f>Segments!$G$239</f>
        <v>Grad</v>
      </c>
      <c r="H259" s="60">
        <f>Segments!$H$239</f>
        <v>16</v>
      </c>
      <c r="I259" s="26">
        <f>Segments!$Y$239</f>
        <v>2536.4715274559248</v>
      </c>
      <c r="J259" s="29">
        <v>4</v>
      </c>
      <c r="K259" s="14">
        <f t="shared" si="117"/>
        <v>1426.2297754450396</v>
      </c>
      <c r="L259" s="14">
        <f t="shared" si="118"/>
        <v>2536.4715274559248</v>
      </c>
      <c r="M259" s="14">
        <f t="shared" si="119"/>
        <v>4166.167112746175</v>
      </c>
      <c r="N259" s="14">
        <f t="shared" si="120"/>
        <v>2437.603656396685</v>
      </c>
      <c r="O259" s="14">
        <f t="shared" si="121"/>
        <v>1782.7872193062994</v>
      </c>
      <c r="P259" s="33">
        <f t="shared" si="122"/>
        <v>0.90931560856336024</v>
      </c>
      <c r="Q259" s="33">
        <f t="shared" si="123"/>
        <v>0.02</v>
      </c>
      <c r="R259" s="51">
        <f t="shared" si="124"/>
        <v>7.274524868506882</v>
      </c>
      <c r="S259" s="51">
        <f>APPLICANTS_PER_YEAR*($H259/Segments!$AH$2)*Q259</f>
        <v>0.38400000000000001</v>
      </c>
      <c r="T259" s="51">
        <f t="shared" si="125"/>
        <v>7.6585248685068823</v>
      </c>
      <c r="U259" s="14">
        <f t="shared" si="126"/>
        <v>1902.29037360752</v>
      </c>
      <c r="V259" s="44">
        <f t="shared" si="127"/>
        <v>14568.73813339444</v>
      </c>
      <c r="W259" s="44">
        <f t="shared" si="128"/>
        <v>21756.705903834543</v>
      </c>
      <c r="X259" s="44">
        <f t="shared" si="129"/>
        <v>2972.2552905769949</v>
      </c>
      <c r="Y259" s="14">
        <f t="shared" si="130"/>
        <v>1902.29037360752</v>
      </c>
      <c r="Z259" s="14">
        <f t="shared" si="131"/>
        <v>2612.5656732796028</v>
      </c>
      <c r="AA259" s="14">
        <f t="shared" si="132"/>
        <v>4289.9021261285607</v>
      </c>
      <c r="AB259" s="14">
        <f t="shared" si="133"/>
        <v>2510.3660550625723</v>
      </c>
      <c r="AC259" s="14">
        <f t="shared" si="134"/>
        <v>2377.8629670094001</v>
      </c>
      <c r="AD259" s="33">
        <f t="shared" si="135"/>
        <v>0.8013911886049363</v>
      </c>
      <c r="AE259" s="33">
        <f t="shared" si="136"/>
        <v>0.02</v>
      </c>
      <c r="AF259" s="51">
        <f t="shared" si="137"/>
        <v>3.0687371736665972</v>
      </c>
      <c r="AG259" s="51">
        <f>APPLICANTS_PER_YEAR*($H259/Segments!$AH$2)*AE259</f>
        <v>0.38400000000000001</v>
      </c>
      <c r="AH259" s="51">
        <f t="shared" si="138"/>
        <v>3.452737173666597</v>
      </c>
      <c r="AI259" s="14">
        <f t="shared" si="139"/>
        <v>2590.5125259452911</v>
      </c>
      <c r="AJ259" s="44">
        <f t="shared" si="140"/>
        <v>8944.3588971802619</v>
      </c>
      <c r="AK259" s="44">
        <f t="shared" si="141"/>
        <v>10102.962933031122</v>
      </c>
      <c r="AL259" s="44">
        <f t="shared" si="142"/>
        <v>1826.7948596155693</v>
      </c>
      <c r="AM259" s="14">
        <f t="shared" si="143"/>
        <v>2590.5125259452911</v>
      </c>
      <c r="AN259" s="14">
        <f t="shared" si="144"/>
        <v>2690.9426434779907</v>
      </c>
      <c r="AO259" s="14">
        <f t="shared" si="145"/>
        <v>4417.3491899124174</v>
      </c>
      <c r="AP259" s="14">
        <f t="shared" si="146"/>
        <v>2585.3112731799733</v>
      </c>
      <c r="AQ259" s="14">
        <f t="shared" si="147"/>
        <v>3238.1406574316138</v>
      </c>
      <c r="AR259" s="33">
        <f t="shared" si="148"/>
        <v>0.6487425951327227</v>
      </c>
      <c r="AS259" s="33">
        <f t="shared" si="149"/>
        <v>0.02</v>
      </c>
      <c r="AT259" s="51">
        <f t="shared" si="150"/>
        <v>1.1199688371778451</v>
      </c>
      <c r="AU259" s="51">
        <f>APPLICANTS_PER_YEAR*($H259/Segments!$AH$2)*AS259</f>
        <v>0.38400000000000001</v>
      </c>
      <c r="AV259" s="51">
        <f t="shared" si="151"/>
        <v>1.5039688371778452</v>
      </c>
      <c r="AW259" s="14">
        <f t="shared" si="152"/>
        <v>3539.2214147445943</v>
      </c>
      <c r="AX259" s="44">
        <f t="shared" si="153"/>
        <v>5322.8787156483559</v>
      </c>
      <c r="AY259" s="44">
        <f t="shared" si="154"/>
        <v>4532.7451438347352</v>
      </c>
      <c r="AZ259" s="44">
        <f t="shared" si="155"/>
        <v>1105.0726271135188</v>
      </c>
    </row>
    <row r="260" spans="1:52" ht="15" customHeight="1" x14ac:dyDescent="0.35">
      <c r="A260" s="61" t="str">
        <f>Segments!$A$240</f>
        <v>Greek</v>
      </c>
      <c r="B260" s="61" t="str">
        <f>Segments!$B$240</f>
        <v>On campus</v>
      </c>
      <c r="C260" s="61" t="str">
        <f>Segments!$C$240</f>
        <v>No</v>
      </c>
      <c r="D260" s="61" t="str">
        <f>Segments!$D$240</f>
        <v>3.0+</v>
      </c>
      <c r="E260" s="61" t="str">
        <f>Segments!$E$240</f>
        <v>Freshman</v>
      </c>
      <c r="F260" s="61">
        <f>Segments!$F$240</f>
        <v>1</v>
      </c>
      <c r="G260" s="61" t="str">
        <f>Segments!$G$240</f>
        <v>Base</v>
      </c>
      <c r="H260" s="62">
        <f>Segments!$H$240</f>
        <v>16</v>
      </c>
      <c r="I260" s="63">
        <f>Segments!$Y$240</f>
        <v>1688.3494930956354</v>
      </c>
      <c r="J260" s="42">
        <v>0</v>
      </c>
      <c r="K260" s="40">
        <f t="shared" si="117"/>
        <v>2787.0545655781643</v>
      </c>
      <c r="L260" s="40">
        <f t="shared" si="118"/>
        <v>1688.3494930956354</v>
      </c>
      <c r="M260" s="40">
        <f t="shared" si="119"/>
        <v>2787.0545655781643</v>
      </c>
      <c r="N260" s="40">
        <f t="shared" si="120"/>
        <v>1993.7352399999397</v>
      </c>
      <c r="O260" s="40">
        <f t="shared" si="121"/>
        <v>2787.0545655781643</v>
      </c>
      <c r="P260" s="41">
        <f t="shared" si="122"/>
        <v>0.65104697211996698</v>
      </c>
      <c r="Q260" s="41">
        <f t="shared" si="123"/>
        <v>0.15104697211996698</v>
      </c>
      <c r="R260" s="64">
        <f t="shared" si="124"/>
        <v>0</v>
      </c>
      <c r="S260" s="64">
        <f>APPLICANTS_PER_YEAR*($H260/Segments!$AH$2)*Q260</f>
        <v>2.9001018647033661</v>
      </c>
      <c r="T260" s="64">
        <f t="shared" si="125"/>
        <v>2.9001018647033661</v>
      </c>
      <c r="U260" s="40">
        <f t="shared" si="126"/>
        <v>2787.0545655781643</v>
      </c>
      <c r="V260" s="65">
        <f t="shared" si="127"/>
        <v>8082.7421426632645</v>
      </c>
      <c r="W260" s="65">
        <f t="shared" si="128"/>
        <v>5483.9517747813516</v>
      </c>
      <c r="X260" s="65">
        <f t="shared" si="129"/>
        <v>1941.0388238682228</v>
      </c>
      <c r="Y260" s="40">
        <f t="shared" si="130"/>
        <v>2869.4162025455093</v>
      </c>
      <c r="Z260" s="40">
        <f t="shared" si="131"/>
        <v>1738.9999778885044</v>
      </c>
      <c r="AA260" s="40">
        <f t="shared" si="132"/>
        <v>2869.4162025455093</v>
      </c>
      <c r="AB260" s="40">
        <f t="shared" si="133"/>
        <v>2053.1001512350254</v>
      </c>
      <c r="AC260" s="40">
        <f t="shared" si="134"/>
        <v>2869.4162025455093</v>
      </c>
      <c r="AD260" s="41">
        <f t="shared" si="135"/>
        <v>0.65119916439063241</v>
      </c>
      <c r="AE260" s="41">
        <f t="shared" si="136"/>
        <v>0.15119916439063241</v>
      </c>
      <c r="AF260" s="64">
        <f t="shared" si="137"/>
        <v>0</v>
      </c>
      <c r="AG260" s="64">
        <f>APPLICANTS_PER_YEAR*($H260/Segments!$AH$2)*AE260</f>
        <v>2.9030239563001423</v>
      </c>
      <c r="AH260" s="64">
        <f t="shared" si="138"/>
        <v>2.9030239563001423</v>
      </c>
      <c r="AI260" s="40">
        <f t="shared" si="139"/>
        <v>2869.4162025455098</v>
      </c>
      <c r="AJ260" s="65">
        <f t="shared" si="140"/>
        <v>8329.9839765853958</v>
      </c>
      <c r="AK260" s="65">
        <f t="shared" si="141"/>
        <v>5654.1616273136369</v>
      </c>
      <c r="AL260" s="65">
        <f t="shared" si="142"/>
        <v>1996.5524887886349</v>
      </c>
      <c r="AM260" s="40">
        <f t="shared" si="143"/>
        <v>2954.2486886218749</v>
      </c>
      <c r="AN260" s="40">
        <f t="shared" si="144"/>
        <v>1791.1699772251595</v>
      </c>
      <c r="AO260" s="40">
        <f t="shared" si="145"/>
        <v>2954.2486886218749</v>
      </c>
      <c r="AP260" s="40">
        <f t="shared" si="146"/>
        <v>2114.2459138208833</v>
      </c>
      <c r="AQ260" s="40">
        <f t="shared" si="147"/>
        <v>2954.2486886218749</v>
      </c>
      <c r="AR260" s="41">
        <f t="shared" si="148"/>
        <v>0.6513469555954039</v>
      </c>
      <c r="AS260" s="41">
        <f t="shared" si="149"/>
        <v>0.1513469555954039</v>
      </c>
      <c r="AT260" s="64">
        <f t="shared" si="150"/>
        <v>0</v>
      </c>
      <c r="AU260" s="64">
        <f>APPLICANTS_PER_YEAR*($H260/Segments!$AH$2)*AS260</f>
        <v>2.9058615474317548</v>
      </c>
      <c r="AV260" s="64">
        <f t="shared" si="151"/>
        <v>2.9058615474317548</v>
      </c>
      <c r="AW260" s="40">
        <f t="shared" si="152"/>
        <v>2954.2486886218749</v>
      </c>
      <c r="AX260" s="65">
        <f t="shared" si="153"/>
        <v>8584.6376658169938</v>
      </c>
      <c r="AY260" s="65">
        <f t="shared" si="154"/>
        <v>5829.4789971407399</v>
      </c>
      <c r="AZ260" s="65">
        <f t="shared" si="155"/>
        <v>2053.7226067774354</v>
      </c>
    </row>
    <row r="261" spans="1:52" ht="15" customHeight="1" x14ac:dyDescent="0.35">
      <c r="A261" s="61" t="str">
        <f>Segments!$A$241</f>
        <v>Greek</v>
      </c>
      <c r="B261" s="61" t="str">
        <f>Segments!$B$241</f>
        <v>On campus</v>
      </c>
      <c r="C261" s="61" t="str">
        <f>Segments!$C$241</f>
        <v>No</v>
      </c>
      <c r="D261" s="61" t="str">
        <f>Segments!$D$241</f>
        <v>3.0+</v>
      </c>
      <c r="E261" s="61" t="str">
        <f>Segments!$E$241</f>
        <v>Sophomore</v>
      </c>
      <c r="F261" s="61">
        <f>Segments!$F$241</f>
        <v>1</v>
      </c>
      <c r="G261" s="61" t="str">
        <f>Segments!$G$241</f>
        <v>Sophomore</v>
      </c>
      <c r="H261" s="62">
        <f>Segments!$H$241</f>
        <v>23</v>
      </c>
      <c r="I261" s="63">
        <f>Segments!$Y$241</f>
        <v>1671.1726353177405</v>
      </c>
      <c r="J261" s="42">
        <v>1</v>
      </c>
      <c r="K261" s="40">
        <f t="shared" si="117"/>
        <v>1426.2297754450396</v>
      </c>
      <c r="L261" s="40">
        <f t="shared" si="118"/>
        <v>1671.1726353177405</v>
      </c>
      <c r="M261" s="40">
        <f t="shared" si="119"/>
        <v>2759.1236557294624</v>
      </c>
      <c r="N261" s="40">
        <f t="shared" si="120"/>
        <v>1983.719816893537</v>
      </c>
      <c r="O261" s="40">
        <f t="shared" si="121"/>
        <v>1782.7872193062994</v>
      </c>
      <c r="P261" s="41">
        <f t="shared" si="122"/>
        <v>0.82564540765184624</v>
      </c>
      <c r="Q261" s="41">
        <f t="shared" si="123"/>
        <v>0.1545581255395756</v>
      </c>
      <c r="R261" s="64">
        <f t="shared" si="124"/>
        <v>13.21032652242954</v>
      </c>
      <c r="S261" s="64">
        <f>APPLICANTS_PER_YEAR*($H261/Segments!$AH$2)*Q261</f>
        <v>4.265804264892286</v>
      </c>
      <c r="T261" s="64">
        <f t="shared" si="125"/>
        <v>17.476130787321825</v>
      </c>
      <c r="U261" s="40">
        <f t="shared" si="126"/>
        <v>2021.1042807398917</v>
      </c>
      <c r="V261" s="65">
        <f t="shared" si="127"/>
        <v>35321.082745026353</v>
      </c>
      <c r="W261" s="65">
        <f t="shared" si="128"/>
        <v>32710.307328166851</v>
      </c>
      <c r="X261" s="65">
        <f t="shared" si="129"/>
        <v>7543.798212207882</v>
      </c>
      <c r="Y261" s="40">
        <f t="shared" si="130"/>
        <v>2787.0545655781643</v>
      </c>
      <c r="Z261" s="40">
        <f t="shared" si="131"/>
        <v>1721.3078143772727</v>
      </c>
      <c r="AA261" s="40">
        <f t="shared" si="132"/>
        <v>2840.6473654013462</v>
      </c>
      <c r="AB261" s="40">
        <f t="shared" si="133"/>
        <v>2042.7820073853088</v>
      </c>
      <c r="AC261" s="40">
        <f t="shared" si="134"/>
        <v>2840.6473654013462</v>
      </c>
      <c r="AD261" s="41">
        <f t="shared" si="135"/>
        <v>0.64894232957944831</v>
      </c>
      <c r="AE261" s="41">
        <f t="shared" si="136"/>
        <v>0.15471108636861408</v>
      </c>
      <c r="AF261" s="64">
        <f t="shared" si="137"/>
        <v>1.8819988600983044</v>
      </c>
      <c r="AG261" s="64">
        <f>APPLICANTS_PER_YEAR*($H261/Segments!$AH$2)*AE261</f>
        <v>4.2700259837737482</v>
      </c>
      <c r="AH261" s="64">
        <f t="shared" si="138"/>
        <v>6.1520248438720522</v>
      </c>
      <c r="AI261" s="40">
        <f t="shared" si="139"/>
        <v>2840.6473654013466</v>
      </c>
      <c r="AJ261" s="65">
        <f t="shared" si="140"/>
        <v>17475.733164628775</v>
      </c>
      <c r="AK261" s="65">
        <f t="shared" si="141"/>
        <v>11860.271850560097</v>
      </c>
      <c r="AL261" s="65">
        <f t="shared" si="142"/>
        <v>3957.2420467216998</v>
      </c>
      <c r="AM261" s="40">
        <f t="shared" si="143"/>
        <v>2869.4162025455098</v>
      </c>
      <c r="AN261" s="40">
        <f t="shared" si="144"/>
        <v>1772.9470488085908</v>
      </c>
      <c r="AO261" s="40">
        <f t="shared" si="145"/>
        <v>2924.6167863633864</v>
      </c>
      <c r="AP261" s="40">
        <f t="shared" si="146"/>
        <v>2103.6159661437132</v>
      </c>
      <c r="AQ261" s="40">
        <f t="shared" si="147"/>
        <v>2924.6167863633864</v>
      </c>
      <c r="AR261" s="41">
        <f t="shared" si="148"/>
        <v>0.64908835440454316</v>
      </c>
      <c r="AS261" s="41">
        <f t="shared" si="149"/>
        <v>0.15485962422962884</v>
      </c>
      <c r="AT261" s="64">
        <f t="shared" si="150"/>
        <v>1.8843190425918257</v>
      </c>
      <c r="AU261" s="64">
        <f>APPLICANTS_PER_YEAR*($H261/Segments!$AH$2)*AS261</f>
        <v>4.2741256287377558</v>
      </c>
      <c r="AV261" s="64">
        <f t="shared" si="151"/>
        <v>6.1584446713295815</v>
      </c>
      <c r="AW261" s="40">
        <f t="shared" si="152"/>
        <v>2924.6167863633864</v>
      </c>
      <c r="AX261" s="65">
        <f t="shared" si="153"/>
        <v>18011.090663660641</v>
      </c>
      <c r="AY261" s="65">
        <f t="shared" si="154"/>
        <v>12228.827861918946</v>
      </c>
      <c r="AZ261" s="65">
        <f t="shared" si="155"/>
        <v>4071.6244542060308</v>
      </c>
    </row>
    <row r="262" spans="1:52" ht="15" customHeight="1" x14ac:dyDescent="0.35">
      <c r="A262" s="61" t="str">
        <f>Segments!$A$242</f>
        <v>Greek</v>
      </c>
      <c r="B262" s="61" t="str">
        <f>Segments!$B$242</f>
        <v>On campus</v>
      </c>
      <c r="C262" s="61" t="str">
        <f>Segments!$C$242</f>
        <v>No</v>
      </c>
      <c r="D262" s="61" t="str">
        <f>Segments!$D$242</f>
        <v>3.0+</v>
      </c>
      <c r="E262" s="61" t="str">
        <f>Segments!$E$242</f>
        <v>Junior</v>
      </c>
      <c r="F262" s="61">
        <f>Segments!$F$242</f>
        <v>2</v>
      </c>
      <c r="G262" s="61" t="str">
        <f>Segments!$G$242</f>
        <v>Base</v>
      </c>
      <c r="H262" s="62">
        <f>Segments!$H$242</f>
        <v>24</v>
      </c>
      <c r="I262" s="63">
        <f>Segments!$Y$242</f>
        <v>1997.7625902106056</v>
      </c>
      <c r="J262" s="42">
        <v>2</v>
      </c>
      <c r="K262" s="40">
        <f t="shared" si="117"/>
        <v>1426.2297754450396</v>
      </c>
      <c r="L262" s="40">
        <f t="shared" si="118"/>
        <v>1997.7625902106056</v>
      </c>
      <c r="M262" s="40">
        <f t="shared" si="119"/>
        <v>3290.1843832243089</v>
      </c>
      <c r="N262" s="40">
        <f t="shared" si="120"/>
        <v>2166.2315051856258</v>
      </c>
      <c r="O262" s="40">
        <f t="shared" si="121"/>
        <v>1782.7872193062994</v>
      </c>
      <c r="P262" s="41">
        <f t="shared" si="122"/>
        <v>0.86350491855589295</v>
      </c>
      <c r="Q262" s="41">
        <f t="shared" si="123"/>
        <v>9.0574154851844613E-2</v>
      </c>
      <c r="R262" s="64">
        <f t="shared" si="124"/>
        <v>19.860613126785537</v>
      </c>
      <c r="S262" s="64">
        <f>APPLICANTS_PER_YEAR*($H262/Segments!$AH$2)*Q262</f>
        <v>2.6085356597331244</v>
      </c>
      <c r="T262" s="64">
        <f t="shared" si="125"/>
        <v>22.469148786518662</v>
      </c>
      <c r="U262" s="40">
        <f t="shared" si="126"/>
        <v>1957.7871399895405</v>
      </c>
      <c r="V262" s="65">
        <f t="shared" si="127"/>
        <v>43989.810540757826</v>
      </c>
      <c r="W262" s="65">
        <f t="shared" si="128"/>
        <v>50274.587865132969</v>
      </c>
      <c r="X262" s="65">
        <f t="shared" si="129"/>
        <v>9129.0602746027471</v>
      </c>
      <c r="Y262" s="40">
        <f t="shared" si="130"/>
        <v>2021.1042807398917</v>
      </c>
      <c r="Z262" s="40">
        <f t="shared" si="131"/>
        <v>2057.6954679169239</v>
      </c>
      <c r="AA262" s="40">
        <f t="shared" si="132"/>
        <v>3387.6399147210386</v>
      </c>
      <c r="AB262" s="40">
        <f t="shared" si="133"/>
        <v>2230.8069173075191</v>
      </c>
      <c r="AC262" s="40">
        <f t="shared" si="134"/>
        <v>2526.3803509248646</v>
      </c>
      <c r="AD262" s="41">
        <f t="shared" si="135"/>
        <v>0.70875190131333987</v>
      </c>
      <c r="AE262" s="41">
        <f t="shared" si="136"/>
        <v>9.0714225772223323E-2</v>
      </c>
      <c r="AF262" s="64">
        <f t="shared" si="137"/>
        <v>12.386240923114938</v>
      </c>
      <c r="AG262" s="64">
        <f>APPLICANTS_PER_YEAR*($H262/Segments!$AH$2)*AE262</f>
        <v>2.6125697022400316</v>
      </c>
      <c r="AH262" s="64">
        <f t="shared" si="138"/>
        <v>14.99881062535497</v>
      </c>
      <c r="AI262" s="40">
        <f t="shared" si="139"/>
        <v>2676.3989556224019</v>
      </c>
      <c r="AJ262" s="65">
        <f t="shared" si="140"/>
        <v>40142.801093278227</v>
      </c>
      <c r="AK262" s="65">
        <f t="shared" si="141"/>
        <v>34566.542805689583</v>
      </c>
      <c r="AL262" s="65">
        <f t="shared" si="142"/>
        <v>8262.0454508081566</v>
      </c>
      <c r="AM262" s="40">
        <f t="shared" si="143"/>
        <v>2840.6473654013466</v>
      </c>
      <c r="AN262" s="40">
        <f t="shared" si="144"/>
        <v>2119.4263319544316</v>
      </c>
      <c r="AO262" s="40">
        <f t="shared" si="145"/>
        <v>3488.0191121626694</v>
      </c>
      <c r="AP262" s="40">
        <f t="shared" si="146"/>
        <v>2297.3195169668097</v>
      </c>
      <c r="AQ262" s="40">
        <f t="shared" si="147"/>
        <v>3488.0191121626694</v>
      </c>
      <c r="AR262" s="41">
        <f t="shared" si="148"/>
        <v>0.52248148659122273</v>
      </c>
      <c r="AS262" s="41">
        <f t="shared" si="149"/>
        <v>9.0850241683411825E-2</v>
      </c>
      <c r="AT262" s="64">
        <f t="shared" si="150"/>
        <v>3.2143190859724049</v>
      </c>
      <c r="AU262" s="64">
        <f>APPLICANTS_PER_YEAR*($H262/Segments!$AH$2)*AS262</f>
        <v>2.6164869604822605</v>
      </c>
      <c r="AV262" s="64">
        <f t="shared" si="151"/>
        <v>5.8308060464546649</v>
      </c>
      <c r="AW262" s="40">
        <f t="shared" si="152"/>
        <v>3488.0191121626694</v>
      </c>
      <c r="AX262" s="65">
        <f t="shared" si="153"/>
        <v>20337.962929347526</v>
      </c>
      <c r="AY262" s="65">
        <f t="shared" si="154"/>
        <v>13840.919535940149</v>
      </c>
      <c r="AZ262" s="65">
        <f t="shared" si="155"/>
        <v>4345.3257669588611</v>
      </c>
    </row>
    <row r="263" spans="1:52" ht="15" customHeight="1" x14ac:dyDescent="0.35">
      <c r="A263" s="61" t="str">
        <f>Segments!$A$243</f>
        <v>Greek</v>
      </c>
      <c r="B263" s="61" t="str">
        <f>Segments!$B$243</f>
        <v>On campus</v>
      </c>
      <c r="C263" s="61" t="str">
        <f>Segments!$C$243</f>
        <v>No</v>
      </c>
      <c r="D263" s="61" t="str">
        <f>Segments!$D$243</f>
        <v>3.0+</v>
      </c>
      <c r="E263" s="61" t="str">
        <f>Segments!$E$243</f>
        <v>Senior</v>
      </c>
      <c r="F263" s="61">
        <f>Segments!$F$243</f>
        <v>3</v>
      </c>
      <c r="G263" s="61" t="str">
        <f>Segments!$G$243</f>
        <v>Base</v>
      </c>
      <c r="H263" s="62">
        <f>Segments!$H$243</f>
        <v>23</v>
      </c>
      <c r="I263" s="63">
        <f>Segments!$Y$243</f>
        <v>1867.2836340356425</v>
      </c>
      <c r="J263" s="42">
        <v>3</v>
      </c>
      <c r="K263" s="40">
        <f t="shared" si="117"/>
        <v>1426.2297754450396</v>
      </c>
      <c r="L263" s="40">
        <f t="shared" si="118"/>
        <v>1867.2836340356425</v>
      </c>
      <c r="M263" s="40">
        <f t="shared" si="119"/>
        <v>3078.0154283898751</v>
      </c>
      <c r="N263" s="40">
        <f t="shared" si="120"/>
        <v>2095.2224829952688</v>
      </c>
      <c r="O263" s="40">
        <f t="shared" si="121"/>
        <v>1782.7872193062994</v>
      </c>
      <c r="P263" s="41">
        <f t="shared" si="122"/>
        <v>0.8495589707595923</v>
      </c>
      <c r="Q263" s="41">
        <f t="shared" si="123"/>
        <v>0.11546811773668197</v>
      </c>
      <c r="R263" s="64">
        <f t="shared" si="124"/>
        <v>20.389415298230215</v>
      </c>
      <c r="S263" s="64">
        <f>APPLICANTS_PER_YEAR*($H263/Segments!$AH$2)*Q263</f>
        <v>3.1869200495324224</v>
      </c>
      <c r="T263" s="64">
        <f t="shared" si="125"/>
        <v>23.576335347762637</v>
      </c>
      <c r="U263" s="40">
        <f t="shared" si="126"/>
        <v>1957.8690836996198</v>
      </c>
      <c r="V263" s="65">
        <f t="shared" si="127"/>
        <v>46159.378084318989</v>
      </c>
      <c r="W263" s="65">
        <f t="shared" si="128"/>
        <v>49306.549762862771</v>
      </c>
      <c r="X263" s="65">
        <f t="shared" si="129"/>
        <v>9618.6507839825554</v>
      </c>
      <c r="Y263" s="40">
        <f t="shared" si="130"/>
        <v>1957.7871399895405</v>
      </c>
      <c r="Z263" s="40">
        <f t="shared" si="131"/>
        <v>1923.3021430567119</v>
      </c>
      <c r="AA263" s="40">
        <f t="shared" si="132"/>
        <v>3169.1058912415715</v>
      </c>
      <c r="AB263" s="40">
        <f t="shared" si="133"/>
        <v>2157.6536745121607</v>
      </c>
      <c r="AC263" s="40">
        <f t="shared" si="134"/>
        <v>2447.2339249869256</v>
      </c>
      <c r="AD263" s="41">
        <f t="shared" si="135"/>
        <v>0.70789464062386243</v>
      </c>
      <c r="AE263" s="41">
        <f t="shared" si="136"/>
        <v>0.11561293671049933</v>
      </c>
      <c r="AF263" s="64">
        <f t="shared" si="137"/>
        <v>15.905790005356723</v>
      </c>
      <c r="AG263" s="64">
        <f>APPLICANTS_PER_YEAR*($H263/Segments!$AH$2)*AE263</f>
        <v>3.1909170532097813</v>
      </c>
      <c r="AH263" s="64">
        <f t="shared" si="138"/>
        <v>19.096707058566505</v>
      </c>
      <c r="AI263" s="40">
        <f t="shared" si="139"/>
        <v>2567.8533365059779</v>
      </c>
      <c r="AJ263" s="65">
        <f t="shared" si="140"/>
        <v>49037.542936617261</v>
      </c>
      <c r="AK263" s="65">
        <f t="shared" si="141"/>
        <v>41136.186124395266</v>
      </c>
      <c r="AL263" s="65">
        <f t="shared" si="142"/>
        <v>10083.735073634896</v>
      </c>
      <c r="AM263" s="40">
        <f t="shared" si="143"/>
        <v>2676.3989556224019</v>
      </c>
      <c r="AN263" s="40">
        <f t="shared" si="144"/>
        <v>1981.0012073484131</v>
      </c>
      <c r="AO263" s="40">
        <f t="shared" si="145"/>
        <v>3262.9290679788182</v>
      </c>
      <c r="AP263" s="40">
        <f t="shared" si="146"/>
        <v>2221.957719076634</v>
      </c>
      <c r="AQ263" s="40">
        <f t="shared" si="147"/>
        <v>3262.9290679788182</v>
      </c>
      <c r="AR263" s="41">
        <f t="shared" si="148"/>
        <v>0.55000886973271235</v>
      </c>
      <c r="AS263" s="41">
        <f t="shared" si="149"/>
        <v>0.11575356498350142</v>
      </c>
      <c r="AT263" s="64">
        <f t="shared" si="150"/>
        <v>8.2494788793864835</v>
      </c>
      <c r="AU263" s="64">
        <f>APPLICANTS_PER_YEAR*($H263/Segments!$AH$2)*AS263</f>
        <v>3.1947983935446391</v>
      </c>
      <c r="AV263" s="64">
        <f t="shared" si="151"/>
        <v>11.444277272931123</v>
      </c>
      <c r="AW263" s="40">
        <f t="shared" si="152"/>
        <v>3262.9290679788182</v>
      </c>
      <c r="AX263" s="65">
        <f t="shared" si="153"/>
        <v>37341.864975856319</v>
      </c>
      <c r="AY263" s="65">
        <f t="shared" si="154"/>
        <v>25391.662346295347</v>
      </c>
      <c r="AZ263" s="65">
        <f t="shared" si="155"/>
        <v>7731.2220047960927</v>
      </c>
    </row>
    <row r="264" spans="1:52" ht="15" customHeight="1" x14ac:dyDescent="0.35">
      <c r="A264" s="61" t="str">
        <f>Segments!$A$244</f>
        <v>Greek</v>
      </c>
      <c r="B264" s="61" t="str">
        <f>Segments!$B$244</f>
        <v>On campus</v>
      </c>
      <c r="C264" s="61" t="str">
        <f>Segments!$C$244</f>
        <v>No</v>
      </c>
      <c r="D264" s="61" t="str">
        <f>Segments!$D$244</f>
        <v>3.0+</v>
      </c>
      <c r="E264" s="61" t="str">
        <f>Segments!$E$244</f>
        <v>Grad student</v>
      </c>
      <c r="F264" s="61">
        <f>Segments!$F$244</f>
        <v>3</v>
      </c>
      <c r="G264" s="61" t="str">
        <f>Segments!$G$244</f>
        <v>Grad</v>
      </c>
      <c r="H264" s="62">
        <f>Segments!$H$244</f>
        <v>13</v>
      </c>
      <c r="I264" s="63">
        <f>Segments!$Y$244</f>
        <v>2223.3380746592666</v>
      </c>
      <c r="J264" s="42">
        <v>4</v>
      </c>
      <c r="K264" s="40">
        <f t="shared" si="117"/>
        <v>1426.2297754450396</v>
      </c>
      <c r="L264" s="40">
        <f t="shared" si="118"/>
        <v>2223.3380746592666</v>
      </c>
      <c r="M264" s="40">
        <f t="shared" si="119"/>
        <v>3656.9877067239731</v>
      </c>
      <c r="N264" s="40">
        <f t="shared" si="120"/>
        <v>2283.7917496492983</v>
      </c>
      <c r="O264" s="40">
        <f t="shared" si="121"/>
        <v>1782.7872193062994</v>
      </c>
      <c r="P264" s="41">
        <f t="shared" si="122"/>
        <v>0.8846869997932022</v>
      </c>
      <c r="Q264" s="41">
        <f t="shared" si="123"/>
        <v>4.9360513653325722E-2</v>
      </c>
      <c r="R264" s="64">
        <f t="shared" si="124"/>
        <v>5.7504654986558146</v>
      </c>
      <c r="S264" s="64">
        <f>APPLICANTS_PER_YEAR*($H264/Segments!$AH$2)*Q264</f>
        <v>0.77002401299188128</v>
      </c>
      <c r="T264" s="64">
        <f t="shared" si="125"/>
        <v>6.5204895116476962</v>
      </c>
      <c r="U264" s="40">
        <f t="shared" si="126"/>
        <v>2004.1171329415738</v>
      </c>
      <c r="V264" s="65">
        <f t="shared" si="127"/>
        <v>13067.824745458984</v>
      </c>
      <c r="W264" s="65">
        <f t="shared" si="128"/>
        <v>16236.922908262261</v>
      </c>
      <c r="X264" s="65">
        <f t="shared" si="129"/>
        <v>2718.038159678274</v>
      </c>
      <c r="Y264" s="40">
        <f t="shared" si="130"/>
        <v>2004.1171329415738</v>
      </c>
      <c r="Z264" s="40">
        <f t="shared" si="131"/>
        <v>2290.0382168990445</v>
      </c>
      <c r="AA264" s="40">
        <f t="shared" si="132"/>
        <v>3765.4473379256924</v>
      </c>
      <c r="AB264" s="40">
        <f t="shared" si="133"/>
        <v>2351.9151567512972</v>
      </c>
      <c r="AC264" s="40">
        <f t="shared" si="134"/>
        <v>2505.1464161769673</v>
      </c>
      <c r="AD264" s="41">
        <f t="shared" si="135"/>
        <v>0.74242415240069115</v>
      </c>
      <c r="AE264" s="41">
        <f t="shared" si="136"/>
        <v>4.9493373067311497E-2</v>
      </c>
      <c r="AF264" s="64">
        <f t="shared" si="137"/>
        <v>2.4204844494613189</v>
      </c>
      <c r="AG264" s="64">
        <f>APPLICANTS_PER_YEAR*($H264/Segments!$AH$2)*AE264</f>
        <v>0.77209661985005928</v>
      </c>
      <c r="AH264" s="64">
        <f t="shared" si="138"/>
        <v>3.1925810693113781</v>
      </c>
      <c r="AI264" s="40">
        <f t="shared" si="139"/>
        <v>2809.9387019640881</v>
      </c>
      <c r="AJ264" s="65">
        <f t="shared" si="140"/>
        <v>8970.9571058159345</v>
      </c>
      <c r="AK264" s="65">
        <f t="shared" si="141"/>
        <v>8188.4685783840505</v>
      </c>
      <c r="AL264" s="65">
        <f t="shared" si="142"/>
        <v>1880.4200505459451</v>
      </c>
      <c r="AM264" s="40">
        <f t="shared" si="143"/>
        <v>2809.9387019640881</v>
      </c>
      <c r="AN264" s="40">
        <f t="shared" si="144"/>
        <v>2358.7393634060159</v>
      </c>
      <c r="AO264" s="40">
        <f t="shared" si="145"/>
        <v>3877.1607580634632</v>
      </c>
      <c r="AP264" s="40">
        <f t="shared" si="146"/>
        <v>2422.0822022142452</v>
      </c>
      <c r="AQ264" s="40">
        <f t="shared" si="147"/>
        <v>3512.4233774551103</v>
      </c>
      <c r="AR264" s="41">
        <f t="shared" si="148"/>
        <v>0.54991656264925992</v>
      </c>
      <c r="AS264" s="41">
        <f t="shared" si="149"/>
        <v>4.962238388957263E-2</v>
      </c>
      <c r="AT264" s="64">
        <f t="shared" si="150"/>
        <v>0.87782660380740585</v>
      </c>
      <c r="AU264" s="64">
        <f>APPLICANTS_PER_YEAR*($H264/Segments!$AH$2)*AS264</f>
        <v>0.77410918867733303</v>
      </c>
      <c r="AV264" s="64">
        <f t="shared" si="151"/>
        <v>1.6519357924847389</v>
      </c>
      <c r="AW264" s="40">
        <f t="shared" si="152"/>
        <v>3683.3419803860024</v>
      </c>
      <c r="AX264" s="65">
        <f t="shared" si="153"/>
        <v>6084.6444533612585</v>
      </c>
      <c r="AY264" s="65">
        <f t="shared" si="154"/>
        <v>4364.0642970994331</v>
      </c>
      <c r="AZ264" s="65">
        <f t="shared" si="155"/>
        <v>1307.4363491597696</v>
      </c>
    </row>
    <row r="265" spans="1:52" ht="15" customHeight="1" x14ac:dyDescent="0.35">
      <c r="A265" s="59" t="str">
        <f>Segments!$A$245</f>
        <v>Greek</v>
      </c>
      <c r="B265" s="59" t="str">
        <f>Segments!$B$245</f>
        <v>Off 0-1mi</v>
      </c>
      <c r="C265" s="59" t="str">
        <f>Segments!$C$245</f>
        <v>Yes</v>
      </c>
      <c r="D265" s="59" t="str">
        <f>Segments!$D$245</f>
        <v>&lt;1.0</v>
      </c>
      <c r="E265" s="59" t="str">
        <f>Segments!$E$245</f>
        <v>Freshman</v>
      </c>
      <c r="F265" s="59">
        <f>Segments!$F$245</f>
        <v>1</v>
      </c>
      <c r="G265" s="59" t="str">
        <f>Segments!$G$245</f>
        <v>Base</v>
      </c>
      <c r="H265" s="60">
        <f>Segments!$H$245</f>
        <v>1</v>
      </c>
      <c r="I265" s="26">
        <f>Segments!$Y$245</f>
        <v>3200.6454870823927</v>
      </c>
      <c r="J265" s="29">
        <v>0</v>
      </c>
      <c r="K265" s="14">
        <f t="shared" si="117"/>
        <v>5246.1657498692011</v>
      </c>
      <c r="L265" s="14">
        <f t="shared" si="118"/>
        <v>3200.6454870823927</v>
      </c>
      <c r="M265" s="14">
        <f t="shared" si="119"/>
        <v>5246.1657498692011</v>
      </c>
      <c r="N265" s="14">
        <f t="shared" si="120"/>
        <v>2735.3679458865145</v>
      </c>
      <c r="O265" s="14">
        <f t="shared" si="121"/>
        <v>5246.1657498692011</v>
      </c>
      <c r="P265" s="33">
        <f t="shared" si="122"/>
        <v>0.39104934808524383</v>
      </c>
      <c r="Q265" s="33">
        <f t="shared" si="123"/>
        <v>0.02</v>
      </c>
      <c r="R265" s="51">
        <f t="shared" si="124"/>
        <v>0</v>
      </c>
      <c r="S265" s="51">
        <f>APPLICANTS_PER_YEAR*($H265/Segments!$AH$2)*Q265</f>
        <v>2.4E-2</v>
      </c>
      <c r="T265" s="51">
        <f t="shared" si="125"/>
        <v>2.4E-2</v>
      </c>
      <c r="U265" s="14">
        <f t="shared" si="126"/>
        <v>5246.1657498692011</v>
      </c>
      <c r="V265" s="44">
        <f t="shared" si="127"/>
        <v>125.90797799686084</v>
      </c>
      <c r="W265" s="44">
        <f t="shared" si="128"/>
        <v>86.033350692774718</v>
      </c>
      <c r="X265" s="44">
        <f t="shared" si="129"/>
        <v>29.283387071296829</v>
      </c>
      <c r="Y265" s="14">
        <f t="shared" si="130"/>
        <v>5402.3007223652776</v>
      </c>
      <c r="Z265" s="14">
        <f t="shared" si="131"/>
        <v>3296.6648516948644</v>
      </c>
      <c r="AA265" s="14">
        <f t="shared" si="132"/>
        <v>5402.3007223652776</v>
      </c>
      <c r="AB265" s="14">
        <f t="shared" si="133"/>
        <v>2817.1030883746466</v>
      </c>
      <c r="AC265" s="14">
        <f t="shared" si="134"/>
        <v>5402.3007223652776</v>
      </c>
      <c r="AD265" s="33">
        <f t="shared" si="135"/>
        <v>0.39116027122703123</v>
      </c>
      <c r="AE265" s="33">
        <f t="shared" si="136"/>
        <v>0.02</v>
      </c>
      <c r="AF265" s="51">
        <f t="shared" si="137"/>
        <v>0</v>
      </c>
      <c r="AG265" s="51">
        <f>APPLICANTS_PER_YEAR*($H265/Segments!$AH$2)*AE265</f>
        <v>2.4E-2</v>
      </c>
      <c r="AH265" s="51">
        <f t="shared" si="138"/>
        <v>2.4E-2</v>
      </c>
      <c r="AI265" s="14">
        <f t="shared" si="139"/>
        <v>5402.3007223652776</v>
      </c>
      <c r="AJ265" s="44">
        <f t="shared" si="140"/>
        <v>129.65521733676667</v>
      </c>
      <c r="AK265" s="44">
        <f t="shared" si="141"/>
        <v>88.614351213557967</v>
      </c>
      <c r="AL265" s="44">
        <f t="shared" si="142"/>
        <v>30.122768683435737</v>
      </c>
      <c r="AM265" s="14">
        <f t="shared" si="143"/>
        <v>5563.1197440362357</v>
      </c>
      <c r="AN265" s="14">
        <f t="shared" si="144"/>
        <v>3395.5647972457105</v>
      </c>
      <c r="AO265" s="14">
        <f t="shared" si="145"/>
        <v>5563.1197440362357</v>
      </c>
      <c r="AP265" s="14">
        <f t="shared" si="146"/>
        <v>2901.2902479811091</v>
      </c>
      <c r="AQ265" s="14">
        <f t="shared" si="147"/>
        <v>5563.1197440362357</v>
      </c>
      <c r="AR265" s="33">
        <f t="shared" si="148"/>
        <v>0.39126797587601125</v>
      </c>
      <c r="AS265" s="33">
        <f t="shared" si="149"/>
        <v>0.02</v>
      </c>
      <c r="AT265" s="51">
        <f t="shared" si="150"/>
        <v>0</v>
      </c>
      <c r="AU265" s="51">
        <f>APPLICANTS_PER_YEAR*($H265/Segments!$AH$2)*AS265</f>
        <v>2.4E-2</v>
      </c>
      <c r="AV265" s="51">
        <f t="shared" si="151"/>
        <v>2.4E-2</v>
      </c>
      <c r="AW265" s="14">
        <f t="shared" si="152"/>
        <v>5563.1197440362357</v>
      </c>
      <c r="AX265" s="44">
        <f t="shared" si="153"/>
        <v>133.51487385686966</v>
      </c>
      <c r="AY265" s="44">
        <f t="shared" si="154"/>
        <v>91.272781749964707</v>
      </c>
      <c r="AZ265" s="44">
        <f t="shared" si="155"/>
        <v>30.987331743938807</v>
      </c>
    </row>
    <row r="266" spans="1:52" ht="15" customHeight="1" x14ac:dyDescent="0.35">
      <c r="A266" s="59" t="str">
        <f>Segments!$A$246</f>
        <v>Greek</v>
      </c>
      <c r="B266" s="59" t="str">
        <f>Segments!$B$246</f>
        <v>Off 0-1mi</v>
      </c>
      <c r="C266" s="59" t="str">
        <f>Segments!$C$246</f>
        <v>Yes</v>
      </c>
      <c r="D266" s="59" t="str">
        <f>Segments!$D$246</f>
        <v>&lt;1.0</v>
      </c>
      <c r="E266" s="59" t="str">
        <f>Segments!$E$246</f>
        <v>Sophomore</v>
      </c>
      <c r="F266" s="59">
        <f>Segments!$F$246</f>
        <v>1</v>
      </c>
      <c r="G266" s="59" t="str">
        <f>Segments!$G$246</f>
        <v>Sophomore</v>
      </c>
      <c r="H266" s="60">
        <f>Segments!$H$246</f>
        <v>3</v>
      </c>
      <c r="I266" s="26">
        <f>Segments!$Y$246</f>
        <v>3168.0828970772427</v>
      </c>
      <c r="J266" s="29">
        <v>1</v>
      </c>
      <c r="K266" s="14">
        <f t="shared" si="117"/>
        <v>1426.2297754450396</v>
      </c>
      <c r="L266" s="14">
        <f t="shared" si="118"/>
        <v>3168.0828970772427</v>
      </c>
      <c r="M266" s="14">
        <f t="shared" si="119"/>
        <v>5193.2164399526609</v>
      </c>
      <c r="N266" s="14">
        <f t="shared" si="120"/>
        <v>2721.5289667742236</v>
      </c>
      <c r="O266" s="14">
        <f t="shared" si="121"/>
        <v>1782.7872193062994</v>
      </c>
      <c r="P266" s="33">
        <f t="shared" si="122"/>
        <v>0.94746587468451549</v>
      </c>
      <c r="Q266" s="33">
        <f t="shared" si="123"/>
        <v>0.02</v>
      </c>
      <c r="R266" s="51">
        <f t="shared" si="124"/>
        <v>0.94746587468451549</v>
      </c>
      <c r="S266" s="51">
        <f>APPLICANTS_PER_YEAR*($H266/Segments!$AH$2)*Q266</f>
        <v>7.1999999999999995E-2</v>
      </c>
      <c r="T266" s="51">
        <f t="shared" si="125"/>
        <v>1.0194658746845155</v>
      </c>
      <c r="U266" s="14">
        <f t="shared" si="126"/>
        <v>2023.6495276817768</v>
      </c>
      <c r="V266" s="44">
        <f t="shared" si="127"/>
        <v>2063.0416357930094</v>
      </c>
      <c r="W266" s="44">
        <f t="shared" si="128"/>
        <v>3617.3226899509345</v>
      </c>
      <c r="X266" s="44">
        <f t="shared" si="129"/>
        <v>425.19109208724984</v>
      </c>
      <c r="Y266" s="14">
        <f t="shared" si="130"/>
        <v>5246.1657498692011</v>
      </c>
      <c r="Z266" s="14">
        <f t="shared" si="131"/>
        <v>3263.1253839895599</v>
      </c>
      <c r="AA266" s="14">
        <f t="shared" si="132"/>
        <v>5347.7629331512408</v>
      </c>
      <c r="AB266" s="14">
        <f t="shared" si="133"/>
        <v>2802.8472825147019</v>
      </c>
      <c r="AC266" s="14">
        <f t="shared" si="134"/>
        <v>5347.7629331512408</v>
      </c>
      <c r="AD266" s="33">
        <f t="shared" si="135"/>
        <v>0.39020263413507833</v>
      </c>
      <c r="AE266" s="33">
        <f t="shared" si="136"/>
        <v>0.02</v>
      </c>
      <c r="AF266" s="51">
        <f t="shared" si="137"/>
        <v>9.3648632192418809E-3</v>
      </c>
      <c r="AG266" s="51">
        <f>APPLICANTS_PER_YEAR*($H266/Segments!$AH$2)*AE266</f>
        <v>7.1999999999999995E-2</v>
      </c>
      <c r="AH266" s="51">
        <f t="shared" si="138"/>
        <v>8.136486321924187E-2</v>
      </c>
      <c r="AI266" s="14">
        <f t="shared" si="139"/>
        <v>5347.7629331512417</v>
      </c>
      <c r="AJ266" s="44">
        <f t="shared" si="140"/>
        <v>435.11999958478248</v>
      </c>
      <c r="AK266" s="44">
        <f t="shared" si="141"/>
        <v>297.36420059981231</v>
      </c>
      <c r="AL266" s="44">
        <f t="shared" si="142"/>
        <v>99.141339777449843</v>
      </c>
      <c r="AM266" s="14">
        <f t="shared" si="143"/>
        <v>5402.3007223652776</v>
      </c>
      <c r="AN266" s="14">
        <f t="shared" si="144"/>
        <v>3361.0191455092468</v>
      </c>
      <c r="AO266" s="14">
        <f t="shared" si="145"/>
        <v>5506.9458211457777</v>
      </c>
      <c r="AP266" s="14">
        <f t="shared" si="146"/>
        <v>2886.6051100012414</v>
      </c>
      <c r="AQ266" s="14">
        <f t="shared" si="147"/>
        <v>5506.9458211457777</v>
      </c>
      <c r="AR266" s="33">
        <f t="shared" si="148"/>
        <v>0.39030954236453713</v>
      </c>
      <c r="AS266" s="33">
        <f t="shared" si="149"/>
        <v>0.02</v>
      </c>
      <c r="AT266" s="51">
        <f t="shared" si="150"/>
        <v>9.3674290167488905E-3</v>
      </c>
      <c r="AU266" s="51">
        <f>APPLICANTS_PER_YEAR*($H266/Segments!$AH$2)*AS266</f>
        <v>7.1999999999999995E-2</v>
      </c>
      <c r="AV266" s="51">
        <f t="shared" si="151"/>
        <v>8.1367429016748885E-2</v>
      </c>
      <c r="AW266" s="14">
        <f t="shared" si="152"/>
        <v>5506.9458211457777</v>
      </c>
      <c r="AX266" s="44">
        <f t="shared" si="153"/>
        <v>448.08602320116097</v>
      </c>
      <c r="AY266" s="44">
        <f t="shared" si="154"/>
        <v>306.29478515569656</v>
      </c>
      <c r="AZ266" s="44">
        <f t="shared" si="155"/>
        <v>101.99311043464175</v>
      </c>
    </row>
    <row r="267" spans="1:52" ht="15" customHeight="1" x14ac:dyDescent="0.35">
      <c r="A267" s="59" t="str">
        <f>Segments!$A$247</f>
        <v>Greek</v>
      </c>
      <c r="B267" s="59" t="str">
        <f>Segments!$B$247</f>
        <v>Off 0-1mi</v>
      </c>
      <c r="C267" s="59" t="str">
        <f>Segments!$C$247</f>
        <v>Yes</v>
      </c>
      <c r="D267" s="59" t="str">
        <f>Segments!$D$247</f>
        <v>&lt;1.0</v>
      </c>
      <c r="E267" s="59" t="str">
        <f>Segments!$E$247</f>
        <v>Junior</v>
      </c>
      <c r="F267" s="59">
        <f>Segments!$F$247</f>
        <v>2</v>
      </c>
      <c r="G267" s="59" t="str">
        <f>Segments!$G$247</f>
        <v>Base</v>
      </c>
      <c r="H267" s="60">
        <f>Segments!$H$247</f>
        <v>0</v>
      </c>
      <c r="I267" s="26">
        <f>Segments!$Y$247</f>
        <v>3787.2074737889689</v>
      </c>
      <c r="J267" s="29">
        <v>2</v>
      </c>
      <c r="K267" s="14">
        <f t="shared" si="117"/>
        <v>1426.2297754450396</v>
      </c>
      <c r="L267" s="14">
        <f t="shared" si="118"/>
        <v>3787.2074737889689</v>
      </c>
      <c r="M267" s="14">
        <f t="shared" si="119"/>
        <v>6199.9612684221274</v>
      </c>
      <c r="N267" s="14">
        <f t="shared" si="120"/>
        <v>2973.6458039971126</v>
      </c>
      <c r="O267" s="14">
        <f t="shared" si="121"/>
        <v>1782.7872193062994</v>
      </c>
      <c r="P267" s="33">
        <f t="shared" si="122"/>
        <v>0.95</v>
      </c>
      <c r="Q267" s="33">
        <f t="shared" si="123"/>
        <v>0.02</v>
      </c>
      <c r="R267" s="51">
        <f t="shared" si="124"/>
        <v>2.8499999999999996</v>
      </c>
      <c r="S267" s="51">
        <f>APPLICANTS_PER_YEAR*($H267/Segments!$AH$2)*Q267</f>
        <v>0</v>
      </c>
      <c r="T267" s="51">
        <f t="shared" si="125"/>
        <v>2.8499999999999996</v>
      </c>
      <c r="U267" s="14">
        <f t="shared" si="126"/>
        <v>1782.7872193062997</v>
      </c>
      <c r="V267" s="44">
        <f t="shared" si="127"/>
        <v>5080.9435750229532</v>
      </c>
      <c r="W267" s="44">
        <f t="shared" si="128"/>
        <v>12088.766256334389</v>
      </c>
      <c r="X267" s="44">
        <f t="shared" si="129"/>
        <v>1017.2983356793382</v>
      </c>
      <c r="Y267" s="14">
        <f t="shared" si="130"/>
        <v>2023.6495276817768</v>
      </c>
      <c r="Z267" s="14">
        <f t="shared" si="131"/>
        <v>3900.8236980026381</v>
      </c>
      <c r="AA267" s="14">
        <f t="shared" si="132"/>
        <v>6384.7101064747912</v>
      </c>
      <c r="AB267" s="14">
        <f t="shared" si="133"/>
        <v>3062.5553988919764</v>
      </c>
      <c r="AC267" s="14">
        <f t="shared" si="134"/>
        <v>2529.561909602221</v>
      </c>
      <c r="AD267" s="33">
        <f t="shared" si="135"/>
        <v>0.86201777108792732</v>
      </c>
      <c r="AE267" s="33">
        <f t="shared" si="136"/>
        <v>0.02</v>
      </c>
      <c r="AF267" s="51">
        <f t="shared" si="137"/>
        <v>0.87879770099575027</v>
      </c>
      <c r="AG267" s="51">
        <f>APPLICANTS_PER_YEAR*($H267/Segments!$AH$2)*AE267</f>
        <v>0</v>
      </c>
      <c r="AH267" s="51">
        <f t="shared" si="138"/>
        <v>0.87879770099575027</v>
      </c>
      <c r="AI267" s="14">
        <f t="shared" si="139"/>
        <v>2529.5619096022215</v>
      </c>
      <c r="AJ267" s="44">
        <f t="shared" si="140"/>
        <v>2222.9731906848519</v>
      </c>
      <c r="AK267" s="44">
        <f t="shared" si="141"/>
        <v>3839.3990855297943</v>
      </c>
      <c r="AL267" s="44">
        <f t="shared" si="142"/>
        <v>437.71788705935199</v>
      </c>
      <c r="AM267" s="14">
        <f t="shared" si="143"/>
        <v>5347.7629331512417</v>
      </c>
      <c r="AN267" s="14">
        <f t="shared" si="144"/>
        <v>4017.848408942717</v>
      </c>
      <c r="AO267" s="14">
        <f t="shared" si="145"/>
        <v>6575.0014096690347</v>
      </c>
      <c r="AP267" s="14">
        <f t="shared" si="146"/>
        <v>3154.1322527142911</v>
      </c>
      <c r="AQ267" s="14">
        <f t="shared" si="147"/>
        <v>6575.0014096690347</v>
      </c>
      <c r="AR267" s="33">
        <f t="shared" si="148"/>
        <v>0.3</v>
      </c>
      <c r="AS267" s="33">
        <f t="shared" si="149"/>
        <v>0.02</v>
      </c>
      <c r="AT267" s="51">
        <f t="shared" si="150"/>
        <v>2.4409458965772561E-2</v>
      </c>
      <c r="AU267" s="51">
        <f>APPLICANTS_PER_YEAR*($H267/Segments!$AH$2)*AS267</f>
        <v>0</v>
      </c>
      <c r="AV267" s="51">
        <f t="shared" si="151"/>
        <v>2.4409458965772561E-2</v>
      </c>
      <c r="AW267" s="14">
        <f t="shared" si="152"/>
        <v>6575.0014096690347</v>
      </c>
      <c r="AX267" s="44">
        <f t="shared" si="153"/>
        <v>160.49222710921305</v>
      </c>
      <c r="AY267" s="44">
        <f t="shared" si="154"/>
        <v>109.84232657303565</v>
      </c>
      <c r="AZ267" s="44">
        <f t="shared" si="155"/>
        <v>30.821220102956719</v>
      </c>
    </row>
    <row r="268" spans="1:52" ht="15" customHeight="1" x14ac:dyDescent="0.35">
      <c r="A268" s="59" t="str">
        <f>Segments!$A$248</f>
        <v>Greek</v>
      </c>
      <c r="B268" s="59" t="str">
        <f>Segments!$B$248</f>
        <v>Off 0-1mi</v>
      </c>
      <c r="C268" s="59" t="str">
        <f>Segments!$C$248</f>
        <v>Yes</v>
      </c>
      <c r="D268" s="59" t="str">
        <f>Segments!$D$248</f>
        <v>&lt;1.0</v>
      </c>
      <c r="E268" s="59" t="str">
        <f>Segments!$E$248</f>
        <v>Senior</v>
      </c>
      <c r="F268" s="59">
        <f>Segments!$F$248</f>
        <v>3</v>
      </c>
      <c r="G268" s="59" t="str">
        <f>Segments!$G$248</f>
        <v>Base</v>
      </c>
      <c r="H268" s="60">
        <f>Segments!$H$248</f>
        <v>1</v>
      </c>
      <c r="I268" s="26">
        <f>Segments!$Y$248</f>
        <v>3539.8553207256209</v>
      </c>
      <c r="J268" s="29">
        <v>3</v>
      </c>
      <c r="K268" s="14">
        <f t="shared" si="117"/>
        <v>1426.2297754450396</v>
      </c>
      <c r="L268" s="14">
        <f t="shared" si="118"/>
        <v>3539.8553207256209</v>
      </c>
      <c r="M268" s="14">
        <f t="shared" si="119"/>
        <v>5797.7473840534876</v>
      </c>
      <c r="N268" s="14">
        <f t="shared" si="120"/>
        <v>2875.5729776247504</v>
      </c>
      <c r="O268" s="14">
        <f t="shared" si="121"/>
        <v>1782.7872193062994</v>
      </c>
      <c r="P268" s="33">
        <f t="shared" si="122"/>
        <v>0.95</v>
      </c>
      <c r="Q268" s="33">
        <f t="shared" si="123"/>
        <v>0.02</v>
      </c>
      <c r="R268" s="51">
        <f t="shared" si="124"/>
        <v>0</v>
      </c>
      <c r="S268" s="51">
        <f>APPLICANTS_PER_YEAR*($H268/Segments!$AH$2)*Q268</f>
        <v>2.4E-2</v>
      </c>
      <c r="T268" s="51">
        <f t="shared" si="125"/>
        <v>2.4E-2</v>
      </c>
      <c r="U268" s="14">
        <f t="shared" si="126"/>
        <v>5797.7473840534876</v>
      </c>
      <c r="V268" s="44">
        <f t="shared" si="127"/>
        <v>139.14593721728372</v>
      </c>
      <c r="W268" s="44">
        <f t="shared" si="128"/>
        <v>95.151311021104689</v>
      </c>
      <c r="X268" s="44">
        <f t="shared" si="129"/>
        <v>32.248689936671553</v>
      </c>
      <c r="Y268" s="14">
        <f t="shared" si="130"/>
        <v>1782.7872193062997</v>
      </c>
      <c r="Z268" s="14">
        <f t="shared" si="131"/>
        <v>3646.0509803473897</v>
      </c>
      <c r="AA268" s="14">
        <f t="shared" si="132"/>
        <v>5970.4298055750924</v>
      </c>
      <c r="AB268" s="14">
        <f t="shared" si="133"/>
        <v>2961.5301625584038</v>
      </c>
      <c r="AC268" s="14">
        <f t="shared" si="134"/>
        <v>2228.4840241328748</v>
      </c>
      <c r="AD268" s="33">
        <f t="shared" si="135"/>
        <v>0.89876138316826493</v>
      </c>
      <c r="AE268" s="33">
        <f t="shared" si="136"/>
        <v>0.02</v>
      </c>
      <c r="AF268" s="51">
        <f t="shared" si="137"/>
        <v>2.5614699420295546</v>
      </c>
      <c r="AG268" s="51">
        <f>APPLICANTS_PER_YEAR*($H268/Segments!$AH$2)*AE268</f>
        <v>2.4E-2</v>
      </c>
      <c r="AH268" s="51">
        <f t="shared" si="138"/>
        <v>2.5854699420295546</v>
      </c>
      <c r="AI268" s="14">
        <f t="shared" si="139"/>
        <v>2263.2191789667063</v>
      </c>
      <c r="AJ268" s="44">
        <f t="shared" si="140"/>
        <v>5851.4851594432257</v>
      </c>
      <c r="AK268" s="44">
        <f t="shared" si="141"/>
        <v>10557.965842811034</v>
      </c>
      <c r="AL268" s="44">
        <f t="shared" si="142"/>
        <v>1163.2552550120438</v>
      </c>
      <c r="AM268" s="14">
        <f t="shared" si="143"/>
        <v>2529.5619096022215</v>
      </c>
      <c r="AN268" s="14">
        <f t="shared" si="144"/>
        <v>3755.4325097578112</v>
      </c>
      <c r="AO268" s="14">
        <f t="shared" si="145"/>
        <v>6148.2926997423447</v>
      </c>
      <c r="AP268" s="14">
        <f t="shared" si="146"/>
        <v>3050.0660310590338</v>
      </c>
      <c r="AQ268" s="14">
        <f t="shared" si="147"/>
        <v>3161.952387002777</v>
      </c>
      <c r="AR268" s="33">
        <f t="shared" si="148"/>
        <v>0.75665837152304305</v>
      </c>
      <c r="AS268" s="33">
        <f t="shared" si="149"/>
        <v>0.02</v>
      </c>
      <c r="AT268" s="51">
        <f t="shared" si="150"/>
        <v>0.66494963733363854</v>
      </c>
      <c r="AU268" s="51">
        <f>APPLICANTS_PER_YEAR*($H268/Segments!$AH$2)*AS268</f>
        <v>2.4E-2</v>
      </c>
      <c r="AV268" s="51">
        <f t="shared" si="151"/>
        <v>0.68894963733363856</v>
      </c>
      <c r="AW268" s="14">
        <f t="shared" si="152"/>
        <v>3265.9834563609579</v>
      </c>
      <c r="AX268" s="44">
        <f t="shared" si="153"/>
        <v>2250.0981177975455</v>
      </c>
      <c r="AY268" s="44">
        <f t="shared" si="154"/>
        <v>2897.7803295040326</v>
      </c>
      <c r="AZ268" s="44">
        <f t="shared" si="155"/>
        <v>444.81210287819249</v>
      </c>
    </row>
    <row r="269" spans="1:52" ht="15" customHeight="1" x14ac:dyDescent="0.35">
      <c r="A269" s="59" t="str">
        <f>Segments!$A$249</f>
        <v>Greek</v>
      </c>
      <c r="B269" s="59" t="str">
        <f>Segments!$B$249</f>
        <v>Off 0-1mi</v>
      </c>
      <c r="C269" s="59" t="str">
        <f>Segments!$C$249</f>
        <v>Yes</v>
      </c>
      <c r="D269" s="59" t="str">
        <f>Segments!$D$249</f>
        <v>&lt;1.0</v>
      </c>
      <c r="E269" s="59" t="str">
        <f>Segments!$E$249</f>
        <v>Grad student</v>
      </c>
      <c r="F269" s="59">
        <f>Segments!$F$249</f>
        <v>3</v>
      </c>
      <c r="G269" s="59" t="str">
        <f>Segments!$G$249</f>
        <v>Grad</v>
      </c>
      <c r="H269" s="60">
        <f>Segments!$H$249</f>
        <v>0</v>
      </c>
      <c r="I269" s="26">
        <f>Segments!$Y$249</f>
        <v>4214.8364447156264</v>
      </c>
      <c r="J269" s="29">
        <v>4</v>
      </c>
      <c r="K269" s="14">
        <f t="shared" si="117"/>
        <v>1426.2297754450396</v>
      </c>
      <c r="L269" s="14">
        <f t="shared" si="118"/>
        <v>4214.8364447156264</v>
      </c>
      <c r="M269" s="14">
        <f t="shared" si="119"/>
        <v>6895.3193129543924</v>
      </c>
      <c r="N269" s="14">
        <f t="shared" si="120"/>
        <v>3135.970298860751</v>
      </c>
      <c r="O269" s="14">
        <f t="shared" si="121"/>
        <v>1782.7872193062994</v>
      </c>
      <c r="P269" s="33">
        <f t="shared" si="122"/>
        <v>0.95</v>
      </c>
      <c r="Q269" s="33">
        <f t="shared" si="123"/>
        <v>0.02</v>
      </c>
      <c r="R269" s="51">
        <f t="shared" si="124"/>
        <v>0</v>
      </c>
      <c r="S269" s="51">
        <f>APPLICANTS_PER_YEAR*($H269/Segments!$AH$2)*Q269</f>
        <v>0</v>
      </c>
      <c r="T269" s="51">
        <f t="shared" si="125"/>
        <v>0</v>
      </c>
      <c r="U269" s="14">
        <f t="shared" si="126"/>
        <v>6895.3193129543924</v>
      </c>
      <c r="V269" s="44">
        <f t="shared" si="127"/>
        <v>0</v>
      </c>
      <c r="W269" s="44">
        <f t="shared" si="128"/>
        <v>0</v>
      </c>
      <c r="X269" s="44">
        <f t="shared" si="129"/>
        <v>0</v>
      </c>
      <c r="Y269" s="14">
        <f t="shared" si="130"/>
        <v>6895.3193129543924</v>
      </c>
      <c r="Z269" s="14">
        <f t="shared" si="131"/>
        <v>4341.2815380570955</v>
      </c>
      <c r="AA269" s="14">
        <f t="shared" si="132"/>
        <v>7100.9288923430249</v>
      </c>
      <c r="AB269" s="14">
        <f t="shared" si="133"/>
        <v>3229.7651472150283</v>
      </c>
      <c r="AC269" s="14">
        <f t="shared" si="134"/>
        <v>7100.9288923430249</v>
      </c>
      <c r="AD269" s="33">
        <f t="shared" si="135"/>
        <v>0.3</v>
      </c>
      <c r="AE269" s="33">
        <f t="shared" si="136"/>
        <v>0.02</v>
      </c>
      <c r="AF269" s="51">
        <f t="shared" si="137"/>
        <v>0</v>
      </c>
      <c r="AG269" s="51">
        <f>APPLICANTS_PER_YEAR*($H269/Segments!$AH$2)*AE269</f>
        <v>0</v>
      </c>
      <c r="AH269" s="51">
        <f t="shared" si="138"/>
        <v>0</v>
      </c>
      <c r="AI269" s="14">
        <f t="shared" si="139"/>
        <v>7100.9288923430249</v>
      </c>
      <c r="AJ269" s="44">
        <f t="shared" si="140"/>
        <v>0</v>
      </c>
      <c r="AK269" s="44">
        <f t="shared" si="141"/>
        <v>0</v>
      </c>
      <c r="AL269" s="44">
        <f t="shared" si="142"/>
        <v>0</v>
      </c>
      <c r="AM269" s="14">
        <f t="shared" si="143"/>
        <v>7100.9288923430249</v>
      </c>
      <c r="AN269" s="14">
        <f t="shared" si="144"/>
        <v>4471.5199841988078</v>
      </c>
      <c r="AO269" s="14">
        <f t="shared" si="145"/>
        <v>7312.7067591133145</v>
      </c>
      <c r="AP269" s="14">
        <f t="shared" si="146"/>
        <v>3326.3738163636081</v>
      </c>
      <c r="AQ269" s="14">
        <f t="shared" si="147"/>
        <v>7312.7067591133145</v>
      </c>
      <c r="AR269" s="33">
        <f t="shared" si="148"/>
        <v>0.3</v>
      </c>
      <c r="AS269" s="33">
        <f t="shared" si="149"/>
        <v>0.02</v>
      </c>
      <c r="AT269" s="51">
        <f t="shared" si="150"/>
        <v>0</v>
      </c>
      <c r="AU269" s="51">
        <f>APPLICANTS_PER_YEAR*($H269/Segments!$AH$2)*AS269</f>
        <v>0</v>
      </c>
      <c r="AV269" s="51">
        <f t="shared" si="151"/>
        <v>0</v>
      </c>
      <c r="AW269" s="14">
        <f t="shared" si="152"/>
        <v>7312.7067591133145</v>
      </c>
      <c r="AX269" s="44">
        <f t="shared" si="153"/>
        <v>0</v>
      </c>
      <c r="AY269" s="44">
        <f t="shared" si="154"/>
        <v>0</v>
      </c>
      <c r="AZ269" s="44">
        <f t="shared" si="155"/>
        <v>0</v>
      </c>
    </row>
    <row r="270" spans="1:52" ht="15" customHeight="1" x14ac:dyDescent="0.35">
      <c r="A270" s="61" t="str">
        <f>Segments!$A$250</f>
        <v>Greek</v>
      </c>
      <c r="B270" s="61" t="str">
        <f>Segments!$B$250</f>
        <v>Off 0-1mi</v>
      </c>
      <c r="C270" s="61" t="str">
        <f>Segments!$C$250</f>
        <v>Yes</v>
      </c>
      <c r="D270" s="61" t="str">
        <f>Segments!$D$250</f>
        <v>1.0-2.0</v>
      </c>
      <c r="E270" s="61" t="str">
        <f>Segments!$E$250</f>
        <v>Freshman</v>
      </c>
      <c r="F270" s="61">
        <f>Segments!$F$250</f>
        <v>1</v>
      </c>
      <c r="G270" s="61" t="str">
        <f>Segments!$G$250</f>
        <v>Base</v>
      </c>
      <c r="H270" s="62">
        <f>Segments!$H$250</f>
        <v>2</v>
      </c>
      <c r="I270" s="63">
        <f>Segments!$Y$250</f>
        <v>2904.3331930267523</v>
      </c>
      <c r="J270" s="42">
        <v>0</v>
      </c>
      <c r="K270" s="40">
        <f t="shared" si="117"/>
        <v>4764.3388593315676</v>
      </c>
      <c r="L270" s="40">
        <f t="shared" si="118"/>
        <v>2904.3331930267523</v>
      </c>
      <c r="M270" s="40">
        <f t="shared" si="119"/>
        <v>4764.3388593315676</v>
      </c>
      <c r="N270" s="40">
        <f t="shared" si="120"/>
        <v>2606.7301244065407</v>
      </c>
      <c r="O270" s="40">
        <f t="shared" si="121"/>
        <v>4764.3388593315676</v>
      </c>
      <c r="P270" s="41">
        <f t="shared" si="122"/>
        <v>0.43614650693534351</v>
      </c>
      <c r="Q270" s="41">
        <f t="shared" si="123"/>
        <v>0.02</v>
      </c>
      <c r="R270" s="64">
        <f t="shared" si="124"/>
        <v>0</v>
      </c>
      <c r="S270" s="64">
        <f>APPLICANTS_PER_YEAR*($H270/Segments!$AH$2)*Q270</f>
        <v>4.8000000000000001E-2</v>
      </c>
      <c r="T270" s="64">
        <f t="shared" si="125"/>
        <v>4.8000000000000001E-2</v>
      </c>
      <c r="U270" s="40">
        <f t="shared" si="126"/>
        <v>4764.3388593315676</v>
      </c>
      <c r="V270" s="65">
        <f t="shared" si="127"/>
        <v>228.68826524791524</v>
      </c>
      <c r="W270" s="65">
        <f t="shared" si="128"/>
        <v>156.13695245711824</v>
      </c>
      <c r="X270" s="65">
        <f t="shared" si="129"/>
        <v>53.38617141553302</v>
      </c>
      <c r="Y270" s="40">
        <f t="shared" si="130"/>
        <v>4906.0190251115146</v>
      </c>
      <c r="Z270" s="40">
        <f t="shared" si="131"/>
        <v>2991.463188817555</v>
      </c>
      <c r="AA270" s="40">
        <f t="shared" si="132"/>
        <v>4906.0190251115146</v>
      </c>
      <c r="AB270" s="40">
        <f t="shared" si="133"/>
        <v>2684.5900478265394</v>
      </c>
      <c r="AC270" s="40">
        <f t="shared" si="134"/>
        <v>4906.0190251115146</v>
      </c>
      <c r="AD270" s="41">
        <f t="shared" si="135"/>
        <v>0.43626290463166661</v>
      </c>
      <c r="AE270" s="41">
        <f t="shared" si="136"/>
        <v>0.02</v>
      </c>
      <c r="AF270" s="64">
        <f t="shared" si="137"/>
        <v>0</v>
      </c>
      <c r="AG270" s="64">
        <f>APPLICANTS_PER_YEAR*($H270/Segments!$AH$2)*AE270</f>
        <v>4.8000000000000001E-2</v>
      </c>
      <c r="AH270" s="64">
        <f t="shared" si="138"/>
        <v>4.8000000000000001E-2</v>
      </c>
      <c r="AI270" s="40">
        <f t="shared" si="139"/>
        <v>4906.0190251115146</v>
      </c>
      <c r="AJ270" s="65">
        <f t="shared" si="140"/>
        <v>235.4889132053527</v>
      </c>
      <c r="AK270" s="65">
        <f t="shared" si="141"/>
        <v>160.82106103083177</v>
      </c>
      <c r="AL270" s="65">
        <f t="shared" si="142"/>
        <v>54.909516557999012</v>
      </c>
      <c r="AM270" s="40">
        <f t="shared" si="143"/>
        <v>5051.9495958648595</v>
      </c>
      <c r="AN270" s="40">
        <f t="shared" si="144"/>
        <v>3081.2070844820814</v>
      </c>
      <c r="AO270" s="40">
        <f t="shared" si="145"/>
        <v>5051.9495958648595</v>
      </c>
      <c r="AP270" s="40">
        <f t="shared" si="146"/>
        <v>2764.7857260146038</v>
      </c>
      <c r="AQ270" s="40">
        <f t="shared" si="147"/>
        <v>5051.9495958648595</v>
      </c>
      <c r="AR270" s="41">
        <f t="shared" si="148"/>
        <v>0.43637592629155253</v>
      </c>
      <c r="AS270" s="41">
        <f t="shared" si="149"/>
        <v>0.02</v>
      </c>
      <c r="AT270" s="64">
        <f t="shared" si="150"/>
        <v>0</v>
      </c>
      <c r="AU270" s="64">
        <f>APPLICANTS_PER_YEAR*($H270/Segments!$AH$2)*AS270</f>
        <v>4.8000000000000001E-2</v>
      </c>
      <c r="AV270" s="64">
        <f t="shared" si="151"/>
        <v>4.8000000000000001E-2</v>
      </c>
      <c r="AW270" s="40">
        <f t="shared" si="152"/>
        <v>5051.9495958648595</v>
      </c>
      <c r="AX270" s="65">
        <f t="shared" si="153"/>
        <v>242.49358060151326</v>
      </c>
      <c r="AY270" s="65">
        <f t="shared" si="154"/>
        <v>165.64569286175671</v>
      </c>
      <c r="AZ270" s="65">
        <f t="shared" si="155"/>
        <v>56.478562054738973</v>
      </c>
    </row>
    <row r="271" spans="1:52" ht="15" customHeight="1" x14ac:dyDescent="0.35">
      <c r="A271" s="61" t="str">
        <f>Segments!$A$251</f>
        <v>Greek</v>
      </c>
      <c r="B271" s="61" t="str">
        <f>Segments!$B$251</f>
        <v>Off 0-1mi</v>
      </c>
      <c r="C271" s="61" t="str">
        <f>Segments!$C$251</f>
        <v>Yes</v>
      </c>
      <c r="D271" s="61" t="str">
        <f>Segments!$D$251</f>
        <v>1.0-2.0</v>
      </c>
      <c r="E271" s="61" t="str">
        <f>Segments!$E$251</f>
        <v>Sophomore</v>
      </c>
      <c r="F271" s="61">
        <f>Segments!$F$251</f>
        <v>1</v>
      </c>
      <c r="G271" s="61" t="str">
        <f>Segments!$G$251</f>
        <v>Sophomore</v>
      </c>
      <c r="H271" s="62">
        <f>Segments!$H$251</f>
        <v>5</v>
      </c>
      <c r="I271" s="63">
        <f>Segments!$Y$251</f>
        <v>2874.7852123508019</v>
      </c>
      <c r="J271" s="42">
        <v>1</v>
      </c>
      <c r="K271" s="40">
        <f t="shared" si="117"/>
        <v>1426.2297754450396</v>
      </c>
      <c r="L271" s="40">
        <f t="shared" si="118"/>
        <v>2874.7852123508019</v>
      </c>
      <c r="M271" s="40">
        <f t="shared" si="119"/>
        <v>4716.2915392021978</v>
      </c>
      <c r="N271" s="40">
        <f t="shared" si="120"/>
        <v>2593.5526643755838</v>
      </c>
      <c r="O271" s="40">
        <f t="shared" si="121"/>
        <v>1782.7872193062994</v>
      </c>
      <c r="P271" s="41">
        <f t="shared" si="122"/>
        <v>0.93130402578782445</v>
      </c>
      <c r="Q271" s="41">
        <f t="shared" si="123"/>
        <v>0.02</v>
      </c>
      <c r="R271" s="64">
        <f t="shared" si="124"/>
        <v>1.8626080515756489</v>
      </c>
      <c r="S271" s="64">
        <f>APPLICANTS_PER_YEAR*($H271/Segments!$AH$2)*Q271</f>
        <v>0.12</v>
      </c>
      <c r="T271" s="64">
        <f t="shared" si="125"/>
        <v>1.982608051575649</v>
      </c>
      <c r="U271" s="40">
        <f t="shared" si="126"/>
        <v>1960.3414858229437</v>
      </c>
      <c r="V271" s="65">
        <f t="shared" si="127"/>
        <v>3886.5888136303392</v>
      </c>
      <c r="W271" s="65">
        <f t="shared" si="128"/>
        <v>6383.5209855841895</v>
      </c>
      <c r="X271" s="65">
        <f t="shared" si="129"/>
        <v>797.02587127229629</v>
      </c>
      <c r="Y271" s="40">
        <f t="shared" si="130"/>
        <v>4764.3388593315676</v>
      </c>
      <c r="Z271" s="40">
        <f t="shared" si="131"/>
        <v>2961.0287687213258</v>
      </c>
      <c r="AA271" s="40">
        <f t="shared" si="132"/>
        <v>4856.5302853782632</v>
      </c>
      <c r="AB271" s="40">
        <f t="shared" si="133"/>
        <v>2671.0155262199032</v>
      </c>
      <c r="AC271" s="40">
        <f t="shared" si="134"/>
        <v>4856.5302853782632</v>
      </c>
      <c r="AD271" s="41">
        <f t="shared" si="135"/>
        <v>0.43507808699806927</v>
      </c>
      <c r="AE271" s="41">
        <f t="shared" si="136"/>
        <v>0.02</v>
      </c>
      <c r="AF271" s="64">
        <f t="shared" si="137"/>
        <v>2.0883748175907324E-2</v>
      </c>
      <c r="AG271" s="64">
        <f>APPLICANTS_PER_YEAR*($H271/Segments!$AH$2)*AE271</f>
        <v>0.12</v>
      </c>
      <c r="AH271" s="64">
        <f t="shared" si="138"/>
        <v>0.14088374817590732</v>
      </c>
      <c r="AI271" s="40">
        <f t="shared" si="139"/>
        <v>4856.5302853782632</v>
      </c>
      <c r="AJ271" s="65">
        <f t="shared" si="140"/>
        <v>684.20618973389855</v>
      </c>
      <c r="AK271" s="65">
        <f t="shared" si="141"/>
        <v>467.22013116145047</v>
      </c>
      <c r="AL271" s="65">
        <f t="shared" si="142"/>
        <v>155.53007202181371</v>
      </c>
      <c r="AM271" s="40">
        <f t="shared" si="143"/>
        <v>4906.0190251115146</v>
      </c>
      <c r="AN271" s="40">
        <f t="shared" si="144"/>
        <v>3049.8596317829656</v>
      </c>
      <c r="AO271" s="40">
        <f t="shared" si="145"/>
        <v>5000.9761939396112</v>
      </c>
      <c r="AP271" s="40">
        <f t="shared" si="146"/>
        <v>2750.8022303270855</v>
      </c>
      <c r="AQ271" s="40">
        <f t="shared" si="147"/>
        <v>5000.9761939396112</v>
      </c>
      <c r="AR271" s="41">
        <f t="shared" si="148"/>
        <v>0.43519020404933939</v>
      </c>
      <c r="AS271" s="41">
        <f t="shared" si="149"/>
        <v>0.02</v>
      </c>
      <c r="AT271" s="64">
        <f t="shared" si="150"/>
        <v>2.0889129794368293E-2</v>
      </c>
      <c r="AU271" s="64">
        <f>APPLICANTS_PER_YEAR*($H271/Segments!$AH$2)*AS271</f>
        <v>0.12</v>
      </c>
      <c r="AV271" s="64">
        <f t="shared" si="151"/>
        <v>0.1408891297943683</v>
      </c>
      <c r="AW271" s="40">
        <f t="shared" si="152"/>
        <v>5000.9761939396112</v>
      </c>
      <c r="AX271" s="65">
        <f t="shared" si="153"/>
        <v>704.58318408650382</v>
      </c>
      <c r="AY271" s="65">
        <f t="shared" si="154"/>
        <v>481.25511785889955</v>
      </c>
      <c r="AZ271" s="65">
        <f t="shared" si="155"/>
        <v>159.98810440278294</v>
      </c>
    </row>
    <row r="272" spans="1:52" ht="15" customHeight="1" x14ac:dyDescent="0.35">
      <c r="A272" s="61" t="str">
        <f>Segments!$A$252</f>
        <v>Greek</v>
      </c>
      <c r="B272" s="61" t="str">
        <f>Segments!$B$252</f>
        <v>Off 0-1mi</v>
      </c>
      <c r="C272" s="61" t="str">
        <f>Segments!$C$252</f>
        <v>Yes</v>
      </c>
      <c r="D272" s="61" t="str">
        <f>Segments!$D$252</f>
        <v>1.0-2.0</v>
      </c>
      <c r="E272" s="61" t="str">
        <f>Segments!$E$252</f>
        <v>Junior</v>
      </c>
      <c r="F272" s="61">
        <f>Segments!$F$252</f>
        <v>2</v>
      </c>
      <c r="G272" s="61" t="str">
        <f>Segments!$G$252</f>
        <v>Base</v>
      </c>
      <c r="H272" s="62">
        <f>Segments!$H$252</f>
        <v>5</v>
      </c>
      <c r="I272" s="63">
        <f>Segments!$Y$252</f>
        <v>3436.591906037967</v>
      </c>
      <c r="J272" s="42">
        <v>2</v>
      </c>
      <c r="K272" s="40">
        <f t="shared" si="117"/>
        <v>1426.2297754450396</v>
      </c>
      <c r="L272" s="40">
        <f t="shared" si="118"/>
        <v>3436.591906037967</v>
      </c>
      <c r="M272" s="40">
        <f t="shared" si="119"/>
        <v>5629.833021391546</v>
      </c>
      <c r="N272" s="40">
        <f t="shared" si="120"/>
        <v>2833.625854959037</v>
      </c>
      <c r="O272" s="40">
        <f t="shared" si="121"/>
        <v>1782.7872193062994</v>
      </c>
      <c r="P272" s="41">
        <f t="shared" si="122"/>
        <v>0.95</v>
      </c>
      <c r="Q272" s="41">
        <f t="shared" si="123"/>
        <v>0.02</v>
      </c>
      <c r="R272" s="64">
        <f t="shared" si="124"/>
        <v>4.75</v>
      </c>
      <c r="S272" s="64">
        <f>APPLICANTS_PER_YEAR*($H272/Segments!$AH$2)*Q272</f>
        <v>0.12</v>
      </c>
      <c r="T272" s="64">
        <f t="shared" si="125"/>
        <v>4.87</v>
      </c>
      <c r="U272" s="40">
        <f t="shared" si="126"/>
        <v>1877.5809557026505</v>
      </c>
      <c r="V272" s="65">
        <f t="shared" si="127"/>
        <v>9143.819254271908</v>
      </c>
      <c r="W272" s="65">
        <f t="shared" si="128"/>
        <v>18744.546892293489</v>
      </c>
      <c r="X272" s="65">
        <f t="shared" si="129"/>
        <v>1852.227137747235</v>
      </c>
      <c r="Y272" s="40">
        <f t="shared" si="130"/>
        <v>1960.3414858229437</v>
      </c>
      <c r="Z272" s="40">
        <f t="shared" si="131"/>
        <v>3539.689663219106</v>
      </c>
      <c r="AA272" s="40">
        <f t="shared" si="132"/>
        <v>5797.4780120332925</v>
      </c>
      <c r="AB272" s="40">
        <f t="shared" si="133"/>
        <v>2918.3200366216333</v>
      </c>
      <c r="AC272" s="40">
        <f t="shared" si="134"/>
        <v>2450.4268572786796</v>
      </c>
      <c r="AD272" s="41">
        <f t="shared" si="135"/>
        <v>0.85516481631065489</v>
      </c>
      <c r="AE272" s="41">
        <f t="shared" si="136"/>
        <v>0.02</v>
      </c>
      <c r="AF272" s="64">
        <f t="shared" si="137"/>
        <v>1.6954566502417152</v>
      </c>
      <c r="AG272" s="64">
        <f>APPLICANTS_PER_YEAR*($H272/Segments!$AH$2)*AE272</f>
        <v>0.12</v>
      </c>
      <c r="AH272" s="64">
        <f t="shared" si="138"/>
        <v>1.8154566502417153</v>
      </c>
      <c r="AI272" s="40">
        <f t="shared" si="139"/>
        <v>2671.6638328446211</v>
      </c>
      <c r="AJ272" s="65">
        <f t="shared" si="140"/>
        <v>4850.2898725480381</v>
      </c>
      <c r="AK272" s="65">
        <f t="shared" si="141"/>
        <v>7197.2915155489418</v>
      </c>
      <c r="AL272" s="65">
        <f t="shared" si="142"/>
        <v>980.36332656695333</v>
      </c>
      <c r="AM272" s="40">
        <f t="shared" si="143"/>
        <v>4856.5302853782632</v>
      </c>
      <c r="AN272" s="40">
        <f t="shared" si="144"/>
        <v>3645.8803531156791</v>
      </c>
      <c r="AO272" s="40">
        <f t="shared" si="145"/>
        <v>5970.1523523942915</v>
      </c>
      <c r="AP272" s="40">
        <f t="shared" si="146"/>
        <v>3005.5550103113569</v>
      </c>
      <c r="AQ272" s="40">
        <f t="shared" si="147"/>
        <v>5970.1523523942915</v>
      </c>
      <c r="AR272" s="41">
        <f t="shared" si="148"/>
        <v>0.3</v>
      </c>
      <c r="AS272" s="41">
        <f t="shared" si="149"/>
        <v>0.02</v>
      </c>
      <c r="AT272" s="64">
        <f t="shared" si="150"/>
        <v>4.2265124452772196E-2</v>
      </c>
      <c r="AU272" s="64">
        <f>APPLICANTS_PER_YEAR*($H272/Segments!$AH$2)*AS272</f>
        <v>0.12</v>
      </c>
      <c r="AV272" s="64">
        <f t="shared" si="151"/>
        <v>0.16226512445277219</v>
      </c>
      <c r="AW272" s="40">
        <f t="shared" si="152"/>
        <v>5970.1523523942915</v>
      </c>
      <c r="AX272" s="65">
        <f t="shared" si="153"/>
        <v>968.74751446327036</v>
      </c>
      <c r="AY272" s="65">
        <f t="shared" si="154"/>
        <v>662.59113674682078</v>
      </c>
      <c r="AZ272" s="65">
        <f t="shared" si="155"/>
        <v>214.41322260266955</v>
      </c>
    </row>
    <row r="273" spans="1:52" ht="15" customHeight="1" x14ac:dyDescent="0.35">
      <c r="A273" s="61" t="str">
        <f>Segments!$A$253</f>
        <v>Greek</v>
      </c>
      <c r="B273" s="61" t="str">
        <f>Segments!$B$253</f>
        <v>Off 0-1mi</v>
      </c>
      <c r="C273" s="61" t="str">
        <f>Segments!$C$253</f>
        <v>Yes</v>
      </c>
      <c r="D273" s="61" t="str">
        <f>Segments!$D$253</f>
        <v>1.0-2.0</v>
      </c>
      <c r="E273" s="61" t="str">
        <f>Segments!$E$253</f>
        <v>Senior</v>
      </c>
      <c r="F273" s="61">
        <f>Segments!$F$253</f>
        <v>3</v>
      </c>
      <c r="G273" s="61" t="str">
        <f>Segments!$G$253</f>
        <v>Base</v>
      </c>
      <c r="H273" s="62">
        <f>Segments!$H$253</f>
        <v>6</v>
      </c>
      <c r="I273" s="63">
        <f>Segments!$Y$253</f>
        <v>3212.139347512536</v>
      </c>
      <c r="J273" s="42">
        <v>3</v>
      </c>
      <c r="K273" s="40">
        <f t="shared" si="117"/>
        <v>1426.2297754450396</v>
      </c>
      <c r="L273" s="40">
        <f t="shared" si="118"/>
        <v>3212.139347512536</v>
      </c>
      <c r="M273" s="40">
        <f t="shared" si="119"/>
        <v>5264.8556629859677</v>
      </c>
      <c r="N273" s="40">
        <f t="shared" si="120"/>
        <v>2740.2361047856848</v>
      </c>
      <c r="O273" s="40">
        <f t="shared" si="121"/>
        <v>1782.7872193062994</v>
      </c>
      <c r="P273" s="41">
        <f t="shared" si="122"/>
        <v>0.94970189590729959</v>
      </c>
      <c r="Q273" s="41">
        <f t="shared" si="123"/>
        <v>0.02</v>
      </c>
      <c r="R273" s="64">
        <f t="shared" si="124"/>
        <v>4.7485094795364979</v>
      </c>
      <c r="S273" s="64">
        <f>APPLICANTS_PER_YEAR*($H273/Segments!$AH$2)*Q273</f>
        <v>0.14399999999999999</v>
      </c>
      <c r="T273" s="64">
        <f t="shared" si="125"/>
        <v>4.8925094795364981</v>
      </c>
      <c r="U273" s="40">
        <f t="shared" si="126"/>
        <v>1885.2740633251228</v>
      </c>
      <c r="V273" s="65">
        <f t="shared" si="127"/>
        <v>9223.7212263424553</v>
      </c>
      <c r="W273" s="65">
        <f t="shared" si="128"/>
        <v>17601.272872172936</v>
      </c>
      <c r="X273" s="65">
        <f t="shared" si="129"/>
        <v>1871.2683739109034</v>
      </c>
      <c r="Y273" s="40">
        <f t="shared" si="130"/>
        <v>1877.5809557026505</v>
      </c>
      <c r="Z273" s="40">
        <f t="shared" si="131"/>
        <v>3308.5035279379122</v>
      </c>
      <c r="AA273" s="40">
        <f t="shared" si="132"/>
        <v>5421.5513328755469</v>
      </c>
      <c r="AB273" s="40">
        <f t="shared" si="133"/>
        <v>2822.1178710770341</v>
      </c>
      <c r="AC273" s="40">
        <f t="shared" si="134"/>
        <v>2346.9761946283134</v>
      </c>
      <c r="AD273" s="41">
        <f t="shared" si="135"/>
        <v>0.85918175607020042</v>
      </c>
      <c r="AE273" s="41">
        <f t="shared" si="136"/>
        <v>0.02</v>
      </c>
      <c r="AF273" s="64">
        <f t="shared" si="137"/>
        <v>4.184215152061876</v>
      </c>
      <c r="AG273" s="64">
        <f>APPLICANTS_PER_YEAR*($H273/Segments!$AH$2)*AE273</f>
        <v>0.14399999999999999</v>
      </c>
      <c r="AH273" s="64">
        <f t="shared" si="138"/>
        <v>4.3282151520618761</v>
      </c>
      <c r="AI273" s="40">
        <f t="shared" si="139"/>
        <v>2449.2675097207921</v>
      </c>
      <c r="AJ273" s="65">
        <f t="shared" si="140"/>
        <v>10600.95674702639</v>
      </c>
      <c r="AK273" s="65">
        <f t="shared" si="141"/>
        <v>16038.304912303571</v>
      </c>
      <c r="AL273" s="65">
        <f t="shared" si="142"/>
        <v>2121.0697469469178</v>
      </c>
      <c r="AM273" s="40">
        <f t="shared" si="143"/>
        <v>2671.6638328446211</v>
      </c>
      <c r="AN273" s="40">
        <f t="shared" si="144"/>
        <v>3407.7586337760495</v>
      </c>
      <c r="AO273" s="40">
        <f t="shared" si="145"/>
        <v>5582.9478728618133</v>
      </c>
      <c r="AP273" s="40">
        <f t="shared" si="146"/>
        <v>2906.4560533985336</v>
      </c>
      <c r="AQ273" s="40">
        <f t="shared" si="147"/>
        <v>3339.5797910557762</v>
      </c>
      <c r="AR273" s="41">
        <f t="shared" si="148"/>
        <v>0.70048937095560271</v>
      </c>
      <c r="AS273" s="41">
        <f t="shared" si="149"/>
        <v>0.02</v>
      </c>
      <c r="AT273" s="64">
        <f t="shared" si="150"/>
        <v>1.2717080869249848</v>
      </c>
      <c r="AU273" s="64">
        <f>APPLICANTS_PER_YEAR*($H273/Segments!$AH$2)*AS273</f>
        <v>0.14399999999999999</v>
      </c>
      <c r="AV273" s="64">
        <f t="shared" si="151"/>
        <v>1.4157080869249847</v>
      </c>
      <c r="AW273" s="40">
        <f t="shared" si="152"/>
        <v>3567.7659593510671</v>
      </c>
      <c r="AX273" s="65">
        <f t="shared" si="153"/>
        <v>5050.9151209089823</v>
      </c>
      <c r="AY273" s="65">
        <f t="shared" si="154"/>
        <v>5403.318430860214</v>
      </c>
      <c r="AZ273" s="65">
        <f t="shared" si="155"/>
        <v>1014.675176869521</v>
      </c>
    </row>
    <row r="274" spans="1:52" ht="15" customHeight="1" x14ac:dyDescent="0.35">
      <c r="A274" s="61" t="str">
        <f>Segments!$A$254</f>
        <v>Greek</v>
      </c>
      <c r="B274" s="61" t="str">
        <f>Segments!$B$254</f>
        <v>Off 0-1mi</v>
      </c>
      <c r="C274" s="61" t="str">
        <f>Segments!$C$254</f>
        <v>Yes</v>
      </c>
      <c r="D274" s="61" t="str">
        <f>Segments!$D$254</f>
        <v>1.0-2.0</v>
      </c>
      <c r="E274" s="61" t="str">
        <f>Segments!$E$254</f>
        <v>Grad student</v>
      </c>
      <c r="F274" s="61">
        <f>Segments!$F$254</f>
        <v>3</v>
      </c>
      <c r="G274" s="61" t="str">
        <f>Segments!$G$254</f>
        <v>Grad</v>
      </c>
      <c r="H274" s="62">
        <f>Segments!$H$254</f>
        <v>3</v>
      </c>
      <c r="I274" s="63">
        <f>Segments!$Y$254</f>
        <v>3824.6314498033435</v>
      </c>
      <c r="J274" s="42">
        <v>4</v>
      </c>
      <c r="K274" s="40">
        <f t="shared" si="117"/>
        <v>1426.2297754450396</v>
      </c>
      <c r="L274" s="40">
        <f t="shared" si="118"/>
        <v>3824.6314498033435</v>
      </c>
      <c r="M274" s="40">
        <f t="shared" si="119"/>
        <v>6260.8155709816265</v>
      </c>
      <c r="N274" s="40">
        <f t="shared" si="120"/>
        <v>2988.2037390218111</v>
      </c>
      <c r="O274" s="40">
        <f t="shared" si="121"/>
        <v>1782.7872193062994</v>
      </c>
      <c r="P274" s="41">
        <f t="shared" si="122"/>
        <v>0.95</v>
      </c>
      <c r="Q274" s="41">
        <f t="shared" si="123"/>
        <v>0.02</v>
      </c>
      <c r="R274" s="64">
        <f t="shared" si="124"/>
        <v>1.4249999999999998</v>
      </c>
      <c r="S274" s="64">
        <f>APPLICANTS_PER_YEAR*($H274/Segments!$AH$2)*Q274</f>
        <v>7.1999999999999995E-2</v>
      </c>
      <c r="T274" s="64">
        <f t="shared" si="125"/>
        <v>1.4969999999999999</v>
      </c>
      <c r="U274" s="40">
        <f t="shared" si="126"/>
        <v>1998.1633324129284</v>
      </c>
      <c r="V274" s="65">
        <f t="shared" si="127"/>
        <v>2991.2505086221536</v>
      </c>
      <c r="W274" s="65">
        <f t="shared" si="128"/>
        <v>6412.5300739982777</v>
      </c>
      <c r="X274" s="65">
        <f t="shared" si="129"/>
        <v>612.86360136846065</v>
      </c>
      <c r="Y274" s="40">
        <f t="shared" si="130"/>
        <v>1998.1633324129284</v>
      </c>
      <c r="Z274" s="40">
        <f t="shared" si="131"/>
        <v>3939.370393297444</v>
      </c>
      <c r="AA274" s="40">
        <f t="shared" si="132"/>
        <v>6447.3900381110752</v>
      </c>
      <c r="AB274" s="40">
        <f t="shared" si="133"/>
        <v>3077.5515325741658</v>
      </c>
      <c r="AC274" s="40">
        <f t="shared" si="134"/>
        <v>2497.7041655161606</v>
      </c>
      <c r="AD274" s="41">
        <f t="shared" si="135"/>
        <v>0.86920595576071502</v>
      </c>
      <c r="AE274" s="41">
        <f t="shared" si="136"/>
        <v>0.02</v>
      </c>
      <c r="AF274" s="64">
        <f t="shared" si="137"/>
        <v>0.65060065788689514</v>
      </c>
      <c r="AG274" s="64">
        <f>APPLICANTS_PER_YEAR*($H274/Segments!$AH$2)*AE274</f>
        <v>7.1999999999999995E-2</v>
      </c>
      <c r="AH274" s="64">
        <f t="shared" si="138"/>
        <v>0.72260065788689509</v>
      </c>
      <c r="AI274" s="40">
        <f t="shared" si="139"/>
        <v>2891.2512509262956</v>
      </c>
      <c r="AJ274" s="65">
        <f t="shared" si="140"/>
        <v>2089.2200560356496</v>
      </c>
      <c r="AK274" s="65">
        <f t="shared" si="141"/>
        <v>3188.1826343997168</v>
      </c>
      <c r="AL274" s="65">
        <f t="shared" si="142"/>
        <v>427.36202664451565</v>
      </c>
      <c r="AM274" s="40">
        <f t="shared" si="143"/>
        <v>2891.2512509262956</v>
      </c>
      <c r="AN274" s="40">
        <f t="shared" si="144"/>
        <v>4057.5515050963668</v>
      </c>
      <c r="AO274" s="40">
        <f t="shared" si="145"/>
        <v>6639.5617392544063</v>
      </c>
      <c r="AP274" s="40">
        <f t="shared" si="146"/>
        <v>3169.579731434389</v>
      </c>
      <c r="AQ274" s="40">
        <f t="shared" si="147"/>
        <v>3614.0640636578696</v>
      </c>
      <c r="AR274" s="41">
        <f t="shared" si="148"/>
        <v>0.70488276524245541</v>
      </c>
      <c r="AS274" s="41">
        <f t="shared" si="149"/>
        <v>0.02</v>
      </c>
      <c r="AT274" s="64">
        <f t="shared" si="150"/>
        <v>0.25467437494866607</v>
      </c>
      <c r="AU274" s="64">
        <f>APPLICANTS_PER_YEAR*($H274/Segments!$AH$2)*AS274</f>
        <v>7.1999999999999995E-2</v>
      </c>
      <c r="AV274" s="64">
        <f t="shared" si="151"/>
        <v>0.32667437494866608</v>
      </c>
      <c r="AW274" s="40">
        <f t="shared" si="152"/>
        <v>4280.8927142895018</v>
      </c>
      <c r="AX274" s="65">
        <f t="shared" si="153"/>
        <v>1398.4579516628214</v>
      </c>
      <c r="AY274" s="65">
        <f t="shared" si="154"/>
        <v>1484.5578739593</v>
      </c>
      <c r="AZ274" s="65">
        <f t="shared" si="155"/>
        <v>289.3737359461677</v>
      </c>
    </row>
    <row r="275" spans="1:52" ht="15" customHeight="1" x14ac:dyDescent="0.35">
      <c r="A275" s="59" t="str">
        <f>Segments!$A$255</f>
        <v>Greek</v>
      </c>
      <c r="B275" s="59" t="str">
        <f>Segments!$B$255</f>
        <v>Off 0-1mi</v>
      </c>
      <c r="C275" s="59" t="str">
        <f>Segments!$C$255</f>
        <v>Yes</v>
      </c>
      <c r="D275" s="59" t="str">
        <f>Segments!$D$255</f>
        <v>2.0-3.0</v>
      </c>
      <c r="E275" s="59" t="str">
        <f>Segments!$E$255</f>
        <v>Freshman</v>
      </c>
      <c r="F275" s="59">
        <f>Segments!$F$255</f>
        <v>1</v>
      </c>
      <c r="G275" s="59" t="str">
        <f>Segments!$G$255</f>
        <v>Base</v>
      </c>
      <c r="H275" s="60">
        <f>Segments!$H$255</f>
        <v>8</v>
      </c>
      <c r="I275" s="26">
        <f>Segments!$Y$255</f>
        <v>2854.0293275513854</v>
      </c>
      <c r="J275" s="29">
        <v>0</v>
      </c>
      <c r="K275" s="14">
        <f t="shared" si="117"/>
        <v>4682.5408523968026</v>
      </c>
      <c r="L275" s="14">
        <f t="shared" si="118"/>
        <v>2854.0293275513854</v>
      </c>
      <c r="M275" s="14">
        <f t="shared" si="119"/>
        <v>4682.5408523968026</v>
      </c>
      <c r="N275" s="14">
        <f t="shared" si="120"/>
        <v>2584.2560222288575</v>
      </c>
      <c r="O275" s="14">
        <f t="shared" si="121"/>
        <v>4682.5408523968026</v>
      </c>
      <c r="P275" s="33">
        <f t="shared" si="122"/>
        <v>0.44402535737186255</v>
      </c>
      <c r="Q275" s="33">
        <f t="shared" si="123"/>
        <v>0.02</v>
      </c>
      <c r="R275" s="51">
        <f t="shared" si="124"/>
        <v>0</v>
      </c>
      <c r="S275" s="51">
        <f>APPLICANTS_PER_YEAR*($H275/Segments!$AH$2)*Q275</f>
        <v>0.192</v>
      </c>
      <c r="T275" s="51">
        <f t="shared" si="125"/>
        <v>0.192</v>
      </c>
      <c r="U275" s="14">
        <f t="shared" si="126"/>
        <v>4682.5408523968026</v>
      </c>
      <c r="V275" s="44">
        <f t="shared" si="127"/>
        <v>899.04784366018612</v>
      </c>
      <c r="W275" s="44">
        <f t="shared" si="128"/>
        <v>613.73046659664999</v>
      </c>
      <c r="X275" s="44">
        <f t="shared" si="129"/>
        <v>210.02671697988171</v>
      </c>
      <c r="Y275" s="14">
        <f t="shared" si="130"/>
        <v>4821.7670779687069</v>
      </c>
      <c r="Z275" s="14">
        <f t="shared" si="131"/>
        <v>2939.650207377927</v>
      </c>
      <c r="AA275" s="14">
        <f t="shared" si="132"/>
        <v>4821.7670779687069</v>
      </c>
      <c r="AB275" s="14">
        <f t="shared" si="133"/>
        <v>2661.438748152093</v>
      </c>
      <c r="AC275" s="14">
        <f t="shared" si="134"/>
        <v>4821.7670779687069</v>
      </c>
      <c r="AD275" s="33">
        <f t="shared" si="135"/>
        <v>0.4441427674567775</v>
      </c>
      <c r="AE275" s="33">
        <f t="shared" si="136"/>
        <v>0.02</v>
      </c>
      <c r="AF275" s="51">
        <f t="shared" si="137"/>
        <v>0</v>
      </c>
      <c r="AG275" s="51">
        <f>APPLICANTS_PER_YEAR*($H275/Segments!$AH$2)*AE275</f>
        <v>0.192</v>
      </c>
      <c r="AH275" s="51">
        <f t="shared" si="138"/>
        <v>0.192</v>
      </c>
      <c r="AI275" s="14">
        <f t="shared" si="139"/>
        <v>4821.7670779687069</v>
      </c>
      <c r="AJ275" s="44">
        <f t="shared" si="140"/>
        <v>925.77927896999176</v>
      </c>
      <c r="AK275" s="44">
        <f t="shared" si="141"/>
        <v>632.14238059454954</v>
      </c>
      <c r="AL275" s="44">
        <f t="shared" si="142"/>
        <v>216.01455848927819</v>
      </c>
      <c r="AM275" s="14">
        <f t="shared" si="143"/>
        <v>4965.1700903077672</v>
      </c>
      <c r="AN275" s="14">
        <f t="shared" si="144"/>
        <v>3027.8397135992645</v>
      </c>
      <c r="AO275" s="14">
        <f t="shared" si="145"/>
        <v>4965.1700903077672</v>
      </c>
      <c r="AP275" s="14">
        <f t="shared" si="146"/>
        <v>2740.9369117882829</v>
      </c>
      <c r="AQ275" s="14">
        <f t="shared" si="147"/>
        <v>4965.1700903077672</v>
      </c>
      <c r="AR275" s="33">
        <f t="shared" si="148"/>
        <v>0.44425677239168615</v>
      </c>
      <c r="AS275" s="33">
        <f t="shared" si="149"/>
        <v>0.02</v>
      </c>
      <c r="AT275" s="51">
        <f t="shared" si="150"/>
        <v>0</v>
      </c>
      <c r="AU275" s="51">
        <f>APPLICANTS_PER_YEAR*($H275/Segments!$AH$2)*AS275</f>
        <v>0.192</v>
      </c>
      <c r="AV275" s="51">
        <f t="shared" si="151"/>
        <v>0.192</v>
      </c>
      <c r="AW275" s="14">
        <f t="shared" si="152"/>
        <v>4965.1700903077672</v>
      </c>
      <c r="AX275" s="44">
        <f t="shared" si="153"/>
        <v>953.31265733909129</v>
      </c>
      <c r="AY275" s="44">
        <f t="shared" si="154"/>
        <v>651.10665201238589</v>
      </c>
      <c r="AZ275" s="44">
        <f t="shared" si="155"/>
        <v>222.18203524395648</v>
      </c>
    </row>
    <row r="276" spans="1:52" ht="15" customHeight="1" x14ac:dyDescent="0.35">
      <c r="A276" s="59" t="str">
        <f>Segments!$A$256</f>
        <v>Greek</v>
      </c>
      <c r="B276" s="59" t="str">
        <f>Segments!$B$256</f>
        <v>Off 0-1mi</v>
      </c>
      <c r="C276" s="59" t="str">
        <f>Segments!$C$256</f>
        <v>Yes</v>
      </c>
      <c r="D276" s="59" t="str">
        <f>Segments!$D$256</f>
        <v>2.0-3.0</v>
      </c>
      <c r="E276" s="59" t="str">
        <f>Segments!$E$256</f>
        <v>Sophomore</v>
      </c>
      <c r="F276" s="59">
        <f>Segments!$F$256</f>
        <v>1</v>
      </c>
      <c r="G276" s="59" t="str">
        <f>Segments!$G$256</f>
        <v>Sophomore</v>
      </c>
      <c r="H276" s="60">
        <f>Segments!$H$256</f>
        <v>13</v>
      </c>
      <c r="I276" s="26">
        <f>Segments!$Y$256</f>
        <v>2824.993126188002</v>
      </c>
      <c r="J276" s="29">
        <v>1</v>
      </c>
      <c r="K276" s="14">
        <f t="shared" si="117"/>
        <v>1426.2297754450396</v>
      </c>
      <c r="L276" s="14">
        <f t="shared" si="118"/>
        <v>2824.993126188002</v>
      </c>
      <c r="M276" s="14">
        <f t="shared" si="119"/>
        <v>4635.3257253278034</v>
      </c>
      <c r="N276" s="14">
        <f t="shared" si="120"/>
        <v>2571.1941911004869</v>
      </c>
      <c r="O276" s="14">
        <f t="shared" si="121"/>
        <v>1782.7872193062994</v>
      </c>
      <c r="P276" s="33">
        <f t="shared" si="122"/>
        <v>0.92831532999783728</v>
      </c>
      <c r="Q276" s="33">
        <f t="shared" si="123"/>
        <v>0.02</v>
      </c>
      <c r="R276" s="51">
        <f t="shared" si="124"/>
        <v>7.4265226399826982</v>
      </c>
      <c r="S276" s="51">
        <f>APPLICANTS_PER_YEAR*($H276/Segments!$AH$2)*Q276</f>
        <v>0.312</v>
      </c>
      <c r="T276" s="51">
        <f t="shared" si="125"/>
        <v>7.7385226399826985</v>
      </c>
      <c r="U276" s="14">
        <f t="shared" si="126"/>
        <v>1897.7952195776147</v>
      </c>
      <c r="V276" s="44">
        <f t="shared" si="127"/>
        <v>14686.131272752307</v>
      </c>
      <c r="W276" s="44">
        <f t="shared" si="128"/>
        <v>24484.626056577516</v>
      </c>
      <c r="X276" s="44">
        <f t="shared" si="129"/>
        <v>2988.8670202704197</v>
      </c>
      <c r="Y276" s="14">
        <f t="shared" si="130"/>
        <v>4682.5408523968026</v>
      </c>
      <c r="Z276" s="14">
        <f t="shared" si="131"/>
        <v>2909.7429199736421</v>
      </c>
      <c r="AA276" s="14">
        <f t="shared" si="132"/>
        <v>4773.1354970876373</v>
      </c>
      <c r="AB276" s="14">
        <f t="shared" si="133"/>
        <v>2647.9833094688206</v>
      </c>
      <c r="AC276" s="14">
        <f t="shared" si="134"/>
        <v>4773.1354970876373</v>
      </c>
      <c r="AD276" s="33">
        <f t="shared" si="135"/>
        <v>0.44291831300187007</v>
      </c>
      <c r="AE276" s="33">
        <f t="shared" si="136"/>
        <v>0.02</v>
      </c>
      <c r="AF276" s="51">
        <f t="shared" si="137"/>
        <v>8.504031609635905E-2</v>
      </c>
      <c r="AG276" s="51">
        <f>APPLICANTS_PER_YEAR*($H276/Segments!$AH$2)*AE276</f>
        <v>0.312</v>
      </c>
      <c r="AH276" s="51">
        <f t="shared" si="138"/>
        <v>0.39704031609635904</v>
      </c>
      <c r="AI276" s="14">
        <f t="shared" si="139"/>
        <v>4773.1354970876373</v>
      </c>
      <c r="AJ276" s="44">
        <f t="shared" si="140"/>
        <v>1895.1272265344273</v>
      </c>
      <c r="AK276" s="44">
        <f t="shared" si="141"/>
        <v>1293.9194785501352</v>
      </c>
      <c r="AL276" s="44">
        <f t="shared" si="142"/>
        <v>426.04249176513093</v>
      </c>
      <c r="AM276" s="14">
        <f t="shared" si="143"/>
        <v>4821.7670779687069</v>
      </c>
      <c r="AN276" s="14">
        <f t="shared" si="144"/>
        <v>2997.035207572851</v>
      </c>
      <c r="AO276" s="14">
        <f t="shared" si="145"/>
        <v>4915.0795620002664</v>
      </c>
      <c r="AP276" s="14">
        <f t="shared" si="146"/>
        <v>2727.0760566483141</v>
      </c>
      <c r="AQ276" s="14">
        <f t="shared" si="147"/>
        <v>4915.0795620002664</v>
      </c>
      <c r="AR276" s="33">
        <f t="shared" si="148"/>
        <v>0.44303139262752234</v>
      </c>
      <c r="AS276" s="33">
        <f t="shared" si="149"/>
        <v>0.02</v>
      </c>
      <c r="AT276" s="51">
        <f t="shared" si="150"/>
        <v>8.506202738448429E-2</v>
      </c>
      <c r="AU276" s="51">
        <f>APPLICANTS_PER_YEAR*($H276/Segments!$AH$2)*AS276</f>
        <v>0.312</v>
      </c>
      <c r="AV276" s="51">
        <f t="shared" si="151"/>
        <v>0.39706202738448426</v>
      </c>
      <c r="AW276" s="14">
        <f t="shared" si="152"/>
        <v>4915.0795620002664</v>
      </c>
      <c r="AX276" s="44">
        <f t="shared" si="153"/>
        <v>1951.5914556438688</v>
      </c>
      <c r="AY276" s="44">
        <f t="shared" si="154"/>
        <v>1332.8099407409416</v>
      </c>
      <c r="AZ276" s="44">
        <f t="shared" si="155"/>
        <v>438.26469448142387</v>
      </c>
    </row>
    <row r="277" spans="1:52" ht="15" customHeight="1" x14ac:dyDescent="0.35">
      <c r="A277" s="59" t="str">
        <f>Segments!$A$257</f>
        <v>Greek</v>
      </c>
      <c r="B277" s="59" t="str">
        <f>Segments!$B$257</f>
        <v>Off 0-1mi</v>
      </c>
      <c r="C277" s="59" t="str">
        <f>Segments!$C$257</f>
        <v>Yes</v>
      </c>
      <c r="D277" s="59" t="str">
        <f>Segments!$D$257</f>
        <v>2.0-3.0</v>
      </c>
      <c r="E277" s="59" t="str">
        <f>Segments!$E$257</f>
        <v>Junior</v>
      </c>
      <c r="F277" s="59">
        <f>Segments!$F$257</f>
        <v>2</v>
      </c>
      <c r="G277" s="59" t="str">
        <f>Segments!$G$257</f>
        <v>Base</v>
      </c>
      <c r="H277" s="60">
        <f>Segments!$H$257</f>
        <v>8</v>
      </c>
      <c r="I277" s="26">
        <f>Segments!$Y$257</f>
        <v>3377.0691703717785</v>
      </c>
      <c r="J277" s="29">
        <v>2</v>
      </c>
      <c r="K277" s="14">
        <f t="shared" si="117"/>
        <v>1426.2297754450396</v>
      </c>
      <c r="L277" s="14">
        <f t="shared" si="118"/>
        <v>3377.0691703717785</v>
      </c>
      <c r="M277" s="14">
        <f t="shared" si="119"/>
        <v>5533.0444128265981</v>
      </c>
      <c r="N277" s="14">
        <f t="shared" si="120"/>
        <v>2809.1622755606541</v>
      </c>
      <c r="O277" s="14">
        <f t="shared" si="121"/>
        <v>1782.7872193062994</v>
      </c>
      <c r="P277" s="33">
        <f t="shared" si="122"/>
        <v>0.95</v>
      </c>
      <c r="Q277" s="33">
        <f t="shared" si="123"/>
        <v>0.02</v>
      </c>
      <c r="R277" s="51">
        <f t="shared" si="124"/>
        <v>12.35</v>
      </c>
      <c r="S277" s="51">
        <f>APPLICANTS_PER_YEAR*($H277/Segments!$AH$2)*Q277</f>
        <v>0.192</v>
      </c>
      <c r="T277" s="51">
        <f t="shared" si="125"/>
        <v>12.542</v>
      </c>
      <c r="U277" s="14">
        <f t="shared" si="126"/>
        <v>1840.1982686728993</v>
      </c>
      <c r="V277" s="44">
        <f t="shared" si="127"/>
        <v>23079.766685695504</v>
      </c>
      <c r="W277" s="44">
        <f t="shared" si="128"/>
        <v>47437.825718979191</v>
      </c>
      <c r="X277" s="44">
        <f t="shared" si="129"/>
        <v>4654.8979620506452</v>
      </c>
      <c r="Y277" s="14">
        <f t="shared" si="130"/>
        <v>1897.7952195776147</v>
      </c>
      <c r="Z277" s="14">
        <f t="shared" si="131"/>
        <v>3478.3812454829317</v>
      </c>
      <c r="AA277" s="14">
        <f t="shared" si="132"/>
        <v>5697.7857452113958</v>
      </c>
      <c r="AB277" s="14">
        <f t="shared" si="133"/>
        <v>2893.1198099015187</v>
      </c>
      <c r="AC277" s="14">
        <f t="shared" si="134"/>
        <v>2372.2440244720183</v>
      </c>
      <c r="AD277" s="33">
        <f t="shared" si="135"/>
        <v>0.86501973987507119</v>
      </c>
      <c r="AE277" s="33">
        <f t="shared" si="136"/>
        <v>0.02</v>
      </c>
      <c r="AF277" s="51">
        <f t="shared" si="137"/>
        <v>6.6939748410551827</v>
      </c>
      <c r="AG277" s="51">
        <f>APPLICANTS_PER_YEAR*($H277/Segments!$AH$2)*AE277</f>
        <v>0.192</v>
      </c>
      <c r="AH277" s="51">
        <f t="shared" si="138"/>
        <v>6.8859748410551829</v>
      </c>
      <c r="AI277" s="14">
        <f t="shared" si="139"/>
        <v>2464.9693139364972</v>
      </c>
      <c r="AJ277" s="44">
        <f t="shared" si="140"/>
        <v>16973.716679739773</v>
      </c>
      <c r="AK277" s="44">
        <f t="shared" si="141"/>
        <v>26826.291233272899</v>
      </c>
      <c r="AL277" s="44">
        <f t="shared" si="142"/>
        <v>3388.8410694997415</v>
      </c>
      <c r="AM277" s="14">
        <f t="shared" si="143"/>
        <v>4773.1354970876373</v>
      </c>
      <c r="AN277" s="14">
        <f t="shared" si="144"/>
        <v>3582.7326828474197</v>
      </c>
      <c r="AO277" s="14">
        <f t="shared" si="145"/>
        <v>5867.4693175677376</v>
      </c>
      <c r="AP277" s="14">
        <f t="shared" si="146"/>
        <v>2979.5960359688552</v>
      </c>
      <c r="AQ277" s="14">
        <f t="shared" si="147"/>
        <v>5867.4693175677376</v>
      </c>
      <c r="AR277" s="33">
        <f t="shared" si="148"/>
        <v>0.3</v>
      </c>
      <c r="AS277" s="33">
        <f t="shared" si="149"/>
        <v>0.02</v>
      </c>
      <c r="AT277" s="51">
        <f t="shared" si="150"/>
        <v>0.11911209482890771</v>
      </c>
      <c r="AU277" s="51">
        <f>APPLICANTS_PER_YEAR*($H277/Segments!$AH$2)*AS277</f>
        <v>0.192</v>
      </c>
      <c r="AV277" s="51">
        <f t="shared" si="151"/>
        <v>0.31111209482890773</v>
      </c>
      <c r="AW277" s="14">
        <f t="shared" si="152"/>
        <v>5867.4693175677367</v>
      </c>
      <c r="AX277" s="44">
        <f t="shared" si="153"/>
        <v>1825.4406707328403</v>
      </c>
      <c r="AY277" s="44">
        <f t="shared" si="154"/>
        <v>1248.3872465933721</v>
      </c>
      <c r="AZ277" s="44">
        <f t="shared" si="155"/>
        <v>395.45992247914023</v>
      </c>
    </row>
    <row r="278" spans="1:52" ht="15" customHeight="1" x14ac:dyDescent="0.35">
      <c r="A278" s="59" t="str">
        <f>Segments!$A$258</f>
        <v>Greek</v>
      </c>
      <c r="B278" s="59" t="str">
        <f>Segments!$B$258</f>
        <v>Off 0-1mi</v>
      </c>
      <c r="C278" s="59" t="str">
        <f>Segments!$C$258</f>
        <v>Yes</v>
      </c>
      <c r="D278" s="59" t="str">
        <f>Segments!$D$258</f>
        <v>2.0-3.0</v>
      </c>
      <c r="E278" s="59" t="str">
        <f>Segments!$E$258</f>
        <v>Senior</v>
      </c>
      <c r="F278" s="59">
        <f>Segments!$F$258</f>
        <v>3</v>
      </c>
      <c r="G278" s="59" t="str">
        <f>Segments!$G$258</f>
        <v>Base</v>
      </c>
      <c r="H278" s="60">
        <f>Segments!$H$258</f>
        <v>2</v>
      </c>
      <c r="I278" s="26">
        <f>Segments!$Y$258</f>
        <v>3156.5041931117394</v>
      </c>
      <c r="J278" s="29">
        <v>3</v>
      </c>
      <c r="K278" s="14">
        <f t="shared" si="117"/>
        <v>1426.2297754450396</v>
      </c>
      <c r="L278" s="14">
        <f t="shared" si="118"/>
        <v>3156.5041931117394</v>
      </c>
      <c r="M278" s="14">
        <f t="shared" si="119"/>
        <v>5174.3885646330273</v>
      </c>
      <c r="N278" s="14">
        <f t="shared" si="120"/>
        <v>2716.5910698156144</v>
      </c>
      <c r="O278" s="14">
        <f t="shared" si="121"/>
        <v>1782.7872193062994</v>
      </c>
      <c r="P278" s="33">
        <f t="shared" si="122"/>
        <v>0.94687052200916932</v>
      </c>
      <c r="Q278" s="33">
        <f t="shared" si="123"/>
        <v>0.02</v>
      </c>
      <c r="R278" s="51">
        <f t="shared" si="124"/>
        <v>7.5749641760733546</v>
      </c>
      <c r="S278" s="51">
        <f>APPLICANTS_PER_YEAR*($H278/Segments!$AH$2)*Q278</f>
        <v>4.8000000000000001E-2</v>
      </c>
      <c r="T278" s="51">
        <f t="shared" si="125"/>
        <v>7.6229641760733546</v>
      </c>
      <c r="U278" s="14">
        <f t="shared" si="126"/>
        <v>1804.1433297136737</v>
      </c>
      <c r="V278" s="44">
        <f t="shared" si="127"/>
        <v>13752.919970909034</v>
      </c>
      <c r="W278" s="44">
        <f t="shared" si="128"/>
        <v>26949.348592002054</v>
      </c>
      <c r="X278" s="44">
        <f t="shared" si="129"/>
        <v>2761.6541308118576</v>
      </c>
      <c r="Y278" s="14">
        <f t="shared" si="130"/>
        <v>1840.1982686728993</v>
      </c>
      <c r="Z278" s="14">
        <f t="shared" si="131"/>
        <v>3251.1993189050918</v>
      </c>
      <c r="AA278" s="14">
        <f t="shared" si="132"/>
        <v>5328.3702215720186</v>
      </c>
      <c r="AB278" s="14">
        <f t="shared" si="133"/>
        <v>2797.7606531901038</v>
      </c>
      <c r="AC278" s="14">
        <f t="shared" si="134"/>
        <v>2300.247835841124</v>
      </c>
      <c r="AD278" s="33">
        <f t="shared" si="135"/>
        <v>0.86391268393200438</v>
      </c>
      <c r="AE278" s="33">
        <f t="shared" si="136"/>
        <v>0.02</v>
      </c>
      <c r="AF278" s="51">
        <f t="shared" si="137"/>
        <v>10.835192881875198</v>
      </c>
      <c r="AG278" s="51">
        <f>APPLICANTS_PER_YEAR*($H278/Segments!$AH$2)*AE278</f>
        <v>4.8000000000000001E-2</v>
      </c>
      <c r="AH278" s="51">
        <f t="shared" si="138"/>
        <v>10.883192881875198</v>
      </c>
      <c r="AI278" s="14">
        <f t="shared" si="139"/>
        <v>2313.6032799734385</v>
      </c>
      <c r="AJ278" s="44">
        <f t="shared" si="140"/>
        <v>25179.390748090034</v>
      </c>
      <c r="AK278" s="44">
        <f t="shared" si="141"/>
        <v>39629.440799273238</v>
      </c>
      <c r="AL278" s="44">
        <f t="shared" si="142"/>
        <v>4986.7203709987616</v>
      </c>
      <c r="AM278" s="14">
        <f t="shared" si="143"/>
        <v>2464.9693139364972</v>
      </c>
      <c r="AN278" s="14">
        <f t="shared" si="144"/>
        <v>3348.7352984722443</v>
      </c>
      <c r="AO278" s="14">
        <f t="shared" si="145"/>
        <v>5486.9713282191788</v>
      </c>
      <c r="AP278" s="14">
        <f t="shared" si="146"/>
        <v>2881.3652861335308</v>
      </c>
      <c r="AQ278" s="14">
        <f t="shared" si="147"/>
        <v>3081.2116424206215</v>
      </c>
      <c r="AR278" s="33">
        <f t="shared" si="148"/>
        <v>0.740320891931189</v>
      </c>
      <c r="AS278" s="33">
        <f t="shared" si="149"/>
        <v>0.02</v>
      </c>
      <c r="AT278" s="51">
        <f t="shared" si="150"/>
        <v>5.0978310361457</v>
      </c>
      <c r="AU278" s="51">
        <f>APPLICANTS_PER_YEAR*($H278/Segments!$AH$2)*AS278</f>
        <v>4.8000000000000001E-2</v>
      </c>
      <c r="AV278" s="51">
        <f t="shared" si="151"/>
        <v>5.1458310361457</v>
      </c>
      <c r="AW278" s="14">
        <f t="shared" si="152"/>
        <v>3103.6524229490128</v>
      </c>
      <c r="AX278" s="44">
        <f t="shared" si="153"/>
        <v>15970.870963419831</v>
      </c>
      <c r="AY278" s="44">
        <f t="shared" si="154"/>
        <v>19299.869154400923</v>
      </c>
      <c r="AZ278" s="44">
        <f t="shared" si="155"/>
        <v>3131.8293446406706</v>
      </c>
    </row>
    <row r="279" spans="1:52" ht="15" customHeight="1" x14ac:dyDescent="0.35">
      <c r="A279" s="59" t="str">
        <f>Segments!$A$259</f>
        <v>Greek</v>
      </c>
      <c r="B279" s="59" t="str">
        <f>Segments!$B$259</f>
        <v>Off 0-1mi</v>
      </c>
      <c r="C279" s="59" t="str">
        <f>Segments!$C$259</f>
        <v>Yes</v>
      </c>
      <c r="D279" s="59" t="str">
        <f>Segments!$D$259</f>
        <v>2.0-3.0</v>
      </c>
      <c r="E279" s="59" t="str">
        <f>Segments!$E$259</f>
        <v>Grad student</v>
      </c>
      <c r="F279" s="59">
        <f>Segments!$F$259</f>
        <v>3</v>
      </c>
      <c r="G279" s="59" t="str">
        <f>Segments!$G$259</f>
        <v>Grad</v>
      </c>
      <c r="H279" s="60">
        <f>Segments!$H$259</f>
        <v>5</v>
      </c>
      <c r="I279" s="26">
        <f>Segments!$Y$259</f>
        <v>3758.3877604065146</v>
      </c>
      <c r="J279" s="29">
        <v>4</v>
      </c>
      <c r="K279" s="14">
        <f t="shared" si="117"/>
        <v>1426.2297754450396</v>
      </c>
      <c r="L279" s="14">
        <f t="shared" si="118"/>
        <v>3758.3877604065146</v>
      </c>
      <c r="M279" s="14">
        <f t="shared" si="119"/>
        <v>6153.0981676874471</v>
      </c>
      <c r="N279" s="14">
        <f t="shared" si="120"/>
        <v>2962.3861696261265</v>
      </c>
      <c r="O279" s="14">
        <f t="shared" si="121"/>
        <v>1782.7872193062994</v>
      </c>
      <c r="P279" s="33">
        <f t="shared" si="122"/>
        <v>0.95</v>
      </c>
      <c r="Q279" s="33">
        <f t="shared" si="123"/>
        <v>0.02</v>
      </c>
      <c r="R279" s="51">
        <f t="shared" si="124"/>
        <v>2.375</v>
      </c>
      <c r="S279" s="51">
        <f>APPLICANTS_PER_YEAR*($H279/Segments!$AH$2)*Q279</f>
        <v>0.12</v>
      </c>
      <c r="T279" s="51">
        <f t="shared" si="125"/>
        <v>2.4950000000000001</v>
      </c>
      <c r="U279" s="14">
        <f t="shared" si="126"/>
        <v>1992.9825354609036</v>
      </c>
      <c r="V279" s="44">
        <f t="shared" si="127"/>
        <v>4972.4914259749548</v>
      </c>
      <c r="W279" s="44">
        <f t="shared" si="128"/>
        <v>10502.438757679967</v>
      </c>
      <c r="X279" s="44">
        <f t="shared" si="129"/>
        <v>1018.5438918135536</v>
      </c>
      <c r="Y279" s="14">
        <f t="shared" si="130"/>
        <v>1992.9825354609036</v>
      </c>
      <c r="Z279" s="14">
        <f t="shared" si="131"/>
        <v>3871.1393932187102</v>
      </c>
      <c r="AA279" s="14">
        <f t="shared" si="132"/>
        <v>6336.4411127180701</v>
      </c>
      <c r="AB279" s="14">
        <f t="shared" si="133"/>
        <v>3050.9568359568752</v>
      </c>
      <c r="AC279" s="14">
        <f t="shared" si="134"/>
        <v>2491.2281693261293</v>
      </c>
      <c r="AD279" s="33">
        <f t="shared" si="135"/>
        <v>0.86673002056831749</v>
      </c>
      <c r="AE279" s="33">
        <f t="shared" si="136"/>
        <v>0.02</v>
      </c>
      <c r="AF279" s="51">
        <f t="shared" si="137"/>
        <v>1.0812457006589762</v>
      </c>
      <c r="AG279" s="51">
        <f>APPLICANTS_PER_YEAR*($H279/Segments!$AH$2)*AE279</f>
        <v>0.12</v>
      </c>
      <c r="AH279" s="51">
        <f t="shared" si="138"/>
        <v>1.2012457006589763</v>
      </c>
      <c r="AI279" s="14">
        <f t="shared" si="139"/>
        <v>2875.3507122446217</v>
      </c>
      <c r="AJ279" s="44">
        <f t="shared" si="140"/>
        <v>3454.0026809705773</v>
      </c>
      <c r="AK279" s="44">
        <f t="shared" si="141"/>
        <v>5208.2122990862426</v>
      </c>
      <c r="AL279" s="44">
        <f t="shared" si="142"/>
        <v>706.44447339003455</v>
      </c>
      <c r="AM279" s="14">
        <f t="shared" si="143"/>
        <v>2875.3507122446217</v>
      </c>
      <c r="AN279" s="14">
        <f t="shared" si="144"/>
        <v>3987.273575015271</v>
      </c>
      <c r="AO279" s="14">
        <f t="shared" si="145"/>
        <v>6525.2843460996119</v>
      </c>
      <c r="AP279" s="14">
        <f t="shared" si="146"/>
        <v>3142.1845930270761</v>
      </c>
      <c r="AQ279" s="14">
        <f t="shared" si="147"/>
        <v>3594.1883903057769</v>
      </c>
      <c r="AR279" s="33">
        <f t="shared" si="148"/>
        <v>0.70307491350416573</v>
      </c>
      <c r="AS279" s="33">
        <f t="shared" si="149"/>
        <v>0.02</v>
      </c>
      <c r="AT279" s="51">
        <f t="shared" si="150"/>
        <v>0.42228285854403036</v>
      </c>
      <c r="AU279" s="51">
        <f>APPLICANTS_PER_YEAR*($H279/Segments!$AH$2)*AS279</f>
        <v>0.12</v>
      </c>
      <c r="AV279" s="51">
        <f t="shared" si="151"/>
        <v>0.54228285854403036</v>
      </c>
      <c r="AW279" s="14">
        <f t="shared" si="152"/>
        <v>4242.8010269648457</v>
      </c>
      <c r="AX279" s="44">
        <f t="shared" si="153"/>
        <v>2300.7982691360439</v>
      </c>
      <c r="AY279" s="44">
        <f t="shared" si="154"/>
        <v>2421.6977255031197</v>
      </c>
      <c r="AZ279" s="44">
        <f t="shared" si="155"/>
        <v>476.1027242912113</v>
      </c>
    </row>
    <row r="280" spans="1:52" ht="15" customHeight="1" x14ac:dyDescent="0.35">
      <c r="A280" s="61" t="str">
        <f>Segments!$A$260</f>
        <v>Greek</v>
      </c>
      <c r="B280" s="61" t="str">
        <f>Segments!$B$260</f>
        <v>Off 0-1mi</v>
      </c>
      <c r="C280" s="61" t="str">
        <f>Segments!$C$260</f>
        <v>Yes</v>
      </c>
      <c r="D280" s="61" t="str">
        <f>Segments!$D$260</f>
        <v>3.0+</v>
      </c>
      <c r="E280" s="61" t="str">
        <f>Segments!$E$260</f>
        <v>Freshman</v>
      </c>
      <c r="F280" s="61">
        <f>Segments!$F$260</f>
        <v>1</v>
      </c>
      <c r="G280" s="61" t="str">
        <f>Segments!$G$260</f>
        <v>Base</v>
      </c>
      <c r="H280" s="62">
        <f>Segments!$H$260</f>
        <v>6</v>
      </c>
      <c r="I280" s="63">
        <f>Segments!$Y$260</f>
        <v>2501.6926078029637</v>
      </c>
      <c r="J280" s="42">
        <v>0</v>
      </c>
      <c r="K280" s="40">
        <f t="shared" si="117"/>
        <v>4109.6138780380061</v>
      </c>
      <c r="L280" s="40">
        <f t="shared" si="118"/>
        <v>2501.6926078029637</v>
      </c>
      <c r="M280" s="40">
        <f t="shared" si="119"/>
        <v>4109.6138780380061</v>
      </c>
      <c r="N280" s="40">
        <f t="shared" si="120"/>
        <v>2421.0026184289773</v>
      </c>
      <c r="O280" s="40">
        <f t="shared" si="121"/>
        <v>4109.6138780380061</v>
      </c>
      <c r="P280" s="41">
        <f t="shared" si="122"/>
        <v>0.50125786177282361</v>
      </c>
      <c r="Q280" s="41">
        <f t="shared" si="123"/>
        <v>0.02</v>
      </c>
      <c r="R280" s="64">
        <f t="shared" si="124"/>
        <v>0</v>
      </c>
      <c r="S280" s="64">
        <f>APPLICANTS_PER_YEAR*($H280/Segments!$AH$2)*Q280</f>
        <v>0.14399999999999999</v>
      </c>
      <c r="T280" s="64">
        <f t="shared" si="125"/>
        <v>0.14399999999999999</v>
      </c>
      <c r="U280" s="40">
        <f t="shared" si="126"/>
        <v>4109.6138780380061</v>
      </c>
      <c r="V280" s="65">
        <f t="shared" si="127"/>
        <v>591.78439843747287</v>
      </c>
      <c r="W280" s="65">
        <f t="shared" si="128"/>
        <v>403.47298378646201</v>
      </c>
      <c r="X280" s="65">
        <f t="shared" si="129"/>
        <v>139.03970524999392</v>
      </c>
      <c r="Y280" s="40">
        <f t="shared" si="130"/>
        <v>4231.652294379147</v>
      </c>
      <c r="Z280" s="40">
        <f t="shared" si="131"/>
        <v>2576.7433860370529</v>
      </c>
      <c r="AA280" s="40">
        <f t="shared" si="132"/>
        <v>4231.652294379147</v>
      </c>
      <c r="AB280" s="40">
        <f t="shared" si="133"/>
        <v>2493.2644778725489</v>
      </c>
      <c r="AC280" s="40">
        <f t="shared" si="134"/>
        <v>4231.652294379147</v>
      </c>
      <c r="AD280" s="41">
        <f t="shared" si="135"/>
        <v>0.5013831902041278</v>
      </c>
      <c r="AE280" s="41">
        <f t="shared" si="136"/>
        <v>0.02</v>
      </c>
      <c r="AF280" s="64">
        <f t="shared" si="137"/>
        <v>0</v>
      </c>
      <c r="AG280" s="64">
        <f>APPLICANTS_PER_YEAR*($H280/Segments!$AH$2)*AE280</f>
        <v>0.14399999999999999</v>
      </c>
      <c r="AH280" s="64">
        <f t="shared" si="138"/>
        <v>0.14399999999999999</v>
      </c>
      <c r="AI280" s="40">
        <f t="shared" si="139"/>
        <v>4231.652294379147</v>
      </c>
      <c r="AJ280" s="65">
        <f t="shared" si="140"/>
        <v>609.35793039059706</v>
      </c>
      <c r="AK280" s="65">
        <f t="shared" si="141"/>
        <v>415.5771733000559</v>
      </c>
      <c r="AL280" s="65">
        <f t="shared" si="142"/>
        <v>142.97617640749374</v>
      </c>
      <c r="AM280" s="40">
        <f t="shared" si="143"/>
        <v>4357.3518632105215</v>
      </c>
      <c r="AN280" s="40">
        <f t="shared" si="144"/>
        <v>2654.0456876181643</v>
      </c>
      <c r="AO280" s="40">
        <f t="shared" si="145"/>
        <v>4357.3518632105215</v>
      </c>
      <c r="AP280" s="40">
        <f t="shared" si="146"/>
        <v>2567.6941395030549</v>
      </c>
      <c r="AQ280" s="40">
        <f t="shared" si="147"/>
        <v>4357.3518632105215</v>
      </c>
      <c r="AR280" s="41">
        <f t="shared" si="148"/>
        <v>0.50150488600370591</v>
      </c>
      <c r="AS280" s="41">
        <f t="shared" si="149"/>
        <v>0.02</v>
      </c>
      <c r="AT280" s="64">
        <f t="shared" si="150"/>
        <v>0</v>
      </c>
      <c r="AU280" s="64">
        <f>APPLICANTS_PER_YEAR*($H280/Segments!$AH$2)*AS280</f>
        <v>0.14399999999999999</v>
      </c>
      <c r="AV280" s="64">
        <f t="shared" si="151"/>
        <v>0.14399999999999999</v>
      </c>
      <c r="AW280" s="40">
        <f t="shared" si="152"/>
        <v>4357.3518632105215</v>
      </c>
      <c r="AX280" s="65">
        <f t="shared" si="153"/>
        <v>627.458668302315</v>
      </c>
      <c r="AY280" s="65">
        <f t="shared" si="154"/>
        <v>428.04448849905754</v>
      </c>
      <c r="AZ280" s="65">
        <f t="shared" si="155"/>
        <v>147.03074169971856</v>
      </c>
    </row>
    <row r="281" spans="1:52" ht="15" customHeight="1" x14ac:dyDescent="0.35">
      <c r="A281" s="61" t="str">
        <f>Segments!$A$261</f>
        <v>Greek</v>
      </c>
      <c r="B281" s="61" t="str">
        <f>Segments!$B$261</f>
        <v>Off 0-1mi</v>
      </c>
      <c r="C281" s="61" t="str">
        <f>Segments!$C$261</f>
        <v>Yes</v>
      </c>
      <c r="D281" s="61" t="str">
        <f>Segments!$D$261</f>
        <v>3.0+</v>
      </c>
      <c r="E281" s="61" t="str">
        <f>Segments!$E$261</f>
        <v>Sophomore</v>
      </c>
      <c r="F281" s="61">
        <f>Segments!$F$261</f>
        <v>1</v>
      </c>
      <c r="G281" s="61" t="str">
        <f>Segments!$G$261</f>
        <v>Sophomore</v>
      </c>
      <c r="H281" s="62">
        <f>Segments!$H$261</f>
        <v>4</v>
      </c>
      <c r="I281" s="63">
        <f>Segments!$Y$261</f>
        <v>2476.2409946719326</v>
      </c>
      <c r="J281" s="42">
        <v>1</v>
      </c>
      <c r="K281" s="40">
        <f t="shared" ref="K281:K344" si="156">IF($J281=0,M281,CURRENT_FLAT)</f>
        <v>1426.2297754450396</v>
      </c>
      <c r="L281" s="40">
        <f t="shared" ref="L281:L344" si="157">$I281*(1+LOSS_TREND)^0</f>
        <v>2476.2409946719326</v>
      </c>
      <c r="M281" s="40">
        <f t="shared" ref="M281:M344" si="158">L281*GROSS_MULT+POLICY_FEE</f>
        <v>4068.2275708880611</v>
      </c>
      <c r="N281" s="40">
        <f t="shared" ref="N281:N344" si="159">M281^MARKET_RISK_WEIGHT*(CURRENT_FLAT*(1+LOSS_TREND)^0)^(1-MARKET_RISK_WEIGHT)</f>
        <v>2408.7812883047309</v>
      </c>
      <c r="O281" s="40">
        <f t="shared" ref="O281:O344" si="160">MEDIAN(K281*(1-CAP_DOWN),M281,K281*(1+CAP_UP))</f>
        <v>1782.7872193062994</v>
      </c>
      <c r="P281" s="41">
        <f t="shared" ref="P281:P344" si="161">MEDIAN(RET_FLOOR,BASE_RETENTION-ELAST_MARKET*(O281/N281-1)-ELAST_INCREASE*MAX(O281/K281-1,0),RET_CEIL)</f>
        <v>0.90493999746631171</v>
      </c>
      <c r="Q281" s="41">
        <f t="shared" ref="Q281:Q344" si="162">MEDIAN(CONV_FLOOR,BASE_CONVERSION-ELAST_MARKET*(M281/N281-1),CONV_CEIL)</f>
        <v>0.02</v>
      </c>
      <c r="R281" s="64">
        <f t="shared" ref="R281:R344" si="163">IF($J281=0,0,IF($J281=4,$H281*GRAD_CONTINUE,$H280)*P281)</f>
        <v>5.4296399847978698</v>
      </c>
      <c r="S281" s="64">
        <f>APPLICANTS_PER_YEAR*($H281/Segments!$AH$2)*Q281</f>
        <v>9.6000000000000002E-2</v>
      </c>
      <c r="T281" s="64">
        <f t="shared" ref="T281:T344" si="164">R281+S281</f>
        <v>5.5256399847978699</v>
      </c>
      <c r="U281" s="40">
        <f t="shared" ref="U281:U344" si="165">IFERROR((R281*O281+S281*M281)/T281,M281)</f>
        <v>1822.4934387406938</v>
      </c>
      <c r="V281" s="65">
        <f t="shared" ref="V281:V344" si="166">R281*O281+S281*M281</f>
        <v>10070.442617137345</v>
      </c>
      <c r="W281" s="65">
        <f t="shared" ref="W281:W344" si="167">T281*L281*(1+LAE_RATIO)</f>
        <v>15324.754202413467</v>
      </c>
      <c r="X281" s="65">
        <f t="shared" ref="X281:X344" si="168">R281*O281*(PREMIUM_TAX+OTHER_VARIABLE+COMMISSION_RN)+S281*M281*(PREMIUM_TAX+OTHER_VARIABLE+COMMISSION_NB)+T281*FIXED_PER_POLICY+S281*NB_ACQUISITION</f>
        <v>2029.8956989730998</v>
      </c>
      <c r="Y281" s="40">
        <f t="shared" ref="Y281:Y344" si="169">IF($J281=0,AA281,IF($J281=4,U281,U280))</f>
        <v>4109.6138780380061</v>
      </c>
      <c r="Z281" s="40">
        <f t="shared" ref="Z281:Z344" si="170">$I281*(1+LOSS_TREND)^1</f>
        <v>2550.5282245120907</v>
      </c>
      <c r="AA281" s="40">
        <f t="shared" ref="AA281:AA344" si="171">Z281*GROSS_MULT+POLICY_FEE</f>
        <v>4189.0243980147034</v>
      </c>
      <c r="AB281" s="40">
        <f t="shared" ref="AB281:AB344" si="172">AA281^MARKET_RISK_WEIGHT*(CURRENT_FLAT*(1+LOSS_TREND)^1)^(1-MARKET_RISK_WEIGHT)</f>
        <v>2480.6746393490885</v>
      </c>
      <c r="AC281" s="40">
        <f t="shared" ref="AC281:AC344" si="173">MEDIAN(Y281*(1-CAP_DOWN),AA281,Y281*(1+CAP_UP))</f>
        <v>4189.0243980147034</v>
      </c>
      <c r="AD281" s="41">
        <f t="shared" ref="AD281:AD344" si="174">MEDIAN(RET_FLOOR,BASE_RETENTION-ELAST_MARKET*(AC281/AB281-1)-ELAST_INCREASE*MAX(AC281/Y281-1,0),RET_CEIL)</f>
        <v>0.49987138174219847</v>
      </c>
      <c r="AE281" s="41">
        <f t="shared" ref="AE281:AE344" si="175">MEDIAN(CONV_FLOOR,BASE_CONVERSION-ELAST_MARKET*(AA281/AB281-1),CONV_CEIL)</f>
        <v>0.02</v>
      </c>
      <c r="AF281" s="64">
        <f t="shared" ref="AF281:AF344" si="176">IF($J281=0,0,IF($J281=4,T281*GRAD_CONTINUE,T280)*AD281)</f>
        <v>7.1981478970876575E-2</v>
      </c>
      <c r="AG281" s="64">
        <f>APPLICANTS_PER_YEAR*($H281/Segments!$AH$2)*AE281</f>
        <v>9.6000000000000002E-2</v>
      </c>
      <c r="AH281" s="64">
        <f t="shared" ref="AH281:AH344" si="177">AF281+AG281</f>
        <v>0.16798147897087656</v>
      </c>
      <c r="AI281" s="40">
        <f t="shared" ref="AI281:AI344" si="178">IFERROR((AF281*AC281+AG281*AA281)/AH281,AA281)</f>
        <v>4189.0243980147043</v>
      </c>
      <c r="AJ281" s="65">
        <f t="shared" ref="AJ281:AJ344" si="179">AF281*AC281+AG281*AA281</f>
        <v>703.67851382359584</v>
      </c>
      <c r="AK281" s="65">
        <f t="shared" ref="AK281:AK344" si="180">AH281*Z281*(1+LAE_RATIO)</f>
        <v>479.85448370776555</v>
      </c>
      <c r="AL281" s="65">
        <f t="shared" ref="AL281:AL344" si="181">AF281*AC281*(PREMIUM_TAX+OTHER_VARIABLE+COMMISSION_RN)+AG281*AA281*(PREMIUM_TAX+OTHER_VARIABLE+COMMISSION_NB)+AH281*FIXED_PER_POLICY+AG281*NB_ACQUISITION</f>
        <v>152.82999066940658</v>
      </c>
      <c r="AM281" s="40">
        <f t="shared" ref="AM281:AM344" si="182">IF($J281=0,AO281,IF($J281=4,AI281,AI280))</f>
        <v>4231.652294379147</v>
      </c>
      <c r="AN281" s="40">
        <f t="shared" ref="AN281:AN344" si="183">$I281*(1+LOSS_TREND)^2</f>
        <v>2627.0440712474533</v>
      </c>
      <c r="AO281" s="40">
        <f t="shared" ref="AO281:AO344" si="184">AN281*GROSS_MULT+POLICY_FEE</f>
        <v>4313.4451299551447</v>
      </c>
      <c r="AP281" s="40">
        <f t="shared" ref="AP281:AP344" si="185">AO281^MARKET_RISK_WEIGHT*(CURRENT_FLAT*(1+LOSS_TREND)^2)^(1-MARKET_RISK_WEIGHT)</f>
        <v>2554.7247365082276</v>
      </c>
      <c r="AQ281" s="40">
        <f t="shared" ref="AQ281:AQ344" si="186">MEDIAN(AM281*(1-CAP_DOWN),AO281,AM281*(1+CAP_UP))</f>
        <v>4313.4451299551447</v>
      </c>
      <c r="AR281" s="41">
        <f t="shared" ref="AR281:AR344" si="187">MEDIAN(RET_FLOOR,BASE_RETENTION-ELAST_MARKET*(AQ281/AP281-1)-ELAST_INCREASE*MAX(AQ281/AM281-1,0),RET_CEIL)</f>
        <v>0.49999198288479585</v>
      </c>
      <c r="AS281" s="41">
        <f t="shared" ref="AS281:AS344" si="188">MEDIAN(CONV_FLOOR,BASE_CONVERSION-ELAST_MARKET*(AO281/AP281-1),CONV_CEIL)</f>
        <v>0.02</v>
      </c>
      <c r="AT281" s="64">
        <f t="shared" ref="AT281:AT344" si="189">IF($J281=0,0,IF($J281=4,AH281*GRAD_CONTINUE,AH280)*AR281)</f>
        <v>7.1998845535410597E-2</v>
      </c>
      <c r="AU281" s="64">
        <f>APPLICANTS_PER_YEAR*($H281/Segments!$AH$2)*AS281</f>
        <v>9.6000000000000002E-2</v>
      </c>
      <c r="AV281" s="64">
        <f t="shared" ref="AV281:AV344" si="190">AT281+AU281</f>
        <v>0.16799884553541061</v>
      </c>
      <c r="AW281" s="40">
        <f t="shared" ref="AW281:AW344" si="191">IFERROR((AT281*AQ281+AU281*AO281)/AV281,AO281)</f>
        <v>4313.4451299551447</v>
      </c>
      <c r="AX281" s="65">
        <f t="shared" ref="AX281:AX344" si="192">AT281*AQ281+AU281*AO281</f>
        <v>724.65380211280353</v>
      </c>
      <c r="AY281" s="65">
        <f t="shared" ref="AY281:AY344" si="193">AV281*AN281*(1+LAE_RATIO)</f>
        <v>494.30121567704327</v>
      </c>
      <c r="AZ281" s="65">
        <f t="shared" ref="AZ281:AZ344" si="194">AT281*AQ281*(PREMIUM_TAX+OTHER_VARIABLE+COMMISSION_RN)+AU281*AO281*(PREMIUM_TAX+OTHER_VARIABLE+COMMISSION_NB)+AV281*FIXED_PER_POLICY+AU281*NB_ACQUISITION</f>
        <v>157.21272114667735</v>
      </c>
    </row>
    <row r="282" spans="1:52" ht="15" customHeight="1" x14ac:dyDescent="0.35">
      <c r="A282" s="61" t="str">
        <f>Segments!$A$262</f>
        <v>Greek</v>
      </c>
      <c r="B282" s="61" t="str">
        <f>Segments!$B$262</f>
        <v>Off 0-1mi</v>
      </c>
      <c r="C282" s="61" t="str">
        <f>Segments!$C$262</f>
        <v>Yes</v>
      </c>
      <c r="D282" s="61" t="str">
        <f>Segments!$D$262</f>
        <v>3.0+</v>
      </c>
      <c r="E282" s="61" t="str">
        <f>Segments!$E$262</f>
        <v>Junior</v>
      </c>
      <c r="F282" s="61">
        <f>Segments!$F$262</f>
        <v>2</v>
      </c>
      <c r="G282" s="61" t="str">
        <f>Segments!$G$262</f>
        <v>Base</v>
      </c>
      <c r="H282" s="62">
        <f>Segments!$H$262</f>
        <v>6</v>
      </c>
      <c r="I282" s="63">
        <f>Segments!$Y$262</f>
        <v>2960.1619359695442</v>
      </c>
      <c r="J282" s="42">
        <v>2</v>
      </c>
      <c r="K282" s="40">
        <f t="shared" si="156"/>
        <v>1426.2297754450396</v>
      </c>
      <c r="L282" s="40">
        <f t="shared" si="157"/>
        <v>2960.1619359695442</v>
      </c>
      <c r="M282" s="40">
        <f t="shared" si="158"/>
        <v>4855.1207477458875</v>
      </c>
      <c r="N282" s="40">
        <f t="shared" si="159"/>
        <v>2631.4478474437169</v>
      </c>
      <c r="O282" s="40">
        <f t="shared" si="160"/>
        <v>1782.7872193062994</v>
      </c>
      <c r="P282" s="41">
        <f t="shared" si="161"/>
        <v>0.93625355267098231</v>
      </c>
      <c r="Q282" s="41">
        <f t="shared" si="162"/>
        <v>0.02</v>
      </c>
      <c r="R282" s="64">
        <f t="shared" si="163"/>
        <v>3.7450142106839293</v>
      </c>
      <c r="S282" s="64">
        <f>APPLICANTS_PER_YEAR*($H282/Segments!$AH$2)*Q282</f>
        <v>0.14399999999999999</v>
      </c>
      <c r="T282" s="64">
        <f t="shared" si="164"/>
        <v>3.8890142106839294</v>
      </c>
      <c r="U282" s="40">
        <f t="shared" si="165"/>
        <v>1896.5476748170795</v>
      </c>
      <c r="V282" s="65">
        <f t="shared" si="166"/>
        <v>7375.7008586031861</v>
      </c>
      <c r="W282" s="65">
        <f t="shared" si="167"/>
        <v>12893.565255100555</v>
      </c>
      <c r="X282" s="65">
        <f t="shared" si="168"/>
        <v>1499.85755505832</v>
      </c>
      <c r="Y282" s="40">
        <f t="shared" si="169"/>
        <v>1822.4934387406938</v>
      </c>
      <c r="Z282" s="40">
        <f t="shared" si="170"/>
        <v>3048.9667940486306</v>
      </c>
      <c r="AA282" s="40">
        <f t="shared" si="171"/>
        <v>4999.5243701782638</v>
      </c>
      <c r="AB282" s="40">
        <f t="shared" si="172"/>
        <v>2710.052515248678</v>
      </c>
      <c r="AC282" s="40">
        <f t="shared" si="173"/>
        <v>2278.1167984258673</v>
      </c>
      <c r="AD282" s="41">
        <f t="shared" si="174"/>
        <v>0.85469139239782876</v>
      </c>
      <c r="AE282" s="41">
        <f t="shared" si="175"/>
        <v>0.02</v>
      </c>
      <c r="AF282" s="64">
        <f t="shared" si="176"/>
        <v>4.7227169324960085</v>
      </c>
      <c r="AG282" s="64">
        <f>APPLICANTS_PER_YEAR*($H282/Segments!$AH$2)*AE282</f>
        <v>0.14399999999999999</v>
      </c>
      <c r="AH282" s="64">
        <f t="shared" si="177"/>
        <v>4.8667169324960087</v>
      </c>
      <c r="AI282" s="40">
        <f t="shared" si="178"/>
        <v>2358.6398072155648</v>
      </c>
      <c r="AJ282" s="65">
        <f t="shared" si="179"/>
        <v>11478.832287435111</v>
      </c>
      <c r="AK282" s="65">
        <f t="shared" si="180"/>
        <v>16619.073322000288</v>
      </c>
      <c r="AL282" s="65">
        <f t="shared" si="181"/>
        <v>2295.631243800854</v>
      </c>
      <c r="AM282" s="40">
        <f t="shared" si="182"/>
        <v>4189.0243980147043</v>
      </c>
      <c r="AN282" s="40">
        <f t="shared" si="183"/>
        <v>3140.4357978700891</v>
      </c>
      <c r="AO282" s="40">
        <f t="shared" si="184"/>
        <v>5148.2601012836112</v>
      </c>
      <c r="AP282" s="40">
        <f t="shared" si="185"/>
        <v>2791.0152813520986</v>
      </c>
      <c r="AQ282" s="40">
        <f t="shared" si="186"/>
        <v>5148.2601012836112</v>
      </c>
      <c r="AR282" s="41">
        <f t="shared" si="187"/>
        <v>0.35901200783374038</v>
      </c>
      <c r="AS282" s="41">
        <f t="shared" si="188"/>
        <v>0.02</v>
      </c>
      <c r="AT282" s="64">
        <f t="shared" si="189"/>
        <v>6.0307368044215631E-2</v>
      </c>
      <c r="AU282" s="64">
        <f>APPLICANTS_PER_YEAR*($H282/Segments!$AH$2)*AS282</f>
        <v>0.14399999999999999</v>
      </c>
      <c r="AV282" s="64">
        <f t="shared" si="190"/>
        <v>0.20430736804421562</v>
      </c>
      <c r="AW282" s="40">
        <f t="shared" si="191"/>
        <v>5148.2601012836112</v>
      </c>
      <c r="AX282" s="65">
        <f t="shared" si="192"/>
        <v>1051.8274713003016</v>
      </c>
      <c r="AY282" s="65">
        <f t="shared" si="193"/>
        <v>718.60787305963527</v>
      </c>
      <c r="AZ282" s="65">
        <f t="shared" si="194"/>
        <v>232.42877034711071</v>
      </c>
    </row>
    <row r="283" spans="1:52" ht="15" customHeight="1" x14ac:dyDescent="0.35">
      <c r="A283" s="61" t="str">
        <f>Segments!$A$263</f>
        <v>Greek</v>
      </c>
      <c r="B283" s="61" t="str">
        <f>Segments!$B$263</f>
        <v>Off 0-1mi</v>
      </c>
      <c r="C283" s="61" t="str">
        <f>Segments!$C$263</f>
        <v>Yes</v>
      </c>
      <c r="D283" s="61" t="str">
        <f>Segments!$D$263</f>
        <v>3.0+</v>
      </c>
      <c r="E283" s="61" t="str">
        <f>Segments!$E$263</f>
        <v>Senior</v>
      </c>
      <c r="F283" s="61">
        <f>Segments!$F$263</f>
        <v>3</v>
      </c>
      <c r="G283" s="61" t="str">
        <f>Segments!$G$263</f>
        <v>Base</v>
      </c>
      <c r="H283" s="62">
        <f>Segments!$H$263</f>
        <v>3</v>
      </c>
      <c r="I283" s="63">
        <f>Segments!$Y$263</f>
        <v>2766.8262306125589</v>
      </c>
      <c r="J283" s="42">
        <v>3</v>
      </c>
      <c r="K283" s="40">
        <f t="shared" si="156"/>
        <v>1426.2297754450396</v>
      </c>
      <c r="L283" s="40">
        <f t="shared" si="157"/>
        <v>2766.8262306125589</v>
      </c>
      <c r="M283" s="40">
        <f t="shared" si="158"/>
        <v>4540.741818451228</v>
      </c>
      <c r="N283" s="40">
        <f t="shared" si="159"/>
        <v>2544.8263563716082</v>
      </c>
      <c r="O283" s="40">
        <f t="shared" si="160"/>
        <v>1782.7872193062994</v>
      </c>
      <c r="P283" s="41">
        <f t="shared" si="161"/>
        <v>0.92472320904280036</v>
      </c>
      <c r="Q283" s="41">
        <f t="shared" si="162"/>
        <v>0.02</v>
      </c>
      <c r="R283" s="64">
        <f t="shared" si="163"/>
        <v>5.5483392542568026</v>
      </c>
      <c r="S283" s="64">
        <f>APPLICANTS_PER_YEAR*($H283/Segments!$AH$2)*Q283</f>
        <v>7.1999999999999995E-2</v>
      </c>
      <c r="T283" s="64">
        <f t="shared" si="164"/>
        <v>5.6203392542568027</v>
      </c>
      <c r="U283" s="40">
        <f t="shared" si="165"/>
        <v>1818.1183127074739</v>
      </c>
      <c r="V283" s="65">
        <f t="shared" si="166"/>
        <v>10218.44172179296</v>
      </c>
      <c r="W283" s="65">
        <f t="shared" si="167"/>
        <v>17416.56232245345</v>
      </c>
      <c r="X283" s="65">
        <f t="shared" si="168"/>
        <v>2056.9349398865029</v>
      </c>
      <c r="Y283" s="40">
        <f t="shared" si="169"/>
        <v>1896.5476748170795</v>
      </c>
      <c r="Z283" s="40">
        <f t="shared" si="170"/>
        <v>2849.8310175309357</v>
      </c>
      <c r="AA283" s="40">
        <f t="shared" si="171"/>
        <v>4675.7140730047649</v>
      </c>
      <c r="AB283" s="40">
        <f t="shared" si="172"/>
        <v>2620.8208468642797</v>
      </c>
      <c r="AC283" s="40">
        <f t="shared" si="173"/>
        <v>2370.6845935213496</v>
      </c>
      <c r="AD283" s="41">
        <f t="shared" si="174"/>
        <v>0.82272097521320642</v>
      </c>
      <c r="AE283" s="41">
        <f t="shared" si="175"/>
        <v>0.02</v>
      </c>
      <c r="AF283" s="64">
        <f t="shared" si="176"/>
        <v>3.1995735640319007</v>
      </c>
      <c r="AG283" s="64">
        <f>APPLICANTS_PER_YEAR*($H283/Segments!$AH$2)*AE283</f>
        <v>7.1999999999999995E-2</v>
      </c>
      <c r="AH283" s="64">
        <f t="shared" si="177"/>
        <v>3.2715735640319008</v>
      </c>
      <c r="AI283" s="40">
        <f t="shared" si="178"/>
        <v>2421.4131249985003</v>
      </c>
      <c r="AJ283" s="65">
        <f t="shared" si="179"/>
        <v>7921.8311673449662</v>
      </c>
      <c r="AK283" s="65">
        <f t="shared" si="180"/>
        <v>10442.243637181824</v>
      </c>
      <c r="AL283" s="65">
        <f t="shared" si="181"/>
        <v>1576.2403613728086</v>
      </c>
      <c r="AM283" s="40">
        <f t="shared" si="182"/>
        <v>2358.6398072155648</v>
      </c>
      <c r="AN283" s="40">
        <f t="shared" si="183"/>
        <v>2935.3259480568636</v>
      </c>
      <c r="AO283" s="40">
        <f t="shared" si="184"/>
        <v>4814.7354951949083</v>
      </c>
      <c r="AP283" s="40">
        <f t="shared" si="185"/>
        <v>2699.0951259263106</v>
      </c>
      <c r="AQ283" s="40">
        <f t="shared" si="186"/>
        <v>2948.2997590194559</v>
      </c>
      <c r="AR283" s="41">
        <f t="shared" si="187"/>
        <v>0.72883552237574067</v>
      </c>
      <c r="AS283" s="41">
        <f t="shared" si="188"/>
        <v>0.02</v>
      </c>
      <c r="AT283" s="64">
        <f t="shared" si="189"/>
        <v>3.5470361777505905</v>
      </c>
      <c r="AU283" s="64">
        <f>APPLICANTS_PER_YEAR*($H283/Segments!$AH$2)*AS283</f>
        <v>7.1999999999999995E-2</v>
      </c>
      <c r="AV283" s="64">
        <f t="shared" si="190"/>
        <v>3.6190361777505906</v>
      </c>
      <c r="AW283" s="40">
        <f t="shared" si="191"/>
        <v>2985.4321242140359</v>
      </c>
      <c r="AX283" s="65">
        <f t="shared" si="192"/>
        <v>10804.386863749391</v>
      </c>
      <c r="AY283" s="65">
        <f t="shared" si="193"/>
        <v>11897.816895448783</v>
      </c>
      <c r="AZ283" s="65">
        <f t="shared" si="194"/>
        <v>2128.3429742515377</v>
      </c>
    </row>
    <row r="284" spans="1:52" ht="15" customHeight="1" x14ac:dyDescent="0.35">
      <c r="A284" s="61" t="str">
        <f>Segments!$A$264</f>
        <v>Greek</v>
      </c>
      <c r="B284" s="61" t="str">
        <f>Segments!$B$264</f>
        <v>Off 0-1mi</v>
      </c>
      <c r="C284" s="61" t="str">
        <f>Segments!$C$264</f>
        <v>Yes</v>
      </c>
      <c r="D284" s="61" t="str">
        <f>Segments!$D$264</f>
        <v>3.0+</v>
      </c>
      <c r="E284" s="61" t="str">
        <f>Segments!$E$264</f>
        <v>Grad student</v>
      </c>
      <c r="F284" s="61">
        <f>Segments!$F$264</f>
        <v>3</v>
      </c>
      <c r="G284" s="61" t="str">
        <f>Segments!$G$264</f>
        <v>Grad</v>
      </c>
      <c r="H284" s="62">
        <f>Segments!$H$264</f>
        <v>4</v>
      </c>
      <c r="I284" s="63">
        <f>Segments!$Y$264</f>
        <v>3294.4058376347671</v>
      </c>
      <c r="J284" s="42">
        <v>4</v>
      </c>
      <c r="K284" s="40">
        <f t="shared" si="156"/>
        <v>1426.2297754450396</v>
      </c>
      <c r="L284" s="40">
        <f t="shared" si="157"/>
        <v>3294.4058376347671</v>
      </c>
      <c r="M284" s="40">
        <f t="shared" si="158"/>
        <v>5398.6273893916104</v>
      </c>
      <c r="N284" s="40">
        <f t="shared" si="159"/>
        <v>2774.8302883750275</v>
      </c>
      <c r="O284" s="40">
        <f t="shared" si="160"/>
        <v>1782.7872193062994</v>
      </c>
      <c r="P284" s="41">
        <f t="shared" si="161"/>
        <v>0.95</v>
      </c>
      <c r="Q284" s="41">
        <f t="shared" si="162"/>
        <v>0.02</v>
      </c>
      <c r="R284" s="64">
        <f t="shared" si="163"/>
        <v>1.9</v>
      </c>
      <c r="S284" s="64">
        <f>APPLICANTS_PER_YEAR*($H284/Segments!$AH$2)*Q284</f>
        <v>9.6000000000000002E-2</v>
      </c>
      <c r="T284" s="64">
        <f t="shared" si="164"/>
        <v>1.996</v>
      </c>
      <c r="U284" s="40">
        <f t="shared" si="165"/>
        <v>1956.6953637593003</v>
      </c>
      <c r="V284" s="65">
        <f t="shared" si="166"/>
        <v>3905.5639460635634</v>
      </c>
      <c r="W284" s="65">
        <f t="shared" si="167"/>
        <v>7364.7101381492757</v>
      </c>
      <c r="X284" s="65">
        <f t="shared" si="168"/>
        <v>798.61097383436925</v>
      </c>
      <c r="Y284" s="40">
        <f t="shared" si="169"/>
        <v>1956.6953637593003</v>
      </c>
      <c r="Z284" s="40">
        <f t="shared" si="170"/>
        <v>3393.2380127638103</v>
      </c>
      <c r="AA284" s="40">
        <f t="shared" si="171"/>
        <v>5559.3362110733588</v>
      </c>
      <c r="AB284" s="40">
        <f t="shared" si="172"/>
        <v>2857.7539364019626</v>
      </c>
      <c r="AC284" s="40">
        <f t="shared" si="173"/>
        <v>2445.8692046991255</v>
      </c>
      <c r="AD284" s="41">
        <f t="shared" si="174"/>
        <v>0.84706441507371666</v>
      </c>
      <c r="AE284" s="41">
        <f t="shared" si="175"/>
        <v>0.02</v>
      </c>
      <c r="AF284" s="64">
        <f t="shared" si="176"/>
        <v>0.84537028624356925</v>
      </c>
      <c r="AG284" s="64">
        <f>APPLICANTS_PER_YEAR*($H284/Segments!$AH$2)*AE284</f>
        <v>9.6000000000000002E-2</v>
      </c>
      <c r="AH284" s="64">
        <f t="shared" si="177"/>
        <v>0.94137028624356922</v>
      </c>
      <c r="AI284" s="40">
        <f t="shared" si="178"/>
        <v>2763.3774551503097</v>
      </c>
      <c r="AJ284" s="65">
        <f t="shared" si="179"/>
        <v>2601.3614259538731</v>
      </c>
      <c r="AK284" s="65">
        <f t="shared" si="180"/>
        <v>3577.6086520921917</v>
      </c>
      <c r="AL284" s="65">
        <f t="shared" si="181"/>
        <v>531.56408489935995</v>
      </c>
      <c r="AM284" s="40">
        <f t="shared" si="182"/>
        <v>2763.3774551503097</v>
      </c>
      <c r="AN284" s="40">
        <f t="shared" si="183"/>
        <v>3495.035153146724</v>
      </c>
      <c r="AO284" s="40">
        <f t="shared" si="184"/>
        <v>5724.8662974055587</v>
      </c>
      <c r="AP284" s="40">
        <f t="shared" si="185"/>
        <v>2943.1652582765587</v>
      </c>
      <c r="AQ284" s="40">
        <f t="shared" si="186"/>
        <v>3454.2218189378873</v>
      </c>
      <c r="AR284" s="41">
        <f t="shared" si="187"/>
        <v>0.68817909192761573</v>
      </c>
      <c r="AS284" s="41">
        <f t="shared" si="188"/>
        <v>0.02</v>
      </c>
      <c r="AT284" s="64">
        <f t="shared" si="189"/>
        <v>0.32391567437736957</v>
      </c>
      <c r="AU284" s="64">
        <f>APPLICANTS_PER_YEAR*($H284/Segments!$AH$2)*AS284</f>
        <v>9.6000000000000002E-2</v>
      </c>
      <c r="AV284" s="64">
        <f t="shared" si="190"/>
        <v>0.41991567437736954</v>
      </c>
      <c r="AW284" s="40">
        <f t="shared" si="191"/>
        <v>3973.3304953551451</v>
      </c>
      <c r="AX284" s="65">
        <f t="shared" si="192"/>
        <v>1668.4637544812235</v>
      </c>
      <c r="AY284" s="65">
        <f t="shared" si="193"/>
        <v>1643.7344485029662</v>
      </c>
      <c r="AZ284" s="65">
        <f t="shared" si="194"/>
        <v>345.37351384378127</v>
      </c>
    </row>
    <row r="285" spans="1:52" ht="15" customHeight="1" x14ac:dyDescent="0.35">
      <c r="A285" s="59" t="str">
        <f>Segments!$A$265</f>
        <v>Greek</v>
      </c>
      <c r="B285" s="59" t="str">
        <f>Segments!$B$265</f>
        <v>Off 0-1mi</v>
      </c>
      <c r="C285" s="59" t="str">
        <f>Segments!$C$265</f>
        <v>No</v>
      </c>
      <c r="D285" s="59" t="str">
        <f>Segments!$D$265</f>
        <v>&lt;1.0</v>
      </c>
      <c r="E285" s="59" t="str">
        <f>Segments!$E$265</f>
        <v>Freshman</v>
      </c>
      <c r="F285" s="59">
        <f>Segments!$F$265</f>
        <v>1</v>
      </c>
      <c r="G285" s="59" t="str">
        <f>Segments!$G$265</f>
        <v>Base</v>
      </c>
      <c r="H285" s="60">
        <f>Segments!$H$265</f>
        <v>3</v>
      </c>
      <c r="I285" s="26">
        <f>Segments!$Y$265</f>
        <v>4929.2333150043378</v>
      </c>
      <c r="J285" s="29">
        <v>0</v>
      </c>
      <c r="K285" s="14">
        <f t="shared" si="156"/>
        <v>8056.9843181748365</v>
      </c>
      <c r="L285" s="14">
        <f t="shared" si="157"/>
        <v>4929.2333150043378</v>
      </c>
      <c r="M285" s="14">
        <f t="shared" si="158"/>
        <v>8056.9843181748365</v>
      </c>
      <c r="N285" s="14">
        <f t="shared" si="159"/>
        <v>3389.8541170490957</v>
      </c>
      <c r="O285" s="14">
        <f t="shared" si="160"/>
        <v>8056.9843181748365</v>
      </c>
      <c r="P285" s="33">
        <f t="shared" si="161"/>
        <v>0.3</v>
      </c>
      <c r="Q285" s="33">
        <f t="shared" si="162"/>
        <v>0.02</v>
      </c>
      <c r="R285" s="51">
        <f t="shared" si="163"/>
        <v>0</v>
      </c>
      <c r="S285" s="51">
        <f>APPLICANTS_PER_YEAR*($H285/Segments!$AH$2)*Q285</f>
        <v>7.1999999999999995E-2</v>
      </c>
      <c r="T285" s="51">
        <f t="shared" si="164"/>
        <v>7.1999999999999995E-2</v>
      </c>
      <c r="U285" s="14">
        <f t="shared" si="165"/>
        <v>8056.9843181748365</v>
      </c>
      <c r="V285" s="44">
        <f t="shared" si="166"/>
        <v>580.10287090858822</v>
      </c>
      <c r="W285" s="44">
        <f t="shared" si="167"/>
        <v>397.49337452194982</v>
      </c>
      <c r="X285" s="44">
        <f t="shared" si="168"/>
        <v>133.18304308352378</v>
      </c>
      <c r="Y285" s="14">
        <f t="shared" si="169"/>
        <v>8297.4438477200802</v>
      </c>
      <c r="Z285" s="14">
        <f t="shared" si="170"/>
        <v>5077.1103144544677</v>
      </c>
      <c r="AA285" s="14">
        <f t="shared" si="171"/>
        <v>8297.4438477200802</v>
      </c>
      <c r="AB285" s="14">
        <f t="shared" si="172"/>
        <v>3491.2867713742285</v>
      </c>
      <c r="AC285" s="14">
        <f t="shared" si="173"/>
        <v>8297.4438477200802</v>
      </c>
      <c r="AD285" s="33">
        <f t="shared" si="174"/>
        <v>0.3</v>
      </c>
      <c r="AE285" s="33">
        <f t="shared" si="175"/>
        <v>0.02</v>
      </c>
      <c r="AF285" s="51">
        <f t="shared" si="176"/>
        <v>0</v>
      </c>
      <c r="AG285" s="51">
        <f>APPLICANTS_PER_YEAR*($H285/Segments!$AH$2)*AE285</f>
        <v>7.1999999999999995E-2</v>
      </c>
      <c r="AH285" s="51">
        <f t="shared" si="177"/>
        <v>7.1999999999999995E-2</v>
      </c>
      <c r="AI285" s="14">
        <f t="shared" si="178"/>
        <v>8297.4438477200802</v>
      </c>
      <c r="AJ285" s="44">
        <f t="shared" si="179"/>
        <v>597.41595703584574</v>
      </c>
      <c r="AK285" s="44">
        <f t="shared" si="180"/>
        <v>409.41817575760825</v>
      </c>
      <c r="AL285" s="44">
        <f t="shared" si="181"/>
        <v>137.06117437602947</v>
      </c>
      <c r="AM285" s="14">
        <f t="shared" si="182"/>
        <v>8545.1171631516845</v>
      </c>
      <c r="AN285" s="14">
        <f t="shared" si="183"/>
        <v>5229.4236238881022</v>
      </c>
      <c r="AO285" s="14">
        <f t="shared" si="184"/>
        <v>8545.1171631516845</v>
      </c>
      <c r="AP285" s="14">
        <f t="shared" si="185"/>
        <v>3595.7623858088932</v>
      </c>
      <c r="AQ285" s="14">
        <f t="shared" si="186"/>
        <v>8545.1171631516845</v>
      </c>
      <c r="AR285" s="33">
        <f t="shared" si="187"/>
        <v>0.3</v>
      </c>
      <c r="AS285" s="33">
        <f t="shared" si="188"/>
        <v>0.02</v>
      </c>
      <c r="AT285" s="51">
        <f t="shared" si="189"/>
        <v>0</v>
      </c>
      <c r="AU285" s="51">
        <f>APPLICANTS_PER_YEAR*($H285/Segments!$AH$2)*AS285</f>
        <v>7.1999999999999995E-2</v>
      </c>
      <c r="AV285" s="51">
        <f t="shared" si="190"/>
        <v>7.1999999999999995E-2</v>
      </c>
      <c r="AW285" s="14">
        <f t="shared" si="191"/>
        <v>8545.1171631516845</v>
      </c>
      <c r="AX285" s="44">
        <f t="shared" si="192"/>
        <v>615.24843574692125</v>
      </c>
      <c r="AY285" s="44">
        <f t="shared" si="193"/>
        <v>421.70072103033658</v>
      </c>
      <c r="AZ285" s="44">
        <f t="shared" si="194"/>
        <v>141.05564960731036</v>
      </c>
    </row>
    <row r="286" spans="1:52" ht="15" customHeight="1" x14ac:dyDescent="0.35">
      <c r="A286" s="59" t="str">
        <f>Segments!$A$266</f>
        <v>Greek</v>
      </c>
      <c r="B286" s="59" t="str">
        <f>Segments!$B$266</f>
        <v>Off 0-1mi</v>
      </c>
      <c r="C286" s="59" t="str">
        <f>Segments!$C$266</f>
        <v>No</v>
      </c>
      <c r="D286" s="59" t="str">
        <f>Segments!$D$266</f>
        <v>&lt;1.0</v>
      </c>
      <c r="E286" s="59" t="str">
        <f>Segments!$E$266</f>
        <v>Sophomore</v>
      </c>
      <c r="F286" s="59">
        <f>Segments!$F$266</f>
        <v>1</v>
      </c>
      <c r="G286" s="59" t="str">
        <f>Segments!$G$266</f>
        <v>Sophomore</v>
      </c>
      <c r="H286" s="60">
        <f>Segments!$H$266</f>
        <v>0</v>
      </c>
      <c r="I286" s="26">
        <f>Segments!$Y$266</f>
        <v>4879.0844921734379</v>
      </c>
      <c r="J286" s="29">
        <v>1</v>
      </c>
      <c r="K286" s="14">
        <f t="shared" si="156"/>
        <v>1426.2297754450396</v>
      </c>
      <c r="L286" s="14">
        <f t="shared" si="157"/>
        <v>4879.0844921734379</v>
      </c>
      <c r="M286" s="14">
        <f t="shared" si="158"/>
        <v>7975.4384226670454</v>
      </c>
      <c r="N286" s="14">
        <f t="shared" si="159"/>
        <v>3372.6558897456707</v>
      </c>
      <c r="O286" s="14">
        <f t="shared" si="160"/>
        <v>1782.7872193062994</v>
      </c>
      <c r="P286" s="33">
        <f t="shared" si="161"/>
        <v>0.95</v>
      </c>
      <c r="Q286" s="33">
        <f t="shared" si="162"/>
        <v>0.02</v>
      </c>
      <c r="R286" s="51">
        <f t="shared" si="163"/>
        <v>2.8499999999999996</v>
      </c>
      <c r="S286" s="51">
        <f>APPLICANTS_PER_YEAR*($H286/Segments!$AH$2)*Q286</f>
        <v>0</v>
      </c>
      <c r="T286" s="51">
        <f t="shared" si="164"/>
        <v>2.8499999999999996</v>
      </c>
      <c r="U286" s="14">
        <f t="shared" si="165"/>
        <v>1782.7872193062997</v>
      </c>
      <c r="V286" s="44">
        <f t="shared" si="166"/>
        <v>5080.9435750229532</v>
      </c>
      <c r="W286" s="44">
        <f t="shared" si="167"/>
        <v>15574.037699017612</v>
      </c>
      <c r="X286" s="44">
        <f t="shared" si="168"/>
        <v>1017.2983356793382</v>
      </c>
      <c r="Y286" s="14">
        <f t="shared" si="169"/>
        <v>8056.9843181748365</v>
      </c>
      <c r="Z286" s="14">
        <f t="shared" si="170"/>
        <v>5025.4570269386413</v>
      </c>
      <c r="AA286" s="14">
        <f t="shared" si="171"/>
        <v>8213.4515753470569</v>
      </c>
      <c r="AB286" s="14">
        <f t="shared" si="172"/>
        <v>3473.5712561877895</v>
      </c>
      <c r="AC286" s="14">
        <f t="shared" si="173"/>
        <v>8213.4515753470569</v>
      </c>
      <c r="AD286" s="33">
        <f t="shared" si="174"/>
        <v>0.3</v>
      </c>
      <c r="AE286" s="33">
        <f t="shared" si="175"/>
        <v>0.02</v>
      </c>
      <c r="AF286" s="51">
        <f t="shared" si="176"/>
        <v>2.1599999999999998E-2</v>
      </c>
      <c r="AG286" s="51">
        <f>APPLICANTS_PER_YEAR*($H286/Segments!$AH$2)*AE286</f>
        <v>0</v>
      </c>
      <c r="AH286" s="51">
        <f t="shared" si="177"/>
        <v>2.1599999999999998E-2</v>
      </c>
      <c r="AI286" s="14">
        <f t="shared" si="178"/>
        <v>8213.4515753470569</v>
      </c>
      <c r="AJ286" s="44">
        <f t="shared" si="179"/>
        <v>177.4105540274964</v>
      </c>
      <c r="AK286" s="44">
        <f t="shared" si="180"/>
        <v>121.57585639569962</v>
      </c>
      <c r="AL286" s="44">
        <f t="shared" si="181"/>
        <v>33.962594711196822</v>
      </c>
      <c r="AM286" s="14">
        <f t="shared" si="182"/>
        <v>8297.4438477200802</v>
      </c>
      <c r="AN286" s="14">
        <f t="shared" si="183"/>
        <v>5176.2207377468003</v>
      </c>
      <c r="AO286" s="14">
        <f t="shared" si="184"/>
        <v>8458.6051226074669</v>
      </c>
      <c r="AP286" s="14">
        <f t="shared" si="185"/>
        <v>3577.5140638027588</v>
      </c>
      <c r="AQ286" s="14">
        <f t="shared" si="186"/>
        <v>8458.6051226074669</v>
      </c>
      <c r="AR286" s="33">
        <f t="shared" si="187"/>
        <v>0.3</v>
      </c>
      <c r="AS286" s="33">
        <f t="shared" si="188"/>
        <v>0.02</v>
      </c>
      <c r="AT286" s="51">
        <f t="shared" si="189"/>
        <v>2.1599999999999998E-2</v>
      </c>
      <c r="AU286" s="51">
        <f>APPLICANTS_PER_YEAR*($H286/Segments!$AH$2)*AS286</f>
        <v>0</v>
      </c>
      <c r="AV286" s="51">
        <f t="shared" si="190"/>
        <v>2.1599999999999998E-2</v>
      </c>
      <c r="AW286" s="14">
        <f t="shared" si="191"/>
        <v>8458.6051226074669</v>
      </c>
      <c r="AX286" s="44">
        <f t="shared" si="192"/>
        <v>182.70587064832125</v>
      </c>
      <c r="AY286" s="44">
        <f t="shared" si="193"/>
        <v>125.22313208757059</v>
      </c>
      <c r="AZ286" s="44">
        <f t="shared" si="194"/>
        <v>34.963409552532717</v>
      </c>
    </row>
    <row r="287" spans="1:52" ht="15" customHeight="1" x14ac:dyDescent="0.35">
      <c r="A287" s="59" t="str">
        <f>Segments!$A$267</f>
        <v>Greek</v>
      </c>
      <c r="B287" s="59" t="str">
        <f>Segments!$B$267</f>
        <v>Off 0-1mi</v>
      </c>
      <c r="C287" s="59" t="str">
        <f>Segments!$C$267</f>
        <v>No</v>
      </c>
      <c r="D287" s="59" t="str">
        <f>Segments!$D$267</f>
        <v>&lt;1.0</v>
      </c>
      <c r="E287" s="59" t="str">
        <f>Segments!$E$267</f>
        <v>Junior</v>
      </c>
      <c r="F287" s="59">
        <f>Segments!$F$267</f>
        <v>2</v>
      </c>
      <c r="G287" s="59" t="str">
        <f>Segments!$G$267</f>
        <v>Base</v>
      </c>
      <c r="H287" s="60">
        <f>Segments!$H$267</f>
        <v>1</v>
      </c>
      <c r="I287" s="26">
        <f>Segments!$Y$267</f>
        <v>5832.5826230918146</v>
      </c>
      <c r="J287" s="29">
        <v>2</v>
      </c>
      <c r="K287" s="14">
        <f t="shared" si="156"/>
        <v>1426.2297754450396</v>
      </c>
      <c r="L287" s="14">
        <f t="shared" si="157"/>
        <v>5832.5826230918146</v>
      </c>
      <c r="M287" s="14">
        <f t="shared" si="158"/>
        <v>9525.9007179222626</v>
      </c>
      <c r="N287" s="14">
        <f t="shared" si="159"/>
        <v>3685.9358705536388</v>
      </c>
      <c r="O287" s="14">
        <f t="shared" si="160"/>
        <v>1782.7872193062994</v>
      </c>
      <c r="P287" s="33">
        <f t="shared" si="161"/>
        <v>0.95</v>
      </c>
      <c r="Q287" s="33">
        <f t="shared" si="162"/>
        <v>0.02</v>
      </c>
      <c r="R287" s="51">
        <f t="shared" si="163"/>
        <v>0</v>
      </c>
      <c r="S287" s="51">
        <f>APPLICANTS_PER_YEAR*($H287/Segments!$AH$2)*Q287</f>
        <v>2.4E-2</v>
      </c>
      <c r="T287" s="51">
        <f t="shared" si="164"/>
        <v>2.4E-2</v>
      </c>
      <c r="U287" s="14">
        <f t="shared" si="165"/>
        <v>9525.9007179222626</v>
      </c>
      <c r="V287" s="44">
        <f t="shared" si="166"/>
        <v>228.62161723013432</v>
      </c>
      <c r="W287" s="44">
        <f t="shared" si="167"/>
        <v>156.77982090870799</v>
      </c>
      <c r="X287" s="44">
        <f t="shared" si="168"/>
        <v>52.291242259550089</v>
      </c>
      <c r="Y287" s="14">
        <f t="shared" si="169"/>
        <v>1782.7872193062997</v>
      </c>
      <c r="Z287" s="14">
        <f t="shared" si="170"/>
        <v>6007.5601017845693</v>
      </c>
      <c r="AA287" s="14">
        <f t="shared" si="171"/>
        <v>9810.4277394599303</v>
      </c>
      <c r="AB287" s="14">
        <f t="shared" si="172"/>
        <v>3796.2721025271376</v>
      </c>
      <c r="AC287" s="14">
        <f t="shared" si="173"/>
        <v>2228.4840241328748</v>
      </c>
      <c r="AD287" s="33">
        <f t="shared" si="174"/>
        <v>0.95</v>
      </c>
      <c r="AE287" s="33">
        <f t="shared" si="175"/>
        <v>0.02</v>
      </c>
      <c r="AF287" s="51">
        <f t="shared" si="176"/>
        <v>2.7074999999999996</v>
      </c>
      <c r="AG287" s="51">
        <f>APPLICANTS_PER_YEAR*($H287/Segments!$AH$2)*AE287</f>
        <v>2.4E-2</v>
      </c>
      <c r="AH287" s="51">
        <f t="shared" si="177"/>
        <v>2.7314999999999996</v>
      </c>
      <c r="AI287" s="14">
        <f t="shared" si="178"/>
        <v>2295.101871164853</v>
      </c>
      <c r="AJ287" s="44">
        <f t="shared" si="179"/>
        <v>6269.0707610867958</v>
      </c>
      <c r="AK287" s="44">
        <f t="shared" si="180"/>
        <v>18378.808468187497</v>
      </c>
      <c r="AL287" s="44">
        <f t="shared" si="181"/>
        <v>1248.3251331465508</v>
      </c>
      <c r="AM287" s="14">
        <f t="shared" si="182"/>
        <v>8213.4515753470569</v>
      </c>
      <c r="AN287" s="14">
        <f t="shared" si="183"/>
        <v>6187.7869048381062</v>
      </c>
      <c r="AO287" s="14">
        <f t="shared" si="184"/>
        <v>10103.490571643728</v>
      </c>
      <c r="AP287" s="14">
        <f t="shared" si="185"/>
        <v>3909.9184062764261</v>
      </c>
      <c r="AQ287" s="14">
        <f t="shared" si="186"/>
        <v>10103.490571643728</v>
      </c>
      <c r="AR287" s="33">
        <f t="shared" si="187"/>
        <v>0.3</v>
      </c>
      <c r="AS287" s="33">
        <f t="shared" si="188"/>
        <v>0.02</v>
      </c>
      <c r="AT287" s="51">
        <f t="shared" si="189"/>
        <v>6.4799999999999988E-3</v>
      </c>
      <c r="AU287" s="51">
        <f>APPLICANTS_PER_YEAR*($H287/Segments!$AH$2)*AS287</f>
        <v>2.4E-2</v>
      </c>
      <c r="AV287" s="51">
        <f t="shared" si="190"/>
        <v>3.048E-2</v>
      </c>
      <c r="AW287" s="14">
        <f t="shared" si="191"/>
        <v>10103.490571643728</v>
      </c>
      <c r="AX287" s="44">
        <f t="shared" si="192"/>
        <v>307.95439262370081</v>
      </c>
      <c r="AY287" s="44">
        <f t="shared" si="193"/>
        <v>211.23619424260136</v>
      </c>
      <c r="AZ287" s="44">
        <f t="shared" si="194"/>
        <v>67.899912286060186</v>
      </c>
    </row>
    <row r="288" spans="1:52" ht="15" customHeight="1" x14ac:dyDescent="0.35">
      <c r="A288" s="59" t="str">
        <f>Segments!$A$268</f>
        <v>Greek</v>
      </c>
      <c r="B288" s="59" t="str">
        <f>Segments!$B$268</f>
        <v>Off 0-1mi</v>
      </c>
      <c r="C288" s="59" t="str">
        <f>Segments!$C$268</f>
        <v>No</v>
      </c>
      <c r="D288" s="59" t="str">
        <f>Segments!$D$268</f>
        <v>&lt;1.0</v>
      </c>
      <c r="E288" s="59" t="str">
        <f>Segments!$E$268</f>
        <v>Senior</v>
      </c>
      <c r="F288" s="59">
        <f>Segments!$F$268</f>
        <v>3</v>
      </c>
      <c r="G288" s="59" t="str">
        <f>Segments!$G$268</f>
        <v>Base</v>
      </c>
      <c r="H288" s="60">
        <f>Segments!$H$268</f>
        <v>1</v>
      </c>
      <c r="I288" s="26">
        <f>Segments!$Y$268</f>
        <v>5451.6418165142823</v>
      </c>
      <c r="J288" s="29">
        <v>3</v>
      </c>
      <c r="K288" s="14">
        <f t="shared" si="156"/>
        <v>1426.2297754450396</v>
      </c>
      <c r="L288" s="14">
        <f t="shared" si="157"/>
        <v>5451.6418165142823</v>
      </c>
      <c r="M288" s="14">
        <f t="shared" si="158"/>
        <v>8906.4612684146941</v>
      </c>
      <c r="N288" s="14">
        <f t="shared" si="159"/>
        <v>3564.0791594549401</v>
      </c>
      <c r="O288" s="14">
        <f t="shared" si="160"/>
        <v>1782.7872193062994</v>
      </c>
      <c r="P288" s="33">
        <f t="shared" si="161"/>
        <v>0.95</v>
      </c>
      <c r="Q288" s="33">
        <f t="shared" si="162"/>
        <v>0.02</v>
      </c>
      <c r="R288" s="51">
        <f t="shared" si="163"/>
        <v>0.95</v>
      </c>
      <c r="S288" s="51">
        <f>APPLICANTS_PER_YEAR*($H288/Segments!$AH$2)*Q288</f>
        <v>2.4E-2</v>
      </c>
      <c r="T288" s="51">
        <f t="shared" si="164"/>
        <v>0.97399999999999998</v>
      </c>
      <c r="U288" s="14">
        <f t="shared" si="165"/>
        <v>1958.319228729915</v>
      </c>
      <c r="V288" s="44">
        <f t="shared" si="166"/>
        <v>1907.4029287829371</v>
      </c>
      <c r="W288" s="44">
        <f t="shared" si="167"/>
        <v>5947.0870247991006</v>
      </c>
      <c r="X288" s="44">
        <f t="shared" si="168"/>
        <v>388.06058100544351</v>
      </c>
      <c r="Y288" s="14">
        <f t="shared" si="169"/>
        <v>9525.9007179222626</v>
      </c>
      <c r="Z288" s="14">
        <f t="shared" si="170"/>
        <v>5615.1910710097109</v>
      </c>
      <c r="AA288" s="14">
        <f t="shared" si="171"/>
        <v>9172.4051064671348</v>
      </c>
      <c r="AB288" s="14">
        <f t="shared" si="172"/>
        <v>3670.7514208328221</v>
      </c>
      <c r="AC288" s="14">
        <f t="shared" si="173"/>
        <v>9172.4051064671348</v>
      </c>
      <c r="AD288" s="33">
        <f t="shared" si="174"/>
        <v>0.3</v>
      </c>
      <c r="AE288" s="33">
        <f t="shared" si="175"/>
        <v>0.02</v>
      </c>
      <c r="AF288" s="51">
        <f t="shared" si="176"/>
        <v>7.1999999999999998E-3</v>
      </c>
      <c r="AG288" s="51">
        <f>APPLICANTS_PER_YEAR*($H288/Segments!$AH$2)*AE288</f>
        <v>2.4E-2</v>
      </c>
      <c r="AH288" s="51">
        <f t="shared" si="177"/>
        <v>3.1199999999999999E-2</v>
      </c>
      <c r="AI288" s="14">
        <f t="shared" si="178"/>
        <v>9172.4051064671348</v>
      </c>
      <c r="AJ288" s="44">
        <f t="shared" si="179"/>
        <v>286.17903932177461</v>
      </c>
      <c r="AK288" s="44">
        <f t="shared" si="180"/>
        <v>196.21723678536335</v>
      </c>
      <c r="AL288" s="44">
        <f t="shared" si="181"/>
        <v>63.016658721247801</v>
      </c>
      <c r="AM288" s="14">
        <f t="shared" si="182"/>
        <v>2295.101871164853</v>
      </c>
      <c r="AN288" s="14">
        <f t="shared" si="183"/>
        <v>5783.6468031400018</v>
      </c>
      <c r="AO288" s="14">
        <f t="shared" si="184"/>
        <v>9446.3272596611478</v>
      </c>
      <c r="AP288" s="14">
        <f t="shared" si="185"/>
        <v>3780.6238332571761</v>
      </c>
      <c r="AQ288" s="14">
        <f t="shared" si="186"/>
        <v>2868.8773389560665</v>
      </c>
      <c r="AR288" s="33">
        <f t="shared" si="187"/>
        <v>0.89558148793867165</v>
      </c>
      <c r="AS288" s="33">
        <f t="shared" si="188"/>
        <v>0.02</v>
      </c>
      <c r="AT288" s="51">
        <f t="shared" si="189"/>
        <v>2.4462808343044813</v>
      </c>
      <c r="AU288" s="51">
        <f>APPLICANTS_PER_YEAR*($H288/Segments!$AH$2)*AS288</f>
        <v>2.4E-2</v>
      </c>
      <c r="AV288" s="51">
        <f t="shared" si="190"/>
        <v>2.4702808343044813</v>
      </c>
      <c r="AW288" s="14">
        <f t="shared" si="191"/>
        <v>2932.7805178597587</v>
      </c>
      <c r="AX288" s="44">
        <f t="shared" si="192"/>
        <v>7244.791504490534</v>
      </c>
      <c r="AY288" s="44">
        <f t="shared" si="193"/>
        <v>16001.699672205108</v>
      </c>
      <c r="AZ288" s="44">
        <f t="shared" si="194"/>
        <v>1427.2061259329157</v>
      </c>
    </row>
    <row r="289" spans="1:52" ht="15" customHeight="1" x14ac:dyDescent="0.35">
      <c r="A289" s="59" t="str">
        <f>Segments!$A$269</f>
        <v>Greek</v>
      </c>
      <c r="B289" s="59" t="str">
        <f>Segments!$B$269</f>
        <v>Off 0-1mi</v>
      </c>
      <c r="C289" s="59" t="str">
        <f>Segments!$C$269</f>
        <v>No</v>
      </c>
      <c r="D289" s="59" t="str">
        <f>Segments!$D$269</f>
        <v>&lt;1.0</v>
      </c>
      <c r="E289" s="59" t="str">
        <f>Segments!$E$269</f>
        <v>Grad student</v>
      </c>
      <c r="F289" s="59">
        <f>Segments!$F$269</f>
        <v>3</v>
      </c>
      <c r="G289" s="59" t="str">
        <f>Segments!$G$269</f>
        <v>Grad</v>
      </c>
      <c r="H289" s="60">
        <f>Segments!$H$269</f>
        <v>0</v>
      </c>
      <c r="I289" s="26">
        <f>Segments!$Y$269</f>
        <v>6491.1632058086407</v>
      </c>
      <c r="J289" s="29">
        <v>4</v>
      </c>
      <c r="K289" s="14">
        <f t="shared" si="156"/>
        <v>1426.2297754450396</v>
      </c>
      <c r="L289" s="14">
        <f t="shared" si="157"/>
        <v>6491.1632058086407</v>
      </c>
      <c r="M289" s="14">
        <f t="shared" si="158"/>
        <v>10596.804088132498</v>
      </c>
      <c r="N289" s="14">
        <f t="shared" si="159"/>
        <v>3887.6056275106266</v>
      </c>
      <c r="O289" s="14">
        <f t="shared" si="160"/>
        <v>1782.7872193062994</v>
      </c>
      <c r="P289" s="33">
        <f t="shared" si="161"/>
        <v>0.95</v>
      </c>
      <c r="Q289" s="33">
        <f t="shared" si="162"/>
        <v>0.02</v>
      </c>
      <c r="R289" s="51">
        <f t="shared" si="163"/>
        <v>0</v>
      </c>
      <c r="S289" s="51">
        <f>APPLICANTS_PER_YEAR*($H289/Segments!$AH$2)*Q289</f>
        <v>0</v>
      </c>
      <c r="T289" s="51">
        <f t="shared" si="164"/>
        <v>0</v>
      </c>
      <c r="U289" s="14">
        <f t="shared" si="165"/>
        <v>10596.804088132498</v>
      </c>
      <c r="V289" s="44">
        <f t="shared" si="166"/>
        <v>0</v>
      </c>
      <c r="W289" s="44">
        <f t="shared" si="167"/>
        <v>0</v>
      </c>
      <c r="X289" s="44">
        <f t="shared" si="168"/>
        <v>0</v>
      </c>
      <c r="Y289" s="14">
        <f t="shared" si="169"/>
        <v>10596.804088132498</v>
      </c>
      <c r="Z289" s="14">
        <f t="shared" si="170"/>
        <v>6685.8981019828998</v>
      </c>
      <c r="AA289" s="14">
        <f t="shared" si="171"/>
        <v>10913.458210776473</v>
      </c>
      <c r="AB289" s="14">
        <f t="shared" si="172"/>
        <v>4004.0044986092466</v>
      </c>
      <c r="AC289" s="14">
        <f t="shared" si="173"/>
        <v>10913.458210776473</v>
      </c>
      <c r="AD289" s="33">
        <f t="shared" si="174"/>
        <v>0.3</v>
      </c>
      <c r="AE289" s="33">
        <f t="shared" si="175"/>
        <v>0.02</v>
      </c>
      <c r="AF289" s="51">
        <f t="shared" si="176"/>
        <v>0</v>
      </c>
      <c r="AG289" s="51">
        <f>APPLICANTS_PER_YEAR*($H289/Segments!$AH$2)*AE289</f>
        <v>0</v>
      </c>
      <c r="AH289" s="51">
        <f t="shared" si="177"/>
        <v>0</v>
      </c>
      <c r="AI289" s="14">
        <f t="shared" si="178"/>
        <v>10913.458210776473</v>
      </c>
      <c r="AJ289" s="44">
        <f t="shared" si="179"/>
        <v>0</v>
      </c>
      <c r="AK289" s="44">
        <f t="shared" si="180"/>
        <v>0</v>
      </c>
      <c r="AL289" s="44">
        <f t="shared" si="181"/>
        <v>0</v>
      </c>
      <c r="AM289" s="14">
        <f t="shared" si="182"/>
        <v>10913.458210776473</v>
      </c>
      <c r="AN289" s="14">
        <f t="shared" si="183"/>
        <v>6886.4750450423862</v>
      </c>
      <c r="AO289" s="14">
        <f t="shared" si="184"/>
        <v>11239.611957099765</v>
      </c>
      <c r="AP289" s="14">
        <f t="shared" si="185"/>
        <v>4123.8953229001227</v>
      </c>
      <c r="AQ289" s="14">
        <f t="shared" si="186"/>
        <v>11239.611957099765</v>
      </c>
      <c r="AR289" s="33">
        <f t="shared" si="187"/>
        <v>0.3</v>
      </c>
      <c r="AS289" s="33">
        <f t="shared" si="188"/>
        <v>0.02</v>
      </c>
      <c r="AT289" s="51">
        <f t="shared" si="189"/>
        <v>0</v>
      </c>
      <c r="AU289" s="51">
        <f>APPLICANTS_PER_YEAR*($H289/Segments!$AH$2)*AS289</f>
        <v>0</v>
      </c>
      <c r="AV289" s="51">
        <f t="shared" si="190"/>
        <v>0</v>
      </c>
      <c r="AW289" s="14">
        <f t="shared" si="191"/>
        <v>11239.611957099765</v>
      </c>
      <c r="AX289" s="44">
        <f t="shared" si="192"/>
        <v>0</v>
      </c>
      <c r="AY289" s="44">
        <f t="shared" si="193"/>
        <v>0</v>
      </c>
      <c r="AZ289" s="44">
        <f t="shared" si="194"/>
        <v>0</v>
      </c>
    </row>
    <row r="290" spans="1:52" ht="15" customHeight="1" x14ac:dyDescent="0.35">
      <c r="A290" s="61" t="str">
        <f>Segments!$A$270</f>
        <v>Greek</v>
      </c>
      <c r="B290" s="61" t="str">
        <f>Segments!$B$270</f>
        <v>Off 0-1mi</v>
      </c>
      <c r="C290" s="61" t="str">
        <f>Segments!$C$270</f>
        <v>No</v>
      </c>
      <c r="D290" s="61" t="str">
        <f>Segments!$D$270</f>
        <v>1.0-2.0</v>
      </c>
      <c r="E290" s="61" t="str">
        <f>Segments!$E$270</f>
        <v>Freshman</v>
      </c>
      <c r="F290" s="61">
        <f>Segments!$F$270</f>
        <v>1</v>
      </c>
      <c r="G290" s="61" t="str">
        <f>Segments!$G$270</f>
        <v>Base</v>
      </c>
      <c r="H290" s="62">
        <f>Segments!$H$270</f>
        <v>5</v>
      </c>
      <c r="I290" s="63">
        <f>Segments!$Y$270</f>
        <v>4472.8902312734817</v>
      </c>
      <c r="J290" s="42">
        <v>0</v>
      </c>
      <c r="K290" s="40">
        <f t="shared" si="156"/>
        <v>7314.9348876807189</v>
      </c>
      <c r="L290" s="40">
        <f t="shared" si="157"/>
        <v>4472.8902312734817</v>
      </c>
      <c r="M290" s="40">
        <f t="shared" si="158"/>
        <v>7314.9348876807189</v>
      </c>
      <c r="N290" s="40">
        <f t="shared" si="159"/>
        <v>3229.9811055564951</v>
      </c>
      <c r="O290" s="40">
        <f t="shared" si="160"/>
        <v>7314.9348876807189</v>
      </c>
      <c r="P290" s="41">
        <f t="shared" si="161"/>
        <v>0.3</v>
      </c>
      <c r="Q290" s="41">
        <f t="shared" si="162"/>
        <v>0.02</v>
      </c>
      <c r="R290" s="64">
        <f t="shared" si="163"/>
        <v>0</v>
      </c>
      <c r="S290" s="64">
        <f>APPLICANTS_PER_YEAR*($H290/Segments!$AH$2)*Q290</f>
        <v>0.12</v>
      </c>
      <c r="T290" s="64">
        <f t="shared" si="164"/>
        <v>0.12</v>
      </c>
      <c r="U290" s="40">
        <f t="shared" si="165"/>
        <v>7314.9348876807189</v>
      </c>
      <c r="V290" s="65">
        <f t="shared" si="166"/>
        <v>877.79218652168629</v>
      </c>
      <c r="W290" s="65">
        <f t="shared" si="167"/>
        <v>601.15644708315597</v>
      </c>
      <c r="X290" s="65">
        <f t="shared" si="168"/>
        <v>202.02544978085774</v>
      </c>
      <c r="Y290" s="40">
        <f t="shared" si="169"/>
        <v>7533.1329343111402</v>
      </c>
      <c r="Z290" s="40">
        <f t="shared" si="170"/>
        <v>4607.076938211686</v>
      </c>
      <c r="AA290" s="40">
        <f t="shared" si="171"/>
        <v>7533.1329343111402</v>
      </c>
      <c r="AB290" s="40">
        <f t="shared" si="172"/>
        <v>3326.6045524076371</v>
      </c>
      <c r="AC290" s="40">
        <f t="shared" si="173"/>
        <v>7533.1329343111402</v>
      </c>
      <c r="AD290" s="41">
        <f t="shared" si="174"/>
        <v>0.3</v>
      </c>
      <c r="AE290" s="41">
        <f t="shared" si="175"/>
        <v>0.02</v>
      </c>
      <c r="AF290" s="64">
        <f t="shared" si="176"/>
        <v>0</v>
      </c>
      <c r="AG290" s="64">
        <f>APPLICANTS_PER_YEAR*($H290/Segments!$AH$2)*AE290</f>
        <v>0.12</v>
      </c>
      <c r="AH290" s="64">
        <f t="shared" si="177"/>
        <v>0.12</v>
      </c>
      <c r="AI290" s="40">
        <f t="shared" si="178"/>
        <v>7533.1329343111402</v>
      </c>
      <c r="AJ290" s="65">
        <f t="shared" si="179"/>
        <v>903.97595211733676</v>
      </c>
      <c r="AK290" s="65">
        <f t="shared" si="180"/>
        <v>619.19114049565064</v>
      </c>
      <c r="AL290" s="65">
        <f t="shared" si="181"/>
        <v>207.89061327428345</v>
      </c>
      <c r="AM290" s="40">
        <f t="shared" si="182"/>
        <v>7757.8769223404743</v>
      </c>
      <c r="AN290" s="40">
        <f t="shared" si="183"/>
        <v>4745.2892463580365</v>
      </c>
      <c r="AO290" s="40">
        <f t="shared" si="184"/>
        <v>7757.8769223404743</v>
      </c>
      <c r="AP290" s="40">
        <f t="shared" si="185"/>
        <v>3426.1266800991898</v>
      </c>
      <c r="AQ290" s="40">
        <f t="shared" si="186"/>
        <v>7757.8769223404743</v>
      </c>
      <c r="AR290" s="41">
        <f t="shared" si="187"/>
        <v>0.3</v>
      </c>
      <c r="AS290" s="41">
        <f t="shared" si="188"/>
        <v>0.02</v>
      </c>
      <c r="AT290" s="64">
        <f t="shared" si="189"/>
        <v>0</v>
      </c>
      <c r="AU290" s="64">
        <f>APPLICANTS_PER_YEAR*($H290/Segments!$AH$2)*AS290</f>
        <v>0.12</v>
      </c>
      <c r="AV290" s="64">
        <f t="shared" si="190"/>
        <v>0.12</v>
      </c>
      <c r="AW290" s="40">
        <f t="shared" si="191"/>
        <v>7757.8769223404743</v>
      </c>
      <c r="AX290" s="65">
        <f t="shared" si="192"/>
        <v>930.94523068085687</v>
      </c>
      <c r="AY290" s="65">
        <f t="shared" si="193"/>
        <v>637.76687471052014</v>
      </c>
      <c r="AZ290" s="65">
        <f t="shared" si="194"/>
        <v>213.93173167251194</v>
      </c>
    </row>
    <row r="291" spans="1:52" ht="15" customHeight="1" x14ac:dyDescent="0.35">
      <c r="A291" s="61" t="str">
        <f>Segments!$A$271</f>
        <v>Greek</v>
      </c>
      <c r="B291" s="61" t="str">
        <f>Segments!$B$271</f>
        <v>Off 0-1mi</v>
      </c>
      <c r="C291" s="61" t="str">
        <f>Segments!$C$271</f>
        <v>No</v>
      </c>
      <c r="D291" s="61" t="str">
        <f>Segments!$D$271</f>
        <v>1.0-2.0</v>
      </c>
      <c r="E291" s="61" t="str">
        <f>Segments!$E$271</f>
        <v>Sophomore</v>
      </c>
      <c r="F291" s="61">
        <f>Segments!$F$271</f>
        <v>1</v>
      </c>
      <c r="G291" s="61" t="str">
        <f>Segments!$G$271</f>
        <v>Sophomore</v>
      </c>
      <c r="H291" s="62">
        <f>Segments!$H$271</f>
        <v>3</v>
      </c>
      <c r="I291" s="63">
        <f>Segments!$Y$271</f>
        <v>4427.3841321672771</v>
      </c>
      <c r="J291" s="42">
        <v>1</v>
      </c>
      <c r="K291" s="40">
        <f t="shared" si="156"/>
        <v>1426.2297754450396</v>
      </c>
      <c r="L291" s="40">
        <f t="shared" si="157"/>
        <v>4427.3841321672771</v>
      </c>
      <c r="M291" s="40">
        <f t="shared" si="158"/>
        <v>7240.9384228944054</v>
      </c>
      <c r="N291" s="40">
        <f t="shared" si="159"/>
        <v>3213.6026482588113</v>
      </c>
      <c r="O291" s="40">
        <f t="shared" si="160"/>
        <v>1782.7872193062994</v>
      </c>
      <c r="P291" s="41">
        <f t="shared" si="161"/>
        <v>0.95</v>
      </c>
      <c r="Q291" s="41">
        <f t="shared" si="162"/>
        <v>0.02</v>
      </c>
      <c r="R291" s="64">
        <f t="shared" si="163"/>
        <v>4.75</v>
      </c>
      <c r="S291" s="64">
        <f>APPLICANTS_PER_YEAR*($H291/Segments!$AH$2)*Q291</f>
        <v>7.1999999999999995E-2</v>
      </c>
      <c r="T291" s="64">
        <f t="shared" si="164"/>
        <v>4.8220000000000001</v>
      </c>
      <c r="U291" s="40">
        <f t="shared" si="165"/>
        <v>1864.2859515042139</v>
      </c>
      <c r="V291" s="65">
        <f t="shared" si="166"/>
        <v>8989.5868581533196</v>
      </c>
      <c r="W291" s="65">
        <f t="shared" si="167"/>
        <v>23910.707839547886</v>
      </c>
      <c r="X291" s="65">
        <f t="shared" si="168"/>
        <v>1815.5190810166712</v>
      </c>
      <c r="Y291" s="40">
        <f t="shared" si="169"/>
        <v>7314.9348876807189</v>
      </c>
      <c r="Z291" s="40">
        <f t="shared" si="170"/>
        <v>4560.2056561322952</v>
      </c>
      <c r="AA291" s="40">
        <f t="shared" si="171"/>
        <v>7456.9165755812373</v>
      </c>
      <c r="AB291" s="40">
        <f t="shared" si="172"/>
        <v>3309.7333346807154</v>
      </c>
      <c r="AC291" s="40">
        <f t="shared" si="173"/>
        <v>7456.9165755812373</v>
      </c>
      <c r="AD291" s="41">
        <f t="shared" si="174"/>
        <v>0.3</v>
      </c>
      <c r="AE291" s="41">
        <f t="shared" si="175"/>
        <v>0.02</v>
      </c>
      <c r="AF291" s="64">
        <f t="shared" si="176"/>
        <v>3.5999999999999997E-2</v>
      </c>
      <c r="AG291" s="64">
        <f>APPLICANTS_PER_YEAR*($H291/Segments!$AH$2)*AE291</f>
        <v>7.1999999999999995E-2</v>
      </c>
      <c r="AH291" s="64">
        <f t="shared" si="177"/>
        <v>0.10799999999999998</v>
      </c>
      <c r="AI291" s="40">
        <f t="shared" si="178"/>
        <v>7456.9165755812382</v>
      </c>
      <c r="AJ291" s="65">
        <f t="shared" si="179"/>
        <v>805.34699016277364</v>
      </c>
      <c r="AK291" s="65">
        <f t="shared" si="180"/>
        <v>551.60247616576237</v>
      </c>
      <c r="AL291" s="65">
        <f t="shared" si="181"/>
        <v>174.96201091122893</v>
      </c>
      <c r="AM291" s="40">
        <f t="shared" si="182"/>
        <v>7533.1329343111402</v>
      </c>
      <c r="AN291" s="40">
        <f t="shared" si="183"/>
        <v>4697.0118258162638</v>
      </c>
      <c r="AO291" s="40">
        <f t="shared" si="184"/>
        <v>7679.3740728486737</v>
      </c>
      <c r="AP291" s="40">
        <f t="shared" si="185"/>
        <v>3408.7479187833173</v>
      </c>
      <c r="AQ291" s="40">
        <f t="shared" si="186"/>
        <v>7679.3740728486737</v>
      </c>
      <c r="AR291" s="41">
        <f t="shared" si="187"/>
        <v>0.3</v>
      </c>
      <c r="AS291" s="41">
        <f t="shared" si="188"/>
        <v>0.02</v>
      </c>
      <c r="AT291" s="64">
        <f t="shared" si="189"/>
        <v>3.5999999999999997E-2</v>
      </c>
      <c r="AU291" s="64">
        <f>APPLICANTS_PER_YEAR*($H291/Segments!$AH$2)*AS291</f>
        <v>7.1999999999999995E-2</v>
      </c>
      <c r="AV291" s="64">
        <f t="shared" si="190"/>
        <v>0.10799999999999998</v>
      </c>
      <c r="AW291" s="40">
        <f t="shared" si="191"/>
        <v>7679.3740728486737</v>
      </c>
      <c r="AX291" s="65">
        <f t="shared" si="192"/>
        <v>829.37239986765667</v>
      </c>
      <c r="AY291" s="65">
        <f t="shared" si="193"/>
        <v>568.15055045073518</v>
      </c>
      <c r="AZ291" s="65">
        <f t="shared" si="194"/>
        <v>180.06340623856576</v>
      </c>
    </row>
    <row r="292" spans="1:52" ht="15" customHeight="1" x14ac:dyDescent="0.35">
      <c r="A292" s="61" t="str">
        <f>Segments!$A$272</f>
        <v>Greek</v>
      </c>
      <c r="B292" s="61" t="str">
        <f>Segments!$B$272</f>
        <v>Off 0-1mi</v>
      </c>
      <c r="C292" s="61" t="str">
        <f>Segments!$C$272</f>
        <v>No</v>
      </c>
      <c r="D292" s="61" t="str">
        <f>Segments!$D$272</f>
        <v>1.0-2.0</v>
      </c>
      <c r="E292" s="61" t="str">
        <f>Segments!$E$272</f>
        <v>Junior</v>
      </c>
      <c r="F292" s="61">
        <f>Segments!$F$272</f>
        <v>2</v>
      </c>
      <c r="G292" s="61" t="str">
        <f>Segments!$G$272</f>
        <v>Base</v>
      </c>
      <c r="H292" s="62">
        <f>Segments!$H$272</f>
        <v>1</v>
      </c>
      <c r="I292" s="63">
        <f>Segments!$Y$272</f>
        <v>5292.6084384179494</v>
      </c>
      <c r="J292" s="42">
        <v>2</v>
      </c>
      <c r="K292" s="40">
        <f t="shared" si="156"/>
        <v>1426.2297754450396</v>
      </c>
      <c r="L292" s="40">
        <f t="shared" si="157"/>
        <v>5292.6084384179494</v>
      </c>
      <c r="M292" s="40">
        <f t="shared" si="158"/>
        <v>8647.8605974433322</v>
      </c>
      <c r="N292" s="40">
        <f t="shared" si="159"/>
        <v>3511.9561896429759</v>
      </c>
      <c r="O292" s="40">
        <f t="shared" si="160"/>
        <v>1782.7872193062994</v>
      </c>
      <c r="P292" s="41">
        <f t="shared" si="161"/>
        <v>0.95</v>
      </c>
      <c r="Q292" s="41">
        <f t="shared" si="162"/>
        <v>0.02</v>
      </c>
      <c r="R292" s="64">
        <f t="shared" si="163"/>
        <v>2.8499999999999996</v>
      </c>
      <c r="S292" s="64">
        <f>APPLICANTS_PER_YEAR*($H292/Segments!$AH$2)*Q292</f>
        <v>2.4E-2</v>
      </c>
      <c r="T292" s="64">
        <f t="shared" si="164"/>
        <v>2.8739999999999997</v>
      </c>
      <c r="U292" s="40">
        <f t="shared" si="165"/>
        <v>1840.1155982469011</v>
      </c>
      <c r="V292" s="65">
        <f t="shared" si="166"/>
        <v>5288.4922293615928</v>
      </c>
      <c r="W292" s="65">
        <f t="shared" si="167"/>
        <v>17036.271450254768</v>
      </c>
      <c r="X292" s="65">
        <f t="shared" si="168"/>
        <v>1064.8692342511933</v>
      </c>
      <c r="Y292" s="40">
        <f t="shared" si="169"/>
        <v>1864.2859515042139</v>
      </c>
      <c r="Z292" s="40">
        <f t="shared" si="170"/>
        <v>5451.3866915704884</v>
      </c>
      <c r="AA292" s="40">
        <f t="shared" si="171"/>
        <v>8906.0464153666344</v>
      </c>
      <c r="AB292" s="40">
        <f t="shared" si="172"/>
        <v>3617.0610495904266</v>
      </c>
      <c r="AC292" s="40">
        <f t="shared" si="173"/>
        <v>2330.3574393802674</v>
      </c>
      <c r="AD292" s="41">
        <f t="shared" si="174"/>
        <v>0.95</v>
      </c>
      <c r="AE292" s="41">
        <f t="shared" si="175"/>
        <v>0.02</v>
      </c>
      <c r="AF292" s="64">
        <f t="shared" si="176"/>
        <v>4.5808999999999997</v>
      </c>
      <c r="AG292" s="64">
        <f>APPLICANTS_PER_YEAR*($H292/Segments!$AH$2)*AE292</f>
        <v>2.4E-2</v>
      </c>
      <c r="AH292" s="64">
        <f t="shared" si="177"/>
        <v>4.6048999999999998</v>
      </c>
      <c r="AI292" s="40">
        <f t="shared" si="178"/>
        <v>2364.6288753340718</v>
      </c>
      <c r="AJ292" s="65">
        <f t="shared" si="179"/>
        <v>10888.879508025866</v>
      </c>
      <c r="AK292" s="65">
        <f t="shared" si="180"/>
        <v>28115.461445134497</v>
      </c>
      <c r="AL292" s="65">
        <f t="shared" si="181"/>
        <v>2158.1773060057963</v>
      </c>
      <c r="AM292" s="40">
        <f t="shared" si="182"/>
        <v>7456.9165755812382</v>
      </c>
      <c r="AN292" s="40">
        <f t="shared" si="183"/>
        <v>5614.9282923176024</v>
      </c>
      <c r="AO292" s="40">
        <f t="shared" si="184"/>
        <v>9171.9778078276322</v>
      </c>
      <c r="AP292" s="40">
        <f t="shared" si="185"/>
        <v>3725.3190377823889</v>
      </c>
      <c r="AQ292" s="40">
        <f t="shared" si="186"/>
        <v>9171.9778078276322</v>
      </c>
      <c r="AR292" s="41">
        <f t="shared" si="187"/>
        <v>0.3</v>
      </c>
      <c r="AS292" s="41">
        <f t="shared" si="188"/>
        <v>0.02</v>
      </c>
      <c r="AT292" s="64">
        <f t="shared" si="189"/>
        <v>3.2399999999999991E-2</v>
      </c>
      <c r="AU292" s="64">
        <f>APPLICANTS_PER_YEAR*($H292/Segments!$AH$2)*AS292</f>
        <v>2.4E-2</v>
      </c>
      <c r="AV292" s="64">
        <f t="shared" si="190"/>
        <v>5.6399999999999992E-2</v>
      </c>
      <c r="AW292" s="40">
        <f t="shared" si="191"/>
        <v>9171.9778078276322</v>
      </c>
      <c r="AX292" s="65">
        <f t="shared" si="192"/>
        <v>517.2995483614784</v>
      </c>
      <c r="AY292" s="65">
        <f t="shared" si="193"/>
        <v>354.6837903691183</v>
      </c>
      <c r="AZ292" s="65">
        <f t="shared" si="194"/>
        <v>107.20207599889463</v>
      </c>
    </row>
    <row r="293" spans="1:52" ht="15" customHeight="1" x14ac:dyDescent="0.35">
      <c r="A293" s="61" t="str">
        <f>Segments!$A$273</f>
        <v>Greek</v>
      </c>
      <c r="B293" s="61" t="str">
        <f>Segments!$B$273</f>
        <v>Off 0-1mi</v>
      </c>
      <c r="C293" s="61" t="str">
        <f>Segments!$C$273</f>
        <v>No</v>
      </c>
      <c r="D293" s="61" t="str">
        <f>Segments!$D$273</f>
        <v>1.0-2.0</v>
      </c>
      <c r="E293" s="61" t="str">
        <f>Segments!$E$273</f>
        <v>Senior</v>
      </c>
      <c r="F293" s="61">
        <f>Segments!$F$273</f>
        <v>3</v>
      </c>
      <c r="G293" s="61" t="str">
        <f>Segments!$G$273</f>
        <v>Base</v>
      </c>
      <c r="H293" s="62">
        <f>Segments!$H$273</f>
        <v>4</v>
      </c>
      <c r="I293" s="63">
        <f>Segments!$Y$273</f>
        <v>4946.934719292608</v>
      </c>
      <c r="J293" s="42">
        <v>3</v>
      </c>
      <c r="K293" s="40">
        <f t="shared" si="156"/>
        <v>1426.2297754450396</v>
      </c>
      <c r="L293" s="40">
        <f t="shared" si="157"/>
        <v>4946.934719292608</v>
      </c>
      <c r="M293" s="40">
        <f t="shared" si="158"/>
        <v>8085.7681815428723</v>
      </c>
      <c r="N293" s="40">
        <f t="shared" si="159"/>
        <v>3395.9039058640246</v>
      </c>
      <c r="O293" s="40">
        <f t="shared" si="160"/>
        <v>1782.7872193062994</v>
      </c>
      <c r="P293" s="41">
        <f t="shared" si="161"/>
        <v>0.95</v>
      </c>
      <c r="Q293" s="41">
        <f t="shared" si="162"/>
        <v>0.02</v>
      </c>
      <c r="R293" s="64">
        <f t="shared" si="163"/>
        <v>0.95</v>
      </c>
      <c r="S293" s="64">
        <f>APPLICANTS_PER_YEAR*($H293/Segments!$AH$2)*Q293</f>
        <v>9.6000000000000002E-2</v>
      </c>
      <c r="T293" s="64">
        <f t="shared" si="164"/>
        <v>1.046</v>
      </c>
      <c r="U293" s="40">
        <f t="shared" si="165"/>
        <v>2361.2634835268645</v>
      </c>
      <c r="V293" s="65">
        <f t="shared" si="166"/>
        <v>2469.8816037691004</v>
      </c>
      <c r="W293" s="65">
        <f t="shared" si="167"/>
        <v>5795.4329623456761</v>
      </c>
      <c r="X293" s="65">
        <f t="shared" si="168"/>
        <v>517.2958042023439</v>
      </c>
      <c r="Y293" s="40">
        <f t="shared" si="169"/>
        <v>1840.1155982469011</v>
      </c>
      <c r="Z293" s="40">
        <f t="shared" si="170"/>
        <v>5095.3427608713864</v>
      </c>
      <c r="AA293" s="40">
        <f t="shared" si="171"/>
        <v>8327.0912269891578</v>
      </c>
      <c r="AB293" s="40">
        <f t="shared" si="172"/>
        <v>3497.5185223673197</v>
      </c>
      <c r="AC293" s="40">
        <f t="shared" si="173"/>
        <v>2300.1444978086265</v>
      </c>
      <c r="AD293" s="41">
        <f t="shared" si="174"/>
        <v>0.94617479391477866</v>
      </c>
      <c r="AE293" s="41">
        <f t="shared" si="175"/>
        <v>0.02</v>
      </c>
      <c r="AF293" s="64">
        <f t="shared" si="176"/>
        <v>2.7193063577110737</v>
      </c>
      <c r="AG293" s="64">
        <f>APPLICANTS_PER_YEAR*($H293/Segments!$AH$2)*AE293</f>
        <v>9.6000000000000002E-2</v>
      </c>
      <c r="AH293" s="64">
        <f t="shared" si="177"/>
        <v>2.8153063577110737</v>
      </c>
      <c r="AI293" s="40">
        <f t="shared" si="178"/>
        <v>2505.6592136109016</v>
      </c>
      <c r="AJ293" s="65">
        <f t="shared" si="179"/>
        <v>7054.1983143361012</v>
      </c>
      <c r="AK293" s="65">
        <f t="shared" si="180"/>
        <v>16066.344973726109</v>
      </c>
      <c r="AL293" s="65">
        <f t="shared" si="181"/>
        <v>1419.9286350864284</v>
      </c>
      <c r="AM293" s="40">
        <f t="shared" si="182"/>
        <v>2364.6288753340718</v>
      </c>
      <c r="AN293" s="40">
        <f t="shared" si="183"/>
        <v>5248.2030436975274</v>
      </c>
      <c r="AO293" s="40">
        <f t="shared" si="184"/>
        <v>8575.6539637988317</v>
      </c>
      <c r="AP293" s="40">
        <f t="shared" si="185"/>
        <v>3602.181557949646</v>
      </c>
      <c r="AQ293" s="40">
        <f t="shared" si="186"/>
        <v>2955.7860941675899</v>
      </c>
      <c r="AR293" s="41">
        <f t="shared" si="187"/>
        <v>0.86472277679279208</v>
      </c>
      <c r="AS293" s="41">
        <f t="shared" si="188"/>
        <v>0.02</v>
      </c>
      <c r="AT293" s="64">
        <f t="shared" si="189"/>
        <v>3.981961914853128</v>
      </c>
      <c r="AU293" s="64">
        <f>APPLICANTS_PER_YEAR*($H293/Segments!$AH$2)*AS293</f>
        <v>9.6000000000000002E-2</v>
      </c>
      <c r="AV293" s="64">
        <f t="shared" si="190"/>
        <v>4.0779619148531276</v>
      </c>
      <c r="AW293" s="40">
        <f t="shared" si="191"/>
        <v>3088.0843663803726</v>
      </c>
      <c r="AX293" s="65">
        <f t="shared" si="192"/>
        <v>12593.090435952512</v>
      </c>
      <c r="AY293" s="65">
        <f t="shared" si="193"/>
        <v>23970.208789648557</v>
      </c>
      <c r="AZ293" s="65">
        <f t="shared" si="194"/>
        <v>2492.8675280104517</v>
      </c>
    </row>
    <row r="294" spans="1:52" ht="15" customHeight="1" x14ac:dyDescent="0.35">
      <c r="A294" s="61" t="str">
        <f>Segments!$A$274</f>
        <v>Greek</v>
      </c>
      <c r="B294" s="61" t="str">
        <f>Segments!$B$274</f>
        <v>Off 0-1mi</v>
      </c>
      <c r="C294" s="61" t="str">
        <f>Segments!$C$274</f>
        <v>No</v>
      </c>
      <c r="D294" s="61" t="str">
        <f>Segments!$D$274</f>
        <v>1.0-2.0</v>
      </c>
      <c r="E294" s="61" t="str">
        <f>Segments!$E$274</f>
        <v>Grad student</v>
      </c>
      <c r="F294" s="61">
        <f>Segments!$F$274</f>
        <v>3</v>
      </c>
      <c r="G294" s="61" t="str">
        <f>Segments!$G$274</f>
        <v>Grad</v>
      </c>
      <c r="H294" s="62">
        <f>Segments!$H$274</f>
        <v>0</v>
      </c>
      <c r="I294" s="63">
        <f>Segments!$Y$274</f>
        <v>5890.2183437908088</v>
      </c>
      <c r="J294" s="42">
        <v>4</v>
      </c>
      <c r="K294" s="40">
        <f t="shared" si="156"/>
        <v>1426.2297754450396</v>
      </c>
      <c r="L294" s="40">
        <f t="shared" si="157"/>
        <v>5890.2183437908088</v>
      </c>
      <c r="M294" s="40">
        <f t="shared" si="158"/>
        <v>9619.6208930395242</v>
      </c>
      <c r="N294" s="40">
        <f t="shared" si="159"/>
        <v>3704.0234537791703</v>
      </c>
      <c r="O294" s="40">
        <f t="shared" si="160"/>
        <v>1782.7872193062994</v>
      </c>
      <c r="P294" s="41">
        <f t="shared" si="161"/>
        <v>0.95</v>
      </c>
      <c r="Q294" s="41">
        <f t="shared" si="162"/>
        <v>0.02</v>
      </c>
      <c r="R294" s="64">
        <f t="shared" si="163"/>
        <v>0</v>
      </c>
      <c r="S294" s="64">
        <f>APPLICANTS_PER_YEAR*($H294/Segments!$AH$2)*Q294</f>
        <v>0</v>
      </c>
      <c r="T294" s="64">
        <f t="shared" si="164"/>
        <v>0</v>
      </c>
      <c r="U294" s="40">
        <f t="shared" si="165"/>
        <v>9619.6208930395242</v>
      </c>
      <c r="V294" s="65">
        <f t="shared" si="166"/>
        <v>0</v>
      </c>
      <c r="W294" s="65">
        <f t="shared" si="167"/>
        <v>0</v>
      </c>
      <c r="X294" s="65">
        <f t="shared" si="168"/>
        <v>0</v>
      </c>
      <c r="Y294" s="40">
        <f t="shared" si="169"/>
        <v>9619.6208930395242</v>
      </c>
      <c r="Z294" s="40">
        <f t="shared" si="170"/>
        <v>6066.9248941045335</v>
      </c>
      <c r="AA294" s="40">
        <f t="shared" si="171"/>
        <v>9906.9595198307106</v>
      </c>
      <c r="AB294" s="40">
        <f t="shared" si="172"/>
        <v>3814.9034943037009</v>
      </c>
      <c r="AC294" s="40">
        <f t="shared" si="173"/>
        <v>9906.9595198307106</v>
      </c>
      <c r="AD294" s="41">
        <f t="shared" si="174"/>
        <v>0.3</v>
      </c>
      <c r="AE294" s="41">
        <f t="shared" si="175"/>
        <v>0.02</v>
      </c>
      <c r="AF294" s="64">
        <f t="shared" si="176"/>
        <v>0</v>
      </c>
      <c r="AG294" s="64">
        <f>APPLICANTS_PER_YEAR*($H294/Segments!$AH$2)*AE294</f>
        <v>0</v>
      </c>
      <c r="AH294" s="64">
        <f t="shared" si="177"/>
        <v>0</v>
      </c>
      <c r="AI294" s="40">
        <f t="shared" si="178"/>
        <v>9906.9595198307106</v>
      </c>
      <c r="AJ294" s="65">
        <f t="shared" si="179"/>
        <v>0</v>
      </c>
      <c r="AK294" s="65">
        <f t="shared" si="180"/>
        <v>0</v>
      </c>
      <c r="AL294" s="65">
        <f t="shared" si="181"/>
        <v>0</v>
      </c>
      <c r="AM294" s="40">
        <f t="shared" si="182"/>
        <v>9906.9595198307106</v>
      </c>
      <c r="AN294" s="40">
        <f t="shared" si="183"/>
        <v>6248.9326409276691</v>
      </c>
      <c r="AO294" s="40">
        <f t="shared" si="184"/>
        <v>10202.91830542563</v>
      </c>
      <c r="AP294" s="40">
        <f t="shared" si="185"/>
        <v>3929.109921081927</v>
      </c>
      <c r="AQ294" s="40">
        <f t="shared" si="186"/>
        <v>10202.91830542563</v>
      </c>
      <c r="AR294" s="41">
        <f t="shared" si="187"/>
        <v>0.3</v>
      </c>
      <c r="AS294" s="41">
        <f t="shared" si="188"/>
        <v>0.02</v>
      </c>
      <c r="AT294" s="64">
        <f t="shared" si="189"/>
        <v>0</v>
      </c>
      <c r="AU294" s="64">
        <f>APPLICANTS_PER_YEAR*($H294/Segments!$AH$2)*AS294</f>
        <v>0</v>
      </c>
      <c r="AV294" s="64">
        <f t="shared" si="190"/>
        <v>0</v>
      </c>
      <c r="AW294" s="40">
        <f t="shared" si="191"/>
        <v>10202.91830542563</v>
      </c>
      <c r="AX294" s="65">
        <f t="shared" si="192"/>
        <v>0</v>
      </c>
      <c r="AY294" s="65">
        <f t="shared" si="193"/>
        <v>0</v>
      </c>
      <c r="AZ294" s="65">
        <f t="shared" si="194"/>
        <v>0</v>
      </c>
    </row>
    <row r="295" spans="1:52" ht="15" customHeight="1" x14ac:dyDescent="0.35">
      <c r="A295" s="59" t="str">
        <f>Segments!$A$275</f>
        <v>Greek</v>
      </c>
      <c r="B295" s="59" t="str">
        <f>Segments!$B$275</f>
        <v>Off 0-1mi</v>
      </c>
      <c r="C295" s="59" t="str">
        <f>Segments!$C$275</f>
        <v>No</v>
      </c>
      <c r="D295" s="59" t="str">
        <f>Segments!$D$275</f>
        <v>2.0-3.0</v>
      </c>
      <c r="E295" s="59" t="str">
        <f>Segments!$E$275</f>
        <v>Freshman</v>
      </c>
      <c r="F295" s="59">
        <f>Segments!$F$275</f>
        <v>1</v>
      </c>
      <c r="G295" s="59" t="str">
        <f>Segments!$G$275</f>
        <v>Base</v>
      </c>
      <c r="H295" s="60">
        <f>Segments!$H$275</f>
        <v>6</v>
      </c>
      <c r="I295" s="26">
        <f>Segments!$Y$275</f>
        <v>4395.4185179658307</v>
      </c>
      <c r="J295" s="29">
        <v>0</v>
      </c>
      <c r="K295" s="14">
        <f t="shared" si="156"/>
        <v>7188.9598421747123</v>
      </c>
      <c r="L295" s="14">
        <f t="shared" si="157"/>
        <v>4395.4185179658307</v>
      </c>
      <c r="M295" s="14">
        <f t="shared" si="158"/>
        <v>7188.9598421747123</v>
      </c>
      <c r="N295" s="14">
        <f t="shared" si="159"/>
        <v>3202.0475607629955</v>
      </c>
      <c r="O295" s="14">
        <f t="shared" si="160"/>
        <v>7188.9598421747123</v>
      </c>
      <c r="P295" s="33">
        <f t="shared" si="161"/>
        <v>0.3</v>
      </c>
      <c r="Q295" s="33">
        <f t="shared" si="162"/>
        <v>0.02</v>
      </c>
      <c r="R295" s="51">
        <f t="shared" si="163"/>
        <v>0</v>
      </c>
      <c r="S295" s="51">
        <f>APPLICANTS_PER_YEAR*($H295/Segments!$AH$2)*Q295</f>
        <v>0.14399999999999999</v>
      </c>
      <c r="T295" s="51">
        <f t="shared" si="164"/>
        <v>0.14399999999999999</v>
      </c>
      <c r="U295" s="14">
        <f t="shared" si="165"/>
        <v>7188.9598421747132</v>
      </c>
      <c r="V295" s="44">
        <f t="shared" si="166"/>
        <v>1035.2102172731586</v>
      </c>
      <c r="W295" s="44">
        <f t="shared" si="167"/>
        <v>708.89309857752914</v>
      </c>
      <c r="X295" s="44">
        <f t="shared" si="168"/>
        <v>238.36708866918752</v>
      </c>
      <c r="Y295" s="14">
        <f t="shared" si="169"/>
        <v>7403.3786374399542</v>
      </c>
      <c r="Z295" s="14">
        <f t="shared" si="170"/>
        <v>4527.281073504806</v>
      </c>
      <c r="AA295" s="14">
        <f t="shared" si="171"/>
        <v>7403.3786374399542</v>
      </c>
      <c r="AB295" s="14">
        <f t="shared" si="172"/>
        <v>3297.8305934597229</v>
      </c>
      <c r="AC295" s="14">
        <f t="shared" si="173"/>
        <v>7403.3786374399542</v>
      </c>
      <c r="AD295" s="33">
        <f t="shared" si="174"/>
        <v>0.3</v>
      </c>
      <c r="AE295" s="33">
        <f t="shared" si="175"/>
        <v>0.02</v>
      </c>
      <c r="AF295" s="51">
        <f t="shared" si="176"/>
        <v>0</v>
      </c>
      <c r="AG295" s="51">
        <f>APPLICANTS_PER_YEAR*($H295/Segments!$AH$2)*AE295</f>
        <v>0.14399999999999999</v>
      </c>
      <c r="AH295" s="51">
        <f t="shared" si="177"/>
        <v>0.14399999999999999</v>
      </c>
      <c r="AI295" s="14">
        <f t="shared" si="178"/>
        <v>7403.3786374399542</v>
      </c>
      <c r="AJ295" s="44">
        <f t="shared" si="179"/>
        <v>1066.0865237913533</v>
      </c>
      <c r="AK295" s="44">
        <f t="shared" si="180"/>
        <v>730.15989153485509</v>
      </c>
      <c r="AL295" s="44">
        <f t="shared" si="181"/>
        <v>245.28338132926314</v>
      </c>
      <c r="AM295" s="14">
        <f t="shared" si="182"/>
        <v>7624.2299965631528</v>
      </c>
      <c r="AN295" s="14">
        <f t="shared" si="183"/>
        <v>4663.0995057099499</v>
      </c>
      <c r="AO295" s="14">
        <f t="shared" si="184"/>
        <v>7624.2299965631528</v>
      </c>
      <c r="AP295" s="14">
        <f t="shared" si="185"/>
        <v>3396.487093976411</v>
      </c>
      <c r="AQ295" s="14">
        <f t="shared" si="186"/>
        <v>7624.2299965631528</v>
      </c>
      <c r="AR295" s="33">
        <f t="shared" si="187"/>
        <v>0.3</v>
      </c>
      <c r="AS295" s="33">
        <f t="shared" si="188"/>
        <v>0.02</v>
      </c>
      <c r="AT295" s="51">
        <f t="shared" si="189"/>
        <v>0</v>
      </c>
      <c r="AU295" s="51">
        <f>APPLICANTS_PER_YEAR*($H295/Segments!$AH$2)*AS295</f>
        <v>0.14399999999999999</v>
      </c>
      <c r="AV295" s="51">
        <f t="shared" si="190"/>
        <v>0.14399999999999999</v>
      </c>
      <c r="AW295" s="14">
        <f t="shared" si="191"/>
        <v>7624.2299965631528</v>
      </c>
      <c r="AX295" s="44">
        <f t="shared" si="192"/>
        <v>1097.889119505094</v>
      </c>
      <c r="AY295" s="44">
        <f t="shared" si="193"/>
        <v>752.06468828090078</v>
      </c>
      <c r="AZ295" s="44">
        <f t="shared" si="194"/>
        <v>252.40716276914105</v>
      </c>
    </row>
    <row r="296" spans="1:52" ht="15" customHeight="1" x14ac:dyDescent="0.35">
      <c r="A296" s="59" t="str">
        <f>Segments!$A$276</f>
        <v>Greek</v>
      </c>
      <c r="B296" s="59" t="str">
        <f>Segments!$B$276</f>
        <v>Off 0-1mi</v>
      </c>
      <c r="C296" s="59" t="str">
        <f>Segments!$C$276</f>
        <v>No</v>
      </c>
      <c r="D296" s="59" t="str">
        <f>Segments!$D$276</f>
        <v>2.0-3.0</v>
      </c>
      <c r="E296" s="59" t="str">
        <f>Segments!$E$276</f>
        <v>Sophomore</v>
      </c>
      <c r="F296" s="59">
        <f>Segments!$F$276</f>
        <v>1</v>
      </c>
      <c r="G296" s="59" t="str">
        <f>Segments!$G$276</f>
        <v>Sophomore</v>
      </c>
      <c r="H296" s="60">
        <f>Segments!$H$276</f>
        <v>6</v>
      </c>
      <c r="I296" s="26">
        <f>Segments!$Y$276</f>
        <v>4350.7005972591442</v>
      </c>
      <c r="J296" s="29">
        <v>1</v>
      </c>
      <c r="K296" s="14">
        <f t="shared" si="156"/>
        <v>1426.2297754450396</v>
      </c>
      <c r="L296" s="14">
        <f t="shared" si="157"/>
        <v>4350.7005972591442</v>
      </c>
      <c r="M296" s="14">
        <f t="shared" si="158"/>
        <v>7116.2450169121284</v>
      </c>
      <c r="N296" s="14">
        <f t="shared" si="159"/>
        <v>3185.8123818709832</v>
      </c>
      <c r="O296" s="14">
        <f t="shared" si="160"/>
        <v>1782.7872193062994</v>
      </c>
      <c r="P296" s="33">
        <f t="shared" si="161"/>
        <v>0.95</v>
      </c>
      <c r="Q296" s="33">
        <f t="shared" si="162"/>
        <v>0.02</v>
      </c>
      <c r="R296" s="51">
        <f t="shared" si="163"/>
        <v>5.6999999999999993</v>
      </c>
      <c r="S296" s="51">
        <f>APPLICANTS_PER_YEAR*($H296/Segments!$AH$2)*Q296</f>
        <v>0.14399999999999999</v>
      </c>
      <c r="T296" s="51">
        <f t="shared" si="164"/>
        <v>5.8439999999999994</v>
      </c>
      <c r="U296" s="14">
        <f t="shared" si="165"/>
        <v>1914.2071239700981</v>
      </c>
      <c r="V296" s="44">
        <f t="shared" si="166"/>
        <v>11186.626432481253</v>
      </c>
      <c r="W296" s="44">
        <f t="shared" si="167"/>
        <v>28476.553605228331</v>
      </c>
      <c r="X296" s="44">
        <f t="shared" si="168"/>
        <v>2270.6182706241939</v>
      </c>
      <c r="Y296" s="14">
        <f t="shared" si="169"/>
        <v>7188.9598421747132</v>
      </c>
      <c r="Z296" s="14">
        <f t="shared" si="170"/>
        <v>4481.2216151769189</v>
      </c>
      <c r="AA296" s="14">
        <f t="shared" si="171"/>
        <v>7328.4823674194931</v>
      </c>
      <c r="AB296" s="14">
        <f t="shared" si="172"/>
        <v>3281.1069403594215</v>
      </c>
      <c r="AC296" s="14">
        <f t="shared" si="173"/>
        <v>7328.4823674194931</v>
      </c>
      <c r="AD296" s="33">
        <f t="shared" si="174"/>
        <v>0.3</v>
      </c>
      <c r="AE296" s="33">
        <f t="shared" si="175"/>
        <v>0.02</v>
      </c>
      <c r="AF296" s="51">
        <f t="shared" si="176"/>
        <v>4.3199999999999995E-2</v>
      </c>
      <c r="AG296" s="51">
        <f>APPLICANTS_PER_YEAR*($H296/Segments!$AH$2)*AE296</f>
        <v>0.14399999999999999</v>
      </c>
      <c r="AH296" s="51">
        <f t="shared" si="177"/>
        <v>0.18719999999999998</v>
      </c>
      <c r="AI296" s="14">
        <f t="shared" si="178"/>
        <v>7328.4823674194931</v>
      </c>
      <c r="AJ296" s="44">
        <f t="shared" si="179"/>
        <v>1371.8918991809289</v>
      </c>
      <c r="AK296" s="44">
        <f t="shared" si="180"/>
        <v>939.55084872445354</v>
      </c>
      <c r="AL296" s="44">
        <f t="shared" si="181"/>
        <v>303.5671200769898</v>
      </c>
      <c r="AM296" s="14">
        <f t="shared" si="182"/>
        <v>7403.3786374399542</v>
      </c>
      <c r="AN296" s="14">
        <f t="shared" si="183"/>
        <v>4615.6582636322255</v>
      </c>
      <c r="AO296" s="14">
        <f t="shared" si="184"/>
        <v>7547.0868384420764</v>
      </c>
      <c r="AP296" s="14">
        <f t="shared" si="185"/>
        <v>3379.2603120856129</v>
      </c>
      <c r="AQ296" s="14">
        <f t="shared" si="186"/>
        <v>7547.0868384420764</v>
      </c>
      <c r="AR296" s="33">
        <f t="shared" si="187"/>
        <v>0.3</v>
      </c>
      <c r="AS296" s="33">
        <f t="shared" si="188"/>
        <v>0.02</v>
      </c>
      <c r="AT296" s="51">
        <f t="shared" si="189"/>
        <v>4.3199999999999995E-2</v>
      </c>
      <c r="AU296" s="51">
        <f>APPLICANTS_PER_YEAR*($H296/Segments!$AH$2)*AS296</f>
        <v>0.14399999999999999</v>
      </c>
      <c r="AV296" s="51">
        <f t="shared" si="190"/>
        <v>0.18719999999999998</v>
      </c>
      <c r="AW296" s="14">
        <f t="shared" si="191"/>
        <v>7547.0868384420774</v>
      </c>
      <c r="AX296" s="44">
        <f t="shared" si="192"/>
        <v>1412.8146561563567</v>
      </c>
      <c r="AY296" s="44">
        <f t="shared" si="193"/>
        <v>967.7373741861868</v>
      </c>
      <c r="AZ296" s="44">
        <f t="shared" si="194"/>
        <v>312.40328767929952</v>
      </c>
    </row>
    <row r="297" spans="1:52" ht="15" customHeight="1" x14ac:dyDescent="0.35">
      <c r="A297" s="59" t="str">
        <f>Segments!$A$277</f>
        <v>Greek</v>
      </c>
      <c r="B297" s="59" t="str">
        <f>Segments!$B$277</f>
        <v>Off 0-1mi</v>
      </c>
      <c r="C297" s="59" t="str">
        <f>Segments!$C$277</f>
        <v>No</v>
      </c>
      <c r="D297" s="59" t="str">
        <f>Segments!$D$277</f>
        <v>2.0-3.0</v>
      </c>
      <c r="E297" s="59" t="str">
        <f>Segments!$E$277</f>
        <v>Junior</v>
      </c>
      <c r="F297" s="59">
        <f>Segments!$F$277</f>
        <v>2</v>
      </c>
      <c r="G297" s="59" t="str">
        <f>Segments!$G$277</f>
        <v>Base</v>
      </c>
      <c r="H297" s="60">
        <f>Segments!$H$277</f>
        <v>4</v>
      </c>
      <c r="I297" s="26">
        <f>Segments!$Y$277</f>
        <v>5200.9389758579382</v>
      </c>
      <c r="J297" s="29">
        <v>2</v>
      </c>
      <c r="K297" s="14">
        <f t="shared" si="156"/>
        <v>1426.2297754450396</v>
      </c>
      <c r="L297" s="14">
        <f t="shared" si="157"/>
        <v>5200.9389758579382</v>
      </c>
      <c r="M297" s="14">
        <f t="shared" si="158"/>
        <v>8498.798904801406</v>
      </c>
      <c r="N297" s="14">
        <f t="shared" si="159"/>
        <v>3481.5571305879012</v>
      </c>
      <c r="O297" s="14">
        <f t="shared" si="160"/>
        <v>1782.7872193062994</v>
      </c>
      <c r="P297" s="33">
        <f t="shared" si="161"/>
        <v>0.95</v>
      </c>
      <c r="Q297" s="33">
        <f t="shared" si="162"/>
        <v>0.02</v>
      </c>
      <c r="R297" s="51">
        <f t="shared" si="163"/>
        <v>5.6999999999999993</v>
      </c>
      <c r="S297" s="51">
        <f>APPLICANTS_PER_YEAR*($H297/Segments!$AH$2)*Q297</f>
        <v>9.6000000000000002E-2</v>
      </c>
      <c r="T297" s="51">
        <f t="shared" si="164"/>
        <v>5.7959999999999994</v>
      </c>
      <c r="U297" s="14">
        <f t="shared" si="165"/>
        <v>1894.025508092968</v>
      </c>
      <c r="V297" s="44">
        <f t="shared" si="166"/>
        <v>10977.771844906842</v>
      </c>
      <c r="W297" s="44">
        <f t="shared" si="167"/>
        <v>33761.999380561327</v>
      </c>
      <c r="X297" s="44">
        <f t="shared" si="168"/>
        <v>2221.6748430075259</v>
      </c>
      <c r="Y297" s="14">
        <f t="shared" si="169"/>
        <v>1914.2071239700981</v>
      </c>
      <c r="Z297" s="14">
        <f t="shared" si="170"/>
        <v>5356.9671451336762</v>
      </c>
      <c r="AA297" s="14">
        <f t="shared" si="171"/>
        <v>8752.5128719454478</v>
      </c>
      <c r="AB297" s="14">
        <f t="shared" si="172"/>
        <v>3585.7478023381132</v>
      </c>
      <c r="AC297" s="14">
        <f t="shared" si="173"/>
        <v>2392.7589049626226</v>
      </c>
      <c r="AD297" s="33">
        <f t="shared" si="174"/>
        <v>0.94135147856711976</v>
      </c>
      <c r="AE297" s="33">
        <f t="shared" si="175"/>
        <v>0.02</v>
      </c>
      <c r="AF297" s="51">
        <f t="shared" si="176"/>
        <v>5.5012580407462472</v>
      </c>
      <c r="AG297" s="51">
        <f>APPLICANTS_PER_YEAR*($H297/Segments!$AH$2)*AE297</f>
        <v>9.6000000000000002E-2</v>
      </c>
      <c r="AH297" s="51">
        <f t="shared" si="177"/>
        <v>5.5972580407462473</v>
      </c>
      <c r="AI297" s="14">
        <f t="shared" si="178"/>
        <v>2501.8366670357382</v>
      </c>
      <c r="AJ297" s="44">
        <f t="shared" si="179"/>
        <v>14003.425401199576</v>
      </c>
      <c r="AK297" s="44">
        <f t="shared" si="180"/>
        <v>33582.446718366496</v>
      </c>
      <c r="AL297" s="44">
        <f t="shared" si="181"/>
        <v>2790.4010048913815</v>
      </c>
      <c r="AM297" s="14">
        <f t="shared" si="182"/>
        <v>7328.4823674194931</v>
      </c>
      <c r="AN297" s="14">
        <f t="shared" si="183"/>
        <v>5517.6761594876862</v>
      </c>
      <c r="AO297" s="14">
        <f t="shared" si="184"/>
        <v>9013.8382581038095</v>
      </c>
      <c r="AP297" s="14">
        <f t="shared" si="185"/>
        <v>3693.0641762230157</v>
      </c>
      <c r="AQ297" s="14">
        <f t="shared" si="186"/>
        <v>9013.8382581038095</v>
      </c>
      <c r="AR297" s="33">
        <f t="shared" si="187"/>
        <v>0.3</v>
      </c>
      <c r="AS297" s="33">
        <f t="shared" si="188"/>
        <v>0.02</v>
      </c>
      <c r="AT297" s="51">
        <f t="shared" si="189"/>
        <v>5.6159999999999995E-2</v>
      </c>
      <c r="AU297" s="51">
        <f>APPLICANTS_PER_YEAR*($H297/Segments!$AH$2)*AS297</f>
        <v>9.6000000000000002E-2</v>
      </c>
      <c r="AV297" s="51">
        <f t="shared" si="190"/>
        <v>0.15215999999999999</v>
      </c>
      <c r="AW297" s="14">
        <f t="shared" si="191"/>
        <v>9013.8382581038095</v>
      </c>
      <c r="AX297" s="44">
        <f t="shared" si="192"/>
        <v>1371.5456293530756</v>
      </c>
      <c r="AY297" s="44">
        <f t="shared" si="193"/>
        <v>940.31795695896392</v>
      </c>
      <c r="AZ297" s="44">
        <f t="shared" si="194"/>
        <v>294.95182049496009</v>
      </c>
    </row>
    <row r="298" spans="1:52" ht="15" customHeight="1" x14ac:dyDescent="0.35">
      <c r="A298" s="59" t="str">
        <f>Segments!$A$278</f>
        <v>Greek</v>
      </c>
      <c r="B298" s="59" t="str">
        <f>Segments!$B$278</f>
        <v>Off 0-1mi</v>
      </c>
      <c r="C298" s="59" t="str">
        <f>Segments!$C$278</f>
        <v>No</v>
      </c>
      <c r="D298" s="59" t="str">
        <f>Segments!$D$278</f>
        <v>2.0-3.0</v>
      </c>
      <c r="E298" s="59" t="str">
        <f>Segments!$E$278</f>
        <v>Senior</v>
      </c>
      <c r="F298" s="59">
        <f>Segments!$F$278</f>
        <v>3</v>
      </c>
      <c r="G298" s="59" t="str">
        <f>Segments!$G$278</f>
        <v>Base</v>
      </c>
      <c r="H298" s="60">
        <f>Segments!$H$278</f>
        <v>3</v>
      </c>
      <c r="I298" s="26">
        <f>Segments!$Y$278</f>
        <v>4861.252422498218</v>
      </c>
      <c r="J298" s="29">
        <v>3</v>
      </c>
      <c r="K298" s="14">
        <f t="shared" si="156"/>
        <v>1426.2297754450396</v>
      </c>
      <c r="L298" s="14">
        <f t="shared" si="157"/>
        <v>4861.252422498218</v>
      </c>
      <c r="M298" s="14">
        <f t="shared" si="158"/>
        <v>7946.4420871932016</v>
      </c>
      <c r="N298" s="14">
        <f t="shared" si="159"/>
        <v>3366.5193172777981</v>
      </c>
      <c r="O298" s="14">
        <f t="shared" si="160"/>
        <v>1782.7872193062994</v>
      </c>
      <c r="P298" s="33">
        <f t="shared" si="161"/>
        <v>0.95</v>
      </c>
      <c r="Q298" s="33">
        <f t="shared" si="162"/>
        <v>0.02</v>
      </c>
      <c r="R298" s="51">
        <f t="shared" si="163"/>
        <v>3.8</v>
      </c>
      <c r="S298" s="51">
        <f>APPLICANTS_PER_YEAR*($H298/Segments!$AH$2)*Q298</f>
        <v>7.1999999999999995E-2</v>
      </c>
      <c r="T298" s="51">
        <f t="shared" si="164"/>
        <v>3.8719999999999999</v>
      </c>
      <c r="U298" s="14">
        <f t="shared" si="165"/>
        <v>1897.4006362711386</v>
      </c>
      <c r="V298" s="44">
        <f t="shared" si="166"/>
        <v>7346.7352636418482</v>
      </c>
      <c r="W298" s="44">
        <f t="shared" si="167"/>
        <v>21081.501705502676</v>
      </c>
      <c r="X298" s="44">
        <f t="shared" si="168"/>
        <v>1487.7979988880361</v>
      </c>
      <c r="Y298" s="14">
        <f t="shared" si="169"/>
        <v>1894.025508092968</v>
      </c>
      <c r="Z298" s="14">
        <f t="shared" si="170"/>
        <v>5007.0899951731644</v>
      </c>
      <c r="AA298" s="14">
        <f t="shared" si="171"/>
        <v>8183.5853498089973</v>
      </c>
      <c r="AB298" s="14">
        <f t="shared" si="172"/>
        <v>3467.2501047180322</v>
      </c>
      <c r="AC298" s="14">
        <f t="shared" si="173"/>
        <v>2367.5318851162101</v>
      </c>
      <c r="AD298" s="33">
        <f t="shared" si="174"/>
        <v>0.93358651472897636</v>
      </c>
      <c r="AE298" s="33">
        <f t="shared" si="175"/>
        <v>0.02</v>
      </c>
      <c r="AF298" s="51">
        <f t="shared" si="176"/>
        <v>5.4110674393691465</v>
      </c>
      <c r="AG298" s="51">
        <f>APPLICANTS_PER_YEAR*($H298/Segments!$AH$2)*AE298</f>
        <v>7.1999999999999995E-2</v>
      </c>
      <c r="AH298" s="51">
        <f t="shared" si="177"/>
        <v>5.4830674393691465</v>
      </c>
      <c r="AI298" s="14">
        <f t="shared" si="178"/>
        <v>2443.9044364459928</v>
      </c>
      <c r="AJ298" s="44">
        <f t="shared" si="179"/>
        <v>13400.092840406827</v>
      </c>
      <c r="AK298" s="44">
        <f t="shared" si="180"/>
        <v>30748.717572747999</v>
      </c>
      <c r="AL298" s="44">
        <f t="shared" si="181"/>
        <v>2664.7015307057923</v>
      </c>
      <c r="AM298" s="14">
        <f t="shared" si="182"/>
        <v>2501.8366670357382</v>
      </c>
      <c r="AN298" s="14">
        <f t="shared" si="183"/>
        <v>5157.3026950283593</v>
      </c>
      <c r="AO298" s="14">
        <f t="shared" si="184"/>
        <v>8427.8429103032668</v>
      </c>
      <c r="AP298" s="14">
        <f t="shared" si="185"/>
        <v>3571.0027958524588</v>
      </c>
      <c r="AQ298" s="14">
        <f t="shared" si="186"/>
        <v>3127.2958337946729</v>
      </c>
      <c r="AR298" s="33">
        <f t="shared" si="187"/>
        <v>0.83712638121890159</v>
      </c>
      <c r="AS298" s="33">
        <f t="shared" si="188"/>
        <v>0.02</v>
      </c>
      <c r="AT298" s="51">
        <f t="shared" si="189"/>
        <v>4.6856123683983055</v>
      </c>
      <c r="AU298" s="51">
        <f>APPLICANTS_PER_YEAR*($H298/Segments!$AH$2)*AS298</f>
        <v>7.1999999999999995E-2</v>
      </c>
      <c r="AV298" s="51">
        <f t="shared" si="190"/>
        <v>4.7576123683983056</v>
      </c>
      <c r="AW298" s="14">
        <f t="shared" si="191"/>
        <v>3207.5124130274826</v>
      </c>
      <c r="AX298" s="44">
        <f t="shared" si="192"/>
        <v>15260.100728010646</v>
      </c>
      <c r="AY298" s="44">
        <f t="shared" si="193"/>
        <v>27480.820740173738</v>
      </c>
      <c r="AZ298" s="44">
        <f t="shared" si="194"/>
        <v>3002.3494490959429</v>
      </c>
    </row>
    <row r="299" spans="1:52" ht="15" customHeight="1" x14ac:dyDescent="0.35">
      <c r="A299" s="59" t="str">
        <f>Segments!$A$279</f>
        <v>Greek</v>
      </c>
      <c r="B299" s="59" t="str">
        <f>Segments!$B$279</f>
        <v>Off 0-1mi</v>
      </c>
      <c r="C299" s="59" t="str">
        <f>Segments!$C$279</f>
        <v>No</v>
      </c>
      <c r="D299" s="59" t="str">
        <f>Segments!$D$279</f>
        <v>2.0-3.0</v>
      </c>
      <c r="E299" s="59" t="str">
        <f>Segments!$E$279</f>
        <v>Grad student</v>
      </c>
      <c r="F299" s="59">
        <f>Segments!$F$279</f>
        <v>3</v>
      </c>
      <c r="G299" s="59" t="str">
        <f>Segments!$G$279</f>
        <v>Grad</v>
      </c>
      <c r="H299" s="60">
        <f>Segments!$H$279</f>
        <v>1</v>
      </c>
      <c r="I299" s="26">
        <f>Segments!$Y$279</f>
        <v>5788.1981100593621</v>
      </c>
      <c r="J299" s="29">
        <v>4</v>
      </c>
      <c r="K299" s="14">
        <f t="shared" si="156"/>
        <v>1426.2297754450396</v>
      </c>
      <c r="L299" s="14">
        <f t="shared" si="157"/>
        <v>5788.1981100593621</v>
      </c>
      <c r="M299" s="14">
        <f t="shared" si="158"/>
        <v>9453.7280395303296</v>
      </c>
      <c r="N299" s="14">
        <f t="shared" si="159"/>
        <v>3671.9461350812076</v>
      </c>
      <c r="O299" s="14">
        <f t="shared" si="160"/>
        <v>1782.7872193062994</v>
      </c>
      <c r="P299" s="33">
        <f t="shared" si="161"/>
        <v>0.95</v>
      </c>
      <c r="Q299" s="33">
        <f t="shared" si="162"/>
        <v>0.02</v>
      </c>
      <c r="R299" s="51">
        <f t="shared" si="163"/>
        <v>0.47499999999999998</v>
      </c>
      <c r="S299" s="51">
        <f>APPLICANTS_PER_YEAR*($H299/Segments!$AH$2)*Q299</f>
        <v>2.4E-2</v>
      </c>
      <c r="T299" s="51">
        <f t="shared" si="164"/>
        <v>0.499</v>
      </c>
      <c r="U299" s="14">
        <f t="shared" si="165"/>
        <v>2151.7302647679762</v>
      </c>
      <c r="V299" s="44">
        <f t="shared" si="166"/>
        <v>1073.7134021192201</v>
      </c>
      <c r="W299" s="44">
        <f t="shared" si="167"/>
        <v>3234.9081597499762</v>
      </c>
      <c r="X299" s="44">
        <f t="shared" si="168"/>
        <v>221.45296455373807</v>
      </c>
      <c r="Y299" s="14">
        <f t="shared" si="169"/>
        <v>2151.7302647679762</v>
      </c>
      <c r="Z299" s="14">
        <f t="shared" si="170"/>
        <v>5961.8440533611429</v>
      </c>
      <c r="AA299" s="14">
        <f t="shared" si="171"/>
        <v>9736.0898807162393</v>
      </c>
      <c r="AB299" s="14">
        <f t="shared" si="172"/>
        <v>3781.8617535302951</v>
      </c>
      <c r="AC299" s="14">
        <f t="shared" si="173"/>
        <v>2689.6628309599701</v>
      </c>
      <c r="AD299" s="33">
        <f t="shared" si="174"/>
        <v>0.91939963617797216</v>
      </c>
      <c r="AE299" s="33">
        <f t="shared" si="175"/>
        <v>0.02</v>
      </c>
      <c r="AF299" s="51">
        <f t="shared" si="176"/>
        <v>0.22939020922640405</v>
      </c>
      <c r="AG299" s="51">
        <f>APPLICANTS_PER_YEAR*($H299/Segments!$AH$2)*AE299</f>
        <v>2.4E-2</v>
      </c>
      <c r="AH299" s="51">
        <f t="shared" si="177"/>
        <v>0.25339020922640404</v>
      </c>
      <c r="AI299" s="14">
        <f t="shared" si="178"/>
        <v>3357.0692382969128</v>
      </c>
      <c r="AJ299" s="44">
        <f t="shared" si="179"/>
        <v>850.64847667957952</v>
      </c>
      <c r="AK299" s="44">
        <f t="shared" si="180"/>
        <v>1691.9536615031377</v>
      </c>
      <c r="AL299" s="44">
        <f t="shared" si="181"/>
        <v>174.61868177677025</v>
      </c>
      <c r="AM299" s="14">
        <f t="shared" si="182"/>
        <v>3357.0692382969128</v>
      </c>
      <c r="AN299" s="14">
        <f t="shared" si="183"/>
        <v>6140.6993749619769</v>
      </c>
      <c r="AO299" s="14">
        <f t="shared" si="184"/>
        <v>10026.922577137726</v>
      </c>
      <c r="AP299" s="14">
        <f t="shared" si="185"/>
        <v>3895.0748251752148</v>
      </c>
      <c r="AQ299" s="14">
        <f t="shared" si="186"/>
        <v>4196.3365478711412</v>
      </c>
      <c r="AR299" s="33">
        <f t="shared" si="187"/>
        <v>0.73632786451896026</v>
      </c>
      <c r="AS299" s="33">
        <f t="shared" si="188"/>
        <v>0.02</v>
      </c>
      <c r="AT299" s="51">
        <f t="shared" si="189"/>
        <v>9.3289135824845312E-2</v>
      </c>
      <c r="AU299" s="51">
        <f>APPLICANTS_PER_YEAR*($H299/Segments!$AH$2)*AS299</f>
        <v>2.4E-2</v>
      </c>
      <c r="AV299" s="51">
        <f t="shared" si="190"/>
        <v>0.11728913582484532</v>
      </c>
      <c r="AW299" s="14">
        <f t="shared" si="191"/>
        <v>5389.4058267800565</v>
      </c>
      <c r="AX299" s="44">
        <f t="shared" si="192"/>
        <v>632.1187520324188</v>
      </c>
      <c r="AY299" s="44">
        <f t="shared" si="193"/>
        <v>806.66580181539314</v>
      </c>
      <c r="AZ299" s="44">
        <f t="shared" si="194"/>
        <v>130.83884181541976</v>
      </c>
    </row>
    <row r="300" spans="1:52" ht="15" customHeight="1" x14ac:dyDescent="0.35">
      <c r="A300" s="61" t="str">
        <f>Segments!$A$280</f>
        <v>Greek</v>
      </c>
      <c r="B300" s="61" t="str">
        <f>Segments!$B$280</f>
        <v>Off 0-1mi</v>
      </c>
      <c r="C300" s="61" t="str">
        <f>Segments!$C$280</f>
        <v>No</v>
      </c>
      <c r="D300" s="61" t="str">
        <f>Segments!$D$280</f>
        <v>3.0+</v>
      </c>
      <c r="E300" s="61" t="str">
        <f>Segments!$E$280</f>
        <v>Freshman</v>
      </c>
      <c r="F300" s="61">
        <f>Segments!$F$280</f>
        <v>1</v>
      </c>
      <c r="G300" s="61" t="str">
        <f>Segments!$G$280</f>
        <v>Base</v>
      </c>
      <c r="H300" s="62">
        <f>Segments!$H$280</f>
        <v>3</v>
      </c>
      <c r="I300" s="63">
        <f>Segments!$Y$280</f>
        <v>3852.7936305508752</v>
      </c>
      <c r="J300" s="42">
        <v>0</v>
      </c>
      <c r="K300" s="40">
        <f t="shared" si="156"/>
        <v>6306.6094723909073</v>
      </c>
      <c r="L300" s="40">
        <f t="shared" si="157"/>
        <v>3852.7936305508752</v>
      </c>
      <c r="M300" s="40">
        <f t="shared" si="158"/>
        <v>6306.6094723909073</v>
      </c>
      <c r="N300" s="40">
        <f t="shared" si="159"/>
        <v>2999.1122372508239</v>
      </c>
      <c r="O300" s="40">
        <f t="shared" si="160"/>
        <v>6306.6094723909073</v>
      </c>
      <c r="P300" s="41">
        <f t="shared" si="161"/>
        <v>0.3</v>
      </c>
      <c r="Q300" s="41">
        <f t="shared" si="162"/>
        <v>0.02</v>
      </c>
      <c r="R300" s="64">
        <f t="shared" si="163"/>
        <v>0</v>
      </c>
      <c r="S300" s="64">
        <f>APPLICANTS_PER_YEAR*($H300/Segments!$AH$2)*Q300</f>
        <v>7.1999999999999995E-2</v>
      </c>
      <c r="T300" s="64">
        <f t="shared" si="164"/>
        <v>7.1999999999999995E-2</v>
      </c>
      <c r="U300" s="40">
        <f t="shared" si="165"/>
        <v>6306.6094723909073</v>
      </c>
      <c r="V300" s="65">
        <f t="shared" si="166"/>
        <v>454.07588201214531</v>
      </c>
      <c r="W300" s="65">
        <f t="shared" si="167"/>
        <v>310.68927836762259</v>
      </c>
      <c r="X300" s="65">
        <f t="shared" si="168"/>
        <v>104.95299757072054</v>
      </c>
      <c r="Y300" s="40">
        <f t="shared" si="169"/>
        <v>6494.5577565626354</v>
      </c>
      <c r="Z300" s="40">
        <f t="shared" si="170"/>
        <v>3968.3774394674015</v>
      </c>
      <c r="AA300" s="40">
        <f t="shared" si="171"/>
        <v>6494.5577565626354</v>
      </c>
      <c r="AB300" s="40">
        <f t="shared" si="172"/>
        <v>3088.7883709117855</v>
      </c>
      <c r="AC300" s="40">
        <f t="shared" si="173"/>
        <v>6494.5577565626354</v>
      </c>
      <c r="AD300" s="41">
        <f t="shared" si="174"/>
        <v>0.3</v>
      </c>
      <c r="AE300" s="41">
        <f t="shared" si="175"/>
        <v>0.02</v>
      </c>
      <c r="AF300" s="64">
        <f t="shared" si="176"/>
        <v>0</v>
      </c>
      <c r="AG300" s="64">
        <f>APPLICANTS_PER_YEAR*($H300/Segments!$AH$2)*AE300</f>
        <v>7.1999999999999995E-2</v>
      </c>
      <c r="AH300" s="64">
        <f t="shared" si="177"/>
        <v>7.1999999999999995E-2</v>
      </c>
      <c r="AI300" s="40">
        <f t="shared" si="178"/>
        <v>6494.5577565626354</v>
      </c>
      <c r="AJ300" s="65">
        <f t="shared" si="179"/>
        <v>467.60815847250973</v>
      </c>
      <c r="AK300" s="65">
        <f t="shared" si="180"/>
        <v>320.00995671865121</v>
      </c>
      <c r="AL300" s="65">
        <f t="shared" si="181"/>
        <v>107.98422749784217</v>
      </c>
      <c r="AM300" s="40">
        <f t="shared" si="182"/>
        <v>6688.1444892595136</v>
      </c>
      <c r="AN300" s="40">
        <f t="shared" si="183"/>
        <v>4087.4287626514233</v>
      </c>
      <c r="AO300" s="40">
        <f t="shared" si="184"/>
        <v>6688.1444892595136</v>
      </c>
      <c r="AP300" s="40">
        <f t="shared" si="185"/>
        <v>3181.1547603937734</v>
      </c>
      <c r="AQ300" s="40">
        <f t="shared" si="186"/>
        <v>6688.1444892595136</v>
      </c>
      <c r="AR300" s="41">
        <f t="shared" si="187"/>
        <v>0.3</v>
      </c>
      <c r="AS300" s="41">
        <f t="shared" si="188"/>
        <v>0.02</v>
      </c>
      <c r="AT300" s="64">
        <f t="shared" si="189"/>
        <v>0</v>
      </c>
      <c r="AU300" s="64">
        <f>APPLICANTS_PER_YEAR*($H300/Segments!$AH$2)*AS300</f>
        <v>7.1999999999999995E-2</v>
      </c>
      <c r="AV300" s="64">
        <f t="shared" si="190"/>
        <v>7.1999999999999995E-2</v>
      </c>
      <c r="AW300" s="40">
        <f t="shared" si="191"/>
        <v>6688.1444892595136</v>
      </c>
      <c r="AX300" s="65">
        <f t="shared" si="192"/>
        <v>481.54640322668496</v>
      </c>
      <c r="AY300" s="65">
        <f t="shared" si="193"/>
        <v>329.61025542021076</v>
      </c>
      <c r="AZ300" s="65">
        <f t="shared" si="194"/>
        <v>111.10639432277743</v>
      </c>
    </row>
    <row r="301" spans="1:52" ht="15" customHeight="1" x14ac:dyDescent="0.35">
      <c r="A301" s="61" t="str">
        <f>Segments!$A$281</f>
        <v>Greek</v>
      </c>
      <c r="B301" s="61" t="str">
        <f>Segments!$B$281</f>
        <v>Off 0-1mi</v>
      </c>
      <c r="C301" s="61" t="str">
        <f>Segments!$C$281</f>
        <v>No</v>
      </c>
      <c r="D301" s="61" t="str">
        <f>Segments!$D$281</f>
        <v>3.0+</v>
      </c>
      <c r="E301" s="61" t="str">
        <f>Segments!$E$281</f>
        <v>Sophomore</v>
      </c>
      <c r="F301" s="61">
        <f>Segments!$F$281</f>
        <v>1</v>
      </c>
      <c r="G301" s="61" t="str">
        <f>Segments!$G$281</f>
        <v>Sophomore</v>
      </c>
      <c r="H301" s="62">
        <f>Segments!$H$281</f>
        <v>2</v>
      </c>
      <c r="I301" s="63">
        <f>Segments!$Y$281</f>
        <v>3813.5962436886261</v>
      </c>
      <c r="J301" s="42">
        <v>1</v>
      </c>
      <c r="K301" s="40">
        <f t="shared" si="156"/>
        <v>1426.2297754450396</v>
      </c>
      <c r="L301" s="40">
        <f t="shared" si="157"/>
        <v>3813.5962436886261</v>
      </c>
      <c r="M301" s="40">
        <f t="shared" si="158"/>
        <v>6242.8714655382737</v>
      </c>
      <c r="N301" s="40">
        <f t="shared" si="159"/>
        <v>2983.9184252299688</v>
      </c>
      <c r="O301" s="40">
        <f t="shared" si="160"/>
        <v>1782.7872193062994</v>
      </c>
      <c r="P301" s="41">
        <f t="shared" si="161"/>
        <v>0.95</v>
      </c>
      <c r="Q301" s="41">
        <f t="shared" si="162"/>
        <v>0.02</v>
      </c>
      <c r="R301" s="64">
        <f t="shared" si="163"/>
        <v>2.8499999999999996</v>
      </c>
      <c r="S301" s="64">
        <f>APPLICANTS_PER_YEAR*($H301/Segments!$AH$2)*Q301</f>
        <v>4.8000000000000001E-2</v>
      </c>
      <c r="T301" s="64">
        <f t="shared" si="164"/>
        <v>2.8979999999999997</v>
      </c>
      <c r="U301" s="40">
        <f t="shared" si="165"/>
        <v>1856.6602502997898</v>
      </c>
      <c r="V301" s="65">
        <f t="shared" si="166"/>
        <v>5380.6014053687904</v>
      </c>
      <c r="W301" s="65">
        <f t="shared" si="167"/>
        <v>12378.018143914796</v>
      </c>
      <c r="X301" s="65">
        <f t="shared" si="168"/>
        <v>1086.5816896768058</v>
      </c>
      <c r="Y301" s="40">
        <f t="shared" si="169"/>
        <v>6306.6094723909073</v>
      </c>
      <c r="Z301" s="40">
        <f t="shared" si="170"/>
        <v>3928.0041309992848</v>
      </c>
      <c r="AA301" s="40">
        <f t="shared" si="171"/>
        <v>6428.907609504422</v>
      </c>
      <c r="AB301" s="40">
        <f t="shared" si="172"/>
        <v>3073.1372309007306</v>
      </c>
      <c r="AC301" s="40">
        <f t="shared" si="173"/>
        <v>6428.907609504422</v>
      </c>
      <c r="AD301" s="41">
        <f t="shared" si="174"/>
        <v>0.3</v>
      </c>
      <c r="AE301" s="41">
        <f t="shared" si="175"/>
        <v>0.02</v>
      </c>
      <c r="AF301" s="64">
        <f t="shared" si="176"/>
        <v>2.1599999999999998E-2</v>
      </c>
      <c r="AG301" s="64">
        <f>APPLICANTS_PER_YEAR*($H301/Segments!$AH$2)*AE301</f>
        <v>4.8000000000000001E-2</v>
      </c>
      <c r="AH301" s="64">
        <f t="shared" si="177"/>
        <v>6.9599999999999995E-2</v>
      </c>
      <c r="AI301" s="40">
        <f t="shared" si="178"/>
        <v>6428.907609504422</v>
      </c>
      <c r="AJ301" s="65">
        <f t="shared" si="179"/>
        <v>447.45196962150777</v>
      </c>
      <c r="AK301" s="65">
        <f t="shared" si="180"/>
        <v>306.19577801965625</v>
      </c>
      <c r="AL301" s="65">
        <f t="shared" si="181"/>
        <v>97.960987042432407</v>
      </c>
      <c r="AM301" s="40">
        <f t="shared" si="182"/>
        <v>6494.5577565626354</v>
      </c>
      <c r="AN301" s="40">
        <f t="shared" si="183"/>
        <v>4045.8442549292631</v>
      </c>
      <c r="AO301" s="40">
        <f t="shared" si="184"/>
        <v>6620.5248377895541</v>
      </c>
      <c r="AP301" s="40">
        <f t="shared" si="185"/>
        <v>3165.0325721199292</v>
      </c>
      <c r="AQ301" s="40">
        <f t="shared" si="186"/>
        <v>6620.5248377895541</v>
      </c>
      <c r="AR301" s="41">
        <f t="shared" si="187"/>
        <v>0.3</v>
      </c>
      <c r="AS301" s="41">
        <f t="shared" si="188"/>
        <v>0.02</v>
      </c>
      <c r="AT301" s="64">
        <f t="shared" si="189"/>
        <v>2.1599999999999998E-2</v>
      </c>
      <c r="AU301" s="64">
        <f>APPLICANTS_PER_YEAR*($H301/Segments!$AH$2)*AS301</f>
        <v>4.8000000000000001E-2</v>
      </c>
      <c r="AV301" s="64">
        <f t="shared" si="190"/>
        <v>6.9599999999999995E-2</v>
      </c>
      <c r="AW301" s="40">
        <f t="shared" si="191"/>
        <v>6620.5248377895541</v>
      </c>
      <c r="AX301" s="65">
        <f t="shared" si="192"/>
        <v>460.78852871015295</v>
      </c>
      <c r="AY301" s="65">
        <f t="shared" si="193"/>
        <v>315.38165136024594</v>
      </c>
      <c r="AZ301" s="65">
        <f t="shared" si="194"/>
        <v>100.80351365370535</v>
      </c>
    </row>
    <row r="302" spans="1:52" ht="15" customHeight="1" x14ac:dyDescent="0.35">
      <c r="A302" s="61" t="str">
        <f>Segments!$A$282</f>
        <v>Greek</v>
      </c>
      <c r="B302" s="61" t="str">
        <f>Segments!$B$282</f>
        <v>Off 0-1mi</v>
      </c>
      <c r="C302" s="61" t="str">
        <f>Segments!$C$282</f>
        <v>No</v>
      </c>
      <c r="D302" s="61" t="str">
        <f>Segments!$D$282</f>
        <v>3.0+</v>
      </c>
      <c r="E302" s="61" t="str">
        <f>Segments!$E$282</f>
        <v>Junior</v>
      </c>
      <c r="F302" s="61">
        <f>Segments!$F$282</f>
        <v>2</v>
      </c>
      <c r="G302" s="61" t="str">
        <f>Segments!$G$282</f>
        <v>Base</v>
      </c>
      <c r="H302" s="62">
        <f>Segments!$H$282</f>
        <v>1</v>
      </c>
      <c r="I302" s="63">
        <f>Segments!$Y$282</f>
        <v>4558.8706688942948</v>
      </c>
      <c r="J302" s="42">
        <v>2</v>
      </c>
      <c r="K302" s="40">
        <f t="shared" si="156"/>
        <v>1426.2297754450396</v>
      </c>
      <c r="L302" s="40">
        <f t="shared" si="157"/>
        <v>4558.8706688942948</v>
      </c>
      <c r="M302" s="40">
        <f t="shared" si="158"/>
        <v>7454.7457822571087</v>
      </c>
      <c r="N302" s="40">
        <f t="shared" si="159"/>
        <v>3260.7024401236636</v>
      </c>
      <c r="O302" s="40">
        <f t="shared" si="160"/>
        <v>1782.7872193062994</v>
      </c>
      <c r="P302" s="41">
        <f t="shared" si="161"/>
        <v>0.95</v>
      </c>
      <c r="Q302" s="41">
        <f t="shared" si="162"/>
        <v>0.02</v>
      </c>
      <c r="R302" s="64">
        <f t="shared" si="163"/>
        <v>1.9</v>
      </c>
      <c r="S302" s="64">
        <f>APPLICANTS_PER_YEAR*($H302/Segments!$AH$2)*Q302</f>
        <v>2.4E-2</v>
      </c>
      <c r="T302" s="64">
        <f t="shared" si="164"/>
        <v>1.9239999999999999</v>
      </c>
      <c r="U302" s="40">
        <f t="shared" si="165"/>
        <v>1853.5393011726298</v>
      </c>
      <c r="V302" s="65">
        <f t="shared" si="166"/>
        <v>3566.2096154561395</v>
      </c>
      <c r="W302" s="65">
        <f t="shared" si="167"/>
        <v>9823.8192269869378</v>
      </c>
      <c r="X302" s="65">
        <f t="shared" si="168"/>
        <v>719.35560377830632</v>
      </c>
      <c r="Y302" s="40">
        <f t="shared" si="169"/>
        <v>1856.6602502997898</v>
      </c>
      <c r="Z302" s="40">
        <f t="shared" si="170"/>
        <v>4695.6367889611238</v>
      </c>
      <c r="AA302" s="40">
        <f t="shared" si="171"/>
        <v>7677.1381557248224</v>
      </c>
      <c r="AB302" s="40">
        <f t="shared" si="172"/>
        <v>3358.2501274826086</v>
      </c>
      <c r="AC302" s="40">
        <f t="shared" si="173"/>
        <v>2320.8253128747374</v>
      </c>
      <c r="AD302" s="41">
        <f t="shared" si="174"/>
        <v>0.92945913425536575</v>
      </c>
      <c r="AE302" s="41">
        <f t="shared" si="175"/>
        <v>0.02</v>
      </c>
      <c r="AF302" s="64">
        <f t="shared" si="176"/>
        <v>2.6935725710720497</v>
      </c>
      <c r="AG302" s="64">
        <f>APPLICANTS_PER_YEAR*($H302/Segments!$AH$2)*AE302</f>
        <v>2.4E-2</v>
      </c>
      <c r="AH302" s="64">
        <f t="shared" si="177"/>
        <v>2.7175725710720497</v>
      </c>
      <c r="AI302" s="40">
        <f t="shared" si="178"/>
        <v>2368.1291124482259</v>
      </c>
      <c r="AJ302" s="65">
        <f t="shared" si="179"/>
        <v>6435.5627207464968</v>
      </c>
      <c r="AK302" s="65">
        <f t="shared" si="180"/>
        <v>14292.021790365297</v>
      </c>
      <c r="AL302" s="65">
        <f t="shared" si="181"/>
        <v>1277.7216016933376</v>
      </c>
      <c r="AM302" s="40">
        <f t="shared" si="182"/>
        <v>6428.907609504422</v>
      </c>
      <c r="AN302" s="40">
        <f t="shared" si="183"/>
        <v>4836.5058926299571</v>
      </c>
      <c r="AO302" s="40">
        <f t="shared" si="184"/>
        <v>7906.202300396566</v>
      </c>
      <c r="AP302" s="40">
        <f t="shared" si="185"/>
        <v>3458.7242235291146</v>
      </c>
      <c r="AQ302" s="40">
        <f t="shared" si="186"/>
        <v>7906.202300396566</v>
      </c>
      <c r="AR302" s="41">
        <f t="shared" si="187"/>
        <v>0.3</v>
      </c>
      <c r="AS302" s="41">
        <f t="shared" si="188"/>
        <v>0.02</v>
      </c>
      <c r="AT302" s="64">
        <f t="shared" si="189"/>
        <v>2.0879999999999999E-2</v>
      </c>
      <c r="AU302" s="64">
        <f>APPLICANTS_PER_YEAR*($H302/Segments!$AH$2)*AS302</f>
        <v>2.4E-2</v>
      </c>
      <c r="AV302" s="64">
        <f t="shared" si="190"/>
        <v>4.4880000000000003E-2</v>
      </c>
      <c r="AW302" s="40">
        <f t="shared" si="191"/>
        <v>7906.2023003965651</v>
      </c>
      <c r="AX302" s="65">
        <f t="shared" si="192"/>
        <v>354.83035924179785</v>
      </c>
      <c r="AY302" s="65">
        <f t="shared" si="193"/>
        <v>243.10987059658041</v>
      </c>
      <c r="AZ302" s="65">
        <f t="shared" si="194"/>
        <v>75.201747829032897</v>
      </c>
    </row>
    <row r="303" spans="1:52" ht="15" customHeight="1" x14ac:dyDescent="0.35">
      <c r="A303" s="61" t="str">
        <f>Segments!$A$283</f>
        <v>Greek</v>
      </c>
      <c r="B303" s="61" t="str">
        <f>Segments!$B$283</f>
        <v>Off 0-1mi</v>
      </c>
      <c r="C303" s="61" t="str">
        <f>Segments!$C$283</f>
        <v>No</v>
      </c>
      <c r="D303" s="61" t="str">
        <f>Segments!$D$283</f>
        <v>3.0+</v>
      </c>
      <c r="E303" s="61" t="str">
        <f>Segments!$E$283</f>
        <v>Senior</v>
      </c>
      <c r="F303" s="61">
        <f>Segments!$F$283</f>
        <v>3</v>
      </c>
      <c r="G303" s="61" t="str">
        <f>Segments!$G$283</f>
        <v>Base</v>
      </c>
      <c r="H303" s="62">
        <f>Segments!$H$283</f>
        <v>0</v>
      </c>
      <c r="I303" s="63">
        <f>Segments!$Y$283</f>
        <v>4261.1192297949792</v>
      </c>
      <c r="J303" s="42">
        <v>3</v>
      </c>
      <c r="K303" s="40">
        <f t="shared" si="156"/>
        <v>1426.2297754450396</v>
      </c>
      <c r="L303" s="40">
        <f t="shared" si="157"/>
        <v>4261.1192297949792</v>
      </c>
      <c r="M303" s="40">
        <f t="shared" si="158"/>
        <v>6970.5787296832132</v>
      </c>
      <c r="N303" s="40">
        <f t="shared" si="159"/>
        <v>3153.0377315151268</v>
      </c>
      <c r="O303" s="40">
        <f t="shared" si="160"/>
        <v>1782.7872193062994</v>
      </c>
      <c r="P303" s="41">
        <f t="shared" si="161"/>
        <v>0.95</v>
      </c>
      <c r="Q303" s="41">
        <f t="shared" si="162"/>
        <v>0.02</v>
      </c>
      <c r="R303" s="64">
        <f t="shared" si="163"/>
        <v>0.95</v>
      </c>
      <c r="S303" s="64">
        <f>APPLICANTS_PER_YEAR*($H303/Segments!$AH$2)*Q303</f>
        <v>0</v>
      </c>
      <c r="T303" s="64">
        <f t="shared" si="164"/>
        <v>0.95</v>
      </c>
      <c r="U303" s="40">
        <f t="shared" si="165"/>
        <v>1782.7872193062994</v>
      </c>
      <c r="V303" s="65">
        <f t="shared" si="166"/>
        <v>1693.6478583409844</v>
      </c>
      <c r="W303" s="65">
        <f t="shared" si="167"/>
        <v>4533.8308605018583</v>
      </c>
      <c r="X303" s="65">
        <f t="shared" si="168"/>
        <v>339.09944522644605</v>
      </c>
      <c r="Y303" s="40">
        <f t="shared" si="169"/>
        <v>1853.5393011726298</v>
      </c>
      <c r="Z303" s="40">
        <f t="shared" si="170"/>
        <v>4388.9528066888288</v>
      </c>
      <c r="AA303" s="40">
        <f t="shared" si="171"/>
        <v>7178.44609157371</v>
      </c>
      <c r="AB303" s="40">
        <f t="shared" si="172"/>
        <v>3247.3461416896071</v>
      </c>
      <c r="AC303" s="40">
        <f t="shared" si="173"/>
        <v>2316.9241264657871</v>
      </c>
      <c r="AD303" s="41">
        <f t="shared" si="174"/>
        <v>0.91825882961459071</v>
      </c>
      <c r="AE303" s="41">
        <f t="shared" si="175"/>
        <v>0.02</v>
      </c>
      <c r="AF303" s="64">
        <f t="shared" si="176"/>
        <v>1.7667299881784724</v>
      </c>
      <c r="AG303" s="64">
        <f>APPLICANTS_PER_YEAR*($H303/Segments!$AH$2)*AE303</f>
        <v>0</v>
      </c>
      <c r="AH303" s="64">
        <f t="shared" si="177"/>
        <v>1.7667299881784724</v>
      </c>
      <c r="AI303" s="40">
        <f t="shared" si="178"/>
        <v>2316.9241264657871</v>
      </c>
      <c r="AJ303" s="65">
        <f t="shared" si="179"/>
        <v>4093.3793345613176</v>
      </c>
      <c r="AK303" s="65">
        <f t="shared" si="180"/>
        <v>8684.5858851104949</v>
      </c>
      <c r="AL303" s="65">
        <f t="shared" si="181"/>
        <v>808.98329399565853</v>
      </c>
      <c r="AM303" s="40">
        <f t="shared" si="182"/>
        <v>2368.1291124482259</v>
      </c>
      <c r="AN303" s="40">
        <f t="shared" si="183"/>
        <v>4520.6213908894933</v>
      </c>
      <c r="AO303" s="40">
        <f t="shared" si="184"/>
        <v>7392.5494743209201</v>
      </c>
      <c r="AP303" s="40">
        <f t="shared" si="185"/>
        <v>3344.4837799112961</v>
      </c>
      <c r="AQ303" s="40">
        <f t="shared" si="186"/>
        <v>2960.1613905602826</v>
      </c>
      <c r="AR303" s="41">
        <f t="shared" si="187"/>
        <v>0.83245615985035615</v>
      </c>
      <c r="AS303" s="41">
        <f t="shared" si="188"/>
        <v>0.02</v>
      </c>
      <c r="AT303" s="64">
        <f t="shared" si="189"/>
        <v>2.2622600266292974</v>
      </c>
      <c r="AU303" s="64">
        <f>APPLICANTS_PER_YEAR*($H303/Segments!$AH$2)*AS303</f>
        <v>0</v>
      </c>
      <c r="AV303" s="64">
        <f t="shared" si="190"/>
        <v>2.2622600266292974</v>
      </c>
      <c r="AW303" s="40">
        <f t="shared" si="191"/>
        <v>2960.1613905602826</v>
      </c>
      <c r="AX303" s="65">
        <f t="shared" si="192"/>
        <v>6696.654786235923</v>
      </c>
      <c r="AY303" s="65">
        <f t="shared" si="193"/>
        <v>11454.039596310795</v>
      </c>
      <c r="AZ303" s="65">
        <f t="shared" si="194"/>
        <v>1310.9129551311753</v>
      </c>
    </row>
    <row r="304" spans="1:52" ht="15" customHeight="1" x14ac:dyDescent="0.35">
      <c r="A304" s="61" t="str">
        <f>Segments!$A$284</f>
        <v>Greek</v>
      </c>
      <c r="B304" s="61" t="str">
        <f>Segments!$B$284</f>
        <v>Off 0-1mi</v>
      </c>
      <c r="C304" s="61" t="str">
        <f>Segments!$C$284</f>
        <v>No</v>
      </c>
      <c r="D304" s="61" t="str">
        <f>Segments!$D$284</f>
        <v>3.0+</v>
      </c>
      <c r="E304" s="61" t="str">
        <f>Segments!$E$284</f>
        <v>Grad student</v>
      </c>
      <c r="F304" s="61">
        <f>Segments!$F$284</f>
        <v>3</v>
      </c>
      <c r="G304" s="61" t="str">
        <f>Segments!$G$284</f>
        <v>Grad</v>
      </c>
      <c r="H304" s="62">
        <f>Segments!$H$284</f>
        <v>1</v>
      </c>
      <c r="I304" s="63">
        <f>Segments!$Y$284</f>
        <v>5073.6312639288662</v>
      </c>
      <c r="J304" s="42">
        <v>4</v>
      </c>
      <c r="K304" s="40">
        <f t="shared" si="156"/>
        <v>1426.2297754450396</v>
      </c>
      <c r="L304" s="40">
        <f t="shared" si="157"/>
        <v>5073.6312639288662</v>
      </c>
      <c r="M304" s="40">
        <f t="shared" si="158"/>
        <v>8291.7866403398857</v>
      </c>
      <c r="N304" s="40">
        <f t="shared" si="159"/>
        <v>3438.8941533711291</v>
      </c>
      <c r="O304" s="40">
        <f t="shared" si="160"/>
        <v>1782.7872193062994</v>
      </c>
      <c r="P304" s="41">
        <f t="shared" si="161"/>
        <v>0.95</v>
      </c>
      <c r="Q304" s="41">
        <f t="shared" si="162"/>
        <v>0.02</v>
      </c>
      <c r="R304" s="64">
        <f t="shared" si="163"/>
        <v>0.47499999999999998</v>
      </c>
      <c r="S304" s="64">
        <f>APPLICANTS_PER_YEAR*($H304/Segments!$AH$2)*Q304</f>
        <v>2.4E-2</v>
      </c>
      <c r="T304" s="64">
        <f t="shared" si="164"/>
        <v>0.499</v>
      </c>
      <c r="U304" s="40">
        <f t="shared" si="165"/>
        <v>2095.8453076926844</v>
      </c>
      <c r="V304" s="65">
        <f t="shared" si="166"/>
        <v>1045.8268085386494</v>
      </c>
      <c r="W304" s="65">
        <f t="shared" si="167"/>
        <v>2835.551040784565</v>
      </c>
      <c r="X304" s="65">
        <f t="shared" si="168"/>
        <v>215.20636759169025</v>
      </c>
      <c r="Y304" s="40">
        <f t="shared" si="169"/>
        <v>2095.8453076926844</v>
      </c>
      <c r="Z304" s="40">
        <f t="shared" si="170"/>
        <v>5225.8402018467323</v>
      </c>
      <c r="AA304" s="40">
        <f t="shared" si="171"/>
        <v>8539.2902395500823</v>
      </c>
      <c r="AB304" s="40">
        <f t="shared" si="172"/>
        <v>3541.8017591104581</v>
      </c>
      <c r="AC304" s="40">
        <f t="shared" si="173"/>
        <v>2619.8066346158557</v>
      </c>
      <c r="AD304" s="41">
        <f t="shared" si="174"/>
        <v>0.90515905282148912</v>
      </c>
      <c r="AE304" s="41">
        <f t="shared" si="175"/>
        <v>0.02</v>
      </c>
      <c r="AF304" s="64">
        <f t="shared" si="176"/>
        <v>0.22583718367896152</v>
      </c>
      <c r="AG304" s="64">
        <f>APPLICANTS_PER_YEAR*($H304/Segments!$AH$2)*AE304</f>
        <v>2.4E-2</v>
      </c>
      <c r="AH304" s="64">
        <f t="shared" si="177"/>
        <v>0.24983718367896152</v>
      </c>
      <c r="AI304" s="40">
        <f t="shared" si="178"/>
        <v>3188.447396677027</v>
      </c>
      <c r="AJ304" s="65">
        <f t="shared" si="179"/>
        <v>796.59271789430511</v>
      </c>
      <c r="AK304" s="65">
        <f t="shared" si="180"/>
        <v>1462.2823021919655</v>
      </c>
      <c r="AL304" s="65">
        <f t="shared" si="181"/>
        <v>163.32577115682497</v>
      </c>
      <c r="AM304" s="40">
        <f t="shared" si="182"/>
        <v>3188.447396677027</v>
      </c>
      <c r="AN304" s="40">
        <f t="shared" si="183"/>
        <v>5382.6154079021344</v>
      </c>
      <c r="AO304" s="40">
        <f t="shared" si="184"/>
        <v>8794.2189467365861</v>
      </c>
      <c r="AP304" s="40">
        <f t="shared" si="185"/>
        <v>3647.7965743251102</v>
      </c>
      <c r="AQ304" s="40">
        <f t="shared" si="186"/>
        <v>3985.5592458462838</v>
      </c>
      <c r="AR304" s="41">
        <f t="shared" si="187"/>
        <v>0.72870319251099358</v>
      </c>
      <c r="AS304" s="41">
        <f t="shared" si="188"/>
        <v>0.02</v>
      </c>
      <c r="AT304" s="64">
        <f t="shared" si="189"/>
        <v>9.102857667740738E-2</v>
      </c>
      <c r="AU304" s="64">
        <f>APPLICANTS_PER_YEAR*($H304/Segments!$AH$2)*AS304</f>
        <v>2.4E-2</v>
      </c>
      <c r="AV304" s="64">
        <f t="shared" si="190"/>
        <v>0.11502857667740737</v>
      </c>
      <c r="AW304" s="40">
        <f t="shared" si="191"/>
        <v>4988.8563060630986</v>
      </c>
      <c r="AX304" s="65">
        <f t="shared" si="192"/>
        <v>573.86104013454644</v>
      </c>
      <c r="AY304" s="65">
        <f t="shared" si="193"/>
        <v>693.45313987360885</v>
      </c>
      <c r="AZ304" s="65">
        <f t="shared" si="194"/>
        <v>118.74745203423618</v>
      </c>
    </row>
    <row r="305" spans="1:52" ht="15" customHeight="1" x14ac:dyDescent="0.35">
      <c r="A305" s="59" t="str">
        <f>Segments!$A$285</f>
        <v>Greek</v>
      </c>
      <c r="B305" s="59" t="str">
        <f>Segments!$B$285</f>
        <v>Off 1-3mi</v>
      </c>
      <c r="C305" s="59" t="str">
        <f>Segments!$C$285</f>
        <v>Yes</v>
      </c>
      <c r="D305" s="59" t="str">
        <f>Segments!$D$285</f>
        <v>&lt;1.0</v>
      </c>
      <c r="E305" s="59" t="str">
        <f>Segments!$E$285</f>
        <v>Freshman</v>
      </c>
      <c r="F305" s="59">
        <f>Segments!$F$285</f>
        <v>1</v>
      </c>
      <c r="G305" s="59" t="str">
        <f>Segments!$G$285</f>
        <v>Base</v>
      </c>
      <c r="H305" s="60">
        <f>Segments!$H$285</f>
        <v>3</v>
      </c>
      <c r="I305" s="26">
        <f>Segments!$Y$285</f>
        <v>2753.0103553153635</v>
      </c>
      <c r="J305" s="29">
        <v>0</v>
      </c>
      <c r="K305" s="14">
        <f t="shared" si="156"/>
        <v>4518.2761281371659</v>
      </c>
      <c r="L305" s="14">
        <f t="shared" si="157"/>
        <v>2753.0103553153635</v>
      </c>
      <c r="M305" s="14">
        <f t="shared" si="158"/>
        <v>4518.2761281371659</v>
      </c>
      <c r="N305" s="14">
        <f t="shared" si="159"/>
        <v>2538.5231824097559</v>
      </c>
      <c r="O305" s="14">
        <f t="shared" si="160"/>
        <v>4518.2761281371659</v>
      </c>
      <c r="P305" s="33">
        <f t="shared" si="161"/>
        <v>0.46005813154558617</v>
      </c>
      <c r="Q305" s="33">
        <f t="shared" si="162"/>
        <v>0.02</v>
      </c>
      <c r="R305" s="51">
        <f t="shared" si="163"/>
        <v>0</v>
      </c>
      <c r="S305" s="51">
        <f>APPLICANTS_PER_YEAR*($H305/Segments!$AH$2)*Q305</f>
        <v>7.1999999999999995E-2</v>
      </c>
      <c r="T305" s="51">
        <f t="shared" si="164"/>
        <v>7.1999999999999995E-2</v>
      </c>
      <c r="U305" s="14">
        <f t="shared" si="165"/>
        <v>4518.2761281371659</v>
      </c>
      <c r="V305" s="44">
        <f t="shared" si="166"/>
        <v>325.3158812258759</v>
      </c>
      <c r="W305" s="44">
        <f t="shared" si="167"/>
        <v>222.0027550526309</v>
      </c>
      <c r="X305" s="44">
        <f t="shared" si="168"/>
        <v>76.110757394596192</v>
      </c>
      <c r="Y305" s="14">
        <f t="shared" si="169"/>
        <v>4652.5744119812816</v>
      </c>
      <c r="Z305" s="14">
        <f t="shared" si="170"/>
        <v>2835.6006659748246</v>
      </c>
      <c r="AA305" s="14">
        <f t="shared" si="171"/>
        <v>4652.5744119812816</v>
      </c>
      <c r="AB305" s="14">
        <f t="shared" si="172"/>
        <v>2614.3277077686034</v>
      </c>
      <c r="AC305" s="14">
        <f t="shared" si="173"/>
        <v>4652.5744119812816</v>
      </c>
      <c r="AD305" s="33">
        <f t="shared" si="174"/>
        <v>0.46017765711698499</v>
      </c>
      <c r="AE305" s="33">
        <f t="shared" si="175"/>
        <v>0.02</v>
      </c>
      <c r="AF305" s="51">
        <f t="shared" si="176"/>
        <v>0</v>
      </c>
      <c r="AG305" s="51">
        <f>APPLICANTS_PER_YEAR*($H305/Segments!$AH$2)*AE305</f>
        <v>7.1999999999999995E-2</v>
      </c>
      <c r="AH305" s="51">
        <f t="shared" si="177"/>
        <v>7.1999999999999995E-2</v>
      </c>
      <c r="AI305" s="14">
        <f t="shared" si="178"/>
        <v>4652.5744119812816</v>
      </c>
      <c r="AJ305" s="44">
        <f t="shared" si="179"/>
        <v>334.98535766265223</v>
      </c>
      <c r="AK305" s="44">
        <f t="shared" si="180"/>
        <v>228.66283770420986</v>
      </c>
      <c r="AL305" s="44">
        <f t="shared" si="181"/>
        <v>78.276720116434092</v>
      </c>
      <c r="AM305" s="14">
        <f t="shared" si="182"/>
        <v>4790.901644340719</v>
      </c>
      <c r="AN305" s="14">
        <f t="shared" si="183"/>
        <v>2920.6686859540691</v>
      </c>
      <c r="AO305" s="14">
        <f t="shared" si="184"/>
        <v>4790.901644340719</v>
      </c>
      <c r="AP305" s="14">
        <f t="shared" si="185"/>
        <v>2692.406322398112</v>
      </c>
      <c r="AQ305" s="14">
        <f t="shared" si="186"/>
        <v>4790.901644340719</v>
      </c>
      <c r="AR305" s="33">
        <f t="shared" si="187"/>
        <v>0.46029371672372832</v>
      </c>
      <c r="AS305" s="33">
        <f t="shared" si="188"/>
        <v>0.02</v>
      </c>
      <c r="AT305" s="51">
        <f t="shared" si="189"/>
        <v>0</v>
      </c>
      <c r="AU305" s="51">
        <f>APPLICANTS_PER_YEAR*($H305/Segments!$AH$2)*AS305</f>
        <v>7.1999999999999995E-2</v>
      </c>
      <c r="AV305" s="51">
        <f t="shared" si="190"/>
        <v>7.1999999999999995E-2</v>
      </c>
      <c r="AW305" s="14">
        <f t="shared" si="191"/>
        <v>4790.901644340719</v>
      </c>
      <c r="AX305" s="44">
        <f t="shared" si="192"/>
        <v>344.94491839253175</v>
      </c>
      <c r="AY305" s="44">
        <f t="shared" si="193"/>
        <v>235.52272283533614</v>
      </c>
      <c r="AZ305" s="44">
        <f t="shared" si="194"/>
        <v>80.507661719927114</v>
      </c>
    </row>
    <row r="306" spans="1:52" ht="15" customHeight="1" x14ac:dyDescent="0.35">
      <c r="A306" s="59" t="str">
        <f>Segments!$A$286</f>
        <v>Greek</v>
      </c>
      <c r="B306" s="59" t="str">
        <f>Segments!$B$286</f>
        <v>Off 1-3mi</v>
      </c>
      <c r="C306" s="59" t="str">
        <f>Segments!$C$286</f>
        <v>Yes</v>
      </c>
      <c r="D306" s="59" t="str">
        <f>Segments!$D$286</f>
        <v>&lt;1.0</v>
      </c>
      <c r="E306" s="59" t="str">
        <f>Segments!$E$286</f>
        <v>Sophomore</v>
      </c>
      <c r="F306" s="59">
        <f>Segments!$F$286</f>
        <v>1</v>
      </c>
      <c r="G306" s="59" t="str">
        <f>Segments!$G$286</f>
        <v>Sophomore</v>
      </c>
      <c r="H306" s="60">
        <f>Segments!$H$286</f>
        <v>6</v>
      </c>
      <c r="I306" s="26">
        <f>Segments!$Y$286</f>
        <v>2725.0018964460928</v>
      </c>
      <c r="J306" s="29">
        <v>1</v>
      </c>
      <c r="K306" s="14">
        <f t="shared" si="156"/>
        <v>1426.2297754450396</v>
      </c>
      <c r="L306" s="14">
        <f t="shared" si="157"/>
        <v>2725.0018964460928</v>
      </c>
      <c r="M306" s="14">
        <f t="shared" si="158"/>
        <v>4472.732190486041</v>
      </c>
      <c r="N306" s="14">
        <f t="shared" si="159"/>
        <v>2525.6967014395664</v>
      </c>
      <c r="O306" s="14">
        <f t="shared" si="160"/>
        <v>1782.7872193062994</v>
      </c>
      <c r="P306" s="33">
        <f t="shared" si="161"/>
        <v>0.92207020872890877</v>
      </c>
      <c r="Q306" s="33">
        <f t="shared" si="162"/>
        <v>0.02</v>
      </c>
      <c r="R306" s="51">
        <f t="shared" si="163"/>
        <v>2.7662106261867265</v>
      </c>
      <c r="S306" s="51">
        <f>APPLICANTS_PER_YEAR*($H306/Segments!$AH$2)*Q306</f>
        <v>0.14399999999999999</v>
      </c>
      <c r="T306" s="51">
        <f t="shared" si="164"/>
        <v>2.9102106261867267</v>
      </c>
      <c r="U306" s="14">
        <f t="shared" si="165"/>
        <v>1915.8882644211794</v>
      </c>
      <c r="V306" s="44">
        <f t="shared" si="166"/>
        <v>5575.6383857049614</v>
      </c>
      <c r="W306" s="44">
        <f t="shared" si="167"/>
        <v>8881.9690124663703</v>
      </c>
      <c r="X306" s="44">
        <f t="shared" si="168"/>
        <v>1138.1424376620216</v>
      </c>
      <c r="Y306" s="14">
        <f t="shared" si="169"/>
        <v>4518.2761281371659</v>
      </c>
      <c r="Z306" s="14">
        <f t="shared" si="170"/>
        <v>2806.7519533394757</v>
      </c>
      <c r="AA306" s="14">
        <f t="shared" si="171"/>
        <v>4605.6641562006225</v>
      </c>
      <c r="AB306" s="14">
        <f t="shared" si="172"/>
        <v>2601.1146487480091</v>
      </c>
      <c r="AC306" s="14">
        <f t="shared" si="173"/>
        <v>4605.6641562006225</v>
      </c>
      <c r="AD306" s="33">
        <f t="shared" si="174"/>
        <v>0.4588725999501575</v>
      </c>
      <c r="AE306" s="33">
        <f t="shared" si="175"/>
        <v>0.02</v>
      </c>
      <c r="AF306" s="51">
        <f t="shared" si="176"/>
        <v>3.3038827196411338E-2</v>
      </c>
      <c r="AG306" s="51">
        <f>APPLICANTS_PER_YEAR*($H306/Segments!$AH$2)*AE306</f>
        <v>0.14399999999999999</v>
      </c>
      <c r="AH306" s="51">
        <f t="shared" si="177"/>
        <v>0.17703882719641134</v>
      </c>
      <c r="AI306" s="14">
        <f t="shared" si="178"/>
        <v>4605.6641562006225</v>
      </c>
      <c r="AJ306" s="44">
        <f t="shared" si="179"/>
        <v>815.38138067430759</v>
      </c>
      <c r="AK306" s="44">
        <f t="shared" si="180"/>
        <v>556.53256293651236</v>
      </c>
      <c r="AL306" s="44">
        <f t="shared" si="181"/>
        <v>184.4604048386235</v>
      </c>
      <c r="AM306" s="14">
        <f t="shared" si="182"/>
        <v>4652.5744119812816</v>
      </c>
      <c r="AN306" s="14">
        <f t="shared" si="183"/>
        <v>2890.9545119396598</v>
      </c>
      <c r="AO306" s="14">
        <f t="shared" si="184"/>
        <v>4742.5840808866405</v>
      </c>
      <c r="AP306" s="14">
        <f t="shared" si="185"/>
        <v>2678.7950872735196</v>
      </c>
      <c r="AQ306" s="14">
        <f t="shared" si="186"/>
        <v>4742.5840808866405</v>
      </c>
      <c r="AR306" s="33">
        <f t="shared" si="187"/>
        <v>0.45898769029438763</v>
      </c>
      <c r="AS306" s="33">
        <f t="shared" si="188"/>
        <v>0.02</v>
      </c>
      <c r="AT306" s="51">
        <f t="shared" si="189"/>
        <v>3.304711370119591E-2</v>
      </c>
      <c r="AU306" s="51">
        <f>APPLICANTS_PER_YEAR*($H306/Segments!$AH$2)*AS306</f>
        <v>0.14399999999999999</v>
      </c>
      <c r="AV306" s="51">
        <f t="shared" si="190"/>
        <v>0.17704711370119591</v>
      </c>
      <c r="AW306" s="14">
        <f t="shared" si="191"/>
        <v>4742.5840808866396</v>
      </c>
      <c r="AX306" s="44">
        <f t="shared" si="192"/>
        <v>839.66082300621861</v>
      </c>
      <c r="AY306" s="44">
        <f t="shared" si="193"/>
        <v>573.2553704420103</v>
      </c>
      <c r="AZ306" s="44">
        <f t="shared" si="194"/>
        <v>189.73946158986789</v>
      </c>
    </row>
    <row r="307" spans="1:52" ht="15" customHeight="1" x14ac:dyDescent="0.35">
      <c r="A307" s="59" t="str">
        <f>Segments!$A$287</f>
        <v>Greek</v>
      </c>
      <c r="B307" s="59" t="str">
        <f>Segments!$B$287</f>
        <v>Off 1-3mi</v>
      </c>
      <c r="C307" s="59" t="str">
        <f>Segments!$C$287</f>
        <v>Yes</v>
      </c>
      <c r="D307" s="59" t="str">
        <f>Segments!$D$287</f>
        <v>&lt;1.0</v>
      </c>
      <c r="E307" s="59" t="str">
        <f>Segments!$E$287</f>
        <v>Junior</v>
      </c>
      <c r="F307" s="59">
        <f>Segments!$F$287</f>
        <v>2</v>
      </c>
      <c r="G307" s="59" t="str">
        <f>Segments!$G$287</f>
        <v>Base</v>
      </c>
      <c r="H307" s="60">
        <f>Segments!$H$287</f>
        <v>3</v>
      </c>
      <c r="I307" s="26">
        <f>Segments!$Y$287</f>
        <v>3257.5370921735494</v>
      </c>
      <c r="J307" s="29">
        <v>2</v>
      </c>
      <c r="K307" s="14">
        <f t="shared" si="156"/>
        <v>1426.2297754450396</v>
      </c>
      <c r="L307" s="14">
        <f t="shared" si="157"/>
        <v>3257.5370921735494</v>
      </c>
      <c r="M307" s="14">
        <f t="shared" si="158"/>
        <v>5338.6759349971253</v>
      </c>
      <c r="N307" s="14">
        <f t="shared" si="159"/>
        <v>2759.3801079127875</v>
      </c>
      <c r="O307" s="14">
        <f t="shared" si="160"/>
        <v>1782.7872193062994</v>
      </c>
      <c r="P307" s="33">
        <f t="shared" si="161"/>
        <v>0.95</v>
      </c>
      <c r="Q307" s="33">
        <f t="shared" si="162"/>
        <v>0.02</v>
      </c>
      <c r="R307" s="51">
        <f t="shared" si="163"/>
        <v>5.6999999999999993</v>
      </c>
      <c r="S307" s="51">
        <f>APPLICANTS_PER_YEAR*($H307/Segments!$AH$2)*Q307</f>
        <v>7.1999999999999995E-2</v>
      </c>
      <c r="T307" s="51">
        <f t="shared" si="164"/>
        <v>5.7719999999999994</v>
      </c>
      <c r="U307" s="14">
        <f t="shared" si="165"/>
        <v>1827.1434195020272</v>
      </c>
      <c r="V307" s="44">
        <f t="shared" si="166"/>
        <v>10546.271817365699</v>
      </c>
      <c r="W307" s="44">
        <f t="shared" si="167"/>
        <v>21058.804587548813</v>
      </c>
      <c r="X307" s="44">
        <f t="shared" si="168"/>
        <v>2123.9388368383102</v>
      </c>
      <c r="Y307" s="14">
        <f t="shared" si="169"/>
        <v>1915.8882644211794</v>
      </c>
      <c r="Z307" s="14">
        <f t="shared" si="170"/>
        <v>3355.2632049387557</v>
      </c>
      <c r="AA307" s="14">
        <f t="shared" si="171"/>
        <v>5497.5862130470387</v>
      </c>
      <c r="AB307" s="14">
        <f t="shared" si="172"/>
        <v>2841.8384515358252</v>
      </c>
      <c r="AC307" s="14">
        <f t="shared" si="173"/>
        <v>2394.8603305264742</v>
      </c>
      <c r="AD307" s="33">
        <f t="shared" si="174"/>
        <v>0.85364242261339474</v>
      </c>
      <c r="AE307" s="33">
        <f t="shared" si="175"/>
        <v>0.02</v>
      </c>
      <c r="AF307" s="51">
        <f t="shared" si="176"/>
        <v>2.4842792492532819</v>
      </c>
      <c r="AG307" s="51">
        <f>APPLICANTS_PER_YEAR*($H307/Segments!$AH$2)*AE307</f>
        <v>7.1999999999999995E-2</v>
      </c>
      <c r="AH307" s="51">
        <f t="shared" si="177"/>
        <v>2.556279249253282</v>
      </c>
      <c r="AI307" s="14">
        <f t="shared" si="178"/>
        <v>2482.2515119111908</v>
      </c>
      <c r="AJ307" s="44">
        <f t="shared" si="179"/>
        <v>6345.328031326163</v>
      </c>
      <c r="AK307" s="44">
        <f t="shared" si="180"/>
        <v>9606.2284713561639</v>
      </c>
      <c r="AL307" s="44">
        <f t="shared" si="181"/>
        <v>1266.0465001625889</v>
      </c>
      <c r="AM307" s="14">
        <f t="shared" si="182"/>
        <v>4605.6641562006225</v>
      </c>
      <c r="AN307" s="14">
        <f t="shared" si="183"/>
        <v>3455.9211010869185</v>
      </c>
      <c r="AO307" s="14">
        <f t="shared" si="184"/>
        <v>5661.2637994384504</v>
      </c>
      <c r="AP307" s="14">
        <f t="shared" si="185"/>
        <v>2926.7705092730439</v>
      </c>
      <c r="AQ307" s="14">
        <f t="shared" si="186"/>
        <v>5661.2637994384504</v>
      </c>
      <c r="AR307" s="33">
        <f t="shared" si="187"/>
        <v>0.31408922805868145</v>
      </c>
      <c r="AS307" s="33">
        <f t="shared" si="188"/>
        <v>0.02</v>
      </c>
      <c r="AT307" s="51">
        <f t="shared" si="189"/>
        <v>5.5605988570535135E-2</v>
      </c>
      <c r="AU307" s="51">
        <f>APPLICANTS_PER_YEAR*($H307/Segments!$AH$2)*AS307</f>
        <v>7.1999999999999995E-2</v>
      </c>
      <c r="AV307" s="51">
        <f t="shared" si="190"/>
        <v>0.12760598857053512</v>
      </c>
      <c r="AW307" s="14">
        <f t="shared" si="191"/>
        <v>5661.2637994384513</v>
      </c>
      <c r="AX307" s="44">
        <f t="shared" si="192"/>
        <v>722.41116368592725</v>
      </c>
      <c r="AY307" s="44">
        <f t="shared" si="193"/>
        <v>493.91577594908478</v>
      </c>
      <c r="AZ307" s="44">
        <f t="shared" si="194"/>
        <v>155.15421448263587</v>
      </c>
    </row>
    <row r="308" spans="1:52" ht="15" customHeight="1" x14ac:dyDescent="0.35">
      <c r="A308" s="59" t="str">
        <f>Segments!$A$288</f>
        <v>Greek</v>
      </c>
      <c r="B308" s="59" t="str">
        <f>Segments!$B$288</f>
        <v>Off 1-3mi</v>
      </c>
      <c r="C308" s="59" t="str">
        <f>Segments!$C$288</f>
        <v>Yes</v>
      </c>
      <c r="D308" s="59" t="str">
        <f>Segments!$D$288</f>
        <v>&lt;1.0</v>
      </c>
      <c r="E308" s="59" t="str">
        <f>Segments!$E$288</f>
        <v>Senior</v>
      </c>
      <c r="F308" s="59">
        <f>Segments!$F$288</f>
        <v>3</v>
      </c>
      <c r="G308" s="59" t="str">
        <f>Segments!$G$288</f>
        <v>Base</v>
      </c>
      <c r="H308" s="60">
        <f>Segments!$H$288</f>
        <v>1</v>
      </c>
      <c r="I308" s="26">
        <f>Segments!$Y$288</f>
        <v>3044.7790589764113</v>
      </c>
      <c r="J308" s="29">
        <v>3</v>
      </c>
      <c r="K308" s="14">
        <f t="shared" si="156"/>
        <v>1426.2297754450396</v>
      </c>
      <c r="L308" s="14">
        <f t="shared" si="157"/>
        <v>3044.7790589764113</v>
      </c>
      <c r="M308" s="14">
        <f t="shared" si="158"/>
        <v>4992.7147864764693</v>
      </c>
      <c r="N308" s="14">
        <f t="shared" si="159"/>
        <v>2668.4749368838866</v>
      </c>
      <c r="O308" s="14">
        <f t="shared" si="160"/>
        <v>1782.7872193062994</v>
      </c>
      <c r="P308" s="33">
        <f t="shared" si="161"/>
        <v>0.94095391347610891</v>
      </c>
      <c r="Q308" s="33">
        <f t="shared" si="162"/>
        <v>0.02</v>
      </c>
      <c r="R308" s="51">
        <f t="shared" si="163"/>
        <v>2.8228617404283267</v>
      </c>
      <c r="S308" s="51">
        <f>APPLICANTS_PER_YEAR*($H308/Segments!$AH$2)*Q308</f>
        <v>2.4E-2</v>
      </c>
      <c r="T308" s="51">
        <f t="shared" si="164"/>
        <v>2.8468617404283267</v>
      </c>
      <c r="U308" s="14">
        <f t="shared" si="165"/>
        <v>1809.8479860861057</v>
      </c>
      <c r="V308" s="44">
        <f t="shared" si="166"/>
        <v>5152.3869875797927</v>
      </c>
      <c r="W308" s="44">
        <f t="shared" si="167"/>
        <v>9708.2328123841871</v>
      </c>
      <c r="X308" s="44">
        <f t="shared" si="168"/>
        <v>1035.5322558817875</v>
      </c>
      <c r="Y308" s="14">
        <f t="shared" si="169"/>
        <v>1827.1434195020272</v>
      </c>
      <c r="Z308" s="14">
        <f t="shared" si="170"/>
        <v>3136.1224307457037</v>
      </c>
      <c r="AA308" s="14">
        <f t="shared" si="171"/>
        <v>5141.246230070763</v>
      </c>
      <c r="AB308" s="14">
        <f t="shared" si="172"/>
        <v>2748.1951186020478</v>
      </c>
      <c r="AC308" s="14">
        <f t="shared" si="173"/>
        <v>2283.9292743775341</v>
      </c>
      <c r="AD308" s="33">
        <f t="shared" si="174"/>
        <v>0.85946740937024091</v>
      </c>
      <c r="AE308" s="33">
        <f t="shared" si="175"/>
        <v>0.02</v>
      </c>
      <c r="AF308" s="51">
        <f t="shared" si="176"/>
        <v>4.9608458868850303</v>
      </c>
      <c r="AG308" s="51">
        <f>APPLICANTS_PER_YEAR*($H308/Segments!$AH$2)*AE308</f>
        <v>2.4E-2</v>
      </c>
      <c r="AH308" s="51">
        <f t="shared" si="177"/>
        <v>4.9848458868850303</v>
      </c>
      <c r="AI308" s="14">
        <f t="shared" si="178"/>
        <v>2297.6860902335784</v>
      </c>
      <c r="AJ308" s="44">
        <f t="shared" si="179"/>
        <v>11453.6110562538</v>
      </c>
      <c r="AK308" s="44">
        <f t="shared" si="180"/>
        <v>17509.057439631077</v>
      </c>
      <c r="AL308" s="44">
        <f t="shared" si="181"/>
        <v>2269.3480542029279</v>
      </c>
      <c r="AM308" s="14">
        <f t="shared" si="182"/>
        <v>2482.2515119111908</v>
      </c>
      <c r="AN308" s="14">
        <f t="shared" si="183"/>
        <v>3230.2061036680748</v>
      </c>
      <c r="AO308" s="14">
        <f t="shared" si="184"/>
        <v>5294.233616972886</v>
      </c>
      <c r="AP308" s="14">
        <f t="shared" si="185"/>
        <v>2830.3068657498197</v>
      </c>
      <c r="AQ308" s="14">
        <f t="shared" si="186"/>
        <v>3102.8143898889884</v>
      </c>
      <c r="AR308" s="33">
        <f t="shared" si="187"/>
        <v>0.72685901439931422</v>
      </c>
      <c r="AS308" s="33">
        <f t="shared" si="188"/>
        <v>0.02</v>
      </c>
      <c r="AT308" s="51">
        <f t="shared" si="189"/>
        <v>1.8580546156416595</v>
      </c>
      <c r="AU308" s="51">
        <f>APPLICANTS_PER_YEAR*($H308/Segments!$AH$2)*AS308</f>
        <v>2.4E-2</v>
      </c>
      <c r="AV308" s="51">
        <f t="shared" si="190"/>
        <v>1.8820546156416595</v>
      </c>
      <c r="AW308" s="14">
        <f t="shared" si="191"/>
        <v>3130.7594139137468</v>
      </c>
      <c r="AX308" s="44">
        <f t="shared" si="192"/>
        <v>5892.2602054199442</v>
      </c>
      <c r="AY308" s="44">
        <f t="shared" si="193"/>
        <v>6808.9552237082444</v>
      </c>
      <c r="AZ308" s="44">
        <f t="shared" si="194"/>
        <v>1156.3254273754599</v>
      </c>
    </row>
    <row r="309" spans="1:52" ht="15" customHeight="1" x14ac:dyDescent="0.35">
      <c r="A309" s="59" t="str">
        <f>Segments!$A$289</f>
        <v>Greek</v>
      </c>
      <c r="B309" s="59" t="str">
        <f>Segments!$B$289</f>
        <v>Off 1-3mi</v>
      </c>
      <c r="C309" s="59" t="str">
        <f>Segments!$C$289</f>
        <v>Yes</v>
      </c>
      <c r="D309" s="59" t="str">
        <f>Segments!$D$289</f>
        <v>&lt;1.0</v>
      </c>
      <c r="E309" s="59" t="str">
        <f>Segments!$E$289</f>
        <v>Grad student</v>
      </c>
      <c r="F309" s="59">
        <f>Segments!$F$289</f>
        <v>3</v>
      </c>
      <c r="G309" s="59" t="str">
        <f>Segments!$G$289</f>
        <v>Grad</v>
      </c>
      <c r="H309" s="60">
        <f>Segments!$H$289</f>
        <v>0</v>
      </c>
      <c r="I309" s="26">
        <f>Segments!$Y$289</f>
        <v>3625.3588299902863</v>
      </c>
      <c r="J309" s="29">
        <v>4</v>
      </c>
      <c r="K309" s="14">
        <f t="shared" si="156"/>
        <v>1426.2297754450396</v>
      </c>
      <c r="L309" s="14">
        <f t="shared" si="157"/>
        <v>3625.3588299902863</v>
      </c>
      <c r="M309" s="14">
        <f t="shared" si="158"/>
        <v>5936.7827559416128</v>
      </c>
      <c r="N309" s="14">
        <f t="shared" si="159"/>
        <v>2909.8481638863204</v>
      </c>
      <c r="O309" s="14">
        <f t="shared" si="160"/>
        <v>1782.7872193062994</v>
      </c>
      <c r="P309" s="33">
        <f t="shared" si="161"/>
        <v>0.95</v>
      </c>
      <c r="Q309" s="33">
        <f t="shared" si="162"/>
        <v>0.02</v>
      </c>
      <c r="R309" s="51">
        <f t="shared" si="163"/>
        <v>0</v>
      </c>
      <c r="S309" s="51">
        <f>APPLICANTS_PER_YEAR*($H309/Segments!$AH$2)*Q309</f>
        <v>0</v>
      </c>
      <c r="T309" s="51">
        <f t="shared" si="164"/>
        <v>0</v>
      </c>
      <c r="U309" s="14">
        <f t="shared" si="165"/>
        <v>5936.7827559416128</v>
      </c>
      <c r="V309" s="44">
        <f t="shared" si="166"/>
        <v>0</v>
      </c>
      <c r="W309" s="44">
        <f t="shared" si="167"/>
        <v>0</v>
      </c>
      <c r="X309" s="44">
        <f t="shared" si="168"/>
        <v>0</v>
      </c>
      <c r="Y309" s="14">
        <f t="shared" si="169"/>
        <v>5936.7827559416128</v>
      </c>
      <c r="Z309" s="14">
        <f t="shared" si="170"/>
        <v>3734.1195948899949</v>
      </c>
      <c r="AA309" s="14">
        <f t="shared" si="171"/>
        <v>6113.6362386198607</v>
      </c>
      <c r="AB309" s="14">
        <f t="shared" si="172"/>
        <v>2996.837256334125</v>
      </c>
      <c r="AC309" s="14">
        <f t="shared" si="173"/>
        <v>6113.6362386198607</v>
      </c>
      <c r="AD309" s="33">
        <f t="shared" si="174"/>
        <v>0.32104844405528293</v>
      </c>
      <c r="AE309" s="33">
        <f t="shared" si="175"/>
        <v>0.02</v>
      </c>
      <c r="AF309" s="51">
        <f t="shared" si="176"/>
        <v>0</v>
      </c>
      <c r="AG309" s="51">
        <f>APPLICANTS_PER_YEAR*($H309/Segments!$AH$2)*AE309</f>
        <v>0</v>
      </c>
      <c r="AH309" s="51">
        <f t="shared" si="177"/>
        <v>0</v>
      </c>
      <c r="AI309" s="14">
        <f t="shared" si="178"/>
        <v>6113.6362386198607</v>
      </c>
      <c r="AJ309" s="44">
        <f t="shared" si="179"/>
        <v>0</v>
      </c>
      <c r="AK309" s="44">
        <f t="shared" si="180"/>
        <v>0</v>
      </c>
      <c r="AL309" s="44">
        <f t="shared" si="181"/>
        <v>0</v>
      </c>
      <c r="AM309" s="14">
        <f t="shared" si="182"/>
        <v>6113.6362386198607</v>
      </c>
      <c r="AN309" s="14">
        <f t="shared" si="183"/>
        <v>3846.1431827366946</v>
      </c>
      <c r="AO309" s="14">
        <f t="shared" si="184"/>
        <v>6295.7953257784566</v>
      </c>
      <c r="AP309" s="14">
        <f t="shared" si="185"/>
        <v>3086.4359906914115</v>
      </c>
      <c r="AQ309" s="14">
        <f t="shared" si="186"/>
        <v>6295.7953257784566</v>
      </c>
      <c r="AR309" s="33">
        <f t="shared" si="187"/>
        <v>0.32114786126360872</v>
      </c>
      <c r="AS309" s="33">
        <f t="shared" si="188"/>
        <v>0.02</v>
      </c>
      <c r="AT309" s="51">
        <f t="shared" si="189"/>
        <v>0</v>
      </c>
      <c r="AU309" s="51">
        <f>APPLICANTS_PER_YEAR*($H309/Segments!$AH$2)*AS309</f>
        <v>0</v>
      </c>
      <c r="AV309" s="51">
        <f t="shared" si="190"/>
        <v>0</v>
      </c>
      <c r="AW309" s="14">
        <f t="shared" si="191"/>
        <v>6295.7953257784566</v>
      </c>
      <c r="AX309" s="44">
        <f t="shared" si="192"/>
        <v>0</v>
      </c>
      <c r="AY309" s="44">
        <f t="shared" si="193"/>
        <v>0</v>
      </c>
      <c r="AZ309" s="44">
        <f t="shared" si="194"/>
        <v>0</v>
      </c>
    </row>
    <row r="310" spans="1:52" ht="15" customHeight="1" x14ac:dyDescent="0.35">
      <c r="A310" s="61" t="str">
        <f>Segments!$A$290</f>
        <v>Greek</v>
      </c>
      <c r="B310" s="61" t="str">
        <f>Segments!$B$290</f>
        <v>Off 1-3mi</v>
      </c>
      <c r="C310" s="61" t="str">
        <f>Segments!$C$290</f>
        <v>Yes</v>
      </c>
      <c r="D310" s="61" t="str">
        <f>Segments!$D$290</f>
        <v>1.0-2.0</v>
      </c>
      <c r="E310" s="61" t="str">
        <f>Segments!$E$290</f>
        <v>Freshman</v>
      </c>
      <c r="F310" s="61">
        <f>Segments!$F$290</f>
        <v>1</v>
      </c>
      <c r="G310" s="61" t="str">
        <f>Segments!$G$290</f>
        <v>Base</v>
      </c>
      <c r="H310" s="62">
        <f>Segments!$H$290</f>
        <v>7</v>
      </c>
      <c r="I310" s="63">
        <f>Segments!$Y$290</f>
        <v>2498.139637132188</v>
      </c>
      <c r="J310" s="42">
        <v>0</v>
      </c>
      <c r="K310" s="40">
        <f t="shared" si="156"/>
        <v>4103.8364707389701</v>
      </c>
      <c r="L310" s="40">
        <f t="shared" si="157"/>
        <v>2498.139637132188</v>
      </c>
      <c r="M310" s="40">
        <f t="shared" si="158"/>
        <v>4103.8364707389701</v>
      </c>
      <c r="N310" s="40">
        <f t="shared" si="159"/>
        <v>2419.3002641518488</v>
      </c>
      <c r="O310" s="40">
        <f t="shared" si="160"/>
        <v>4103.8364707389701</v>
      </c>
      <c r="P310" s="41">
        <f t="shared" si="161"/>
        <v>0.50185466402251622</v>
      </c>
      <c r="Q310" s="41">
        <f t="shared" si="162"/>
        <v>0.02</v>
      </c>
      <c r="R310" s="64">
        <f t="shared" si="163"/>
        <v>0</v>
      </c>
      <c r="S310" s="64">
        <f>APPLICANTS_PER_YEAR*($H310/Segments!$AH$2)*Q310</f>
        <v>0.16800000000000001</v>
      </c>
      <c r="T310" s="64">
        <f t="shared" si="164"/>
        <v>0.16800000000000001</v>
      </c>
      <c r="U310" s="40">
        <f t="shared" si="165"/>
        <v>4103.8364707389701</v>
      </c>
      <c r="V310" s="65">
        <f t="shared" si="166"/>
        <v>689.44452708414701</v>
      </c>
      <c r="W310" s="65">
        <f t="shared" si="167"/>
        <v>470.0499541227926</v>
      </c>
      <c r="X310" s="65">
        <f t="shared" si="168"/>
        <v>161.99557406684895</v>
      </c>
      <c r="Y310" s="40">
        <f t="shared" si="169"/>
        <v>4225.7015648611396</v>
      </c>
      <c r="Z310" s="40">
        <f t="shared" si="170"/>
        <v>2573.0838262461539</v>
      </c>
      <c r="AA310" s="40">
        <f t="shared" si="171"/>
        <v>4225.7015648611396</v>
      </c>
      <c r="AB310" s="40">
        <f t="shared" si="172"/>
        <v>2491.5107938293472</v>
      </c>
      <c r="AC310" s="40">
        <f t="shared" si="173"/>
        <v>4225.7015648611396</v>
      </c>
      <c r="AD310" s="41">
        <f t="shared" si="174"/>
        <v>0.50198008065491573</v>
      </c>
      <c r="AE310" s="41">
        <f t="shared" si="175"/>
        <v>0.02</v>
      </c>
      <c r="AF310" s="64">
        <f t="shared" si="176"/>
        <v>0</v>
      </c>
      <c r="AG310" s="64">
        <f>APPLICANTS_PER_YEAR*($H310/Segments!$AH$2)*AE310</f>
        <v>0.16800000000000001</v>
      </c>
      <c r="AH310" s="64">
        <f t="shared" si="177"/>
        <v>0.16800000000000001</v>
      </c>
      <c r="AI310" s="40">
        <f t="shared" si="178"/>
        <v>4225.7015648611396</v>
      </c>
      <c r="AJ310" s="65">
        <f t="shared" si="179"/>
        <v>709.91786289667152</v>
      </c>
      <c r="AK310" s="65">
        <f t="shared" si="180"/>
        <v>484.15145274647637</v>
      </c>
      <c r="AL310" s="65">
        <f t="shared" si="181"/>
        <v>166.58160128885442</v>
      </c>
      <c r="AM310" s="40">
        <f t="shared" si="182"/>
        <v>4351.2226118069739</v>
      </c>
      <c r="AN310" s="40">
        <f t="shared" si="183"/>
        <v>2650.2763410335383</v>
      </c>
      <c r="AO310" s="40">
        <f t="shared" si="184"/>
        <v>4351.2226118069739</v>
      </c>
      <c r="AP310" s="40">
        <f t="shared" si="185"/>
        <v>2565.8875856875461</v>
      </c>
      <c r="AQ310" s="40">
        <f t="shared" si="186"/>
        <v>4351.2226118069739</v>
      </c>
      <c r="AR310" s="41">
        <f t="shared" si="187"/>
        <v>0.50210186212405017</v>
      </c>
      <c r="AS310" s="41">
        <f t="shared" si="188"/>
        <v>0.02</v>
      </c>
      <c r="AT310" s="64">
        <f t="shared" si="189"/>
        <v>0</v>
      </c>
      <c r="AU310" s="64">
        <f>APPLICANTS_PER_YEAR*($H310/Segments!$AH$2)*AS310</f>
        <v>0.16800000000000001</v>
      </c>
      <c r="AV310" s="64">
        <f t="shared" si="190"/>
        <v>0.16800000000000001</v>
      </c>
      <c r="AW310" s="40">
        <f t="shared" si="191"/>
        <v>4351.2226118069739</v>
      </c>
      <c r="AX310" s="65">
        <f t="shared" si="192"/>
        <v>731.00539878357165</v>
      </c>
      <c r="AY310" s="65">
        <f t="shared" si="193"/>
        <v>498.67599632887061</v>
      </c>
      <c r="AZ310" s="65">
        <f t="shared" si="194"/>
        <v>171.30520932752006</v>
      </c>
    </row>
    <row r="311" spans="1:52" ht="15" customHeight="1" x14ac:dyDescent="0.35">
      <c r="A311" s="61" t="str">
        <f>Segments!$A$291</f>
        <v>Greek</v>
      </c>
      <c r="B311" s="61" t="str">
        <f>Segments!$B$291</f>
        <v>Off 1-3mi</v>
      </c>
      <c r="C311" s="61" t="str">
        <f>Segments!$C$291</f>
        <v>Yes</v>
      </c>
      <c r="D311" s="61" t="str">
        <f>Segments!$D$291</f>
        <v>1.0-2.0</v>
      </c>
      <c r="E311" s="61" t="str">
        <f>Segments!$E$291</f>
        <v>Sophomore</v>
      </c>
      <c r="F311" s="61">
        <f>Segments!$F$291</f>
        <v>1</v>
      </c>
      <c r="G311" s="61" t="str">
        <f>Segments!$G$291</f>
        <v>Sophomore</v>
      </c>
      <c r="H311" s="62">
        <f>Segments!$H$291</f>
        <v>10</v>
      </c>
      <c r="I311" s="63">
        <f>Segments!$Y$291</f>
        <v>2472.7241710620297</v>
      </c>
      <c r="J311" s="42">
        <v>1</v>
      </c>
      <c r="K311" s="40">
        <f t="shared" si="156"/>
        <v>1426.2297754450396</v>
      </c>
      <c r="L311" s="40">
        <f t="shared" si="157"/>
        <v>2472.7241710620297</v>
      </c>
      <c r="M311" s="40">
        <f t="shared" si="158"/>
        <v>4062.5089415280163</v>
      </c>
      <c r="N311" s="40">
        <f t="shared" si="159"/>
        <v>2407.0877041393751</v>
      </c>
      <c r="O311" s="40">
        <f t="shared" si="160"/>
        <v>1782.7872193062994</v>
      </c>
      <c r="P311" s="41">
        <f t="shared" si="161"/>
        <v>0.9046796298197799</v>
      </c>
      <c r="Q311" s="41">
        <f t="shared" si="162"/>
        <v>0.02</v>
      </c>
      <c r="R311" s="64">
        <f t="shared" si="163"/>
        <v>6.332757408738459</v>
      </c>
      <c r="S311" s="64">
        <f>APPLICANTS_PER_YEAR*($H311/Segments!$AH$2)*Q311</f>
        <v>0.24</v>
      </c>
      <c r="T311" s="64">
        <f t="shared" si="164"/>
        <v>6.5727574087384593</v>
      </c>
      <c r="U311" s="40">
        <f t="shared" si="165"/>
        <v>1866.0297884913116</v>
      </c>
      <c r="V311" s="65">
        <f t="shared" si="166"/>
        <v>12264.961117232928</v>
      </c>
      <c r="W311" s="65">
        <f t="shared" si="167"/>
        <v>18202.930048928378</v>
      </c>
      <c r="X311" s="65">
        <f t="shared" si="168"/>
        <v>2489.6578744406279</v>
      </c>
      <c r="Y311" s="40">
        <f t="shared" si="169"/>
        <v>4103.8364707389701</v>
      </c>
      <c r="Z311" s="40">
        <f t="shared" si="170"/>
        <v>2546.9058961938904</v>
      </c>
      <c r="AA311" s="40">
        <f t="shared" si="171"/>
        <v>4183.134209773857</v>
      </c>
      <c r="AB311" s="40">
        <f t="shared" si="172"/>
        <v>2478.9299872328174</v>
      </c>
      <c r="AC311" s="40">
        <f t="shared" si="173"/>
        <v>4183.134209773857</v>
      </c>
      <c r="AD311" s="41">
        <f t="shared" si="174"/>
        <v>0.50046528164266835</v>
      </c>
      <c r="AE311" s="41">
        <f t="shared" si="175"/>
        <v>0.02</v>
      </c>
      <c r="AF311" s="64">
        <f t="shared" si="176"/>
        <v>8.4078167315968289E-2</v>
      </c>
      <c r="AG311" s="64">
        <f>APPLICANTS_PER_YEAR*($H311/Segments!$AH$2)*AE311</f>
        <v>0.24</v>
      </c>
      <c r="AH311" s="64">
        <f t="shared" si="177"/>
        <v>0.32407816731596828</v>
      </c>
      <c r="AI311" s="40">
        <f t="shared" si="178"/>
        <v>4183.134209773857</v>
      </c>
      <c r="AJ311" s="65">
        <f t="shared" si="179"/>
        <v>1355.6624683402429</v>
      </c>
      <c r="AK311" s="65">
        <f t="shared" si="180"/>
        <v>924.4441865845198</v>
      </c>
      <c r="AL311" s="65">
        <f t="shared" si="181"/>
        <v>303.8400972247257</v>
      </c>
      <c r="AM311" s="40">
        <f t="shared" si="182"/>
        <v>4225.7015648611396</v>
      </c>
      <c r="AN311" s="40">
        <f t="shared" si="183"/>
        <v>2623.313073079707</v>
      </c>
      <c r="AO311" s="40">
        <f t="shared" si="184"/>
        <v>4307.3782360670721</v>
      </c>
      <c r="AP311" s="40">
        <f t="shared" si="185"/>
        <v>2552.9274842875393</v>
      </c>
      <c r="AQ311" s="40">
        <f t="shared" si="186"/>
        <v>4307.3782360670721</v>
      </c>
      <c r="AR311" s="41">
        <f t="shared" si="187"/>
        <v>0.50058596649439957</v>
      </c>
      <c r="AS311" s="41">
        <f t="shared" si="188"/>
        <v>0.02</v>
      </c>
      <c r="AT311" s="64">
        <f t="shared" si="189"/>
        <v>8.4098442371059137E-2</v>
      </c>
      <c r="AU311" s="64">
        <f>APPLICANTS_PER_YEAR*($H311/Segments!$AH$2)*AS311</f>
        <v>0.24</v>
      </c>
      <c r="AV311" s="64">
        <f t="shared" si="190"/>
        <v>0.32409844237105911</v>
      </c>
      <c r="AW311" s="40">
        <f t="shared" si="191"/>
        <v>4307.3782360670721</v>
      </c>
      <c r="AX311" s="65">
        <f t="shared" si="192"/>
        <v>1396.0145770123383</v>
      </c>
      <c r="AY311" s="65">
        <f t="shared" si="193"/>
        <v>952.23708253718189</v>
      </c>
      <c r="AZ311" s="65">
        <f t="shared" si="194"/>
        <v>312.51070108571651</v>
      </c>
    </row>
    <row r="312" spans="1:52" ht="15" customHeight="1" x14ac:dyDescent="0.35">
      <c r="A312" s="61" t="str">
        <f>Segments!$A$292</f>
        <v>Greek</v>
      </c>
      <c r="B312" s="61" t="str">
        <f>Segments!$B$292</f>
        <v>Off 1-3mi</v>
      </c>
      <c r="C312" s="61" t="str">
        <f>Segments!$C$292</f>
        <v>Yes</v>
      </c>
      <c r="D312" s="61" t="str">
        <f>Segments!$D$292</f>
        <v>1.0-2.0</v>
      </c>
      <c r="E312" s="61" t="str">
        <f>Segments!$E$292</f>
        <v>Junior</v>
      </c>
      <c r="F312" s="61">
        <f>Segments!$F$292</f>
        <v>2</v>
      </c>
      <c r="G312" s="61" t="str">
        <f>Segments!$G$292</f>
        <v>Base</v>
      </c>
      <c r="H312" s="62">
        <f>Segments!$H$292</f>
        <v>10</v>
      </c>
      <c r="I312" s="63">
        <f>Segments!$Y$292</f>
        <v>2955.9578349115482</v>
      </c>
      <c r="J312" s="42">
        <v>2</v>
      </c>
      <c r="K312" s="40">
        <f t="shared" si="156"/>
        <v>1426.2297754450396</v>
      </c>
      <c r="L312" s="40">
        <f t="shared" si="157"/>
        <v>2955.9578349115482</v>
      </c>
      <c r="M312" s="40">
        <f t="shared" si="158"/>
        <v>4848.2845516753332</v>
      </c>
      <c r="N312" s="40">
        <f t="shared" si="159"/>
        <v>2629.5946051491596</v>
      </c>
      <c r="O312" s="40">
        <f t="shared" si="160"/>
        <v>1782.7872193062994</v>
      </c>
      <c r="P312" s="41">
        <f t="shared" si="161"/>
        <v>0.93601481653953011</v>
      </c>
      <c r="Q312" s="41">
        <f t="shared" si="162"/>
        <v>0.02</v>
      </c>
      <c r="R312" s="64">
        <f t="shared" si="163"/>
        <v>9.3601481653953016</v>
      </c>
      <c r="S312" s="64">
        <f>APPLICANTS_PER_YEAR*($H312/Segments!$AH$2)*Q312</f>
        <v>0.24</v>
      </c>
      <c r="T312" s="64">
        <f t="shared" si="164"/>
        <v>9.6001481653953018</v>
      </c>
      <c r="U312" s="40">
        <f t="shared" si="165"/>
        <v>1859.4234698196553</v>
      </c>
      <c r="V312" s="65">
        <f t="shared" si="166"/>
        <v>17850.74081248213</v>
      </c>
      <c r="W312" s="65">
        <f t="shared" si="167"/>
        <v>31782.949168109404</v>
      </c>
      <c r="X312" s="65">
        <f t="shared" si="168"/>
        <v>3612.5185671011013</v>
      </c>
      <c r="Y312" s="40">
        <f t="shared" si="169"/>
        <v>1866.0297884913116</v>
      </c>
      <c r="Z312" s="40">
        <f t="shared" si="170"/>
        <v>3044.6365699588946</v>
      </c>
      <c r="AA312" s="40">
        <f t="shared" si="171"/>
        <v>4992.4830882255928</v>
      </c>
      <c r="AB312" s="40">
        <f t="shared" si="172"/>
        <v>2708.1434369043559</v>
      </c>
      <c r="AC312" s="40">
        <f t="shared" si="173"/>
        <v>2332.5372356141397</v>
      </c>
      <c r="AD312" s="41">
        <f t="shared" si="174"/>
        <v>0.84434754566020442</v>
      </c>
      <c r="AE312" s="41">
        <f t="shared" si="175"/>
        <v>0.02</v>
      </c>
      <c r="AF312" s="64">
        <f t="shared" si="176"/>
        <v>5.549691586288243</v>
      </c>
      <c r="AG312" s="64">
        <f>APPLICANTS_PER_YEAR*($H312/Segments!$AH$2)*AE312</f>
        <v>0.24</v>
      </c>
      <c r="AH312" s="64">
        <f t="shared" si="177"/>
        <v>5.7896915862882432</v>
      </c>
      <c r="AI312" s="40">
        <f t="shared" si="178"/>
        <v>2442.7999318411107</v>
      </c>
      <c r="AJ312" s="65">
        <f t="shared" si="179"/>
        <v>14143.058212365971</v>
      </c>
      <c r="AK312" s="65">
        <f t="shared" si="180"/>
        <v>19742.807540284091</v>
      </c>
      <c r="AL312" s="65">
        <f t="shared" si="181"/>
        <v>2836.7686918040285</v>
      </c>
      <c r="AM312" s="40">
        <f t="shared" si="182"/>
        <v>4183.134209773857</v>
      </c>
      <c r="AN312" s="40">
        <f t="shared" si="183"/>
        <v>3135.9756670576612</v>
      </c>
      <c r="AO312" s="40">
        <f t="shared" si="184"/>
        <v>5141.0075808723604</v>
      </c>
      <c r="AP312" s="40">
        <f t="shared" si="185"/>
        <v>2789.0486917881926</v>
      </c>
      <c r="AQ312" s="40">
        <f t="shared" si="186"/>
        <v>5141.0075808723604</v>
      </c>
      <c r="AR312" s="41">
        <f t="shared" si="187"/>
        <v>0.3596628396068674</v>
      </c>
      <c r="AS312" s="41">
        <f t="shared" si="188"/>
        <v>0.02</v>
      </c>
      <c r="AT312" s="64">
        <f t="shared" si="189"/>
        <v>0.11655887391145063</v>
      </c>
      <c r="AU312" s="64">
        <f>APPLICANTS_PER_YEAR*($H312/Segments!$AH$2)*AS312</f>
        <v>0.24</v>
      </c>
      <c r="AV312" s="64">
        <f t="shared" si="190"/>
        <v>0.35655887391145064</v>
      </c>
      <c r="AW312" s="40">
        <f t="shared" si="191"/>
        <v>5141.0075808723604</v>
      </c>
      <c r="AX312" s="65">
        <f t="shared" si="192"/>
        <v>1833.0718738060798</v>
      </c>
      <c r="AY312" s="65">
        <f t="shared" si="193"/>
        <v>1252.339146754965</v>
      </c>
      <c r="AZ312" s="65">
        <f t="shared" si="194"/>
        <v>402.76622530690588</v>
      </c>
    </row>
    <row r="313" spans="1:52" ht="15" customHeight="1" x14ac:dyDescent="0.35">
      <c r="A313" s="61" t="str">
        <f>Segments!$A$293</f>
        <v>Greek</v>
      </c>
      <c r="B313" s="61" t="str">
        <f>Segments!$B$293</f>
        <v>Off 1-3mi</v>
      </c>
      <c r="C313" s="61" t="str">
        <f>Segments!$C$293</f>
        <v>Yes</v>
      </c>
      <c r="D313" s="61" t="str">
        <f>Segments!$D$293</f>
        <v>1.0-2.0</v>
      </c>
      <c r="E313" s="61" t="str">
        <f>Segments!$E$293</f>
        <v>Senior</v>
      </c>
      <c r="F313" s="61">
        <f>Segments!$F$293</f>
        <v>3</v>
      </c>
      <c r="G313" s="61" t="str">
        <f>Segments!$G$293</f>
        <v>Base</v>
      </c>
      <c r="H313" s="62">
        <f>Segments!$H$293</f>
        <v>12</v>
      </c>
      <c r="I313" s="63">
        <f>Segments!$Y$293</f>
        <v>2762.8967100880004</v>
      </c>
      <c r="J313" s="42">
        <v>3</v>
      </c>
      <c r="K313" s="40">
        <f t="shared" si="156"/>
        <v>1426.2297754450396</v>
      </c>
      <c r="L313" s="40">
        <f t="shared" si="157"/>
        <v>2762.8967100880004</v>
      </c>
      <c r="M313" s="40">
        <f t="shared" si="158"/>
        <v>4534.3521117342461</v>
      </c>
      <c r="N313" s="40">
        <f t="shared" si="159"/>
        <v>2543.0351932498838</v>
      </c>
      <c r="O313" s="40">
        <f t="shared" si="160"/>
        <v>1782.7872193062994</v>
      </c>
      <c r="P313" s="41">
        <f t="shared" si="161"/>
        <v>0.92447649485181171</v>
      </c>
      <c r="Q313" s="41">
        <f t="shared" si="162"/>
        <v>0.02</v>
      </c>
      <c r="R313" s="64">
        <f t="shared" si="163"/>
        <v>9.2447649485181174</v>
      </c>
      <c r="S313" s="64">
        <f>APPLICANTS_PER_YEAR*($H313/Segments!$AH$2)*Q313</f>
        <v>0.28799999999999998</v>
      </c>
      <c r="T313" s="64">
        <f t="shared" si="164"/>
        <v>9.5327649485181176</v>
      </c>
      <c r="U313" s="40">
        <f t="shared" si="165"/>
        <v>1865.9163736805961</v>
      </c>
      <c r="V313" s="65">
        <f t="shared" si="166"/>
        <v>17787.34220388842</v>
      </c>
      <c r="W313" s="65">
        <f t="shared" si="167"/>
        <v>29498.610304019268</v>
      </c>
      <c r="X313" s="65">
        <f t="shared" si="168"/>
        <v>3605.369244791555</v>
      </c>
      <c r="Y313" s="40">
        <f t="shared" si="169"/>
        <v>1859.4234698196553</v>
      </c>
      <c r="Z313" s="40">
        <f t="shared" si="170"/>
        <v>2845.7836113906405</v>
      </c>
      <c r="AA313" s="40">
        <f t="shared" si="171"/>
        <v>4669.1326750862736</v>
      </c>
      <c r="AB313" s="40">
        <f t="shared" si="172"/>
        <v>2618.9757020852126</v>
      </c>
      <c r="AC313" s="40">
        <f t="shared" si="173"/>
        <v>2324.2793372745691</v>
      </c>
      <c r="AD313" s="41">
        <f t="shared" si="174"/>
        <v>0.83126176000334939</v>
      </c>
      <c r="AE313" s="41">
        <f t="shared" si="175"/>
        <v>0.02</v>
      </c>
      <c r="AF313" s="64">
        <f t="shared" si="176"/>
        <v>7.9802360602594247</v>
      </c>
      <c r="AG313" s="64">
        <f>APPLICANTS_PER_YEAR*($H313/Segments!$AH$2)*AE313</f>
        <v>0.28799999999999998</v>
      </c>
      <c r="AH313" s="64">
        <f t="shared" si="177"/>
        <v>8.268236060259424</v>
      </c>
      <c r="AI313" s="40">
        <f t="shared" si="178"/>
        <v>2405.9554960547507</v>
      </c>
      <c r="AJ313" s="65">
        <f t="shared" si="179"/>
        <v>19893.007991859242</v>
      </c>
      <c r="AK313" s="65">
        <f t="shared" si="180"/>
        <v>26353.163956442837</v>
      </c>
      <c r="AL313" s="65">
        <f t="shared" si="181"/>
        <v>3979.408089031454</v>
      </c>
      <c r="AM313" s="40">
        <f t="shared" si="182"/>
        <v>2442.7999318411107</v>
      </c>
      <c r="AN313" s="40">
        <f t="shared" si="183"/>
        <v>2931.1571197323597</v>
      </c>
      <c r="AO313" s="40">
        <f t="shared" si="184"/>
        <v>4807.9566553388613</v>
      </c>
      <c r="AP313" s="40">
        <f t="shared" si="185"/>
        <v>2697.1943799425799</v>
      </c>
      <c r="AQ313" s="40">
        <f t="shared" si="186"/>
        <v>3053.4999148013885</v>
      </c>
      <c r="AR313" s="41">
        <f t="shared" si="187"/>
        <v>0.70894885857904055</v>
      </c>
      <c r="AS313" s="41">
        <f t="shared" si="188"/>
        <v>0.02</v>
      </c>
      <c r="AT313" s="64">
        <f t="shared" si="189"/>
        <v>4.1045952416237244</v>
      </c>
      <c r="AU313" s="64">
        <f>APPLICANTS_PER_YEAR*($H313/Segments!$AH$2)*AS313</f>
        <v>0.28799999999999998</v>
      </c>
      <c r="AV313" s="64">
        <f t="shared" si="190"/>
        <v>4.3925952416237246</v>
      </c>
      <c r="AW313" s="40">
        <f t="shared" si="191"/>
        <v>3168.5306684858583</v>
      </c>
      <c r="AX313" s="65">
        <f t="shared" si="192"/>
        <v>13918.07273732982</v>
      </c>
      <c r="AY313" s="65">
        <f t="shared" si="193"/>
        <v>14420.43323457841</v>
      </c>
      <c r="AZ313" s="65">
        <f t="shared" si="194"/>
        <v>2774.0318552736262</v>
      </c>
    </row>
    <row r="314" spans="1:52" ht="15" customHeight="1" x14ac:dyDescent="0.35">
      <c r="A314" s="61" t="str">
        <f>Segments!$A$294</f>
        <v>Greek</v>
      </c>
      <c r="B314" s="61" t="str">
        <f>Segments!$B$294</f>
        <v>Off 1-3mi</v>
      </c>
      <c r="C314" s="61" t="str">
        <f>Segments!$C$294</f>
        <v>Yes</v>
      </c>
      <c r="D314" s="61" t="str">
        <f>Segments!$D$294</f>
        <v>1.0-2.0</v>
      </c>
      <c r="E314" s="61" t="str">
        <f>Segments!$E$294</f>
        <v>Grad student</v>
      </c>
      <c r="F314" s="61">
        <f>Segments!$F$294</f>
        <v>3</v>
      </c>
      <c r="G314" s="61" t="str">
        <f>Segments!$G$294</f>
        <v>Grad</v>
      </c>
      <c r="H314" s="62">
        <f>Segments!$H$294</f>
        <v>4</v>
      </c>
      <c r="I314" s="63">
        <f>Segments!$Y$294</f>
        <v>3289.7270344587741</v>
      </c>
      <c r="J314" s="42">
        <v>4</v>
      </c>
      <c r="K314" s="40">
        <f t="shared" si="156"/>
        <v>1426.2297754450396</v>
      </c>
      <c r="L314" s="40">
        <f t="shared" si="157"/>
        <v>3289.7270344587741</v>
      </c>
      <c r="M314" s="40">
        <f t="shared" si="158"/>
        <v>5391.0192906695811</v>
      </c>
      <c r="N314" s="40">
        <f t="shared" si="159"/>
        <v>2772.8743628862007</v>
      </c>
      <c r="O314" s="40">
        <f t="shared" si="160"/>
        <v>1782.7872193062994</v>
      </c>
      <c r="P314" s="41">
        <f t="shared" si="161"/>
        <v>0.95</v>
      </c>
      <c r="Q314" s="41">
        <f t="shared" si="162"/>
        <v>0.02</v>
      </c>
      <c r="R314" s="64">
        <f t="shared" si="163"/>
        <v>1.9</v>
      </c>
      <c r="S314" s="64">
        <f>APPLICANTS_PER_YEAR*($H314/Segments!$AH$2)*Q314</f>
        <v>9.6000000000000002E-2</v>
      </c>
      <c r="T314" s="64">
        <f t="shared" si="164"/>
        <v>1.996</v>
      </c>
      <c r="U314" s="40">
        <f t="shared" si="165"/>
        <v>1956.3294431794832</v>
      </c>
      <c r="V314" s="65">
        <f t="shared" si="166"/>
        <v>3904.8335685862485</v>
      </c>
      <c r="W314" s="65">
        <f t="shared" si="167"/>
        <v>7354.2505800732797</v>
      </c>
      <c r="X314" s="65">
        <f t="shared" si="168"/>
        <v>798.44736927945075</v>
      </c>
      <c r="Y314" s="40">
        <f t="shared" si="169"/>
        <v>1956.3294431794832</v>
      </c>
      <c r="Z314" s="40">
        <f t="shared" si="170"/>
        <v>3388.4188454925375</v>
      </c>
      <c r="AA314" s="40">
        <f t="shared" si="171"/>
        <v>5551.4998693896687</v>
      </c>
      <c r="AB314" s="40">
        <f t="shared" si="172"/>
        <v>2855.7391065126862</v>
      </c>
      <c r="AC314" s="40">
        <f t="shared" si="173"/>
        <v>2445.4118039743539</v>
      </c>
      <c r="AD314" s="41">
        <f t="shared" si="174"/>
        <v>0.84684257511524008</v>
      </c>
      <c r="AE314" s="41">
        <f t="shared" si="175"/>
        <v>0.02</v>
      </c>
      <c r="AF314" s="64">
        <f t="shared" si="176"/>
        <v>0.84514888996500959</v>
      </c>
      <c r="AG314" s="64">
        <f>APPLICANTS_PER_YEAR*($H314/Segments!$AH$2)*AE314</f>
        <v>9.6000000000000002E-2</v>
      </c>
      <c r="AH314" s="64">
        <f t="shared" si="177"/>
        <v>0.94114888996500956</v>
      </c>
      <c r="AI314" s="40">
        <f t="shared" si="178"/>
        <v>2762.2420711714562</v>
      </c>
      <c r="AJ314" s="65">
        <f t="shared" si="179"/>
        <v>2599.6810590976652</v>
      </c>
      <c r="AK314" s="65">
        <f t="shared" si="180"/>
        <v>3571.68743139244</v>
      </c>
      <c r="AL314" s="65">
        <f t="shared" si="181"/>
        <v>531.2157375299081</v>
      </c>
      <c r="AM314" s="40">
        <f t="shared" si="182"/>
        <v>2762.2420711714562</v>
      </c>
      <c r="AN314" s="40">
        <f t="shared" si="183"/>
        <v>3490.0714108573134</v>
      </c>
      <c r="AO314" s="40">
        <f t="shared" si="184"/>
        <v>5716.7948654713582</v>
      </c>
      <c r="AP314" s="40">
        <f t="shared" si="185"/>
        <v>2941.0897567794304</v>
      </c>
      <c r="AQ314" s="40">
        <f t="shared" si="186"/>
        <v>3452.8025889643204</v>
      </c>
      <c r="AR314" s="41">
        <f t="shared" si="187"/>
        <v>0.68800625371848079</v>
      </c>
      <c r="AS314" s="41">
        <f t="shared" si="188"/>
        <v>0.02</v>
      </c>
      <c r="AT314" s="64">
        <f t="shared" si="189"/>
        <v>0.32375816098806648</v>
      </c>
      <c r="AU314" s="64">
        <f>APPLICANTS_PER_YEAR*($H314/Segments!$AH$2)*AS314</f>
        <v>9.6000000000000002E-2</v>
      </c>
      <c r="AV314" s="64">
        <f t="shared" si="190"/>
        <v>0.41975816098806651</v>
      </c>
      <c r="AW314" s="40">
        <f t="shared" si="191"/>
        <v>3970.5846805216884</v>
      </c>
      <c r="AX314" s="65">
        <f t="shared" si="192"/>
        <v>1666.6853235431736</v>
      </c>
      <c r="AY314" s="65">
        <f t="shared" si="193"/>
        <v>1640.7842719951118</v>
      </c>
      <c r="AZ314" s="65">
        <f t="shared" si="194"/>
        <v>345.00712011740484</v>
      </c>
    </row>
    <row r="315" spans="1:52" ht="15" customHeight="1" x14ac:dyDescent="0.35">
      <c r="A315" s="59" t="str">
        <f>Segments!$A$295</f>
        <v>Greek</v>
      </c>
      <c r="B315" s="59" t="str">
        <f>Segments!$B$295</f>
        <v>Off 1-3mi</v>
      </c>
      <c r="C315" s="59" t="str">
        <f>Segments!$C$295</f>
        <v>Yes</v>
      </c>
      <c r="D315" s="59" t="str">
        <f>Segments!$D$295</f>
        <v>2.0-3.0</v>
      </c>
      <c r="E315" s="59" t="str">
        <f>Segments!$E$295</f>
        <v>Freshman</v>
      </c>
      <c r="F315" s="59">
        <f>Segments!$F$295</f>
        <v>1</v>
      </c>
      <c r="G315" s="59" t="str">
        <f>Segments!$G$295</f>
        <v>Base</v>
      </c>
      <c r="H315" s="60">
        <f>Segments!$H$295</f>
        <v>17</v>
      </c>
      <c r="I315" s="26">
        <f>Segments!$Y$295</f>
        <v>2454.8711579691571</v>
      </c>
      <c r="J315" s="29">
        <v>0</v>
      </c>
      <c r="K315" s="14">
        <f t="shared" si="156"/>
        <v>4033.4785504243278</v>
      </c>
      <c r="L315" s="14">
        <f t="shared" si="157"/>
        <v>2454.8711579691571</v>
      </c>
      <c r="M315" s="14">
        <f t="shared" si="158"/>
        <v>4033.4785504243278</v>
      </c>
      <c r="N315" s="14">
        <f t="shared" si="159"/>
        <v>2398.471848330531</v>
      </c>
      <c r="O315" s="14">
        <f t="shared" si="160"/>
        <v>4033.4785504243278</v>
      </c>
      <c r="P315" s="33">
        <f t="shared" si="161"/>
        <v>0.50915657854565777</v>
      </c>
      <c r="Q315" s="33">
        <f t="shared" si="162"/>
        <v>0.02</v>
      </c>
      <c r="R315" s="51">
        <f t="shared" si="163"/>
        <v>0</v>
      </c>
      <c r="S315" s="51">
        <f>APPLICANTS_PER_YEAR*($H315/Segments!$AH$2)*Q315</f>
        <v>0.40799999999999997</v>
      </c>
      <c r="T315" s="51">
        <f t="shared" si="164"/>
        <v>0.40799999999999997</v>
      </c>
      <c r="U315" s="14">
        <f t="shared" si="165"/>
        <v>4033.4785504243278</v>
      </c>
      <c r="V315" s="44">
        <f t="shared" si="166"/>
        <v>1645.6592485731255</v>
      </c>
      <c r="W315" s="44">
        <f t="shared" si="167"/>
        <v>1121.7779243455861</v>
      </c>
      <c r="X315" s="44">
        <f t="shared" si="168"/>
        <v>386.98767168038012</v>
      </c>
      <c r="Y315" s="14">
        <f t="shared" si="169"/>
        <v>4153.232906937058</v>
      </c>
      <c r="Z315" s="14">
        <f t="shared" si="170"/>
        <v>2528.5172927082317</v>
      </c>
      <c r="AA315" s="14">
        <f t="shared" si="171"/>
        <v>4153.232906937058</v>
      </c>
      <c r="AB315" s="14">
        <f t="shared" si="172"/>
        <v>2470.0543251756108</v>
      </c>
      <c r="AC315" s="14">
        <f t="shared" si="173"/>
        <v>4153.232906937058</v>
      </c>
      <c r="AD315" s="33">
        <f t="shared" si="174"/>
        <v>0.50928308446378401</v>
      </c>
      <c r="AE315" s="33">
        <f t="shared" si="175"/>
        <v>0.02</v>
      </c>
      <c r="AF315" s="51">
        <f t="shared" si="176"/>
        <v>0</v>
      </c>
      <c r="AG315" s="51">
        <f>APPLICANTS_PER_YEAR*($H315/Segments!$AH$2)*AE315</f>
        <v>0.40799999999999997</v>
      </c>
      <c r="AH315" s="51">
        <f t="shared" si="177"/>
        <v>0.40799999999999997</v>
      </c>
      <c r="AI315" s="14">
        <f t="shared" si="178"/>
        <v>4153.232906937058</v>
      </c>
      <c r="AJ315" s="44">
        <f t="shared" si="179"/>
        <v>1694.5190260303195</v>
      </c>
      <c r="AK315" s="44">
        <f t="shared" si="180"/>
        <v>1155.4312620759536</v>
      </c>
      <c r="AL315" s="44">
        <f t="shared" si="181"/>
        <v>397.93226183079162</v>
      </c>
      <c r="AM315" s="14">
        <f t="shared" si="182"/>
        <v>4276.5798941451694</v>
      </c>
      <c r="AN315" s="14">
        <f t="shared" si="183"/>
        <v>2604.3728114894789</v>
      </c>
      <c r="AO315" s="14">
        <f t="shared" si="184"/>
        <v>4276.5798941451694</v>
      </c>
      <c r="AP315" s="14">
        <f t="shared" si="185"/>
        <v>2543.7842212045607</v>
      </c>
      <c r="AQ315" s="14">
        <f t="shared" si="186"/>
        <v>4276.5798941451694</v>
      </c>
      <c r="AR315" s="33">
        <f t="shared" si="187"/>
        <v>0.5094059239584251</v>
      </c>
      <c r="AS315" s="33">
        <f t="shared" si="188"/>
        <v>0.02</v>
      </c>
      <c r="AT315" s="51">
        <f t="shared" si="189"/>
        <v>0</v>
      </c>
      <c r="AU315" s="51">
        <f>APPLICANTS_PER_YEAR*($H315/Segments!$AH$2)*AS315</f>
        <v>0.40799999999999997</v>
      </c>
      <c r="AV315" s="51">
        <f t="shared" si="190"/>
        <v>0.40799999999999997</v>
      </c>
      <c r="AW315" s="14">
        <f t="shared" si="191"/>
        <v>4276.5798941451694</v>
      </c>
      <c r="AX315" s="44">
        <f t="shared" si="192"/>
        <v>1744.8445968112289</v>
      </c>
      <c r="AY315" s="44">
        <f t="shared" si="193"/>
        <v>1190.0941999382321</v>
      </c>
      <c r="AZ315" s="44">
        <f t="shared" si="194"/>
        <v>409.20518968571531</v>
      </c>
    </row>
    <row r="316" spans="1:52" ht="15" customHeight="1" x14ac:dyDescent="0.35">
      <c r="A316" s="59" t="str">
        <f>Segments!$A$296</f>
        <v>Greek</v>
      </c>
      <c r="B316" s="59" t="str">
        <f>Segments!$B$296</f>
        <v>Off 1-3mi</v>
      </c>
      <c r="C316" s="59" t="str">
        <f>Segments!$C$296</f>
        <v>Yes</v>
      </c>
      <c r="D316" s="59" t="str">
        <f>Segments!$D$296</f>
        <v>2.0-3.0</v>
      </c>
      <c r="E316" s="59" t="str">
        <f>Segments!$E$296</f>
        <v>Sophomore</v>
      </c>
      <c r="F316" s="59">
        <f>Segments!$F$296</f>
        <v>1</v>
      </c>
      <c r="G316" s="59" t="str">
        <f>Segments!$G$296</f>
        <v>Sophomore</v>
      </c>
      <c r="H316" s="60">
        <f>Segments!$H$296</f>
        <v>15</v>
      </c>
      <c r="I316" s="26">
        <f>Segments!$Y$296</f>
        <v>2429.8958948995551</v>
      </c>
      <c r="J316" s="29">
        <v>1</v>
      </c>
      <c r="K316" s="14">
        <f t="shared" si="156"/>
        <v>1426.2297754450396</v>
      </c>
      <c r="L316" s="14">
        <f t="shared" si="157"/>
        <v>2429.8958948995551</v>
      </c>
      <c r="M316" s="14">
        <f t="shared" si="158"/>
        <v>3992.866825610351</v>
      </c>
      <c r="N316" s="14">
        <f t="shared" si="159"/>
        <v>2386.3666013570087</v>
      </c>
      <c r="O316" s="14">
        <f t="shared" si="160"/>
        <v>1782.7872193062994</v>
      </c>
      <c r="P316" s="33">
        <f t="shared" si="161"/>
        <v>0.90146409434901653</v>
      </c>
      <c r="Q316" s="33">
        <f t="shared" si="162"/>
        <v>0.02</v>
      </c>
      <c r="R316" s="51">
        <f t="shared" si="163"/>
        <v>15.324889603933281</v>
      </c>
      <c r="S316" s="51">
        <f>APPLICANTS_PER_YEAR*($H316/Segments!$AH$2)*Q316</f>
        <v>0.36</v>
      </c>
      <c r="T316" s="51">
        <f t="shared" si="164"/>
        <v>15.68488960393328</v>
      </c>
      <c r="U316" s="14">
        <f t="shared" si="165"/>
        <v>1833.513024738168</v>
      </c>
      <c r="V316" s="44">
        <f t="shared" si="166"/>
        <v>28758.449380391954</v>
      </c>
      <c r="W316" s="44">
        <f t="shared" si="167"/>
        <v>42686.166723816212</v>
      </c>
      <c r="X316" s="44">
        <f t="shared" si="168"/>
        <v>5808.354846975436</v>
      </c>
      <c r="Y316" s="14">
        <f t="shared" si="169"/>
        <v>4033.4785504243278</v>
      </c>
      <c r="Z316" s="14">
        <f t="shared" si="170"/>
        <v>2502.7927717465418</v>
      </c>
      <c r="AA316" s="14">
        <f t="shared" si="171"/>
        <v>4111.4028303786617</v>
      </c>
      <c r="AB316" s="14">
        <f t="shared" si="172"/>
        <v>2457.5840351046209</v>
      </c>
      <c r="AC316" s="14">
        <f t="shared" si="173"/>
        <v>4111.4028303786617</v>
      </c>
      <c r="AD316" s="33">
        <f t="shared" si="174"/>
        <v>0.50773170681844815</v>
      </c>
      <c r="AE316" s="33">
        <f t="shared" si="175"/>
        <v>0.02</v>
      </c>
      <c r="AF316" s="51">
        <f t="shared" si="176"/>
        <v>0.20715453638192682</v>
      </c>
      <c r="AG316" s="51">
        <f>APPLICANTS_PER_YEAR*($H316/Segments!$AH$2)*AE316</f>
        <v>0.36</v>
      </c>
      <c r="AH316" s="51">
        <f t="shared" si="177"/>
        <v>0.56715453638192681</v>
      </c>
      <c r="AI316" s="14">
        <f t="shared" si="178"/>
        <v>4111.4028303786627</v>
      </c>
      <c r="AJ316" s="44">
        <f t="shared" si="179"/>
        <v>2331.8007661427519</v>
      </c>
      <c r="AK316" s="44">
        <f t="shared" si="180"/>
        <v>1589.8067070143416</v>
      </c>
      <c r="AL316" s="44">
        <f t="shared" si="181"/>
        <v>512.85711119138978</v>
      </c>
      <c r="AM316" s="14">
        <f t="shared" si="182"/>
        <v>4153.232906937058</v>
      </c>
      <c r="AN316" s="14">
        <f t="shared" si="183"/>
        <v>2577.8765548989377</v>
      </c>
      <c r="AO316" s="14">
        <f t="shared" si="184"/>
        <v>4233.4949152900217</v>
      </c>
      <c r="AP316" s="14">
        <f t="shared" si="185"/>
        <v>2530.9379358998231</v>
      </c>
      <c r="AQ316" s="14">
        <f t="shared" si="186"/>
        <v>4233.4949152900217</v>
      </c>
      <c r="AR316" s="33">
        <f t="shared" si="187"/>
        <v>0.50785342535022782</v>
      </c>
      <c r="AS316" s="33">
        <f t="shared" si="188"/>
        <v>0.02</v>
      </c>
      <c r="AT316" s="51">
        <f t="shared" si="189"/>
        <v>0.20720419754289293</v>
      </c>
      <c r="AU316" s="51">
        <f>APPLICANTS_PER_YEAR*($H316/Segments!$AH$2)*AS316</f>
        <v>0.36</v>
      </c>
      <c r="AV316" s="51">
        <f t="shared" si="190"/>
        <v>0.56720419754289297</v>
      </c>
      <c r="AW316" s="14">
        <f t="shared" si="191"/>
        <v>4233.4949152900217</v>
      </c>
      <c r="AX316" s="44">
        <f t="shared" si="192"/>
        <v>2401.2560862289943</v>
      </c>
      <c r="AY316" s="44">
        <f t="shared" si="193"/>
        <v>1637.6442910084204</v>
      </c>
      <c r="AZ316" s="44">
        <f t="shared" si="194"/>
        <v>527.52352018079205</v>
      </c>
    </row>
    <row r="317" spans="1:52" ht="15" customHeight="1" x14ac:dyDescent="0.35">
      <c r="A317" s="59" t="str">
        <f>Segments!$A$297</f>
        <v>Greek</v>
      </c>
      <c r="B317" s="59" t="str">
        <f>Segments!$B$297</f>
        <v>Off 1-3mi</v>
      </c>
      <c r="C317" s="59" t="str">
        <f>Segments!$C$297</f>
        <v>Yes</v>
      </c>
      <c r="D317" s="59" t="str">
        <f>Segments!$D$297</f>
        <v>2.0-3.0</v>
      </c>
      <c r="E317" s="59" t="str">
        <f>Segments!$E$297</f>
        <v>Junior</v>
      </c>
      <c r="F317" s="59">
        <f>Segments!$F$297</f>
        <v>2</v>
      </c>
      <c r="G317" s="59" t="str">
        <f>Segments!$G$297</f>
        <v>Base</v>
      </c>
      <c r="H317" s="60">
        <f>Segments!$H$297</f>
        <v>11</v>
      </c>
      <c r="I317" s="26">
        <f>Segments!$Y$297</f>
        <v>2904.7598161596834</v>
      </c>
      <c r="J317" s="29">
        <v>2</v>
      </c>
      <c r="K317" s="14">
        <f t="shared" si="156"/>
        <v>1426.2297754450396</v>
      </c>
      <c r="L317" s="14">
        <f t="shared" si="157"/>
        <v>2904.7598161596834</v>
      </c>
      <c r="M317" s="14">
        <f t="shared" si="158"/>
        <v>4765.0325818051042</v>
      </c>
      <c r="N317" s="14">
        <f t="shared" si="159"/>
        <v>2606.9198969542949</v>
      </c>
      <c r="O317" s="14">
        <f t="shared" si="160"/>
        <v>1782.7872193062994</v>
      </c>
      <c r="P317" s="33">
        <f t="shared" si="161"/>
        <v>0.93306635996196952</v>
      </c>
      <c r="Q317" s="33">
        <f t="shared" si="162"/>
        <v>0.02</v>
      </c>
      <c r="R317" s="51">
        <f t="shared" si="163"/>
        <v>13.995995399429543</v>
      </c>
      <c r="S317" s="51">
        <f>APPLICANTS_PER_YEAR*($H317/Segments!$AH$2)*Q317</f>
        <v>0.26400000000000001</v>
      </c>
      <c r="T317" s="51">
        <f t="shared" si="164"/>
        <v>14.259995399429542</v>
      </c>
      <c r="U317" s="14">
        <f t="shared" si="165"/>
        <v>1837.9985117118483</v>
      </c>
      <c r="V317" s="44">
        <f t="shared" si="166"/>
        <v>26209.850321169302</v>
      </c>
      <c r="W317" s="44">
        <f t="shared" si="167"/>
        <v>46392.485008671079</v>
      </c>
      <c r="X317" s="44">
        <f t="shared" si="168"/>
        <v>5289.4905197454682</v>
      </c>
      <c r="Y317" s="14">
        <f t="shared" si="169"/>
        <v>1833.513024738168</v>
      </c>
      <c r="Z317" s="14">
        <f t="shared" si="170"/>
        <v>2991.902610644474</v>
      </c>
      <c r="AA317" s="14">
        <f t="shared" si="171"/>
        <v>4906.7335592592572</v>
      </c>
      <c r="AB317" s="14">
        <f t="shared" si="172"/>
        <v>2684.7855384485924</v>
      </c>
      <c r="AC317" s="14">
        <f t="shared" si="173"/>
        <v>2291.8912809227099</v>
      </c>
      <c r="AD317" s="33">
        <f t="shared" si="174"/>
        <v>0.84817051062352578</v>
      </c>
      <c r="AE317" s="33">
        <f t="shared" si="175"/>
        <v>0.02</v>
      </c>
      <c r="AF317" s="51">
        <f t="shared" si="176"/>
        <v>13.303460824441721</v>
      </c>
      <c r="AG317" s="51">
        <f>APPLICANTS_PER_YEAR*($H317/Segments!$AH$2)*AE317</f>
        <v>0.26400000000000001</v>
      </c>
      <c r="AH317" s="51">
        <f t="shared" si="177"/>
        <v>13.567460824441721</v>
      </c>
      <c r="AI317" s="14">
        <f t="shared" si="178"/>
        <v>2342.7717198208452</v>
      </c>
      <c r="AJ317" s="44">
        <f t="shared" si="179"/>
        <v>31785.46352927927</v>
      </c>
      <c r="AK317" s="44">
        <f t="shared" si="180"/>
        <v>45463.624035719469</v>
      </c>
      <c r="AL317" s="44">
        <f t="shared" si="181"/>
        <v>6330.7400416101727</v>
      </c>
      <c r="AM317" s="14">
        <f t="shared" si="182"/>
        <v>4111.4028303786627</v>
      </c>
      <c r="AN317" s="14">
        <f t="shared" si="183"/>
        <v>3081.6596889638081</v>
      </c>
      <c r="AO317" s="14">
        <f t="shared" si="184"/>
        <v>5052.6855660370347</v>
      </c>
      <c r="AP317" s="14">
        <f t="shared" si="185"/>
        <v>2764.9871062625621</v>
      </c>
      <c r="AQ317" s="14">
        <f t="shared" si="186"/>
        <v>5052.6855660370347</v>
      </c>
      <c r="AR317" s="33">
        <f t="shared" si="187"/>
        <v>0.36762605419588307</v>
      </c>
      <c r="AS317" s="33">
        <f t="shared" si="188"/>
        <v>0.02</v>
      </c>
      <c r="AT317" s="51">
        <f t="shared" si="189"/>
        <v>0.20850078432938315</v>
      </c>
      <c r="AU317" s="51">
        <f>APPLICANTS_PER_YEAR*($H317/Segments!$AH$2)*AS317</f>
        <v>0.26400000000000001</v>
      </c>
      <c r="AV317" s="51">
        <f t="shared" si="190"/>
        <v>0.47250078432938314</v>
      </c>
      <c r="AW317" s="14">
        <f t="shared" si="191"/>
        <v>5052.6855660370347</v>
      </c>
      <c r="AX317" s="44">
        <f t="shared" si="192"/>
        <v>2387.3978929222521</v>
      </c>
      <c r="AY317" s="44">
        <f t="shared" si="193"/>
        <v>1630.8170144802395</v>
      </c>
      <c r="AZ317" s="44">
        <f t="shared" si="194"/>
        <v>513.95503207907552</v>
      </c>
    </row>
    <row r="318" spans="1:52" ht="15" customHeight="1" x14ac:dyDescent="0.35">
      <c r="A318" s="59" t="str">
        <f>Segments!$A$298</f>
        <v>Greek</v>
      </c>
      <c r="B318" s="59" t="str">
        <f>Segments!$B$298</f>
        <v>Off 1-3mi</v>
      </c>
      <c r="C318" s="59" t="str">
        <f>Segments!$C$298</f>
        <v>Yes</v>
      </c>
      <c r="D318" s="59" t="str">
        <f>Segments!$D$298</f>
        <v>2.0-3.0</v>
      </c>
      <c r="E318" s="59" t="str">
        <f>Segments!$E$298</f>
        <v>Senior</v>
      </c>
      <c r="F318" s="59">
        <f>Segments!$F$298</f>
        <v>3</v>
      </c>
      <c r="G318" s="59" t="str">
        <f>Segments!$G$298</f>
        <v>Base</v>
      </c>
      <c r="H318" s="60">
        <f>Segments!$H$298</f>
        <v>10</v>
      </c>
      <c r="I318" s="26">
        <f>Segments!$Y$298</f>
        <v>2715.042564165522</v>
      </c>
      <c r="J318" s="29">
        <v>3</v>
      </c>
      <c r="K318" s="14">
        <f t="shared" si="156"/>
        <v>1426.2297754450396</v>
      </c>
      <c r="L318" s="14">
        <f t="shared" si="157"/>
        <v>2715.042564165522</v>
      </c>
      <c r="M318" s="14">
        <f t="shared" si="158"/>
        <v>4456.5375397717598</v>
      </c>
      <c r="N318" s="14">
        <f t="shared" si="159"/>
        <v>2521.1200952376439</v>
      </c>
      <c r="O318" s="14">
        <f t="shared" si="160"/>
        <v>1782.7872193062994</v>
      </c>
      <c r="P318" s="33">
        <f t="shared" si="161"/>
        <v>0.92142953291397023</v>
      </c>
      <c r="Q318" s="33">
        <f t="shared" si="162"/>
        <v>0.02</v>
      </c>
      <c r="R318" s="51">
        <f t="shared" si="163"/>
        <v>10.135724862053673</v>
      </c>
      <c r="S318" s="51">
        <f>APPLICANTS_PER_YEAR*($H318/Segments!$AH$2)*Q318</f>
        <v>0.24</v>
      </c>
      <c r="T318" s="51">
        <f t="shared" si="164"/>
        <v>10.375724862053673</v>
      </c>
      <c r="U318" s="14">
        <f t="shared" si="165"/>
        <v>1844.6335081625652</v>
      </c>
      <c r="V318" s="44">
        <f t="shared" si="166"/>
        <v>19139.409752019616</v>
      </c>
      <c r="W318" s="44">
        <f t="shared" si="167"/>
        <v>31550.998790691705</v>
      </c>
      <c r="X318" s="44">
        <f t="shared" si="168"/>
        <v>3868.2978557068636</v>
      </c>
      <c r="Y318" s="14">
        <f t="shared" si="169"/>
        <v>1837.9985117118483</v>
      </c>
      <c r="Z318" s="14">
        <f t="shared" si="170"/>
        <v>2796.4938410904879</v>
      </c>
      <c r="AA318" s="14">
        <f t="shared" si="171"/>
        <v>4588.9836659649127</v>
      </c>
      <c r="AB318" s="14">
        <f t="shared" si="172"/>
        <v>2596.4001035535712</v>
      </c>
      <c r="AC318" s="14">
        <f t="shared" si="173"/>
        <v>2297.4981396398102</v>
      </c>
      <c r="AD318" s="33">
        <f t="shared" si="174"/>
        <v>0.83256084424443444</v>
      </c>
      <c r="AE318" s="33">
        <f t="shared" si="175"/>
        <v>0.02</v>
      </c>
      <c r="AF318" s="51">
        <f t="shared" si="176"/>
        <v>11.87231380867081</v>
      </c>
      <c r="AG318" s="51">
        <f>APPLICANTS_PER_YEAR*($H318/Segments!$AH$2)*AE318</f>
        <v>0.24</v>
      </c>
      <c r="AH318" s="51">
        <f t="shared" si="177"/>
        <v>12.112313808670811</v>
      </c>
      <c r="AI318" s="14">
        <f t="shared" si="178"/>
        <v>2342.9028851744188</v>
      </c>
      <c r="AJ318" s="44">
        <f t="shared" si="179"/>
        <v>28377.974968472794</v>
      </c>
      <c r="AK318" s="44">
        <f t="shared" si="180"/>
        <v>37936.652283379575</v>
      </c>
      <c r="AL318" s="44">
        <f t="shared" si="181"/>
        <v>5650.2310080088801</v>
      </c>
      <c r="AM318" s="14">
        <f t="shared" si="182"/>
        <v>2342.7717198208452</v>
      </c>
      <c r="AN318" s="14">
        <f t="shared" si="183"/>
        <v>2880.3886563232022</v>
      </c>
      <c r="AO318" s="14">
        <f t="shared" si="184"/>
        <v>4725.4031759438594</v>
      </c>
      <c r="AP318" s="14">
        <f t="shared" si="185"/>
        <v>2673.9384646591948</v>
      </c>
      <c r="AQ318" s="14">
        <f t="shared" si="186"/>
        <v>2928.4646497760564</v>
      </c>
      <c r="AR318" s="33">
        <f t="shared" si="187"/>
        <v>0.72740612518184822</v>
      </c>
      <c r="AS318" s="33">
        <f t="shared" si="188"/>
        <v>0.02</v>
      </c>
      <c r="AT318" s="51">
        <f t="shared" si="189"/>
        <v>9.8690541068636755</v>
      </c>
      <c r="AU318" s="51">
        <f>APPLICANTS_PER_YEAR*($H318/Segments!$AH$2)*AS318</f>
        <v>0.24</v>
      </c>
      <c r="AV318" s="51">
        <f t="shared" si="190"/>
        <v>10.109054106863676</v>
      </c>
      <c r="AW318" s="14">
        <f t="shared" si="191"/>
        <v>2971.1259355621773</v>
      </c>
      <c r="AX318" s="44">
        <f t="shared" si="192"/>
        <v>30035.27284090401</v>
      </c>
      <c r="AY318" s="44">
        <f t="shared" si="193"/>
        <v>32612.165348635728</v>
      </c>
      <c r="AZ318" s="44">
        <f t="shared" si="194"/>
        <v>5924.5410357460596</v>
      </c>
    </row>
    <row r="319" spans="1:52" ht="15" customHeight="1" x14ac:dyDescent="0.35">
      <c r="A319" s="59" t="str">
        <f>Segments!$A$299</f>
        <v>Greek</v>
      </c>
      <c r="B319" s="59" t="str">
        <f>Segments!$B$299</f>
        <v>Off 1-3mi</v>
      </c>
      <c r="C319" s="59" t="str">
        <f>Segments!$C$299</f>
        <v>Yes</v>
      </c>
      <c r="D319" s="59" t="str">
        <f>Segments!$D$299</f>
        <v>2.0-3.0</v>
      </c>
      <c r="E319" s="59" t="str">
        <f>Segments!$E$299</f>
        <v>Grad student</v>
      </c>
      <c r="F319" s="59">
        <f>Segments!$F$299</f>
        <v>3</v>
      </c>
      <c r="G319" s="59" t="str">
        <f>Segments!$G$299</f>
        <v>Grad</v>
      </c>
      <c r="H319" s="60">
        <f>Segments!$H$299</f>
        <v>10</v>
      </c>
      <c r="I319" s="26">
        <f>Segments!$Y$299</f>
        <v>3232.7480395592152</v>
      </c>
      <c r="J319" s="29">
        <v>4</v>
      </c>
      <c r="K319" s="14">
        <f t="shared" si="156"/>
        <v>1426.2297754450396</v>
      </c>
      <c r="L319" s="14">
        <f t="shared" si="157"/>
        <v>3232.7480395592152</v>
      </c>
      <c r="M319" s="14">
        <f t="shared" si="158"/>
        <v>5298.367002900316</v>
      </c>
      <c r="N319" s="14">
        <f t="shared" si="159"/>
        <v>2748.9432116309581</v>
      </c>
      <c r="O319" s="14">
        <f t="shared" si="160"/>
        <v>1782.7872193062994</v>
      </c>
      <c r="P319" s="33">
        <f t="shared" si="161"/>
        <v>0.95</v>
      </c>
      <c r="Q319" s="33">
        <f t="shared" si="162"/>
        <v>0.02</v>
      </c>
      <c r="R319" s="51">
        <f t="shared" si="163"/>
        <v>4.75</v>
      </c>
      <c r="S319" s="51">
        <f>APPLICANTS_PER_YEAR*($H319/Segments!$AH$2)*Q319</f>
        <v>0.24</v>
      </c>
      <c r="T319" s="51">
        <f t="shared" si="164"/>
        <v>4.99</v>
      </c>
      <c r="U319" s="14">
        <f t="shared" si="165"/>
        <v>1951.8732209220436</v>
      </c>
      <c r="V319" s="44">
        <f t="shared" si="166"/>
        <v>9739.8473724009982</v>
      </c>
      <c r="W319" s="44">
        <f t="shared" si="167"/>
        <v>18067.182243488543</v>
      </c>
      <c r="X319" s="44">
        <f t="shared" si="168"/>
        <v>1991.1374362081513</v>
      </c>
      <c r="Y319" s="14">
        <f t="shared" si="169"/>
        <v>1951.8732209220436</v>
      </c>
      <c r="Z319" s="14">
        <f t="shared" si="170"/>
        <v>3329.7304807459918</v>
      </c>
      <c r="AA319" s="14">
        <f t="shared" si="171"/>
        <v>5456.0680129873263</v>
      </c>
      <c r="AB319" s="14">
        <f t="shared" si="172"/>
        <v>2831.0872216668017</v>
      </c>
      <c r="AC319" s="14">
        <f t="shared" si="173"/>
        <v>2439.8415261525547</v>
      </c>
      <c r="AD319" s="33">
        <f t="shared" si="174"/>
        <v>0.8440981352534771</v>
      </c>
      <c r="AE319" s="33">
        <f t="shared" si="175"/>
        <v>0.02</v>
      </c>
      <c r="AF319" s="51">
        <f t="shared" si="176"/>
        <v>2.1060248474574252</v>
      </c>
      <c r="AG319" s="51">
        <f>APPLICANTS_PER_YEAR*($H319/Segments!$AH$2)*AE319</f>
        <v>0.24</v>
      </c>
      <c r="AH319" s="51">
        <f t="shared" si="177"/>
        <v>2.346024847457425</v>
      </c>
      <c r="AI319" s="14">
        <f t="shared" si="178"/>
        <v>2748.4036275407343</v>
      </c>
      <c r="AJ319" s="44">
        <f t="shared" si="179"/>
        <v>6447.8232010526845</v>
      </c>
      <c r="AK319" s="44">
        <f t="shared" si="180"/>
        <v>8749.0260963464298</v>
      </c>
      <c r="AL319" s="44">
        <f t="shared" si="181"/>
        <v>1317.3900532571993</v>
      </c>
      <c r="AM319" s="14">
        <f t="shared" si="182"/>
        <v>2748.4036275407343</v>
      </c>
      <c r="AN319" s="14">
        <f t="shared" si="183"/>
        <v>3429.6223951683714</v>
      </c>
      <c r="AO319" s="14">
        <f t="shared" si="184"/>
        <v>5618.5000533769462</v>
      </c>
      <c r="AP319" s="14">
        <f t="shared" si="185"/>
        <v>2915.6955153952908</v>
      </c>
      <c r="AQ319" s="14">
        <f t="shared" si="186"/>
        <v>3435.5045344259179</v>
      </c>
      <c r="AR319" s="33">
        <f t="shared" si="187"/>
        <v>0.68586020191649633</v>
      </c>
      <c r="AS319" s="33">
        <f t="shared" si="188"/>
        <v>0.02</v>
      </c>
      <c r="AT319" s="51">
        <f t="shared" si="189"/>
        <v>0.80452253778913352</v>
      </c>
      <c r="AU319" s="51">
        <f>APPLICANTS_PER_YEAR*($H319/Segments!$AH$2)*AS319</f>
        <v>0.24</v>
      </c>
      <c r="AV319" s="51">
        <f t="shared" si="190"/>
        <v>1.0445225377891334</v>
      </c>
      <c r="AW319" s="14">
        <f t="shared" si="191"/>
        <v>3937.0915328809151</v>
      </c>
      <c r="AX319" s="44">
        <f t="shared" si="192"/>
        <v>4112.3808394328826</v>
      </c>
      <c r="AY319" s="44">
        <f t="shared" si="193"/>
        <v>4012.1960344028798</v>
      </c>
      <c r="AZ319" s="44">
        <f t="shared" si="194"/>
        <v>851.32582985696376</v>
      </c>
    </row>
    <row r="320" spans="1:52" ht="15" customHeight="1" x14ac:dyDescent="0.35">
      <c r="A320" s="61" t="str">
        <f>Segments!$A$300</f>
        <v>Greek</v>
      </c>
      <c r="B320" s="61" t="str">
        <f>Segments!$B$300</f>
        <v>Off 1-3mi</v>
      </c>
      <c r="C320" s="61" t="str">
        <f>Segments!$C$300</f>
        <v>Yes</v>
      </c>
      <c r="D320" s="61" t="str">
        <f>Segments!$D$300</f>
        <v>3.0+</v>
      </c>
      <c r="E320" s="61" t="str">
        <f>Segments!$E$300</f>
        <v>Freshman</v>
      </c>
      <c r="F320" s="61">
        <f>Segments!$F$300</f>
        <v>1</v>
      </c>
      <c r="G320" s="61" t="str">
        <f>Segments!$G$300</f>
        <v>Base</v>
      </c>
      <c r="H320" s="62">
        <f>Segments!$H$300</f>
        <v>6</v>
      </c>
      <c r="I320" s="63">
        <f>Segments!$Y$300</f>
        <v>2151.811465185292</v>
      </c>
      <c r="J320" s="42">
        <v>0</v>
      </c>
      <c r="K320" s="40">
        <f t="shared" si="156"/>
        <v>3540.6798635297473</v>
      </c>
      <c r="L320" s="40">
        <f t="shared" si="157"/>
        <v>2151.811465185292</v>
      </c>
      <c r="M320" s="40">
        <f t="shared" si="158"/>
        <v>3540.6798635297473</v>
      </c>
      <c r="N320" s="40">
        <f t="shared" si="159"/>
        <v>2247.1811334836375</v>
      </c>
      <c r="O320" s="40">
        <f t="shared" si="160"/>
        <v>3540.6798635297473</v>
      </c>
      <c r="P320" s="41">
        <f t="shared" si="161"/>
        <v>0.56219526749032123</v>
      </c>
      <c r="Q320" s="41">
        <f t="shared" si="162"/>
        <v>6.2195267490321227E-2</v>
      </c>
      <c r="R320" s="64">
        <f t="shared" si="163"/>
        <v>0</v>
      </c>
      <c r="S320" s="64">
        <f>APPLICANTS_PER_YEAR*($H320/Segments!$AH$2)*Q320</f>
        <v>0.44780592593031276</v>
      </c>
      <c r="T320" s="64">
        <f t="shared" si="164"/>
        <v>0.44780592593031276</v>
      </c>
      <c r="U320" s="40">
        <f t="shared" si="165"/>
        <v>3540.6798635297473</v>
      </c>
      <c r="V320" s="65">
        <f t="shared" si="166"/>
        <v>1585.537424710752</v>
      </c>
      <c r="W320" s="65">
        <f t="shared" si="167"/>
        <v>1079.2251966661343</v>
      </c>
      <c r="X320" s="65">
        <f t="shared" si="168"/>
        <v>375.31164980207257</v>
      </c>
      <c r="Y320" s="40">
        <f t="shared" si="169"/>
        <v>3645.6502594356402</v>
      </c>
      <c r="Z320" s="40">
        <f t="shared" si="170"/>
        <v>2216.3658091408511</v>
      </c>
      <c r="AA320" s="40">
        <f t="shared" si="171"/>
        <v>3645.6502594356402</v>
      </c>
      <c r="AB320" s="40">
        <f t="shared" si="172"/>
        <v>2314.1998615919119</v>
      </c>
      <c r="AC320" s="40">
        <f t="shared" si="173"/>
        <v>3645.6502594356402</v>
      </c>
      <c r="AD320" s="41">
        <f t="shared" si="174"/>
        <v>0.5623302917908225</v>
      </c>
      <c r="AE320" s="41">
        <f t="shared" si="175"/>
        <v>6.2330291790822501E-2</v>
      </c>
      <c r="AF320" s="64">
        <f t="shared" si="176"/>
        <v>0</v>
      </c>
      <c r="AG320" s="64">
        <f>APPLICANTS_PER_YEAR*($H320/Segments!$AH$2)*AE320</f>
        <v>0.44877810089392195</v>
      </c>
      <c r="AH320" s="64">
        <f t="shared" si="177"/>
        <v>0.44877810089392195</v>
      </c>
      <c r="AI320" s="40">
        <f t="shared" si="178"/>
        <v>3645.6502594356402</v>
      </c>
      <c r="AJ320" s="65">
        <f t="shared" si="179"/>
        <v>1636.0879999529604</v>
      </c>
      <c r="AK320" s="65">
        <f t="shared" si="180"/>
        <v>1114.0152113579461</v>
      </c>
      <c r="AL320" s="65">
        <f t="shared" si="181"/>
        <v>386.67872652968958</v>
      </c>
      <c r="AM320" s="40">
        <f t="shared" si="182"/>
        <v>3753.7697672187087</v>
      </c>
      <c r="AN320" s="40">
        <f t="shared" si="183"/>
        <v>2282.8567834150763</v>
      </c>
      <c r="AO320" s="40">
        <f t="shared" si="184"/>
        <v>3753.7697672187087</v>
      </c>
      <c r="AP320" s="40">
        <f t="shared" si="185"/>
        <v>2383.2290845183215</v>
      </c>
      <c r="AQ320" s="40">
        <f t="shared" si="186"/>
        <v>3753.7697672187087</v>
      </c>
      <c r="AR320" s="41">
        <f t="shared" si="187"/>
        <v>0.56246140549317158</v>
      </c>
      <c r="AS320" s="41">
        <f t="shared" si="188"/>
        <v>6.2461405493171585E-2</v>
      </c>
      <c r="AT320" s="64">
        <f t="shared" si="189"/>
        <v>0</v>
      </c>
      <c r="AU320" s="64">
        <f>APPLICANTS_PER_YEAR*($H320/Segments!$AH$2)*AS320</f>
        <v>0.44972211955083535</v>
      </c>
      <c r="AV320" s="64">
        <f t="shared" si="190"/>
        <v>0.44972211955083535</v>
      </c>
      <c r="AW320" s="40">
        <f t="shared" si="191"/>
        <v>3753.7697672187087</v>
      </c>
      <c r="AX320" s="65">
        <f t="shared" si="192"/>
        <v>1688.1532960194436</v>
      </c>
      <c r="AY320" s="65">
        <f t="shared" si="193"/>
        <v>1149.8493342206423</v>
      </c>
      <c r="AZ320" s="65">
        <f t="shared" si="194"/>
        <v>398.383833688143</v>
      </c>
    </row>
    <row r="321" spans="1:52" ht="15" customHeight="1" x14ac:dyDescent="0.35">
      <c r="A321" s="61" t="str">
        <f>Segments!$A$301</f>
        <v>Greek</v>
      </c>
      <c r="B321" s="61" t="str">
        <f>Segments!$B$301</f>
        <v>Off 1-3mi</v>
      </c>
      <c r="C321" s="61" t="str">
        <f>Segments!$C$301</f>
        <v>Yes</v>
      </c>
      <c r="D321" s="61" t="str">
        <f>Segments!$D$301</f>
        <v>3.0+</v>
      </c>
      <c r="E321" s="61" t="str">
        <f>Segments!$E$301</f>
        <v>Sophomore</v>
      </c>
      <c r="F321" s="61">
        <f>Segments!$F$301</f>
        <v>1</v>
      </c>
      <c r="G321" s="61" t="str">
        <f>Segments!$G$301</f>
        <v>Sophomore</v>
      </c>
      <c r="H321" s="62">
        <f>Segments!$H$301</f>
        <v>4</v>
      </c>
      <c r="I321" s="63">
        <f>Segments!$Y$301</f>
        <v>2129.919457841148</v>
      </c>
      <c r="J321" s="42">
        <v>1</v>
      </c>
      <c r="K321" s="40">
        <f t="shared" si="156"/>
        <v>1426.2297754450396</v>
      </c>
      <c r="L321" s="40">
        <f t="shared" si="157"/>
        <v>2129.919457841148</v>
      </c>
      <c r="M321" s="40">
        <f t="shared" si="158"/>
        <v>3505.0817528949069</v>
      </c>
      <c r="N321" s="40">
        <f t="shared" si="159"/>
        <v>2235.8559795630417</v>
      </c>
      <c r="O321" s="40">
        <f t="shared" si="160"/>
        <v>1782.7872193062994</v>
      </c>
      <c r="P321" s="41">
        <f t="shared" si="161"/>
        <v>0.87631886051651831</v>
      </c>
      <c r="Q321" s="41">
        <f t="shared" si="162"/>
        <v>6.6165579327718382E-2</v>
      </c>
      <c r="R321" s="64">
        <f t="shared" si="163"/>
        <v>5.2579131630991096</v>
      </c>
      <c r="S321" s="64">
        <f>APPLICANTS_PER_YEAR*($H321/Segments!$AH$2)*Q321</f>
        <v>0.3175947807730482</v>
      </c>
      <c r="T321" s="64">
        <f t="shared" si="164"/>
        <v>5.5755079438721582</v>
      </c>
      <c r="U321" s="40">
        <f t="shared" si="165"/>
        <v>1880.893393726313</v>
      </c>
      <c r="V321" s="65">
        <f t="shared" si="166"/>
        <v>10486.936058297721</v>
      </c>
      <c r="W321" s="65">
        <f t="shared" si="167"/>
        <v>13300.428799841346</v>
      </c>
      <c r="X321" s="65">
        <f t="shared" si="168"/>
        <v>2140.442791896618</v>
      </c>
      <c r="Y321" s="40">
        <f t="shared" si="169"/>
        <v>3540.6798635297473</v>
      </c>
      <c r="Z321" s="40">
        <f t="shared" si="170"/>
        <v>2193.8170415763825</v>
      </c>
      <c r="AA321" s="40">
        <f t="shared" si="171"/>
        <v>3608.9842054817545</v>
      </c>
      <c r="AB321" s="40">
        <f t="shared" si="172"/>
        <v>2302.5329432948415</v>
      </c>
      <c r="AC321" s="40">
        <f t="shared" si="173"/>
        <v>3608.9842054817545</v>
      </c>
      <c r="AD321" s="41">
        <f t="shared" si="174"/>
        <v>0.56051389560131915</v>
      </c>
      <c r="AE321" s="41">
        <f t="shared" si="175"/>
        <v>6.6301287677250631E-2</v>
      </c>
      <c r="AF321" s="64">
        <f t="shared" si="176"/>
        <v>0.25100144401655539</v>
      </c>
      <c r="AG321" s="64">
        <f>APPLICANTS_PER_YEAR*($H321/Segments!$AH$2)*AE321</f>
        <v>0.31824618085080303</v>
      </c>
      <c r="AH321" s="64">
        <f t="shared" si="177"/>
        <v>0.56924762486735836</v>
      </c>
      <c r="AI321" s="40">
        <f t="shared" si="178"/>
        <v>3608.984205481755</v>
      </c>
      <c r="AJ321" s="65">
        <f t="shared" si="179"/>
        <v>2054.4056871542994</v>
      </c>
      <c r="AK321" s="65">
        <f t="shared" si="180"/>
        <v>1398.6841571481975</v>
      </c>
      <c r="AL321" s="65">
        <f t="shared" si="181"/>
        <v>447.82287229587024</v>
      </c>
      <c r="AM321" s="40">
        <f t="shared" si="182"/>
        <v>3645.6502594356402</v>
      </c>
      <c r="AN321" s="40">
        <f t="shared" si="183"/>
        <v>2259.6315528236737</v>
      </c>
      <c r="AO321" s="40">
        <f t="shared" si="184"/>
        <v>3716.0037316462067</v>
      </c>
      <c r="AP321" s="40">
        <f t="shared" si="185"/>
        <v>2371.2101478894665</v>
      </c>
      <c r="AQ321" s="40">
        <f t="shared" si="186"/>
        <v>3716.0037316462067</v>
      </c>
      <c r="AR321" s="41">
        <f t="shared" si="187"/>
        <v>0.56064368941897191</v>
      </c>
      <c r="AS321" s="41">
        <f t="shared" si="188"/>
        <v>6.6433065843258254E-2</v>
      </c>
      <c r="AT321" s="64">
        <f t="shared" si="189"/>
        <v>0.25160461021560804</v>
      </c>
      <c r="AU321" s="64">
        <f>APPLICANTS_PER_YEAR*($H321/Segments!$AH$2)*AS321</f>
        <v>0.31887871604763962</v>
      </c>
      <c r="AV321" s="64">
        <f t="shared" si="190"/>
        <v>0.5704833262632476</v>
      </c>
      <c r="AW321" s="40">
        <f t="shared" si="191"/>
        <v>3716.0037316462076</v>
      </c>
      <c r="AX321" s="65">
        <f t="shared" si="192"/>
        <v>2119.918169236169</v>
      </c>
      <c r="AY321" s="65">
        <f t="shared" si="193"/>
        <v>1443.7719793103454</v>
      </c>
      <c r="AZ321" s="65">
        <f t="shared" si="194"/>
        <v>461.51957586923709</v>
      </c>
    </row>
    <row r="322" spans="1:52" ht="15" customHeight="1" x14ac:dyDescent="0.35">
      <c r="A322" s="61" t="str">
        <f>Segments!$A$302</f>
        <v>Greek</v>
      </c>
      <c r="B322" s="61" t="str">
        <f>Segments!$B$302</f>
        <v>Off 1-3mi</v>
      </c>
      <c r="C322" s="61" t="str">
        <f>Segments!$C$302</f>
        <v>Yes</v>
      </c>
      <c r="D322" s="61" t="str">
        <f>Segments!$D$302</f>
        <v>3.0+</v>
      </c>
      <c r="E322" s="61" t="str">
        <f>Segments!$E$302</f>
        <v>Junior</v>
      </c>
      <c r="F322" s="61">
        <f>Segments!$F$302</f>
        <v>2</v>
      </c>
      <c r="G322" s="61" t="str">
        <f>Segments!$G$302</f>
        <v>Base</v>
      </c>
      <c r="H322" s="62">
        <f>Segments!$H$302</f>
        <v>6</v>
      </c>
      <c r="I322" s="63">
        <f>Segments!$Y$302</f>
        <v>2546.160296735402</v>
      </c>
      <c r="J322" s="42">
        <v>2</v>
      </c>
      <c r="K322" s="40">
        <f t="shared" si="156"/>
        <v>1426.2297754450396</v>
      </c>
      <c r="L322" s="40">
        <f t="shared" si="157"/>
        <v>2546.160296735402</v>
      </c>
      <c r="M322" s="40">
        <f t="shared" si="158"/>
        <v>4181.9218069276812</v>
      </c>
      <c r="N322" s="40">
        <f t="shared" si="159"/>
        <v>2442.2083038969422</v>
      </c>
      <c r="O322" s="40">
        <f t="shared" si="160"/>
        <v>1782.7872193062994</v>
      </c>
      <c r="P322" s="41">
        <f t="shared" si="161"/>
        <v>0.91000508608099251</v>
      </c>
      <c r="Q322" s="41">
        <f t="shared" si="162"/>
        <v>0.02</v>
      </c>
      <c r="R322" s="64">
        <f t="shared" si="163"/>
        <v>3.64002034432397</v>
      </c>
      <c r="S322" s="64">
        <f>APPLICANTS_PER_YEAR*($H322/Segments!$AH$2)*Q322</f>
        <v>0.14399999999999999</v>
      </c>
      <c r="T322" s="64">
        <f t="shared" si="164"/>
        <v>3.7840203443239702</v>
      </c>
      <c r="U322" s="40">
        <f t="shared" si="165"/>
        <v>1874.0857190978484</v>
      </c>
      <c r="V322" s="65">
        <f t="shared" si="166"/>
        <v>7091.5784880732754</v>
      </c>
      <c r="W322" s="65">
        <f t="shared" si="167"/>
        <v>10790.889046287526</v>
      </c>
      <c r="X322" s="65">
        <f t="shared" si="168"/>
        <v>1440.6656270392439</v>
      </c>
      <c r="Y322" s="40">
        <f t="shared" si="169"/>
        <v>1880.893393726313</v>
      </c>
      <c r="Z322" s="40">
        <f t="shared" si="170"/>
        <v>2622.5451056374641</v>
      </c>
      <c r="AA322" s="40">
        <f t="shared" si="171"/>
        <v>4306.1294611355115</v>
      </c>
      <c r="AB322" s="40">
        <f t="shared" si="172"/>
        <v>2515.1095316157398</v>
      </c>
      <c r="AC322" s="40">
        <f t="shared" si="173"/>
        <v>2351.1167421578912</v>
      </c>
      <c r="AD322" s="41">
        <f t="shared" si="174"/>
        <v>0.80760152041022593</v>
      </c>
      <c r="AE322" s="41">
        <f t="shared" si="175"/>
        <v>0.02</v>
      </c>
      <c r="AF322" s="64">
        <f t="shared" si="176"/>
        <v>4.5027886925304479</v>
      </c>
      <c r="AG322" s="64">
        <f>APPLICANTS_PER_YEAR*($H322/Segments!$AH$2)*AE322</f>
        <v>0.14399999999999999</v>
      </c>
      <c r="AH322" s="64">
        <f t="shared" si="177"/>
        <v>4.646788692530448</v>
      </c>
      <c r="AI322" s="40">
        <f t="shared" si="178"/>
        <v>2411.7009111745097</v>
      </c>
      <c r="AJ322" s="65">
        <f t="shared" si="179"/>
        <v>11206.66452381109</v>
      </c>
      <c r="AK322" s="65">
        <f t="shared" si="180"/>
        <v>13648.782495630507</v>
      </c>
      <c r="AL322" s="65">
        <f t="shared" si="181"/>
        <v>2236.2982613350282</v>
      </c>
      <c r="AM322" s="40">
        <f t="shared" si="182"/>
        <v>3608.984205481755</v>
      </c>
      <c r="AN322" s="40">
        <f t="shared" si="183"/>
        <v>2701.2214588065876</v>
      </c>
      <c r="AO322" s="40">
        <f t="shared" si="184"/>
        <v>4434.0633449695761</v>
      </c>
      <c r="AP322" s="40">
        <f t="shared" si="185"/>
        <v>2590.1977439541693</v>
      </c>
      <c r="AQ322" s="40">
        <f t="shared" si="186"/>
        <v>4434.0633449695761</v>
      </c>
      <c r="AR322" s="41">
        <f t="shared" si="187"/>
        <v>0.42548313249457365</v>
      </c>
      <c r="AS322" s="41">
        <f t="shared" si="188"/>
        <v>0.02</v>
      </c>
      <c r="AT322" s="64">
        <f t="shared" si="189"/>
        <v>0.2422052625936596</v>
      </c>
      <c r="AU322" s="64">
        <f>APPLICANTS_PER_YEAR*($H322/Segments!$AH$2)*AS322</f>
        <v>0.14399999999999999</v>
      </c>
      <c r="AV322" s="64">
        <f t="shared" si="190"/>
        <v>0.38620526259365962</v>
      </c>
      <c r="AW322" s="40">
        <f t="shared" si="191"/>
        <v>4434.0633449695761</v>
      </c>
      <c r="AX322" s="65">
        <f t="shared" si="192"/>
        <v>1712.4585985008957</v>
      </c>
      <c r="AY322" s="65">
        <f t="shared" si="193"/>
        <v>1168.4130559606699</v>
      </c>
      <c r="AZ322" s="65">
        <f t="shared" si="194"/>
        <v>357.32645962718914</v>
      </c>
    </row>
    <row r="323" spans="1:52" ht="15" customHeight="1" x14ac:dyDescent="0.35">
      <c r="A323" s="61" t="str">
        <f>Segments!$A$303</f>
        <v>Greek</v>
      </c>
      <c r="B323" s="61" t="str">
        <f>Segments!$B$303</f>
        <v>Off 1-3mi</v>
      </c>
      <c r="C323" s="61" t="str">
        <f>Segments!$C$303</f>
        <v>Yes</v>
      </c>
      <c r="D323" s="61" t="str">
        <f>Segments!$D$303</f>
        <v>3.0+</v>
      </c>
      <c r="E323" s="61" t="str">
        <f>Segments!$E$303</f>
        <v>Senior</v>
      </c>
      <c r="F323" s="61">
        <f>Segments!$F$303</f>
        <v>3</v>
      </c>
      <c r="G323" s="61" t="str">
        <f>Segments!$G$303</f>
        <v>Base</v>
      </c>
      <c r="H323" s="62">
        <f>Segments!$H$303</f>
        <v>5</v>
      </c>
      <c r="I323" s="63">
        <f>Segments!$Y$303</f>
        <v>2379.8640914705175</v>
      </c>
      <c r="J323" s="42">
        <v>3</v>
      </c>
      <c r="K323" s="40">
        <f t="shared" si="156"/>
        <v>1426.2297754450396</v>
      </c>
      <c r="L323" s="40">
        <f t="shared" si="157"/>
        <v>2379.8640914705175</v>
      </c>
      <c r="M323" s="40">
        <f t="shared" si="158"/>
        <v>3911.5112127727793</v>
      </c>
      <c r="N323" s="40">
        <f t="shared" si="159"/>
        <v>2361.930091819755</v>
      </c>
      <c r="O323" s="40">
        <f t="shared" si="160"/>
        <v>1782.7872193062994</v>
      </c>
      <c r="P323" s="41">
        <f t="shared" si="161"/>
        <v>0.8975994949044519</v>
      </c>
      <c r="Q323" s="41">
        <f t="shared" si="162"/>
        <v>2.1967191933452646E-2</v>
      </c>
      <c r="R323" s="64">
        <f t="shared" si="163"/>
        <v>5.385596969426711</v>
      </c>
      <c r="S323" s="64">
        <f>APPLICANTS_PER_YEAR*($H323/Segments!$AH$2)*Q323</f>
        <v>0.13180315160071587</v>
      </c>
      <c r="T323" s="64">
        <f t="shared" si="164"/>
        <v>5.5174001210274266</v>
      </c>
      <c r="U323" s="40">
        <f t="shared" si="165"/>
        <v>1833.6395274718157</v>
      </c>
      <c r="V323" s="65">
        <f t="shared" si="166"/>
        <v>10116.922950793669</v>
      </c>
      <c r="W323" s="65">
        <f t="shared" si="167"/>
        <v>14706.341917465252</v>
      </c>
      <c r="X323" s="65">
        <f t="shared" si="168"/>
        <v>2043.7857515983444</v>
      </c>
      <c r="Y323" s="40">
        <f t="shared" si="169"/>
        <v>1874.0857190978484</v>
      </c>
      <c r="Z323" s="40">
        <f t="shared" si="170"/>
        <v>2451.260014214633</v>
      </c>
      <c r="AA323" s="40">
        <f t="shared" si="171"/>
        <v>4027.606549155963</v>
      </c>
      <c r="AB323" s="40">
        <f t="shared" si="172"/>
        <v>2432.4105647914766</v>
      </c>
      <c r="AC323" s="40">
        <f t="shared" si="173"/>
        <v>2342.6071488723105</v>
      </c>
      <c r="AD323" s="41">
        <f t="shared" si="174"/>
        <v>0.79345975700382332</v>
      </c>
      <c r="AE323" s="41">
        <f t="shared" si="175"/>
        <v>2.2095655344015142E-2</v>
      </c>
      <c r="AF323" s="64">
        <f t="shared" si="176"/>
        <v>3.0024678629048211</v>
      </c>
      <c r="AG323" s="64">
        <f>APPLICANTS_PER_YEAR*($H323/Segments!$AH$2)*AE323</f>
        <v>0.13257393206409085</v>
      </c>
      <c r="AH323" s="64">
        <f t="shared" si="177"/>
        <v>3.1350417949689122</v>
      </c>
      <c r="AI323" s="40">
        <f t="shared" si="178"/>
        <v>2413.8620190241941</v>
      </c>
      <c r="AJ323" s="65">
        <f t="shared" si="179"/>
        <v>7567.5583169288921</v>
      </c>
      <c r="AK323" s="65">
        <f t="shared" si="180"/>
        <v>8606.9789062868404</v>
      </c>
      <c r="AL323" s="65">
        <f t="shared" si="181"/>
        <v>1514.9721533965453</v>
      </c>
      <c r="AM323" s="40">
        <f t="shared" si="182"/>
        <v>2411.7009111745097</v>
      </c>
      <c r="AN323" s="40">
        <f t="shared" si="183"/>
        <v>2524.7978146410719</v>
      </c>
      <c r="AO323" s="40">
        <f t="shared" si="184"/>
        <v>4147.1847456306423</v>
      </c>
      <c r="AP323" s="40">
        <f t="shared" si="185"/>
        <v>2505.0053942319005</v>
      </c>
      <c r="AQ323" s="40">
        <f t="shared" si="186"/>
        <v>3014.6261389681372</v>
      </c>
      <c r="AR323" s="41">
        <f t="shared" si="187"/>
        <v>0.67327951151129173</v>
      </c>
      <c r="AS323" s="41">
        <f t="shared" si="188"/>
        <v>2.2220396175578583E-2</v>
      </c>
      <c r="AT323" s="64">
        <f t="shared" si="189"/>
        <v>3.1285876210030938</v>
      </c>
      <c r="AU323" s="64">
        <f>APPLICANTS_PER_YEAR*($H323/Segments!$AH$2)*AS323</f>
        <v>0.1333223770534715</v>
      </c>
      <c r="AV323" s="64">
        <f t="shared" si="190"/>
        <v>3.2619099980565656</v>
      </c>
      <c r="AW323" s="40">
        <f t="shared" si="191"/>
        <v>3060.9166269590914</v>
      </c>
      <c r="AX323" s="65">
        <f t="shared" si="192"/>
        <v>9984.4345486954389</v>
      </c>
      <c r="AY323" s="65">
        <f t="shared" si="193"/>
        <v>9223.9428228069719</v>
      </c>
      <c r="AZ323" s="65">
        <f t="shared" si="194"/>
        <v>1974.9813275837646</v>
      </c>
    </row>
    <row r="324" spans="1:52" ht="15" customHeight="1" x14ac:dyDescent="0.35">
      <c r="A324" s="61" t="str">
        <f>Segments!$A$304</f>
        <v>Greek</v>
      </c>
      <c r="B324" s="61" t="str">
        <f>Segments!$B$304</f>
        <v>Off 1-3mi</v>
      </c>
      <c r="C324" s="61" t="str">
        <f>Segments!$C$304</f>
        <v>Yes</v>
      </c>
      <c r="D324" s="61" t="str">
        <f>Segments!$D$304</f>
        <v>3.0+</v>
      </c>
      <c r="E324" s="61" t="str">
        <f>Segments!$E$304</f>
        <v>Grad student</v>
      </c>
      <c r="F324" s="61">
        <f>Segments!$F$304</f>
        <v>3</v>
      </c>
      <c r="G324" s="61" t="str">
        <f>Segments!$G$304</f>
        <v>Grad</v>
      </c>
      <c r="H324" s="62">
        <f>Segments!$H$304</f>
        <v>4</v>
      </c>
      <c r="I324" s="63">
        <f>Segments!$Y$304</f>
        <v>2833.6575925774896</v>
      </c>
      <c r="J324" s="42">
        <v>4</v>
      </c>
      <c r="K324" s="40">
        <f t="shared" si="156"/>
        <v>1426.2297754450396</v>
      </c>
      <c r="L324" s="40">
        <f t="shared" si="157"/>
        <v>2833.6575925774896</v>
      </c>
      <c r="M324" s="40">
        <f t="shared" si="158"/>
        <v>4649.4148231558902</v>
      </c>
      <c r="N324" s="40">
        <f t="shared" si="159"/>
        <v>2575.0988057122127</v>
      </c>
      <c r="O324" s="40">
        <f t="shared" si="160"/>
        <v>1782.7872193062994</v>
      </c>
      <c r="P324" s="41">
        <f t="shared" si="161"/>
        <v>0.92884100692532034</v>
      </c>
      <c r="Q324" s="41">
        <f t="shared" si="162"/>
        <v>0.02</v>
      </c>
      <c r="R324" s="64">
        <f t="shared" si="163"/>
        <v>1.8576820138506407</v>
      </c>
      <c r="S324" s="64">
        <f>APPLICANTS_PER_YEAR*($H324/Segments!$AH$2)*Q324</f>
        <v>9.6000000000000002E-2</v>
      </c>
      <c r="T324" s="64">
        <f t="shared" si="164"/>
        <v>1.9536820138506408</v>
      </c>
      <c r="U324" s="40">
        <f t="shared" si="165"/>
        <v>1923.6475271857573</v>
      </c>
      <c r="V324" s="65">
        <f t="shared" si="166"/>
        <v>3758.1955748510754</v>
      </c>
      <c r="W324" s="65">
        <f t="shared" si="167"/>
        <v>6200.3937766735426</v>
      </c>
      <c r="X324" s="65">
        <f t="shared" si="168"/>
        <v>767.39463772966997</v>
      </c>
      <c r="Y324" s="40">
        <f t="shared" si="169"/>
        <v>1923.6475271857573</v>
      </c>
      <c r="Z324" s="40">
        <f t="shared" si="170"/>
        <v>2918.6673203548144</v>
      </c>
      <c r="AA324" s="40">
        <f t="shared" si="171"/>
        <v>4787.647267850567</v>
      </c>
      <c r="AB324" s="40">
        <f t="shared" si="172"/>
        <v>2652.0055882989136</v>
      </c>
      <c r="AC324" s="40">
        <f t="shared" si="173"/>
        <v>2404.5594089821966</v>
      </c>
      <c r="AD324" s="41">
        <f t="shared" si="174"/>
        <v>0.82165265043340985</v>
      </c>
      <c r="AE324" s="41">
        <f t="shared" si="175"/>
        <v>0.02</v>
      </c>
      <c r="AF324" s="64">
        <f t="shared" si="176"/>
        <v>0.80262400239223031</v>
      </c>
      <c r="AG324" s="64">
        <f>APPLICANTS_PER_YEAR*($H324/Segments!$AH$2)*AE324</f>
        <v>9.6000000000000002E-2</v>
      </c>
      <c r="AH324" s="64">
        <f t="shared" si="177"/>
        <v>0.89862400239223028</v>
      </c>
      <c r="AI324" s="40">
        <f t="shared" si="178"/>
        <v>2659.1446791756671</v>
      </c>
      <c r="AJ324" s="65">
        <f t="shared" si="179"/>
        <v>2389.571234540841</v>
      </c>
      <c r="AK324" s="65">
        <f t="shared" si="180"/>
        <v>2937.5186501568874</v>
      </c>
      <c r="AL324" s="65">
        <f t="shared" si="181"/>
        <v>488.08793819604142</v>
      </c>
      <c r="AM324" s="40">
        <f t="shared" si="182"/>
        <v>2659.1446791756671</v>
      </c>
      <c r="AN324" s="40">
        <f t="shared" si="183"/>
        <v>3006.2273399654587</v>
      </c>
      <c r="AO324" s="40">
        <f t="shared" si="184"/>
        <v>4930.0266858860832</v>
      </c>
      <c r="AP324" s="40">
        <f t="shared" si="185"/>
        <v>2731.219529826586</v>
      </c>
      <c r="AQ324" s="40">
        <f t="shared" si="186"/>
        <v>3323.9308489695841</v>
      </c>
      <c r="AR324" s="41">
        <f t="shared" si="187"/>
        <v>0.66649328483664017</v>
      </c>
      <c r="AS324" s="41">
        <f t="shared" si="188"/>
        <v>0.02</v>
      </c>
      <c r="AT324" s="64">
        <f t="shared" si="189"/>
        <v>0.29946343159372318</v>
      </c>
      <c r="AU324" s="64">
        <f>APPLICANTS_PER_YEAR*($H324/Segments!$AH$2)*AS324</f>
        <v>9.6000000000000002E-2</v>
      </c>
      <c r="AV324" s="64">
        <f t="shared" si="190"/>
        <v>0.39546343159372321</v>
      </c>
      <c r="AW324" s="40">
        <f t="shared" si="191"/>
        <v>3713.8156980506114</v>
      </c>
      <c r="AX324" s="65">
        <f t="shared" si="192"/>
        <v>1468.6783002577333</v>
      </c>
      <c r="AY324" s="65">
        <f t="shared" si="193"/>
        <v>1331.5153376152441</v>
      </c>
      <c r="AZ324" s="65">
        <f t="shared" si="194"/>
        <v>304.45435704516325</v>
      </c>
    </row>
    <row r="325" spans="1:52" ht="15" customHeight="1" x14ac:dyDescent="0.35">
      <c r="A325" s="59" t="str">
        <f>Segments!$A$305</f>
        <v>Greek</v>
      </c>
      <c r="B325" s="59" t="str">
        <f>Segments!$B$305</f>
        <v>Off 1-3mi</v>
      </c>
      <c r="C325" s="59" t="str">
        <f>Segments!$C$305</f>
        <v>No</v>
      </c>
      <c r="D325" s="59" t="str">
        <f>Segments!$D$305</f>
        <v>&lt;1.0</v>
      </c>
      <c r="E325" s="59" t="str">
        <f>Segments!$E$305</f>
        <v>Freshman</v>
      </c>
      <c r="F325" s="59">
        <f>Segments!$F$305</f>
        <v>1</v>
      </c>
      <c r="G325" s="59" t="str">
        <f>Segments!$G$305</f>
        <v>Base</v>
      </c>
      <c r="H325" s="60">
        <f>Segments!$H$305</f>
        <v>2</v>
      </c>
      <c r="I325" s="26">
        <f>Segments!$Y$305</f>
        <v>4239.8417490287602</v>
      </c>
      <c r="J325" s="29">
        <v>0</v>
      </c>
      <c r="K325" s="14">
        <f t="shared" si="156"/>
        <v>6935.9798871723569</v>
      </c>
      <c r="L325" s="14">
        <f t="shared" si="157"/>
        <v>4239.8417490287602</v>
      </c>
      <c r="M325" s="14">
        <f t="shared" si="158"/>
        <v>6935.9798871723569</v>
      </c>
      <c r="N325" s="14">
        <f t="shared" si="159"/>
        <v>3145.2028610207549</v>
      </c>
      <c r="O325" s="14">
        <f t="shared" si="160"/>
        <v>6935.9798871723569</v>
      </c>
      <c r="P325" s="33">
        <f t="shared" si="161"/>
        <v>0.3</v>
      </c>
      <c r="Q325" s="33">
        <f t="shared" si="162"/>
        <v>0.02</v>
      </c>
      <c r="R325" s="51">
        <f t="shared" si="163"/>
        <v>0</v>
      </c>
      <c r="S325" s="51">
        <f>APPLICANTS_PER_YEAR*($H325/Segments!$AH$2)*Q325</f>
        <v>4.8000000000000001E-2</v>
      </c>
      <c r="T325" s="51">
        <f t="shared" si="164"/>
        <v>4.8000000000000001E-2</v>
      </c>
      <c r="U325" s="14">
        <f t="shared" si="165"/>
        <v>6935.9798871723569</v>
      </c>
      <c r="V325" s="44">
        <f t="shared" si="166"/>
        <v>332.92703458427314</v>
      </c>
      <c r="W325" s="44">
        <f t="shared" si="167"/>
        <v>227.93389242778619</v>
      </c>
      <c r="X325" s="44">
        <f t="shared" si="168"/>
        <v>76.735655746877185</v>
      </c>
      <c r="Y325" s="14">
        <f t="shared" si="169"/>
        <v>7142.8092837875283</v>
      </c>
      <c r="Z325" s="14">
        <f t="shared" si="170"/>
        <v>4367.0370014996233</v>
      </c>
      <c r="AA325" s="14">
        <f t="shared" si="171"/>
        <v>7142.8092837875283</v>
      </c>
      <c r="AB325" s="14">
        <f t="shared" si="172"/>
        <v>3239.2755207436308</v>
      </c>
      <c r="AC325" s="14">
        <f t="shared" si="173"/>
        <v>7142.8092837875283</v>
      </c>
      <c r="AD325" s="33">
        <f t="shared" si="174"/>
        <v>0.3</v>
      </c>
      <c r="AE325" s="33">
        <f t="shared" si="175"/>
        <v>0.02</v>
      </c>
      <c r="AF325" s="51">
        <f t="shared" si="176"/>
        <v>0</v>
      </c>
      <c r="AG325" s="51">
        <f>APPLICANTS_PER_YEAR*($H325/Segments!$AH$2)*AE325</f>
        <v>4.8000000000000001E-2</v>
      </c>
      <c r="AH325" s="51">
        <f t="shared" si="177"/>
        <v>4.8000000000000001E-2</v>
      </c>
      <c r="AI325" s="14">
        <f t="shared" si="178"/>
        <v>7142.8092837875283</v>
      </c>
      <c r="AJ325" s="44">
        <f t="shared" si="179"/>
        <v>342.85484562180136</v>
      </c>
      <c r="AK325" s="44">
        <f t="shared" si="180"/>
        <v>234.77190920061977</v>
      </c>
      <c r="AL325" s="44">
        <f t="shared" si="181"/>
        <v>78.959485419283496</v>
      </c>
      <c r="AM325" s="14">
        <f t="shared" si="182"/>
        <v>7355.8435623011537</v>
      </c>
      <c r="AN325" s="14">
        <f t="shared" si="183"/>
        <v>4498.0481115446119</v>
      </c>
      <c r="AO325" s="14">
        <f t="shared" si="184"/>
        <v>7355.8435623011537</v>
      </c>
      <c r="AP325" s="14">
        <f t="shared" si="185"/>
        <v>3336.1703358183995</v>
      </c>
      <c r="AQ325" s="14">
        <f t="shared" si="186"/>
        <v>7355.8435623011537</v>
      </c>
      <c r="AR325" s="33">
        <f t="shared" si="187"/>
        <v>0.3</v>
      </c>
      <c r="AS325" s="33">
        <f t="shared" si="188"/>
        <v>0.02</v>
      </c>
      <c r="AT325" s="51">
        <f t="shared" si="189"/>
        <v>0</v>
      </c>
      <c r="AU325" s="51">
        <f>APPLICANTS_PER_YEAR*($H325/Segments!$AH$2)*AS325</f>
        <v>4.8000000000000001E-2</v>
      </c>
      <c r="AV325" s="51">
        <f t="shared" si="190"/>
        <v>4.8000000000000001E-2</v>
      </c>
      <c r="AW325" s="14">
        <f t="shared" si="191"/>
        <v>7355.8435623011528</v>
      </c>
      <c r="AX325" s="44">
        <f t="shared" si="192"/>
        <v>353.08049099045536</v>
      </c>
      <c r="AY325" s="44">
        <f t="shared" si="193"/>
        <v>241.81506647663835</v>
      </c>
      <c r="AZ325" s="44">
        <f t="shared" si="194"/>
        <v>81.250029981861999</v>
      </c>
    </row>
    <row r="326" spans="1:52" ht="15" customHeight="1" x14ac:dyDescent="0.35">
      <c r="A326" s="59" t="str">
        <f>Segments!$A$306</f>
        <v>Greek</v>
      </c>
      <c r="B326" s="59" t="str">
        <f>Segments!$B$306</f>
        <v>Off 1-3mi</v>
      </c>
      <c r="C326" s="59" t="str">
        <f>Segments!$C$306</f>
        <v>No</v>
      </c>
      <c r="D326" s="59" t="str">
        <f>Segments!$D$306</f>
        <v>&lt;1.0</v>
      </c>
      <c r="E326" s="59" t="str">
        <f>Segments!$E$306</f>
        <v>Sophomore</v>
      </c>
      <c r="F326" s="59">
        <f>Segments!$F$306</f>
        <v>1</v>
      </c>
      <c r="G326" s="59" t="str">
        <f>Segments!$G$306</f>
        <v>Sophomore</v>
      </c>
      <c r="H326" s="60">
        <f>Segments!$H$306</f>
        <v>2</v>
      </c>
      <c r="I326" s="26">
        <f>Segments!$Y$306</f>
        <v>4196.7066285921037</v>
      </c>
      <c r="J326" s="29">
        <v>1</v>
      </c>
      <c r="K326" s="14">
        <f t="shared" si="156"/>
        <v>1426.2297754450396</v>
      </c>
      <c r="L326" s="14">
        <f t="shared" si="157"/>
        <v>4196.7066285921037</v>
      </c>
      <c r="M326" s="14">
        <f t="shared" si="158"/>
        <v>6865.8388185433996</v>
      </c>
      <c r="N326" s="14">
        <f t="shared" si="159"/>
        <v>3129.2592983664667</v>
      </c>
      <c r="O326" s="14">
        <f t="shared" si="160"/>
        <v>1782.7872193062994</v>
      </c>
      <c r="P326" s="33">
        <f t="shared" si="161"/>
        <v>0.95</v>
      </c>
      <c r="Q326" s="33">
        <f t="shared" si="162"/>
        <v>0.02</v>
      </c>
      <c r="R326" s="51">
        <f t="shared" si="163"/>
        <v>1.9</v>
      </c>
      <c r="S326" s="51">
        <f>APPLICANTS_PER_YEAR*($H326/Segments!$AH$2)*Q326</f>
        <v>4.8000000000000001E-2</v>
      </c>
      <c r="T326" s="51">
        <f t="shared" si="164"/>
        <v>1.948</v>
      </c>
      <c r="U326" s="14">
        <f t="shared" si="165"/>
        <v>1908.0369507043388</v>
      </c>
      <c r="V326" s="44">
        <f t="shared" si="166"/>
        <v>3716.855979972052</v>
      </c>
      <c r="W326" s="44">
        <f t="shared" si="167"/>
        <v>9156.2066539971092</v>
      </c>
      <c r="X326" s="44">
        <f t="shared" si="168"/>
        <v>754.18038942987084</v>
      </c>
      <c r="Y326" s="14">
        <f t="shared" si="169"/>
        <v>6935.9798871723569</v>
      </c>
      <c r="Z326" s="14">
        <f t="shared" si="170"/>
        <v>4322.6078274498668</v>
      </c>
      <c r="AA326" s="14">
        <f t="shared" si="171"/>
        <v>7070.5639830997015</v>
      </c>
      <c r="AB326" s="14">
        <f t="shared" si="172"/>
        <v>3222.8522070275967</v>
      </c>
      <c r="AC326" s="14">
        <f t="shared" si="173"/>
        <v>7070.5639830997015</v>
      </c>
      <c r="AD326" s="33">
        <f t="shared" si="174"/>
        <v>0.3</v>
      </c>
      <c r="AE326" s="33">
        <f t="shared" si="175"/>
        <v>0.02</v>
      </c>
      <c r="AF326" s="51">
        <f t="shared" si="176"/>
        <v>1.44E-2</v>
      </c>
      <c r="AG326" s="51">
        <f>APPLICANTS_PER_YEAR*($H326/Segments!$AH$2)*AE326</f>
        <v>4.8000000000000001E-2</v>
      </c>
      <c r="AH326" s="51">
        <f t="shared" si="177"/>
        <v>6.2399999999999997E-2</v>
      </c>
      <c r="AI326" s="14">
        <f t="shared" si="178"/>
        <v>7070.5639830997025</v>
      </c>
      <c r="AJ326" s="44">
        <f t="shared" si="179"/>
        <v>441.20319254542142</v>
      </c>
      <c r="AK326" s="44">
        <f t="shared" si="180"/>
        <v>302.09841584481632</v>
      </c>
      <c r="AL326" s="44">
        <f t="shared" si="181"/>
        <v>97.713950882692146</v>
      </c>
      <c r="AM326" s="14">
        <f t="shared" si="182"/>
        <v>7142.8092837875283</v>
      </c>
      <c r="AN326" s="14">
        <f t="shared" si="183"/>
        <v>4452.2860622733624</v>
      </c>
      <c r="AO326" s="14">
        <f t="shared" si="184"/>
        <v>7281.4309025926914</v>
      </c>
      <c r="AP326" s="14">
        <f t="shared" si="185"/>
        <v>3319.2528781332344</v>
      </c>
      <c r="AQ326" s="14">
        <f t="shared" si="186"/>
        <v>7281.4309025926914</v>
      </c>
      <c r="AR326" s="33">
        <f t="shared" si="187"/>
        <v>0.3</v>
      </c>
      <c r="AS326" s="33">
        <f t="shared" si="188"/>
        <v>0.02</v>
      </c>
      <c r="AT326" s="51">
        <f t="shared" si="189"/>
        <v>1.44E-2</v>
      </c>
      <c r="AU326" s="51">
        <f>APPLICANTS_PER_YEAR*($H326/Segments!$AH$2)*AS326</f>
        <v>4.8000000000000001E-2</v>
      </c>
      <c r="AV326" s="51">
        <f t="shared" si="190"/>
        <v>6.2399999999999997E-2</v>
      </c>
      <c r="AW326" s="14">
        <f t="shared" si="191"/>
        <v>7281.4309025926914</v>
      </c>
      <c r="AX326" s="44">
        <f t="shared" si="192"/>
        <v>454.36128832178395</v>
      </c>
      <c r="AY326" s="44">
        <f t="shared" si="193"/>
        <v>311.16136832016076</v>
      </c>
      <c r="AZ326" s="44">
        <f t="shared" si="194"/>
        <v>100.5550874091729</v>
      </c>
    </row>
    <row r="327" spans="1:52" ht="15" customHeight="1" x14ac:dyDescent="0.35">
      <c r="A327" s="59" t="str">
        <f>Segments!$A$307</f>
        <v>Greek</v>
      </c>
      <c r="B327" s="59" t="str">
        <f>Segments!$B$307</f>
        <v>Off 1-3mi</v>
      </c>
      <c r="C327" s="59" t="str">
        <f>Segments!$C$307</f>
        <v>No</v>
      </c>
      <c r="D327" s="59" t="str">
        <f>Segments!$D$307</f>
        <v>&lt;1.0</v>
      </c>
      <c r="E327" s="59" t="str">
        <f>Segments!$E$307</f>
        <v>Junior</v>
      </c>
      <c r="F327" s="59">
        <f>Segments!$F$307</f>
        <v>2</v>
      </c>
      <c r="G327" s="59" t="str">
        <f>Segments!$G$307</f>
        <v>Base</v>
      </c>
      <c r="H327" s="60">
        <f>Segments!$H$307</f>
        <v>0</v>
      </c>
      <c r="I327" s="26">
        <f>Segments!$Y$307</f>
        <v>5016.8506397881056</v>
      </c>
      <c r="J327" s="29">
        <v>2</v>
      </c>
      <c r="K327" s="14">
        <f t="shared" si="156"/>
        <v>1426.2297754450396</v>
      </c>
      <c r="L327" s="14">
        <f t="shared" si="157"/>
        <v>5016.8506397881056</v>
      </c>
      <c r="M327" s="14">
        <f t="shared" si="158"/>
        <v>8199.4569188893438</v>
      </c>
      <c r="N327" s="14">
        <f t="shared" si="159"/>
        <v>3419.6943723378008</v>
      </c>
      <c r="O327" s="14">
        <f t="shared" si="160"/>
        <v>1782.7872193062994</v>
      </c>
      <c r="P327" s="33">
        <f t="shared" si="161"/>
        <v>0.95</v>
      </c>
      <c r="Q327" s="33">
        <f t="shared" si="162"/>
        <v>0.02</v>
      </c>
      <c r="R327" s="51">
        <f t="shared" si="163"/>
        <v>1.9</v>
      </c>
      <c r="S327" s="51">
        <f>APPLICANTS_PER_YEAR*($H327/Segments!$AH$2)*Q327</f>
        <v>0</v>
      </c>
      <c r="T327" s="51">
        <f t="shared" si="164"/>
        <v>1.9</v>
      </c>
      <c r="U327" s="14">
        <f t="shared" si="165"/>
        <v>1782.7872193062994</v>
      </c>
      <c r="V327" s="44">
        <f t="shared" si="166"/>
        <v>3387.2957166819688</v>
      </c>
      <c r="W327" s="44">
        <f t="shared" si="167"/>
        <v>10675.858161469088</v>
      </c>
      <c r="X327" s="44">
        <f t="shared" si="168"/>
        <v>678.1988904528921</v>
      </c>
      <c r="Y327" s="14">
        <f t="shared" si="169"/>
        <v>1908.0369507043388</v>
      </c>
      <c r="Z327" s="14">
        <f t="shared" si="170"/>
        <v>5167.3561589817491</v>
      </c>
      <c r="AA327" s="14">
        <f t="shared" si="171"/>
        <v>8444.1906264560239</v>
      </c>
      <c r="AB327" s="14">
        <f t="shared" si="172"/>
        <v>3522.024529161466</v>
      </c>
      <c r="AC327" s="14">
        <f t="shared" si="173"/>
        <v>2385.0461883804237</v>
      </c>
      <c r="AD327" s="33">
        <f t="shared" si="174"/>
        <v>0.93640977034190842</v>
      </c>
      <c r="AE327" s="33">
        <f t="shared" si="175"/>
        <v>0.02</v>
      </c>
      <c r="AF327" s="51">
        <f t="shared" si="176"/>
        <v>1.8241262326260375</v>
      </c>
      <c r="AG327" s="51">
        <f>APPLICANTS_PER_YEAR*($H327/Segments!$AH$2)*AE327</f>
        <v>0</v>
      </c>
      <c r="AH327" s="51">
        <f t="shared" si="177"/>
        <v>1.8241262326260375</v>
      </c>
      <c r="AI327" s="14">
        <f t="shared" si="178"/>
        <v>2385.0461883804237</v>
      </c>
      <c r="AJ327" s="44">
        <f t="shared" si="179"/>
        <v>4350.6253182494729</v>
      </c>
      <c r="AK327" s="44">
        <f t="shared" si="180"/>
        <v>10557.019113670769</v>
      </c>
      <c r="AL327" s="44">
        <f t="shared" si="181"/>
        <v>858.75070980167118</v>
      </c>
      <c r="AM327" s="14">
        <f t="shared" si="182"/>
        <v>7070.5639830997025</v>
      </c>
      <c r="AN327" s="14">
        <f t="shared" si="183"/>
        <v>5322.3768437512008</v>
      </c>
      <c r="AO327" s="14">
        <f t="shared" si="184"/>
        <v>8696.2663452497036</v>
      </c>
      <c r="AP327" s="14">
        <f t="shared" si="185"/>
        <v>3627.4245716762466</v>
      </c>
      <c r="AQ327" s="14">
        <f t="shared" si="186"/>
        <v>8696.2663452497036</v>
      </c>
      <c r="AR327" s="33">
        <f t="shared" si="187"/>
        <v>0.3</v>
      </c>
      <c r="AS327" s="33">
        <f t="shared" si="188"/>
        <v>0.02</v>
      </c>
      <c r="AT327" s="51">
        <f t="shared" si="189"/>
        <v>1.8719999999999997E-2</v>
      </c>
      <c r="AU327" s="51">
        <f>APPLICANTS_PER_YEAR*($H327/Segments!$AH$2)*AS327</f>
        <v>0</v>
      </c>
      <c r="AV327" s="51">
        <f t="shared" si="190"/>
        <v>1.8719999999999997E-2</v>
      </c>
      <c r="AW327" s="14">
        <f t="shared" si="191"/>
        <v>8696.2663452497036</v>
      </c>
      <c r="AX327" s="44">
        <f t="shared" si="192"/>
        <v>162.79410598307442</v>
      </c>
      <c r="AY327" s="44">
        <f t="shared" si="193"/>
        <v>111.59108185682517</v>
      </c>
      <c r="AZ327" s="44">
        <f t="shared" si="194"/>
        <v>31.142486030801066</v>
      </c>
    </row>
    <row r="328" spans="1:52" ht="15" customHeight="1" x14ac:dyDescent="0.35">
      <c r="A328" s="59" t="str">
        <f>Segments!$A$308</f>
        <v>Greek</v>
      </c>
      <c r="B328" s="59" t="str">
        <f>Segments!$B$308</f>
        <v>Off 1-3mi</v>
      </c>
      <c r="C328" s="59" t="str">
        <f>Segments!$C$308</f>
        <v>No</v>
      </c>
      <c r="D328" s="59" t="str">
        <f>Segments!$D$308</f>
        <v>&lt;1.0</v>
      </c>
      <c r="E328" s="59" t="str">
        <f>Segments!$E$308</f>
        <v>Senior</v>
      </c>
      <c r="F328" s="59">
        <f>Segments!$F$308</f>
        <v>3</v>
      </c>
      <c r="G328" s="59" t="str">
        <f>Segments!$G$308</f>
        <v>Base</v>
      </c>
      <c r="H328" s="60">
        <f>Segments!$H$308</f>
        <v>3</v>
      </c>
      <c r="I328" s="26">
        <f>Segments!$Y$308</f>
        <v>4689.1873638949273</v>
      </c>
      <c r="J328" s="29">
        <v>3</v>
      </c>
      <c r="K328" s="14">
        <f t="shared" si="156"/>
        <v>1426.2297754450396</v>
      </c>
      <c r="L328" s="14">
        <f t="shared" si="157"/>
        <v>4689.1873638949273</v>
      </c>
      <c r="M328" s="14">
        <f t="shared" si="158"/>
        <v>7666.6508877722572</v>
      </c>
      <c r="N328" s="14">
        <f t="shared" si="159"/>
        <v>3306.7213027533694</v>
      </c>
      <c r="O328" s="14">
        <f t="shared" si="160"/>
        <v>1782.7872193062994</v>
      </c>
      <c r="P328" s="33">
        <f t="shared" si="161"/>
        <v>0.95</v>
      </c>
      <c r="Q328" s="33">
        <f t="shared" si="162"/>
        <v>0.02</v>
      </c>
      <c r="R328" s="51">
        <f t="shared" si="163"/>
        <v>0</v>
      </c>
      <c r="S328" s="51">
        <f>APPLICANTS_PER_YEAR*($H328/Segments!$AH$2)*Q328</f>
        <v>7.1999999999999995E-2</v>
      </c>
      <c r="T328" s="51">
        <f t="shared" si="164"/>
        <v>7.1999999999999995E-2</v>
      </c>
      <c r="U328" s="14">
        <f t="shared" si="165"/>
        <v>7666.6508877722581</v>
      </c>
      <c r="V328" s="44">
        <f t="shared" si="166"/>
        <v>551.99886391960251</v>
      </c>
      <c r="W328" s="44">
        <f t="shared" si="167"/>
        <v>378.13606902448691</v>
      </c>
      <c r="X328" s="44">
        <f t="shared" si="168"/>
        <v>126.88774551799096</v>
      </c>
      <c r="Y328" s="14">
        <f t="shared" si="169"/>
        <v>1782.7872193062994</v>
      </c>
      <c r="Z328" s="14">
        <f t="shared" si="170"/>
        <v>4829.8629848117753</v>
      </c>
      <c r="AA328" s="14">
        <f t="shared" si="171"/>
        <v>7895.4004144054243</v>
      </c>
      <c r="AB328" s="14">
        <f t="shared" si="172"/>
        <v>3405.6533609409967</v>
      </c>
      <c r="AC328" s="14">
        <f t="shared" si="173"/>
        <v>2228.4840241328743</v>
      </c>
      <c r="AD328" s="33">
        <f t="shared" si="174"/>
        <v>0.94782577115876321</v>
      </c>
      <c r="AE328" s="33">
        <f t="shared" si="175"/>
        <v>0.02</v>
      </c>
      <c r="AF328" s="51">
        <f t="shared" si="176"/>
        <v>1.8008689652016501</v>
      </c>
      <c r="AG328" s="51">
        <f>APPLICANTS_PER_YEAR*($H328/Segments!$AH$2)*AE328</f>
        <v>7.1999999999999995E-2</v>
      </c>
      <c r="AH328" s="51">
        <f t="shared" si="177"/>
        <v>1.8728689652016501</v>
      </c>
      <c r="AI328" s="14">
        <f t="shared" si="178"/>
        <v>2446.3412195270498</v>
      </c>
      <c r="AJ328" s="44">
        <f t="shared" si="179"/>
        <v>4581.6765483457684</v>
      </c>
      <c r="AK328" s="44">
        <f t="shared" si="180"/>
        <v>10131.184549281807</v>
      </c>
      <c r="AL328" s="44">
        <f t="shared" si="181"/>
        <v>925.09065598568486</v>
      </c>
      <c r="AM328" s="14">
        <f t="shared" si="182"/>
        <v>2385.0461883804237</v>
      </c>
      <c r="AN328" s="14">
        <f t="shared" si="183"/>
        <v>4974.7588743561282</v>
      </c>
      <c r="AO328" s="14">
        <f t="shared" si="184"/>
        <v>8131.0124268375866</v>
      </c>
      <c r="AP328" s="14">
        <f t="shared" si="185"/>
        <v>3507.553359844218</v>
      </c>
      <c r="AQ328" s="14">
        <f t="shared" si="186"/>
        <v>2981.3077354755296</v>
      </c>
      <c r="AR328" s="33">
        <f t="shared" si="187"/>
        <v>0.85001605398129443</v>
      </c>
      <c r="AS328" s="33">
        <f t="shared" si="188"/>
        <v>0.02</v>
      </c>
      <c r="AT328" s="51">
        <f t="shared" si="189"/>
        <v>1.550536582220549</v>
      </c>
      <c r="AU328" s="51">
        <f>APPLICANTS_PER_YEAR*($H328/Segments!$AH$2)*AS328</f>
        <v>7.1999999999999995E-2</v>
      </c>
      <c r="AV328" s="51">
        <f t="shared" si="190"/>
        <v>1.6225365822205491</v>
      </c>
      <c r="AW328" s="14">
        <f t="shared" si="191"/>
        <v>3209.8256880696295</v>
      </c>
      <c r="AX328" s="44">
        <f t="shared" si="192"/>
        <v>5208.059601444219</v>
      </c>
      <c r="AY328" s="44">
        <f t="shared" si="193"/>
        <v>9040.3356527334363</v>
      </c>
      <c r="AZ328" s="44">
        <f t="shared" si="194"/>
        <v>1039.064147632999</v>
      </c>
    </row>
    <row r="329" spans="1:52" ht="15" customHeight="1" x14ac:dyDescent="0.35">
      <c r="A329" s="59" t="str">
        <f>Segments!$A$309</f>
        <v>Greek</v>
      </c>
      <c r="B329" s="59" t="str">
        <f>Segments!$B$309</f>
        <v>Off 1-3mi</v>
      </c>
      <c r="C329" s="59" t="str">
        <f>Segments!$C$309</f>
        <v>No</v>
      </c>
      <c r="D329" s="59" t="str">
        <f>Segments!$D$309</f>
        <v>&lt;1.0</v>
      </c>
      <c r="E329" s="59" t="str">
        <f>Segments!$E$309</f>
        <v>Grad student</v>
      </c>
      <c r="F329" s="59">
        <f>Segments!$F$309</f>
        <v>3</v>
      </c>
      <c r="G329" s="59" t="str">
        <f>Segments!$G$309</f>
        <v>Grad</v>
      </c>
      <c r="H329" s="60">
        <f>Segments!$H$309</f>
        <v>0</v>
      </c>
      <c r="I329" s="26">
        <f>Segments!$Y$309</f>
        <v>5583.3236126139072</v>
      </c>
      <c r="J329" s="29">
        <v>4</v>
      </c>
      <c r="K329" s="14">
        <f t="shared" si="156"/>
        <v>1426.2297754450396</v>
      </c>
      <c r="L329" s="14">
        <f t="shared" si="157"/>
        <v>5583.3236126139072</v>
      </c>
      <c r="M329" s="14">
        <f t="shared" si="158"/>
        <v>9120.5861347396094</v>
      </c>
      <c r="N329" s="14">
        <f t="shared" si="159"/>
        <v>3606.6676468558644</v>
      </c>
      <c r="O329" s="14">
        <f t="shared" si="160"/>
        <v>1782.7872193062994</v>
      </c>
      <c r="P329" s="33">
        <f t="shared" si="161"/>
        <v>0.95</v>
      </c>
      <c r="Q329" s="33">
        <f t="shared" si="162"/>
        <v>0.02</v>
      </c>
      <c r="R329" s="51">
        <f t="shared" si="163"/>
        <v>0</v>
      </c>
      <c r="S329" s="51">
        <f>APPLICANTS_PER_YEAR*($H329/Segments!$AH$2)*Q329</f>
        <v>0</v>
      </c>
      <c r="T329" s="51">
        <f t="shared" si="164"/>
        <v>0</v>
      </c>
      <c r="U329" s="14">
        <f t="shared" si="165"/>
        <v>9120.5861347396094</v>
      </c>
      <c r="V329" s="44">
        <f t="shared" si="166"/>
        <v>0</v>
      </c>
      <c r="W329" s="44">
        <f t="shared" si="167"/>
        <v>0</v>
      </c>
      <c r="X329" s="44">
        <f t="shared" si="168"/>
        <v>0</v>
      </c>
      <c r="Y329" s="14">
        <f t="shared" si="169"/>
        <v>9120.5861347396094</v>
      </c>
      <c r="Z329" s="14">
        <f t="shared" si="170"/>
        <v>5750.8233209923246</v>
      </c>
      <c r="AA329" s="14">
        <f t="shared" si="171"/>
        <v>9392.9537187817987</v>
      </c>
      <c r="AB329" s="14">
        <f t="shared" si="172"/>
        <v>3714.6205164588387</v>
      </c>
      <c r="AC329" s="14">
        <f t="shared" si="173"/>
        <v>9392.9537187817987</v>
      </c>
      <c r="AD329" s="33">
        <f t="shared" si="174"/>
        <v>0.3</v>
      </c>
      <c r="AE329" s="33">
        <f t="shared" si="175"/>
        <v>0.02</v>
      </c>
      <c r="AF329" s="51">
        <f t="shared" si="176"/>
        <v>0</v>
      </c>
      <c r="AG329" s="51">
        <f>APPLICANTS_PER_YEAR*($H329/Segments!$AH$2)*AE329</f>
        <v>0</v>
      </c>
      <c r="AH329" s="51">
        <f t="shared" si="177"/>
        <v>0</v>
      </c>
      <c r="AI329" s="14">
        <f t="shared" si="178"/>
        <v>9392.9537187817987</v>
      </c>
      <c r="AJ329" s="44">
        <f t="shared" si="179"/>
        <v>0</v>
      </c>
      <c r="AK329" s="44">
        <f t="shared" si="180"/>
        <v>0</v>
      </c>
      <c r="AL329" s="44">
        <f t="shared" si="181"/>
        <v>0</v>
      </c>
      <c r="AM329" s="14">
        <f t="shared" si="182"/>
        <v>9392.9537187817987</v>
      </c>
      <c r="AN329" s="14">
        <f t="shared" si="183"/>
        <v>5923.3480206220938</v>
      </c>
      <c r="AO329" s="14">
        <f t="shared" si="184"/>
        <v>9673.4923303452506</v>
      </c>
      <c r="AP329" s="14">
        <f t="shared" si="185"/>
        <v>3825.8119559430711</v>
      </c>
      <c r="AQ329" s="14">
        <f t="shared" si="186"/>
        <v>9673.4923303452506</v>
      </c>
      <c r="AR329" s="33">
        <f t="shared" si="187"/>
        <v>0.3</v>
      </c>
      <c r="AS329" s="33">
        <f t="shared" si="188"/>
        <v>0.02</v>
      </c>
      <c r="AT329" s="51">
        <f t="shared" si="189"/>
        <v>0</v>
      </c>
      <c r="AU329" s="51">
        <f>APPLICANTS_PER_YEAR*($H329/Segments!$AH$2)*AS329</f>
        <v>0</v>
      </c>
      <c r="AV329" s="51">
        <f t="shared" si="190"/>
        <v>0</v>
      </c>
      <c r="AW329" s="14">
        <f t="shared" si="191"/>
        <v>9673.4923303452506</v>
      </c>
      <c r="AX329" s="44">
        <f t="shared" si="192"/>
        <v>0</v>
      </c>
      <c r="AY329" s="44">
        <f t="shared" si="193"/>
        <v>0</v>
      </c>
      <c r="AZ329" s="44">
        <f t="shared" si="194"/>
        <v>0</v>
      </c>
    </row>
    <row r="330" spans="1:52" ht="15" customHeight="1" x14ac:dyDescent="0.35">
      <c r="A330" s="61" t="str">
        <f>Segments!$A$310</f>
        <v>Greek</v>
      </c>
      <c r="B330" s="61" t="str">
        <f>Segments!$B$310</f>
        <v>Off 1-3mi</v>
      </c>
      <c r="C330" s="61" t="str">
        <f>Segments!$C$310</f>
        <v>No</v>
      </c>
      <c r="D330" s="61" t="str">
        <f>Segments!$D$310</f>
        <v>1.0-2.0</v>
      </c>
      <c r="E330" s="61" t="str">
        <f>Segments!$E$310</f>
        <v>Freshman</v>
      </c>
      <c r="F330" s="61">
        <f>Segments!$F$310</f>
        <v>1</v>
      </c>
      <c r="G330" s="61" t="str">
        <f>Segments!$G$310</f>
        <v>Base</v>
      </c>
      <c r="H330" s="62">
        <f>Segments!$H$310</f>
        <v>3</v>
      </c>
      <c r="I330" s="63">
        <f>Segments!$Y$310</f>
        <v>3847.3217901148437</v>
      </c>
      <c r="J330" s="42">
        <v>0</v>
      </c>
      <c r="K330" s="40">
        <f t="shared" si="156"/>
        <v>6297.7118332591472</v>
      </c>
      <c r="L330" s="40">
        <f t="shared" si="157"/>
        <v>3847.3217901148437</v>
      </c>
      <c r="M330" s="40">
        <f t="shared" si="158"/>
        <v>6297.7118332591472</v>
      </c>
      <c r="N330" s="40">
        <f t="shared" si="159"/>
        <v>2996.9958514764016</v>
      </c>
      <c r="O330" s="40">
        <f t="shared" si="160"/>
        <v>6297.7118332591472</v>
      </c>
      <c r="P330" s="41">
        <f t="shared" si="161"/>
        <v>0.3</v>
      </c>
      <c r="Q330" s="41">
        <f t="shared" si="162"/>
        <v>0.02</v>
      </c>
      <c r="R330" s="64">
        <f t="shared" si="163"/>
        <v>0</v>
      </c>
      <c r="S330" s="64">
        <f>APPLICANTS_PER_YEAR*($H330/Segments!$AH$2)*Q330</f>
        <v>7.1999999999999995E-2</v>
      </c>
      <c r="T330" s="64">
        <f t="shared" si="164"/>
        <v>7.1999999999999995E-2</v>
      </c>
      <c r="U330" s="40">
        <f t="shared" si="165"/>
        <v>6297.7118332591472</v>
      </c>
      <c r="V330" s="65">
        <f t="shared" si="166"/>
        <v>453.43525199465859</v>
      </c>
      <c r="W330" s="65">
        <f t="shared" si="167"/>
        <v>310.248029154861</v>
      </c>
      <c r="X330" s="65">
        <f t="shared" si="168"/>
        <v>104.80949644680352</v>
      </c>
      <c r="Y330" s="40">
        <f t="shared" si="169"/>
        <v>6485.3931882569223</v>
      </c>
      <c r="Z330" s="40">
        <f t="shared" si="170"/>
        <v>3962.7414438182891</v>
      </c>
      <c r="AA330" s="40">
        <f t="shared" si="171"/>
        <v>6485.3931882569223</v>
      </c>
      <c r="AB330" s="40">
        <f t="shared" si="172"/>
        <v>3086.6082836468368</v>
      </c>
      <c r="AC330" s="40">
        <f t="shared" si="173"/>
        <v>6485.3931882569223</v>
      </c>
      <c r="AD330" s="41">
        <f t="shared" si="174"/>
        <v>0.3</v>
      </c>
      <c r="AE330" s="41">
        <f t="shared" si="175"/>
        <v>0.02</v>
      </c>
      <c r="AF330" s="64">
        <f t="shared" si="176"/>
        <v>0</v>
      </c>
      <c r="AG330" s="64">
        <f>APPLICANTS_PER_YEAR*($H330/Segments!$AH$2)*AE330</f>
        <v>7.1999999999999995E-2</v>
      </c>
      <c r="AH330" s="64">
        <f t="shared" si="177"/>
        <v>7.1999999999999995E-2</v>
      </c>
      <c r="AI330" s="40">
        <f t="shared" si="178"/>
        <v>6485.3931882569223</v>
      </c>
      <c r="AJ330" s="65">
        <f t="shared" si="179"/>
        <v>466.94830955449839</v>
      </c>
      <c r="AK330" s="65">
        <f t="shared" si="180"/>
        <v>319.55547002950686</v>
      </c>
      <c r="AL330" s="65">
        <f t="shared" si="181"/>
        <v>107.83642134020764</v>
      </c>
      <c r="AM330" s="40">
        <f t="shared" si="182"/>
        <v>6678.7049839046294</v>
      </c>
      <c r="AN330" s="40">
        <f t="shared" si="183"/>
        <v>4081.6236871328374</v>
      </c>
      <c r="AO330" s="40">
        <f t="shared" si="184"/>
        <v>6678.7049839046294</v>
      </c>
      <c r="AP330" s="40">
        <f t="shared" si="185"/>
        <v>3178.909060533811</v>
      </c>
      <c r="AQ330" s="40">
        <f t="shared" si="186"/>
        <v>6678.7049839046294</v>
      </c>
      <c r="AR330" s="41">
        <f t="shared" si="187"/>
        <v>0.3</v>
      </c>
      <c r="AS330" s="41">
        <f t="shared" si="188"/>
        <v>0.02</v>
      </c>
      <c r="AT330" s="64">
        <f t="shared" si="189"/>
        <v>0</v>
      </c>
      <c r="AU330" s="64">
        <f>APPLICANTS_PER_YEAR*($H330/Segments!$AH$2)*AS330</f>
        <v>7.1999999999999995E-2</v>
      </c>
      <c r="AV330" s="64">
        <f t="shared" si="190"/>
        <v>7.1999999999999995E-2</v>
      </c>
      <c r="AW330" s="40">
        <f t="shared" si="191"/>
        <v>6678.7049839046294</v>
      </c>
      <c r="AX330" s="65">
        <f t="shared" si="192"/>
        <v>480.86675884113328</v>
      </c>
      <c r="AY330" s="65">
        <f t="shared" si="193"/>
        <v>329.14213413039198</v>
      </c>
      <c r="AZ330" s="65">
        <f t="shared" si="194"/>
        <v>110.95415398041385</v>
      </c>
    </row>
    <row r="331" spans="1:52" ht="15" customHeight="1" x14ac:dyDescent="0.35">
      <c r="A331" s="61" t="str">
        <f>Segments!$A$311</f>
        <v>Greek</v>
      </c>
      <c r="B331" s="61" t="str">
        <f>Segments!$B$311</f>
        <v>Off 1-3mi</v>
      </c>
      <c r="C331" s="61" t="str">
        <f>Segments!$C$311</f>
        <v>No</v>
      </c>
      <c r="D331" s="61" t="str">
        <f>Segments!$D$311</f>
        <v>1.0-2.0</v>
      </c>
      <c r="E331" s="61" t="str">
        <f>Segments!$E$311</f>
        <v>Sophomore</v>
      </c>
      <c r="F331" s="61">
        <f>Segments!$F$311</f>
        <v>1</v>
      </c>
      <c r="G331" s="61" t="str">
        <f>Segments!$G$311</f>
        <v>Sophomore</v>
      </c>
      <c r="H331" s="62">
        <f>Segments!$H$311</f>
        <v>6</v>
      </c>
      <c r="I331" s="63">
        <f>Segments!$Y$311</f>
        <v>3808.1800724285195</v>
      </c>
      <c r="J331" s="42">
        <v>1</v>
      </c>
      <c r="K331" s="40">
        <f t="shared" si="156"/>
        <v>1426.2297754450396</v>
      </c>
      <c r="L331" s="40">
        <f t="shared" si="157"/>
        <v>3808.1800724285195</v>
      </c>
      <c r="M331" s="40">
        <f t="shared" si="158"/>
        <v>6234.0643488265168</v>
      </c>
      <c r="N331" s="40">
        <f t="shared" si="159"/>
        <v>2981.81290431455</v>
      </c>
      <c r="O331" s="40">
        <f t="shared" si="160"/>
        <v>1782.7872193062994</v>
      </c>
      <c r="P331" s="41">
        <f t="shared" si="161"/>
        <v>0.95</v>
      </c>
      <c r="Q331" s="41">
        <f t="shared" si="162"/>
        <v>0.02</v>
      </c>
      <c r="R331" s="64">
        <f t="shared" si="163"/>
        <v>2.8499999999999996</v>
      </c>
      <c r="S331" s="64">
        <f>APPLICANTS_PER_YEAR*($H331/Segments!$AH$2)*Q331</f>
        <v>0.14399999999999999</v>
      </c>
      <c r="T331" s="64">
        <f t="shared" si="164"/>
        <v>2.9939999999999998</v>
      </c>
      <c r="U331" s="40">
        <f t="shared" si="165"/>
        <v>1996.8767004856284</v>
      </c>
      <c r="V331" s="65">
        <f t="shared" si="166"/>
        <v>5978.6488412539711</v>
      </c>
      <c r="W331" s="65">
        <f t="shared" si="167"/>
        <v>12769.894073273106</v>
      </c>
      <c r="X331" s="65">
        <f t="shared" si="168"/>
        <v>1224.8643153150861</v>
      </c>
      <c r="Y331" s="40">
        <f t="shared" si="169"/>
        <v>6297.7118332591472</v>
      </c>
      <c r="Z331" s="40">
        <f t="shared" si="170"/>
        <v>3922.4254746013753</v>
      </c>
      <c r="AA331" s="40">
        <f t="shared" si="171"/>
        <v>6419.8362792913122</v>
      </c>
      <c r="AB331" s="40">
        <f t="shared" si="172"/>
        <v>3070.9683333857079</v>
      </c>
      <c r="AC331" s="40">
        <f t="shared" si="173"/>
        <v>6419.8362792913122</v>
      </c>
      <c r="AD331" s="41">
        <f t="shared" si="174"/>
        <v>0.3</v>
      </c>
      <c r="AE331" s="41">
        <f t="shared" si="175"/>
        <v>0.02</v>
      </c>
      <c r="AF331" s="64">
        <f t="shared" si="176"/>
        <v>2.1599999999999998E-2</v>
      </c>
      <c r="AG331" s="64">
        <f>APPLICANTS_PER_YEAR*($H331/Segments!$AH$2)*AE331</f>
        <v>0.14399999999999999</v>
      </c>
      <c r="AH331" s="64">
        <f t="shared" si="177"/>
        <v>0.1656</v>
      </c>
      <c r="AI331" s="40">
        <f t="shared" si="178"/>
        <v>6419.8362792913122</v>
      </c>
      <c r="AJ331" s="65">
        <f t="shared" si="179"/>
        <v>1063.1248878506412</v>
      </c>
      <c r="AK331" s="65">
        <f t="shared" si="180"/>
        <v>727.50009762526633</v>
      </c>
      <c r="AL331" s="65">
        <f t="shared" si="181"/>
        <v>240.1985786513994</v>
      </c>
      <c r="AM331" s="40">
        <f t="shared" si="182"/>
        <v>6485.3931882569223</v>
      </c>
      <c r="AN331" s="40">
        <f t="shared" si="183"/>
        <v>4040.0982388394159</v>
      </c>
      <c r="AO331" s="40">
        <f t="shared" si="184"/>
        <v>6611.1813676700503</v>
      </c>
      <c r="AP331" s="40">
        <f t="shared" si="185"/>
        <v>3162.7983966466295</v>
      </c>
      <c r="AQ331" s="40">
        <f t="shared" si="186"/>
        <v>6611.1813676700503</v>
      </c>
      <c r="AR331" s="41">
        <f t="shared" si="187"/>
        <v>0.3</v>
      </c>
      <c r="AS331" s="41">
        <f t="shared" si="188"/>
        <v>0.02</v>
      </c>
      <c r="AT331" s="64">
        <f t="shared" si="189"/>
        <v>2.1599999999999998E-2</v>
      </c>
      <c r="AU331" s="64">
        <f>APPLICANTS_PER_YEAR*($H331/Segments!$AH$2)*AS331</f>
        <v>0.14399999999999999</v>
      </c>
      <c r="AV331" s="64">
        <f t="shared" si="190"/>
        <v>0.1656</v>
      </c>
      <c r="AW331" s="40">
        <f t="shared" si="191"/>
        <v>6611.1813676700503</v>
      </c>
      <c r="AX331" s="65">
        <f t="shared" si="192"/>
        <v>1094.8116344861603</v>
      </c>
      <c r="AY331" s="65">
        <f t="shared" si="193"/>
        <v>749.32510055402429</v>
      </c>
      <c r="AZ331" s="65">
        <f t="shared" si="194"/>
        <v>247.15175301094135</v>
      </c>
    </row>
    <row r="332" spans="1:52" ht="15" customHeight="1" x14ac:dyDescent="0.35">
      <c r="A332" s="61" t="str">
        <f>Segments!$A$312</f>
        <v>Greek</v>
      </c>
      <c r="B332" s="61" t="str">
        <f>Segments!$B$312</f>
        <v>Off 1-3mi</v>
      </c>
      <c r="C332" s="61" t="str">
        <f>Segments!$C$312</f>
        <v>No</v>
      </c>
      <c r="D332" s="61" t="str">
        <f>Segments!$D$312</f>
        <v>1.0-2.0</v>
      </c>
      <c r="E332" s="61" t="str">
        <f>Segments!$E$312</f>
        <v>Junior</v>
      </c>
      <c r="F332" s="61">
        <f>Segments!$F$312</f>
        <v>2</v>
      </c>
      <c r="G332" s="61" t="str">
        <f>Segments!$G$312</f>
        <v>Base</v>
      </c>
      <c r="H332" s="62">
        <f>Segments!$H$312</f>
        <v>3</v>
      </c>
      <c r="I332" s="63">
        <f>Segments!$Y$312</f>
        <v>4552.3960389865606</v>
      </c>
      <c r="J332" s="42">
        <v>2</v>
      </c>
      <c r="K332" s="40">
        <f t="shared" si="156"/>
        <v>1426.2297754450396</v>
      </c>
      <c r="L332" s="40">
        <f t="shared" si="157"/>
        <v>4552.3960389865606</v>
      </c>
      <c r="M332" s="40">
        <f t="shared" si="158"/>
        <v>7444.2175292672418</v>
      </c>
      <c r="N332" s="40">
        <f t="shared" si="159"/>
        <v>3258.399100038368</v>
      </c>
      <c r="O332" s="40">
        <f t="shared" si="160"/>
        <v>1782.7872193062994</v>
      </c>
      <c r="P332" s="41">
        <f t="shared" si="161"/>
        <v>0.95</v>
      </c>
      <c r="Q332" s="41">
        <f t="shared" si="162"/>
        <v>0.02</v>
      </c>
      <c r="R332" s="64">
        <f t="shared" si="163"/>
        <v>5.6999999999999993</v>
      </c>
      <c r="S332" s="64">
        <f>APPLICANTS_PER_YEAR*($H332/Segments!$AH$2)*Q332</f>
        <v>7.1999999999999995E-2</v>
      </c>
      <c r="T332" s="64">
        <f t="shared" si="164"/>
        <v>5.7719999999999994</v>
      </c>
      <c r="U332" s="40">
        <f t="shared" si="165"/>
        <v>1853.4079716135045</v>
      </c>
      <c r="V332" s="65">
        <f t="shared" si="166"/>
        <v>10697.870812153147</v>
      </c>
      <c r="W332" s="65">
        <f t="shared" si="167"/>
        <v>29429.601529474079</v>
      </c>
      <c r="X332" s="65">
        <f t="shared" si="168"/>
        <v>2157.8970116706987</v>
      </c>
      <c r="Y332" s="40">
        <f t="shared" si="169"/>
        <v>1996.8767004856284</v>
      </c>
      <c r="Z332" s="40">
        <f t="shared" si="170"/>
        <v>4688.9679201561576</v>
      </c>
      <c r="AA332" s="40">
        <f t="shared" si="171"/>
        <v>7666.2940551452593</v>
      </c>
      <c r="AB332" s="40">
        <f t="shared" si="172"/>
        <v>3355.8774939244172</v>
      </c>
      <c r="AC332" s="40">
        <f t="shared" si="173"/>
        <v>2496.0958756070354</v>
      </c>
      <c r="AD332" s="41">
        <f t="shared" si="174"/>
        <v>0.90310086480718632</v>
      </c>
      <c r="AE332" s="41">
        <f t="shared" si="175"/>
        <v>0.02</v>
      </c>
      <c r="AF332" s="64">
        <f t="shared" si="176"/>
        <v>2.7038839892327156</v>
      </c>
      <c r="AG332" s="64">
        <f>APPLICANTS_PER_YEAR*($H332/Segments!$AH$2)*AE332</f>
        <v>7.1999999999999995E-2</v>
      </c>
      <c r="AH332" s="64">
        <f t="shared" si="177"/>
        <v>2.7758839892327156</v>
      </c>
      <c r="AI332" s="40">
        <f t="shared" si="178"/>
        <v>2630.1988389767862</v>
      </c>
      <c r="AJ332" s="65">
        <f t="shared" si="179"/>
        <v>7301.1268456141379</v>
      </c>
      <c r="AK332" s="65">
        <f t="shared" si="180"/>
        <v>14577.954692657782</v>
      </c>
      <c r="AL332" s="65">
        <f t="shared" si="181"/>
        <v>1456.5497146246923</v>
      </c>
      <c r="AM332" s="40">
        <f t="shared" si="182"/>
        <v>6419.8362792913122</v>
      </c>
      <c r="AN332" s="40">
        <f t="shared" si="183"/>
        <v>4829.6369577608421</v>
      </c>
      <c r="AO332" s="40">
        <f t="shared" si="184"/>
        <v>7895.032876799617</v>
      </c>
      <c r="AP332" s="40">
        <f t="shared" si="185"/>
        <v>3456.2802176472874</v>
      </c>
      <c r="AQ332" s="40">
        <f t="shared" si="186"/>
        <v>7895.032876799617</v>
      </c>
      <c r="AR332" s="41">
        <f t="shared" si="187"/>
        <v>0.3</v>
      </c>
      <c r="AS332" s="41">
        <f t="shared" si="188"/>
        <v>0.02</v>
      </c>
      <c r="AT332" s="64">
        <f t="shared" si="189"/>
        <v>4.9679999999999995E-2</v>
      </c>
      <c r="AU332" s="64">
        <f>APPLICANTS_PER_YEAR*($H332/Segments!$AH$2)*AS332</f>
        <v>7.1999999999999995E-2</v>
      </c>
      <c r="AV332" s="64">
        <f t="shared" si="190"/>
        <v>0.12167999999999998</v>
      </c>
      <c r="AW332" s="40">
        <f t="shared" si="191"/>
        <v>7895.032876799617</v>
      </c>
      <c r="AX332" s="65">
        <f t="shared" si="192"/>
        <v>960.66760044897728</v>
      </c>
      <c r="AY332" s="65">
        <f t="shared" si="193"/>
        <v>658.19065202278</v>
      </c>
      <c r="AZ332" s="65">
        <f t="shared" si="194"/>
        <v>205.69525933439178</v>
      </c>
    </row>
    <row r="333" spans="1:52" ht="15" customHeight="1" x14ac:dyDescent="0.35">
      <c r="A333" s="61" t="str">
        <f>Segments!$A$313</f>
        <v>Greek</v>
      </c>
      <c r="B333" s="61" t="str">
        <f>Segments!$B$313</f>
        <v>Off 1-3mi</v>
      </c>
      <c r="C333" s="61" t="str">
        <f>Segments!$C$313</f>
        <v>No</v>
      </c>
      <c r="D333" s="61" t="str">
        <f>Segments!$D$313</f>
        <v>1.0-2.0</v>
      </c>
      <c r="E333" s="61" t="str">
        <f>Segments!$E$313</f>
        <v>Senior</v>
      </c>
      <c r="F333" s="61">
        <f>Segments!$F$313</f>
        <v>3</v>
      </c>
      <c r="G333" s="61" t="str">
        <f>Segments!$G$313</f>
        <v>Base</v>
      </c>
      <c r="H333" s="62">
        <f>Segments!$H$313</f>
        <v>5</v>
      </c>
      <c r="I333" s="63">
        <f>Segments!$Y$313</f>
        <v>4255.0674744350608</v>
      </c>
      <c r="J333" s="42">
        <v>3</v>
      </c>
      <c r="K333" s="40">
        <f t="shared" si="156"/>
        <v>1426.2297754450396</v>
      </c>
      <c r="L333" s="40">
        <f t="shared" si="157"/>
        <v>4255.0674744350608</v>
      </c>
      <c r="M333" s="40">
        <f t="shared" si="158"/>
        <v>6960.7381036752477</v>
      </c>
      <c r="N333" s="40">
        <f t="shared" si="159"/>
        <v>3150.8113149689684</v>
      </c>
      <c r="O333" s="40">
        <f t="shared" si="160"/>
        <v>1782.7872193062994</v>
      </c>
      <c r="P333" s="41">
        <f t="shared" si="161"/>
        <v>0.95</v>
      </c>
      <c r="Q333" s="41">
        <f t="shared" si="162"/>
        <v>0.02</v>
      </c>
      <c r="R333" s="64">
        <f t="shared" si="163"/>
        <v>2.8499999999999996</v>
      </c>
      <c r="S333" s="64">
        <f>APPLICANTS_PER_YEAR*($H333/Segments!$AH$2)*Q333</f>
        <v>0.12</v>
      </c>
      <c r="T333" s="64">
        <f t="shared" si="164"/>
        <v>2.9699999999999998</v>
      </c>
      <c r="U333" s="40">
        <f t="shared" si="165"/>
        <v>1991.9973560484793</v>
      </c>
      <c r="V333" s="65">
        <f t="shared" si="166"/>
        <v>5916.232147463983</v>
      </c>
      <c r="W333" s="65">
        <f t="shared" si="167"/>
        <v>14154.056446960787</v>
      </c>
      <c r="X333" s="65">
        <f t="shared" si="168"/>
        <v>1209.8029759061289</v>
      </c>
      <c r="Y333" s="40">
        <f t="shared" si="169"/>
        <v>1853.4079716135045</v>
      </c>
      <c r="Z333" s="40">
        <f t="shared" si="170"/>
        <v>4382.7194986681125</v>
      </c>
      <c r="AA333" s="40">
        <f t="shared" si="171"/>
        <v>7168.3102467855042</v>
      </c>
      <c r="AB333" s="40">
        <f t="shared" si="172"/>
        <v>3245.0527328536687</v>
      </c>
      <c r="AC333" s="40">
        <f t="shared" si="173"/>
        <v>2316.7599645168807</v>
      </c>
      <c r="AD333" s="41">
        <f t="shared" si="174"/>
        <v>0.91803200051859501</v>
      </c>
      <c r="AE333" s="41">
        <f t="shared" si="175"/>
        <v>0.02</v>
      </c>
      <c r="AF333" s="64">
        <f t="shared" si="176"/>
        <v>5.2988807069933301</v>
      </c>
      <c r="AG333" s="64">
        <f>APPLICANTS_PER_YEAR*($H333/Segments!$AH$2)*AE333</f>
        <v>0.12</v>
      </c>
      <c r="AH333" s="64">
        <f t="shared" si="177"/>
        <v>5.4188807069933302</v>
      </c>
      <c r="AI333" s="40">
        <f t="shared" si="178"/>
        <v>2424.1965488138735</v>
      </c>
      <c r="AJ333" s="65">
        <f t="shared" si="179"/>
        <v>13136.431908327313</v>
      </c>
      <c r="AK333" s="65">
        <f t="shared" si="180"/>
        <v>26599.366231755652</v>
      </c>
      <c r="AL333" s="65">
        <f t="shared" si="181"/>
        <v>2624.2701478502277</v>
      </c>
      <c r="AM333" s="40">
        <f t="shared" si="182"/>
        <v>2630.1988389767862</v>
      </c>
      <c r="AN333" s="40">
        <f t="shared" si="183"/>
        <v>4514.2010836281561</v>
      </c>
      <c r="AO333" s="40">
        <f t="shared" si="184"/>
        <v>7382.10955418907</v>
      </c>
      <c r="AP333" s="40">
        <f t="shared" si="185"/>
        <v>3342.1213689654164</v>
      </c>
      <c r="AQ333" s="40">
        <f t="shared" si="186"/>
        <v>3287.7485487209829</v>
      </c>
      <c r="AR333" s="41">
        <f t="shared" si="187"/>
        <v>0.78313447721398366</v>
      </c>
      <c r="AS333" s="41">
        <f t="shared" si="188"/>
        <v>0.02</v>
      </c>
      <c r="AT333" s="64">
        <f t="shared" si="189"/>
        <v>2.1738904567144304</v>
      </c>
      <c r="AU333" s="64">
        <f>APPLICANTS_PER_YEAR*($H333/Segments!$AH$2)*AS333</f>
        <v>0.12</v>
      </c>
      <c r="AV333" s="64">
        <f t="shared" si="190"/>
        <v>2.2938904567144305</v>
      </c>
      <c r="AW333" s="40">
        <f t="shared" si="191"/>
        <v>3501.9363357698458</v>
      </c>
      <c r="AX333" s="65">
        <f t="shared" si="192"/>
        <v>8033.0583406439509</v>
      </c>
      <c r="AY333" s="65">
        <f t="shared" si="193"/>
        <v>11597.692719675517</v>
      </c>
      <c r="AZ333" s="65">
        <f t="shared" si="194"/>
        <v>1598.1306956435894</v>
      </c>
    </row>
    <row r="334" spans="1:52" ht="15" customHeight="1" x14ac:dyDescent="0.35">
      <c r="A334" s="61" t="str">
        <f>Segments!$A$314</f>
        <v>Greek</v>
      </c>
      <c r="B334" s="61" t="str">
        <f>Segments!$B$314</f>
        <v>Off 1-3mi</v>
      </c>
      <c r="C334" s="61" t="str">
        <f>Segments!$C$314</f>
        <v>No</v>
      </c>
      <c r="D334" s="61" t="str">
        <f>Segments!$D$314</f>
        <v>1.0-2.0</v>
      </c>
      <c r="E334" s="61" t="str">
        <f>Segments!$E$314</f>
        <v>Grad student</v>
      </c>
      <c r="F334" s="61">
        <f>Segments!$F$314</f>
        <v>3</v>
      </c>
      <c r="G334" s="61" t="str">
        <f>Segments!$G$314</f>
        <v>Grad</v>
      </c>
      <c r="H334" s="62">
        <f>Segments!$H$314</f>
        <v>0</v>
      </c>
      <c r="I334" s="63">
        <f>Segments!$Y$314</f>
        <v>5066.4255572729644</v>
      </c>
      <c r="J334" s="42">
        <v>4</v>
      </c>
      <c r="K334" s="40">
        <f t="shared" si="156"/>
        <v>1426.2297754450396</v>
      </c>
      <c r="L334" s="40">
        <f t="shared" si="157"/>
        <v>5066.4255572729644</v>
      </c>
      <c r="M334" s="40">
        <f t="shared" si="158"/>
        <v>8280.0695995630103</v>
      </c>
      <c r="N334" s="40">
        <f t="shared" si="159"/>
        <v>3436.4635609379088</v>
      </c>
      <c r="O334" s="40">
        <f t="shared" si="160"/>
        <v>1782.7872193062994</v>
      </c>
      <c r="P334" s="41">
        <f t="shared" si="161"/>
        <v>0.95</v>
      </c>
      <c r="Q334" s="41">
        <f t="shared" si="162"/>
        <v>0.02</v>
      </c>
      <c r="R334" s="64">
        <f t="shared" si="163"/>
        <v>0</v>
      </c>
      <c r="S334" s="64">
        <f>APPLICANTS_PER_YEAR*($H334/Segments!$AH$2)*Q334</f>
        <v>0</v>
      </c>
      <c r="T334" s="64">
        <f t="shared" si="164"/>
        <v>0</v>
      </c>
      <c r="U334" s="40">
        <f t="shared" si="165"/>
        <v>8280.0695995630103</v>
      </c>
      <c r="V334" s="65">
        <f t="shared" si="166"/>
        <v>0</v>
      </c>
      <c r="W334" s="65">
        <f t="shared" si="167"/>
        <v>0</v>
      </c>
      <c r="X334" s="65">
        <f t="shared" si="168"/>
        <v>0</v>
      </c>
      <c r="Y334" s="40">
        <f t="shared" si="169"/>
        <v>8280.0695995630103</v>
      </c>
      <c r="Z334" s="40">
        <f t="shared" si="170"/>
        <v>5218.4183239911536</v>
      </c>
      <c r="AA334" s="40">
        <f t="shared" si="171"/>
        <v>8527.2216875499016</v>
      </c>
      <c r="AB334" s="40">
        <f t="shared" si="172"/>
        <v>3539.298065546684</v>
      </c>
      <c r="AC334" s="40">
        <f t="shared" si="173"/>
        <v>8527.2216875499016</v>
      </c>
      <c r="AD334" s="41">
        <f t="shared" si="174"/>
        <v>0.3</v>
      </c>
      <c r="AE334" s="41">
        <f t="shared" si="175"/>
        <v>0.02</v>
      </c>
      <c r="AF334" s="64">
        <f t="shared" si="176"/>
        <v>0</v>
      </c>
      <c r="AG334" s="64">
        <f>APPLICANTS_PER_YEAR*($H334/Segments!$AH$2)*AE334</f>
        <v>0</v>
      </c>
      <c r="AH334" s="64">
        <f t="shared" si="177"/>
        <v>0</v>
      </c>
      <c r="AI334" s="40">
        <f t="shared" si="178"/>
        <v>8527.2216875499016</v>
      </c>
      <c r="AJ334" s="65">
        <f t="shared" si="179"/>
        <v>0</v>
      </c>
      <c r="AK334" s="65">
        <f t="shared" si="180"/>
        <v>0</v>
      </c>
      <c r="AL334" s="65">
        <f t="shared" si="181"/>
        <v>0</v>
      </c>
      <c r="AM334" s="40">
        <f t="shared" si="182"/>
        <v>8527.2216875499016</v>
      </c>
      <c r="AN334" s="40">
        <f t="shared" si="183"/>
        <v>5374.9708737108876</v>
      </c>
      <c r="AO334" s="40">
        <f t="shared" si="184"/>
        <v>8781.7883381763968</v>
      </c>
      <c r="AP334" s="40">
        <f t="shared" si="185"/>
        <v>3645.2175865571576</v>
      </c>
      <c r="AQ334" s="40">
        <f t="shared" si="186"/>
        <v>8781.7883381763968</v>
      </c>
      <c r="AR334" s="41">
        <f t="shared" si="187"/>
        <v>0.3</v>
      </c>
      <c r="AS334" s="41">
        <f t="shared" si="188"/>
        <v>0.02</v>
      </c>
      <c r="AT334" s="64">
        <f t="shared" si="189"/>
        <v>0</v>
      </c>
      <c r="AU334" s="64">
        <f>APPLICANTS_PER_YEAR*($H334/Segments!$AH$2)*AS334</f>
        <v>0</v>
      </c>
      <c r="AV334" s="64">
        <f t="shared" si="190"/>
        <v>0</v>
      </c>
      <c r="AW334" s="40">
        <f t="shared" si="191"/>
        <v>8781.7883381763968</v>
      </c>
      <c r="AX334" s="65">
        <f t="shared" si="192"/>
        <v>0</v>
      </c>
      <c r="AY334" s="65">
        <f t="shared" si="193"/>
        <v>0</v>
      </c>
      <c r="AZ334" s="65">
        <f t="shared" si="194"/>
        <v>0</v>
      </c>
    </row>
    <row r="335" spans="1:52" ht="15" customHeight="1" x14ac:dyDescent="0.35">
      <c r="A335" s="59" t="str">
        <f>Segments!$A$315</f>
        <v>Greek</v>
      </c>
      <c r="B335" s="59" t="str">
        <f>Segments!$B$315</f>
        <v>Off 1-3mi</v>
      </c>
      <c r="C335" s="59" t="str">
        <f>Segments!$C$315</f>
        <v>No</v>
      </c>
      <c r="D335" s="59" t="str">
        <f>Segments!$D$315</f>
        <v>2.0-3.0</v>
      </c>
      <c r="E335" s="59" t="str">
        <f>Segments!$E$315</f>
        <v>Freshman</v>
      </c>
      <c r="F335" s="59">
        <f>Segments!$F$315</f>
        <v>1</v>
      </c>
      <c r="G335" s="59" t="str">
        <f>Segments!$G$315</f>
        <v>Base</v>
      </c>
      <c r="H335" s="60">
        <f>Segments!$H$315</f>
        <v>8</v>
      </c>
      <c r="I335" s="26">
        <f>Segments!$Y$315</f>
        <v>3780.6850976599094</v>
      </c>
      <c r="J335" s="29">
        <v>0</v>
      </c>
      <c r="K335" s="14">
        <f t="shared" si="156"/>
        <v>6189.3553763541067</v>
      </c>
      <c r="L335" s="14">
        <f t="shared" si="157"/>
        <v>3780.6850976599094</v>
      </c>
      <c r="M335" s="14">
        <f t="shared" si="158"/>
        <v>6189.3553763541067</v>
      </c>
      <c r="N335" s="14">
        <f t="shared" si="159"/>
        <v>2971.1012989406922</v>
      </c>
      <c r="O335" s="14">
        <f t="shared" si="160"/>
        <v>6189.3553763541067</v>
      </c>
      <c r="P335" s="33">
        <f t="shared" si="161"/>
        <v>0.30840721106331148</v>
      </c>
      <c r="Q335" s="33">
        <f t="shared" si="162"/>
        <v>0.02</v>
      </c>
      <c r="R335" s="51">
        <f t="shared" si="163"/>
        <v>0</v>
      </c>
      <c r="S335" s="51">
        <f>APPLICANTS_PER_YEAR*($H335/Segments!$AH$2)*Q335</f>
        <v>0.192</v>
      </c>
      <c r="T335" s="51">
        <f t="shared" si="164"/>
        <v>0.192</v>
      </c>
      <c r="U335" s="14">
        <f t="shared" si="165"/>
        <v>6189.3553763541067</v>
      </c>
      <c r="V335" s="44">
        <f t="shared" si="166"/>
        <v>1188.3562322599885</v>
      </c>
      <c r="W335" s="44">
        <f t="shared" si="167"/>
        <v>812.99852340078701</v>
      </c>
      <c r="X335" s="44">
        <f t="shared" si="168"/>
        <v>274.83179602623738</v>
      </c>
      <c r="Y335" s="14">
        <f t="shared" si="169"/>
        <v>6373.7860376447306</v>
      </c>
      <c r="Z335" s="14">
        <f t="shared" si="170"/>
        <v>3894.1056505897068</v>
      </c>
      <c r="AA335" s="14">
        <f t="shared" si="171"/>
        <v>6373.7860376447306</v>
      </c>
      <c r="AB335" s="14">
        <f t="shared" si="172"/>
        <v>3059.9343019223329</v>
      </c>
      <c r="AC335" s="14">
        <f t="shared" si="173"/>
        <v>6373.7860376447306</v>
      </c>
      <c r="AD335" s="33">
        <f t="shared" si="174"/>
        <v>0.30850933243230949</v>
      </c>
      <c r="AE335" s="33">
        <f t="shared" si="175"/>
        <v>0.02</v>
      </c>
      <c r="AF335" s="51">
        <f t="shared" si="176"/>
        <v>0</v>
      </c>
      <c r="AG335" s="51">
        <f>APPLICANTS_PER_YEAR*($H335/Segments!$AH$2)*AE335</f>
        <v>0.192</v>
      </c>
      <c r="AH335" s="51">
        <f t="shared" si="177"/>
        <v>0.192</v>
      </c>
      <c r="AI335" s="14">
        <f t="shared" si="178"/>
        <v>6373.7860376447306</v>
      </c>
      <c r="AJ335" s="44">
        <f t="shared" si="179"/>
        <v>1223.7669192277883</v>
      </c>
      <c r="AK335" s="44">
        <f t="shared" si="180"/>
        <v>837.38847910281061</v>
      </c>
      <c r="AL335" s="44">
        <f t="shared" si="181"/>
        <v>282.7637899070246</v>
      </c>
      <c r="AM335" s="14">
        <f t="shared" si="182"/>
        <v>6563.7496187740717</v>
      </c>
      <c r="AN335" s="14">
        <f t="shared" si="183"/>
        <v>4010.9288201073978</v>
      </c>
      <c r="AO335" s="14">
        <f t="shared" si="184"/>
        <v>6563.7496187740717</v>
      </c>
      <c r="AP335" s="14">
        <f t="shared" si="185"/>
        <v>3151.4322659996487</v>
      </c>
      <c r="AQ335" s="14">
        <f t="shared" si="186"/>
        <v>6563.7496187740717</v>
      </c>
      <c r="AR335" s="33">
        <f t="shared" si="187"/>
        <v>0.30860848897350157</v>
      </c>
      <c r="AS335" s="33">
        <f t="shared" si="188"/>
        <v>0.02</v>
      </c>
      <c r="AT335" s="51">
        <f t="shared" si="189"/>
        <v>0</v>
      </c>
      <c r="AU335" s="51">
        <f>APPLICANTS_PER_YEAR*($H335/Segments!$AH$2)*AS335</f>
        <v>0.192</v>
      </c>
      <c r="AV335" s="51">
        <f t="shared" si="190"/>
        <v>0.192</v>
      </c>
      <c r="AW335" s="14">
        <f t="shared" si="191"/>
        <v>6563.7496187740717</v>
      </c>
      <c r="AX335" s="44">
        <f t="shared" si="192"/>
        <v>1260.2399268046217</v>
      </c>
      <c r="AY335" s="44">
        <f t="shared" si="193"/>
        <v>862.51013347589492</v>
      </c>
      <c r="AZ335" s="44">
        <f t="shared" si="194"/>
        <v>290.93374360423525</v>
      </c>
    </row>
    <row r="336" spans="1:52" ht="15" customHeight="1" x14ac:dyDescent="0.35">
      <c r="A336" s="59" t="str">
        <f>Segments!$A$316</f>
        <v>Greek</v>
      </c>
      <c r="B336" s="59" t="str">
        <f>Segments!$B$316</f>
        <v>Off 1-3mi</v>
      </c>
      <c r="C336" s="59" t="str">
        <f>Segments!$C$316</f>
        <v>No</v>
      </c>
      <c r="D336" s="59" t="str">
        <f>Segments!$D$316</f>
        <v>2.0-3.0</v>
      </c>
      <c r="E336" s="59" t="str">
        <f>Segments!$E$316</f>
        <v>Sophomore</v>
      </c>
      <c r="F336" s="59">
        <f>Segments!$F$316</f>
        <v>1</v>
      </c>
      <c r="G336" s="59" t="str">
        <f>Segments!$G$316</f>
        <v>Sophomore</v>
      </c>
      <c r="H336" s="60">
        <f>Segments!$H$316</f>
        <v>5</v>
      </c>
      <c r="I336" s="26">
        <f>Segments!$Y$316</f>
        <v>3742.2213255019055</v>
      </c>
      <c r="J336" s="29">
        <v>1</v>
      </c>
      <c r="K336" s="14">
        <f t="shared" si="156"/>
        <v>1426.2297754450396</v>
      </c>
      <c r="L336" s="14">
        <f t="shared" si="157"/>
        <v>3742.2213255019055</v>
      </c>
      <c r="M336" s="14">
        <f t="shared" si="158"/>
        <v>6126.810284202922</v>
      </c>
      <c r="N336" s="14">
        <f t="shared" si="159"/>
        <v>2956.0512945199539</v>
      </c>
      <c r="O336" s="14">
        <f t="shared" si="160"/>
        <v>1782.7872193062994</v>
      </c>
      <c r="P336" s="33">
        <f t="shared" si="161"/>
        <v>0.95</v>
      </c>
      <c r="Q336" s="33">
        <f t="shared" si="162"/>
        <v>0.02</v>
      </c>
      <c r="R336" s="51">
        <f t="shared" si="163"/>
        <v>7.6</v>
      </c>
      <c r="S336" s="51">
        <f>APPLICANTS_PER_YEAR*($H336/Segments!$AH$2)*Q336</f>
        <v>0.12</v>
      </c>
      <c r="T336" s="51">
        <f t="shared" si="164"/>
        <v>7.72</v>
      </c>
      <c r="U336" s="14">
        <f t="shared" si="165"/>
        <v>1850.3108938901848</v>
      </c>
      <c r="V336" s="44">
        <f t="shared" si="166"/>
        <v>14284.400100832227</v>
      </c>
      <c r="W336" s="44">
        <f t="shared" si="167"/>
        <v>32356.742468819681</v>
      </c>
      <c r="X336" s="44">
        <f t="shared" si="168"/>
        <v>2882.8842222509429</v>
      </c>
      <c r="Y336" s="14">
        <f t="shared" si="169"/>
        <v>6189.3553763541067</v>
      </c>
      <c r="Z336" s="14">
        <f t="shared" si="170"/>
        <v>3854.4879652669629</v>
      </c>
      <c r="AA336" s="14">
        <f t="shared" si="171"/>
        <v>6309.3645927290099</v>
      </c>
      <c r="AB336" s="14">
        <f t="shared" si="172"/>
        <v>3044.4312696589886</v>
      </c>
      <c r="AC336" s="14">
        <f t="shared" si="173"/>
        <v>6309.3645927290099</v>
      </c>
      <c r="AD336" s="33">
        <f t="shared" si="174"/>
        <v>0.30796911796711091</v>
      </c>
      <c r="AE336" s="33">
        <f t="shared" si="175"/>
        <v>0.02</v>
      </c>
      <c r="AF336" s="51">
        <f t="shared" si="176"/>
        <v>5.9130070649685298E-2</v>
      </c>
      <c r="AG336" s="51">
        <f>APPLICANTS_PER_YEAR*($H336/Segments!$AH$2)*AE336</f>
        <v>0.12</v>
      </c>
      <c r="AH336" s="51">
        <f t="shared" si="177"/>
        <v>0.17913007064968528</v>
      </c>
      <c r="AI336" s="14">
        <f t="shared" si="178"/>
        <v>6309.3645927290099</v>
      </c>
      <c r="AJ336" s="44">
        <f t="shared" si="179"/>
        <v>1130.1969252501704</v>
      </c>
      <c r="AK336" s="44">
        <f t="shared" si="180"/>
        <v>773.30926572102862</v>
      </c>
      <c r="AL336" s="44">
        <f t="shared" si="181"/>
        <v>246.68915157473776</v>
      </c>
      <c r="AM336" s="14">
        <f t="shared" si="182"/>
        <v>6373.7860376447306</v>
      </c>
      <c r="AN336" s="14">
        <f t="shared" si="183"/>
        <v>3970.1226042249714</v>
      </c>
      <c r="AO336" s="14">
        <f t="shared" si="184"/>
        <v>6497.3955305108802</v>
      </c>
      <c r="AP336" s="14">
        <f t="shared" si="185"/>
        <v>3135.4626146132309</v>
      </c>
      <c r="AQ336" s="14">
        <f t="shared" si="186"/>
        <v>6497.3955305108802</v>
      </c>
      <c r="AR336" s="33">
        <f t="shared" si="187"/>
        <v>0.30806763870472037</v>
      </c>
      <c r="AS336" s="33">
        <f t="shared" si="188"/>
        <v>0.02</v>
      </c>
      <c r="AT336" s="51">
        <f t="shared" si="189"/>
        <v>5.9148986631306313E-2</v>
      </c>
      <c r="AU336" s="51">
        <f>APPLICANTS_PER_YEAR*($H336/Segments!$AH$2)*AS336</f>
        <v>0.12</v>
      </c>
      <c r="AV336" s="51">
        <f t="shared" si="190"/>
        <v>0.1791489866313063</v>
      </c>
      <c r="AW336" s="14">
        <f t="shared" si="191"/>
        <v>6497.3955305108802</v>
      </c>
      <c r="AX336" s="44">
        <f t="shared" si="192"/>
        <v>1164.001825033803</v>
      </c>
      <c r="AY336" s="44">
        <f t="shared" si="193"/>
        <v>796.59265431081997</v>
      </c>
      <c r="AZ336" s="44">
        <f t="shared" si="194"/>
        <v>253.8683858921606</v>
      </c>
    </row>
    <row r="337" spans="1:52" ht="15" customHeight="1" x14ac:dyDescent="0.35">
      <c r="A337" s="59" t="str">
        <f>Segments!$A$317</f>
        <v>Greek</v>
      </c>
      <c r="B337" s="59" t="str">
        <f>Segments!$B$317</f>
        <v>Off 1-3mi</v>
      </c>
      <c r="C337" s="59" t="str">
        <f>Segments!$C$317</f>
        <v>No</v>
      </c>
      <c r="D337" s="59" t="str">
        <f>Segments!$D$317</f>
        <v>2.0-3.0</v>
      </c>
      <c r="E337" s="59" t="str">
        <f>Segments!$E$317</f>
        <v>Junior</v>
      </c>
      <c r="F337" s="59">
        <f>Segments!$F$317</f>
        <v>2</v>
      </c>
      <c r="G337" s="59" t="str">
        <f>Segments!$G$317</f>
        <v>Base</v>
      </c>
      <c r="H337" s="60">
        <f>Segments!$H$317</f>
        <v>1</v>
      </c>
      <c r="I337" s="26">
        <f>Segments!$Y$317</f>
        <v>4473.5472627904937</v>
      </c>
      <c r="J337" s="29">
        <v>2</v>
      </c>
      <c r="K337" s="14">
        <f t="shared" si="156"/>
        <v>1426.2297754450396</v>
      </c>
      <c r="L337" s="14">
        <f t="shared" si="157"/>
        <v>4473.5472627904937</v>
      </c>
      <c r="M337" s="14">
        <f t="shared" si="158"/>
        <v>7316.003272149329</v>
      </c>
      <c r="N337" s="14">
        <f t="shared" si="159"/>
        <v>3230.2169747545927</v>
      </c>
      <c r="O337" s="14">
        <f t="shared" si="160"/>
        <v>1782.7872193062994</v>
      </c>
      <c r="P337" s="33">
        <f t="shared" si="161"/>
        <v>0.95</v>
      </c>
      <c r="Q337" s="33">
        <f t="shared" si="162"/>
        <v>0.02</v>
      </c>
      <c r="R337" s="51">
        <f t="shared" si="163"/>
        <v>4.75</v>
      </c>
      <c r="S337" s="51">
        <f>APPLICANTS_PER_YEAR*($H337/Segments!$AH$2)*Q337</f>
        <v>2.4E-2</v>
      </c>
      <c r="T337" s="51">
        <f t="shared" si="164"/>
        <v>4.774</v>
      </c>
      <c r="U337" s="14">
        <f t="shared" si="165"/>
        <v>1810.6039736565783</v>
      </c>
      <c r="V337" s="44">
        <f t="shared" si="166"/>
        <v>8643.8233702365051</v>
      </c>
      <c r="W337" s="44">
        <f t="shared" si="167"/>
        <v>23919.520388469235</v>
      </c>
      <c r="X337" s="44">
        <f t="shared" si="168"/>
        <v>1735.9080597233051</v>
      </c>
      <c r="Y337" s="14">
        <f t="shared" si="169"/>
        <v>1850.3108938901848</v>
      </c>
      <c r="Z337" s="14">
        <f t="shared" si="170"/>
        <v>4607.7536806742082</v>
      </c>
      <c r="AA337" s="14">
        <f t="shared" si="171"/>
        <v>7534.2333703138083</v>
      </c>
      <c r="AB337" s="14">
        <f t="shared" si="172"/>
        <v>3326.8475178357635</v>
      </c>
      <c r="AC337" s="14">
        <f t="shared" si="173"/>
        <v>2312.8886173627311</v>
      </c>
      <c r="AD337" s="33">
        <f t="shared" si="174"/>
        <v>0.92739034777473806</v>
      </c>
      <c r="AE337" s="33">
        <f t="shared" si="175"/>
        <v>0.02</v>
      </c>
      <c r="AF337" s="51">
        <f t="shared" si="176"/>
        <v>7.1594534848209772</v>
      </c>
      <c r="AG337" s="51">
        <f>APPLICANTS_PER_YEAR*($H337/Segments!$AH$2)*AE337</f>
        <v>2.4E-2</v>
      </c>
      <c r="AH337" s="51">
        <f t="shared" si="177"/>
        <v>7.1834534848209772</v>
      </c>
      <c r="AI337" s="14">
        <f t="shared" si="178"/>
        <v>2330.3331897171865</v>
      </c>
      <c r="AJ337" s="44">
        <f t="shared" si="179"/>
        <v>16739.840072467909</v>
      </c>
      <c r="AK337" s="44">
        <f t="shared" si="180"/>
        <v>37071.534342792125</v>
      </c>
      <c r="AL337" s="44">
        <f t="shared" si="181"/>
        <v>3314.4275994239183</v>
      </c>
      <c r="AM337" s="14">
        <f t="shared" si="182"/>
        <v>6309.3645927290099</v>
      </c>
      <c r="AN337" s="14">
        <f t="shared" si="183"/>
        <v>4745.9862910944348</v>
      </c>
      <c r="AO337" s="14">
        <f t="shared" si="184"/>
        <v>7759.0103714232228</v>
      </c>
      <c r="AP337" s="14">
        <f t="shared" si="185"/>
        <v>3426.3769546491903</v>
      </c>
      <c r="AQ337" s="14">
        <f t="shared" si="186"/>
        <v>7759.0103714232228</v>
      </c>
      <c r="AR337" s="33">
        <f t="shared" si="187"/>
        <v>0.3</v>
      </c>
      <c r="AS337" s="33">
        <f t="shared" si="188"/>
        <v>0.02</v>
      </c>
      <c r="AT337" s="51">
        <f t="shared" si="189"/>
        <v>5.3739021194905583E-2</v>
      </c>
      <c r="AU337" s="51">
        <f>APPLICANTS_PER_YEAR*($H337/Segments!$AH$2)*AS337</f>
        <v>2.4E-2</v>
      </c>
      <c r="AV337" s="51">
        <f t="shared" si="190"/>
        <v>7.7739021194905583E-2</v>
      </c>
      <c r="AW337" s="14">
        <f t="shared" si="191"/>
        <v>7759.0103714232218</v>
      </c>
      <c r="AX337" s="44">
        <f t="shared" si="192"/>
        <v>603.17787171556211</v>
      </c>
      <c r="AY337" s="44">
        <f t="shared" si="193"/>
        <v>413.22212833901625</v>
      </c>
      <c r="AZ337" s="44">
        <f t="shared" si="194"/>
        <v>122.67296689013486</v>
      </c>
    </row>
    <row r="338" spans="1:52" ht="15" customHeight="1" x14ac:dyDescent="0.35">
      <c r="A338" s="59" t="str">
        <f>Segments!$A$318</f>
        <v>Greek</v>
      </c>
      <c r="B338" s="59" t="str">
        <f>Segments!$B$318</f>
        <v>Off 1-3mi</v>
      </c>
      <c r="C338" s="59" t="str">
        <f>Segments!$C$318</f>
        <v>No</v>
      </c>
      <c r="D338" s="59" t="str">
        <f>Segments!$D$318</f>
        <v>2.0-3.0</v>
      </c>
      <c r="E338" s="59" t="str">
        <f>Segments!$E$318</f>
        <v>Senior</v>
      </c>
      <c r="F338" s="59">
        <f>Segments!$F$318</f>
        <v>3</v>
      </c>
      <c r="G338" s="59" t="str">
        <f>Segments!$G$318</f>
        <v>Base</v>
      </c>
      <c r="H338" s="60">
        <f>Segments!$H$318</f>
        <v>9</v>
      </c>
      <c r="I338" s="26">
        <f>Segments!$Y$318</f>
        <v>4181.3685123681362</v>
      </c>
      <c r="J338" s="29">
        <v>3</v>
      </c>
      <c r="K338" s="14">
        <f t="shared" si="156"/>
        <v>1426.2297754450396</v>
      </c>
      <c r="L338" s="14">
        <f t="shared" si="157"/>
        <v>4181.3685123681362</v>
      </c>
      <c r="M338" s="14">
        <f t="shared" si="158"/>
        <v>6840.8978458090332</v>
      </c>
      <c r="N338" s="14">
        <f t="shared" si="159"/>
        <v>3123.5704247656518</v>
      </c>
      <c r="O338" s="14">
        <f t="shared" si="160"/>
        <v>1782.7872193062994</v>
      </c>
      <c r="P338" s="33">
        <f t="shared" si="161"/>
        <v>0.95</v>
      </c>
      <c r="Q338" s="33">
        <f t="shared" si="162"/>
        <v>0.02</v>
      </c>
      <c r="R338" s="51">
        <f t="shared" si="163"/>
        <v>0.95</v>
      </c>
      <c r="S338" s="51">
        <f>APPLICANTS_PER_YEAR*($H338/Segments!$AH$2)*Q338</f>
        <v>0.21599999999999997</v>
      </c>
      <c r="T338" s="51">
        <f t="shared" si="164"/>
        <v>1.1659999999999999</v>
      </c>
      <c r="U338" s="14">
        <f t="shared" si="165"/>
        <v>2719.7957058625516</v>
      </c>
      <c r="V338" s="44">
        <f t="shared" si="166"/>
        <v>3171.2817930357351</v>
      </c>
      <c r="W338" s="44">
        <f t="shared" si="167"/>
        <v>5460.5327676717961</v>
      </c>
      <c r="X338" s="44">
        <f t="shared" si="168"/>
        <v>679.80944659807028</v>
      </c>
      <c r="Y338" s="14">
        <f t="shared" si="169"/>
        <v>1810.6039736565783</v>
      </c>
      <c r="Z338" s="14">
        <f t="shared" si="170"/>
        <v>4306.8095677391802</v>
      </c>
      <c r="AA338" s="14">
        <f t="shared" si="171"/>
        <v>7044.8747811833045</v>
      </c>
      <c r="AB338" s="14">
        <f t="shared" si="172"/>
        <v>3216.9921483462854</v>
      </c>
      <c r="AC338" s="14">
        <f t="shared" si="173"/>
        <v>2263.2549670707231</v>
      </c>
      <c r="AD338" s="33">
        <f t="shared" si="174"/>
        <v>0.92323430355057545</v>
      </c>
      <c r="AE338" s="33">
        <f t="shared" si="175"/>
        <v>0.02</v>
      </c>
      <c r="AF338" s="51">
        <f t="shared" si="176"/>
        <v>4.4075205651504472</v>
      </c>
      <c r="AG338" s="51">
        <f>APPLICANTS_PER_YEAR*($H338/Segments!$AH$2)*AE338</f>
        <v>0.21599999999999997</v>
      </c>
      <c r="AH338" s="51">
        <f t="shared" si="177"/>
        <v>4.6235205651504474</v>
      </c>
      <c r="AI338" s="14">
        <f t="shared" si="178"/>
        <v>2486.64099191794</v>
      </c>
      <c r="AJ338" s="44">
        <f t="shared" si="179"/>
        <v>11497.035764278704</v>
      </c>
      <c r="AK338" s="44">
        <f t="shared" si="180"/>
        <v>22302.137319424266</v>
      </c>
      <c r="AL338" s="44">
        <f t="shared" si="181"/>
        <v>2324.0694240974299</v>
      </c>
      <c r="AM338" s="14">
        <f t="shared" si="182"/>
        <v>2330.3331897171865</v>
      </c>
      <c r="AN338" s="14">
        <f t="shared" si="183"/>
        <v>4436.0138547713559</v>
      </c>
      <c r="AO338" s="14">
        <f t="shared" si="184"/>
        <v>7254.9710246188042</v>
      </c>
      <c r="AP338" s="14">
        <f t="shared" si="185"/>
        <v>3313.2164986831544</v>
      </c>
      <c r="AQ338" s="14">
        <f t="shared" si="186"/>
        <v>2912.9164871464832</v>
      </c>
      <c r="AR338" s="33">
        <f t="shared" si="187"/>
        <v>0.83540957656944115</v>
      </c>
      <c r="AS338" s="33">
        <f t="shared" si="188"/>
        <v>0.02</v>
      </c>
      <c r="AT338" s="51">
        <f t="shared" si="189"/>
        <v>6.0011258340605691</v>
      </c>
      <c r="AU338" s="51">
        <f>APPLICANTS_PER_YEAR*($H338/Segments!$AH$2)*AS338</f>
        <v>0.21599999999999997</v>
      </c>
      <c r="AV338" s="51">
        <f t="shared" si="190"/>
        <v>6.2171258340605693</v>
      </c>
      <c r="AW338" s="14">
        <f t="shared" si="191"/>
        <v>3063.7713685059398</v>
      </c>
      <c r="AX338" s="44">
        <f t="shared" si="192"/>
        <v>19047.852124793382</v>
      </c>
      <c r="AY338" s="44">
        <f t="shared" si="193"/>
        <v>30888.767097159565</v>
      </c>
      <c r="AZ338" s="44">
        <f t="shared" si="194"/>
        <v>3784.6341492132788</v>
      </c>
    </row>
    <row r="339" spans="1:52" ht="15" customHeight="1" x14ac:dyDescent="0.35">
      <c r="A339" s="59" t="str">
        <f>Segments!$A$319</f>
        <v>Greek</v>
      </c>
      <c r="B339" s="59" t="str">
        <f>Segments!$B$319</f>
        <v>Off 1-3mi</v>
      </c>
      <c r="C339" s="59" t="str">
        <f>Segments!$C$319</f>
        <v>No</v>
      </c>
      <c r="D339" s="59" t="str">
        <f>Segments!$D$319</f>
        <v>2.0-3.0</v>
      </c>
      <c r="E339" s="59" t="str">
        <f>Segments!$E$319</f>
        <v>Grad student</v>
      </c>
      <c r="F339" s="59">
        <f>Segments!$F$319</f>
        <v>3</v>
      </c>
      <c r="G339" s="59" t="str">
        <f>Segments!$G$319</f>
        <v>Grad</v>
      </c>
      <c r="H339" s="60">
        <f>Segments!$H$319</f>
        <v>2</v>
      </c>
      <c r="I339" s="26">
        <f>Segments!$Y$319</f>
        <v>4978.6736456514136</v>
      </c>
      <c r="J339" s="29">
        <v>4</v>
      </c>
      <c r="K339" s="14">
        <f t="shared" si="156"/>
        <v>1426.2297754450396</v>
      </c>
      <c r="L339" s="14">
        <f t="shared" si="157"/>
        <v>4978.6736456514136</v>
      </c>
      <c r="M339" s="14">
        <f t="shared" si="158"/>
        <v>8137.3781501579269</v>
      </c>
      <c r="N339" s="14">
        <f t="shared" si="159"/>
        <v>3406.7243815446996</v>
      </c>
      <c r="O339" s="14">
        <f t="shared" si="160"/>
        <v>1782.7872193062994</v>
      </c>
      <c r="P339" s="33">
        <f t="shared" si="161"/>
        <v>0.95</v>
      </c>
      <c r="Q339" s="33">
        <f t="shared" si="162"/>
        <v>0.02</v>
      </c>
      <c r="R339" s="51">
        <f t="shared" si="163"/>
        <v>0.95</v>
      </c>
      <c r="S339" s="51">
        <f>APPLICANTS_PER_YEAR*($H339/Segments!$AH$2)*Q339</f>
        <v>4.8000000000000001E-2</v>
      </c>
      <c r="T339" s="51">
        <f t="shared" si="164"/>
        <v>0.998</v>
      </c>
      <c r="U339" s="14">
        <f t="shared" si="165"/>
        <v>2088.418847243051</v>
      </c>
      <c r="V339" s="44">
        <f t="shared" si="166"/>
        <v>2084.242009548565</v>
      </c>
      <c r="W339" s="44">
        <f t="shared" si="167"/>
        <v>5564.9622541633253</v>
      </c>
      <c r="X339" s="44">
        <f t="shared" si="168"/>
        <v>428.75253509694403</v>
      </c>
      <c r="Y339" s="14">
        <f t="shared" si="169"/>
        <v>2088.418847243051</v>
      </c>
      <c r="Z339" s="14">
        <f t="shared" si="170"/>
        <v>5128.0338550209563</v>
      </c>
      <c r="AA339" s="14">
        <f t="shared" si="171"/>
        <v>8380.249494662663</v>
      </c>
      <c r="AB339" s="14">
        <f t="shared" si="172"/>
        <v>3508.6644461382339</v>
      </c>
      <c r="AC339" s="14">
        <f t="shared" si="173"/>
        <v>2610.5235590538136</v>
      </c>
      <c r="AD339" s="33">
        <f t="shared" si="174"/>
        <v>0.90298899707735625</v>
      </c>
      <c r="AE339" s="33">
        <f t="shared" si="175"/>
        <v>0.02</v>
      </c>
      <c r="AF339" s="51">
        <f t="shared" si="176"/>
        <v>0.45059150954160077</v>
      </c>
      <c r="AG339" s="51">
        <f>APPLICANTS_PER_YEAR*($H339/Segments!$AH$2)*AE339</f>
        <v>4.8000000000000001E-2</v>
      </c>
      <c r="AH339" s="51">
        <f t="shared" si="177"/>
        <v>0.49859150954160075</v>
      </c>
      <c r="AI339" s="14">
        <f t="shared" si="178"/>
        <v>3165.9819646007645</v>
      </c>
      <c r="AJ339" s="44">
        <f t="shared" si="179"/>
        <v>1578.5317269117779</v>
      </c>
      <c r="AK339" s="44">
        <f t="shared" si="180"/>
        <v>2863.6094376459728</v>
      </c>
      <c r="AL339" s="44">
        <f t="shared" si="181"/>
        <v>323.5931457281913</v>
      </c>
      <c r="AM339" s="14">
        <f t="shared" si="182"/>
        <v>3165.9819646007645</v>
      </c>
      <c r="AN339" s="14">
        <f t="shared" si="183"/>
        <v>5281.8748706715842</v>
      </c>
      <c r="AO339" s="14">
        <f t="shared" si="184"/>
        <v>8630.4069795025425</v>
      </c>
      <c r="AP339" s="14">
        <f t="shared" si="185"/>
        <v>3613.662693437956</v>
      </c>
      <c r="AQ339" s="14">
        <f t="shared" si="186"/>
        <v>3957.4774557509554</v>
      </c>
      <c r="AR339" s="33">
        <f t="shared" si="187"/>
        <v>0.72742849271220966</v>
      </c>
      <c r="AS339" s="33">
        <f t="shared" si="188"/>
        <v>0.02</v>
      </c>
      <c r="AT339" s="51">
        <f t="shared" si="189"/>
        <v>0.18134483513247596</v>
      </c>
      <c r="AU339" s="51">
        <f>APPLICANTS_PER_YEAR*($H339/Segments!$AH$2)*AS339</f>
        <v>4.8000000000000001E-2</v>
      </c>
      <c r="AV339" s="51">
        <f t="shared" si="190"/>
        <v>0.22934483513247594</v>
      </c>
      <c r="AW339" s="14">
        <f t="shared" si="191"/>
        <v>4935.4834222272184</v>
      </c>
      <c r="AX339" s="44">
        <f t="shared" si="192"/>
        <v>1131.9276317697695</v>
      </c>
      <c r="AY339" s="44">
        <f t="shared" si="193"/>
        <v>1356.7352079730872</v>
      </c>
      <c r="AZ339" s="44">
        <f t="shared" si="194"/>
        <v>234.22030283270021</v>
      </c>
    </row>
    <row r="340" spans="1:52" ht="15" customHeight="1" x14ac:dyDescent="0.35">
      <c r="A340" s="61" t="str">
        <f>Segments!$A$320</f>
        <v>Greek</v>
      </c>
      <c r="B340" s="61" t="str">
        <f>Segments!$B$320</f>
        <v>Off 1-3mi</v>
      </c>
      <c r="C340" s="61" t="str">
        <f>Segments!$C$320</f>
        <v>No</v>
      </c>
      <c r="D340" s="61" t="str">
        <f>Segments!$D$320</f>
        <v>3.0+</v>
      </c>
      <c r="E340" s="61" t="str">
        <f>Segments!$E$320</f>
        <v>Freshman</v>
      </c>
      <c r="F340" s="61">
        <f>Segments!$F$320</f>
        <v>1</v>
      </c>
      <c r="G340" s="61" t="str">
        <f>Segments!$G$320</f>
        <v>Base</v>
      </c>
      <c r="H340" s="62">
        <f>Segments!$H$320</f>
        <v>5</v>
      </c>
      <c r="I340" s="63">
        <f>Segments!$Y$320</f>
        <v>3313.9505154844383</v>
      </c>
      <c r="J340" s="42">
        <v>0</v>
      </c>
      <c r="K340" s="40">
        <f t="shared" si="156"/>
        <v>5430.4085592714482</v>
      </c>
      <c r="L340" s="40">
        <f t="shared" si="157"/>
        <v>3313.9505154844383</v>
      </c>
      <c r="M340" s="40">
        <f t="shared" si="158"/>
        <v>5430.4085592714482</v>
      </c>
      <c r="N340" s="40">
        <f t="shared" si="159"/>
        <v>2782.9858749308337</v>
      </c>
      <c r="O340" s="40">
        <f t="shared" si="160"/>
        <v>5430.4085592714482</v>
      </c>
      <c r="P340" s="41">
        <f t="shared" si="161"/>
        <v>0.37435570942191509</v>
      </c>
      <c r="Q340" s="41">
        <f t="shared" si="162"/>
        <v>0.02</v>
      </c>
      <c r="R340" s="64">
        <f t="shared" si="163"/>
        <v>0</v>
      </c>
      <c r="S340" s="64">
        <f>APPLICANTS_PER_YEAR*($H340/Segments!$AH$2)*Q340</f>
        <v>0.12</v>
      </c>
      <c r="T340" s="64">
        <f t="shared" si="164"/>
        <v>0.12</v>
      </c>
      <c r="U340" s="40">
        <f t="shared" si="165"/>
        <v>5430.4085592714482</v>
      </c>
      <c r="V340" s="65">
        <f t="shared" si="166"/>
        <v>651.64902711257378</v>
      </c>
      <c r="W340" s="65">
        <f t="shared" si="167"/>
        <v>445.39494928110855</v>
      </c>
      <c r="X340" s="65">
        <f t="shared" si="168"/>
        <v>151.36938207321654</v>
      </c>
      <c r="Y340" s="40">
        <f t="shared" si="169"/>
        <v>5592.0708160495924</v>
      </c>
      <c r="Z340" s="40">
        <f t="shared" si="170"/>
        <v>3413.3690309489716</v>
      </c>
      <c r="AA340" s="40">
        <f t="shared" si="171"/>
        <v>5592.0708160495924</v>
      </c>
      <c r="AB340" s="40">
        <f t="shared" si="172"/>
        <v>2866.1551321194365</v>
      </c>
      <c r="AC340" s="40">
        <f t="shared" si="173"/>
        <v>5592.0708160495924</v>
      </c>
      <c r="AD340" s="41">
        <f t="shared" si="174"/>
        <v>0.37446473441330752</v>
      </c>
      <c r="AE340" s="41">
        <f t="shared" si="175"/>
        <v>0.02</v>
      </c>
      <c r="AF340" s="64">
        <f t="shared" si="176"/>
        <v>0</v>
      </c>
      <c r="AG340" s="64">
        <f>APPLICANTS_PER_YEAR*($H340/Segments!$AH$2)*AE340</f>
        <v>0.12</v>
      </c>
      <c r="AH340" s="64">
        <f t="shared" si="177"/>
        <v>0.12</v>
      </c>
      <c r="AI340" s="40">
        <f t="shared" si="178"/>
        <v>5592.0708160495924</v>
      </c>
      <c r="AJ340" s="65">
        <f t="shared" si="179"/>
        <v>671.0484979259511</v>
      </c>
      <c r="AK340" s="65">
        <f t="shared" si="180"/>
        <v>458.75679775954177</v>
      </c>
      <c r="AL340" s="65">
        <f t="shared" si="181"/>
        <v>155.71486353541306</v>
      </c>
      <c r="AM340" s="40">
        <f t="shared" si="182"/>
        <v>5758.5829405310797</v>
      </c>
      <c r="AN340" s="40">
        <f t="shared" si="183"/>
        <v>3515.7701018774405</v>
      </c>
      <c r="AO340" s="40">
        <f t="shared" si="184"/>
        <v>5758.5829405310797</v>
      </c>
      <c r="AP340" s="40">
        <f t="shared" si="185"/>
        <v>2951.8194317426219</v>
      </c>
      <c r="AQ340" s="40">
        <f t="shared" si="186"/>
        <v>5758.5829405310797</v>
      </c>
      <c r="AR340" s="41">
        <f t="shared" si="187"/>
        <v>0.3745705955781532</v>
      </c>
      <c r="AS340" s="41">
        <f t="shared" si="188"/>
        <v>0.02</v>
      </c>
      <c r="AT340" s="64">
        <f t="shared" si="189"/>
        <v>0</v>
      </c>
      <c r="AU340" s="64">
        <f>APPLICANTS_PER_YEAR*($H340/Segments!$AH$2)*AS340</f>
        <v>0.12</v>
      </c>
      <c r="AV340" s="64">
        <f t="shared" si="190"/>
        <v>0.12</v>
      </c>
      <c r="AW340" s="40">
        <f t="shared" si="191"/>
        <v>5758.5829405310787</v>
      </c>
      <c r="AX340" s="65">
        <f t="shared" si="192"/>
        <v>691.02995286372948</v>
      </c>
      <c r="AY340" s="65">
        <f t="shared" si="193"/>
        <v>472.51950169232805</v>
      </c>
      <c r="AZ340" s="65">
        <f t="shared" si="194"/>
        <v>160.19070944147541</v>
      </c>
    </row>
    <row r="341" spans="1:52" ht="15" customHeight="1" x14ac:dyDescent="0.35">
      <c r="A341" s="61" t="str">
        <f>Segments!$A$321</f>
        <v>Greek</v>
      </c>
      <c r="B341" s="61" t="str">
        <f>Segments!$B$321</f>
        <v>Off 1-3mi</v>
      </c>
      <c r="C341" s="61" t="str">
        <f>Segments!$C$321</f>
        <v>No</v>
      </c>
      <c r="D341" s="61" t="str">
        <f>Segments!$D$321</f>
        <v>3.0+</v>
      </c>
      <c r="E341" s="61" t="str">
        <f>Segments!$E$321</f>
        <v>Sophomore</v>
      </c>
      <c r="F341" s="61">
        <f>Segments!$F$321</f>
        <v>1</v>
      </c>
      <c r="G341" s="61" t="str">
        <f>Segments!$G$321</f>
        <v>Sophomore</v>
      </c>
      <c r="H341" s="62">
        <f>Segments!$H$321</f>
        <v>3</v>
      </c>
      <c r="I341" s="63">
        <f>Segments!$Y$321</f>
        <v>3280.2351876330426</v>
      </c>
      <c r="J341" s="42">
        <v>1</v>
      </c>
      <c r="K341" s="40">
        <f t="shared" si="156"/>
        <v>1426.2297754450396</v>
      </c>
      <c r="L341" s="40">
        <f t="shared" si="157"/>
        <v>3280.2351876330426</v>
      </c>
      <c r="M341" s="40">
        <f t="shared" si="158"/>
        <v>5375.5848077498713</v>
      </c>
      <c r="N341" s="40">
        <f t="shared" si="159"/>
        <v>2768.9021494525346</v>
      </c>
      <c r="O341" s="40">
        <f t="shared" si="160"/>
        <v>1782.7872193062994</v>
      </c>
      <c r="P341" s="41">
        <f t="shared" si="161"/>
        <v>0.95</v>
      </c>
      <c r="Q341" s="41">
        <f t="shared" si="162"/>
        <v>0.02</v>
      </c>
      <c r="R341" s="64">
        <f t="shared" si="163"/>
        <v>4.75</v>
      </c>
      <c r="S341" s="64">
        <f>APPLICANTS_PER_YEAR*($H341/Segments!$AH$2)*Q341</f>
        <v>7.1999999999999995E-2</v>
      </c>
      <c r="T341" s="64">
        <f t="shared" si="164"/>
        <v>4.8220000000000001</v>
      </c>
      <c r="U341" s="40">
        <f t="shared" si="165"/>
        <v>1836.4333052390944</v>
      </c>
      <c r="V341" s="65">
        <f t="shared" si="166"/>
        <v>8855.2813978629129</v>
      </c>
      <c r="W341" s="65">
        <f t="shared" si="167"/>
        <v>17715.369363738519</v>
      </c>
      <c r="X341" s="65">
        <f t="shared" si="168"/>
        <v>1785.4346579116202</v>
      </c>
      <c r="Y341" s="40">
        <f t="shared" si="169"/>
        <v>5430.4085592714482</v>
      </c>
      <c r="Z341" s="40">
        <f t="shared" si="170"/>
        <v>3378.6422432620338</v>
      </c>
      <c r="AA341" s="40">
        <f t="shared" si="171"/>
        <v>5535.6023519823675</v>
      </c>
      <c r="AB341" s="40">
        <f t="shared" si="172"/>
        <v>2851.6472654245772</v>
      </c>
      <c r="AC341" s="40">
        <f t="shared" si="173"/>
        <v>5535.6023519823675</v>
      </c>
      <c r="AD341" s="41">
        <f t="shared" si="174"/>
        <v>0.37359131160941106</v>
      </c>
      <c r="AE341" s="41">
        <f t="shared" si="175"/>
        <v>0.02</v>
      </c>
      <c r="AF341" s="64">
        <f t="shared" si="176"/>
        <v>4.4830957393129325E-2</v>
      </c>
      <c r="AG341" s="64">
        <f>APPLICANTS_PER_YEAR*($H341/Segments!$AH$2)*AE341</f>
        <v>7.1999999999999995E-2</v>
      </c>
      <c r="AH341" s="64">
        <f t="shared" si="177"/>
        <v>0.11683095739312932</v>
      </c>
      <c r="AI341" s="40">
        <f t="shared" si="178"/>
        <v>5535.6023519823675</v>
      </c>
      <c r="AJ341" s="65">
        <f t="shared" si="179"/>
        <v>646.72972252975842</v>
      </c>
      <c r="AK341" s="65">
        <f t="shared" si="180"/>
        <v>442.09760892547439</v>
      </c>
      <c r="AL341" s="65">
        <f t="shared" si="181"/>
        <v>140.3182546329825</v>
      </c>
      <c r="AM341" s="40">
        <f t="shared" si="182"/>
        <v>5592.0708160495924</v>
      </c>
      <c r="AN341" s="40">
        <f t="shared" si="183"/>
        <v>3480.001510559895</v>
      </c>
      <c r="AO341" s="40">
        <f t="shared" si="184"/>
        <v>5700.4204225418389</v>
      </c>
      <c r="AP341" s="40">
        <f t="shared" si="185"/>
        <v>2936.8746990534823</v>
      </c>
      <c r="AQ341" s="40">
        <f t="shared" si="186"/>
        <v>5700.4204225418389</v>
      </c>
      <c r="AR341" s="41">
        <f t="shared" si="187"/>
        <v>0.37369641238483431</v>
      </c>
      <c r="AS341" s="41">
        <f t="shared" si="188"/>
        <v>0.02</v>
      </c>
      <c r="AT341" s="64">
        <f t="shared" si="189"/>
        <v>4.4843569486180117E-2</v>
      </c>
      <c r="AU341" s="64">
        <f>APPLICANTS_PER_YEAR*($H341/Segments!$AH$2)*AS341</f>
        <v>7.1999999999999995E-2</v>
      </c>
      <c r="AV341" s="64">
        <f t="shared" si="190"/>
        <v>0.1168435694861801</v>
      </c>
      <c r="AW341" s="40">
        <f t="shared" si="191"/>
        <v>5700.4204225418398</v>
      </c>
      <c r="AX341" s="65">
        <f t="shared" si="192"/>
        <v>666.05746974170756</v>
      </c>
      <c r="AY341" s="65">
        <f t="shared" si="193"/>
        <v>455.40969410845088</v>
      </c>
      <c r="AZ341" s="65">
        <f t="shared" si="194"/>
        <v>144.38679263571177</v>
      </c>
    </row>
    <row r="342" spans="1:52" ht="15" customHeight="1" x14ac:dyDescent="0.35">
      <c r="A342" s="61" t="str">
        <f>Segments!$A$322</f>
        <v>Greek</v>
      </c>
      <c r="B342" s="61" t="str">
        <f>Segments!$B$322</f>
        <v>Off 1-3mi</v>
      </c>
      <c r="C342" s="61" t="str">
        <f>Segments!$C$322</f>
        <v>No</v>
      </c>
      <c r="D342" s="61" t="str">
        <f>Segments!$D$322</f>
        <v>3.0+</v>
      </c>
      <c r="E342" s="61" t="str">
        <f>Segments!$E$322</f>
        <v>Junior</v>
      </c>
      <c r="F342" s="61">
        <f>Segments!$F$322</f>
        <v>2</v>
      </c>
      <c r="G342" s="61" t="str">
        <f>Segments!$G$322</f>
        <v>Base</v>
      </c>
      <c r="H342" s="62">
        <f>Segments!$H$322</f>
        <v>0</v>
      </c>
      <c r="I342" s="63">
        <f>Segments!$Y$322</f>
        <v>3921.277195697865</v>
      </c>
      <c r="J342" s="42">
        <v>2</v>
      </c>
      <c r="K342" s="40">
        <f t="shared" si="156"/>
        <v>1426.2297754450396</v>
      </c>
      <c r="L342" s="40">
        <f t="shared" si="157"/>
        <v>3921.277195697865</v>
      </c>
      <c r="M342" s="40">
        <f t="shared" si="158"/>
        <v>6417.9690882747818</v>
      </c>
      <c r="N342" s="40">
        <f t="shared" si="159"/>
        <v>3025.4749398372728</v>
      </c>
      <c r="O342" s="40">
        <f t="shared" si="160"/>
        <v>1782.7872193062994</v>
      </c>
      <c r="P342" s="41">
        <f t="shared" si="161"/>
        <v>0.95</v>
      </c>
      <c r="Q342" s="41">
        <f t="shared" si="162"/>
        <v>0.02</v>
      </c>
      <c r="R342" s="64">
        <f t="shared" si="163"/>
        <v>2.8499999999999996</v>
      </c>
      <c r="S342" s="64">
        <f>APPLICANTS_PER_YEAR*($H342/Segments!$AH$2)*Q342</f>
        <v>0</v>
      </c>
      <c r="T342" s="64">
        <f t="shared" si="164"/>
        <v>2.8499999999999996</v>
      </c>
      <c r="U342" s="40">
        <f t="shared" si="165"/>
        <v>1782.7872193062997</v>
      </c>
      <c r="V342" s="65">
        <f t="shared" si="166"/>
        <v>5080.9435750229532</v>
      </c>
      <c r="W342" s="65">
        <f t="shared" si="167"/>
        <v>12516.716808667585</v>
      </c>
      <c r="X342" s="65">
        <f t="shared" si="168"/>
        <v>1017.2983356793382</v>
      </c>
      <c r="Y342" s="40">
        <f t="shared" si="169"/>
        <v>1836.4333052390944</v>
      </c>
      <c r="Z342" s="40">
        <f t="shared" si="170"/>
        <v>4038.9155115688009</v>
      </c>
      <c r="AA342" s="40">
        <f t="shared" si="171"/>
        <v>6609.2581609230247</v>
      </c>
      <c r="AB342" s="40">
        <f t="shared" si="172"/>
        <v>3115.9445447878056</v>
      </c>
      <c r="AC342" s="40">
        <f t="shared" si="173"/>
        <v>2295.5416315488678</v>
      </c>
      <c r="AD342" s="41">
        <f t="shared" si="174"/>
        <v>0.90664594257803244</v>
      </c>
      <c r="AE342" s="41">
        <f t="shared" si="175"/>
        <v>0.02</v>
      </c>
      <c r="AF342" s="64">
        <f t="shared" si="176"/>
        <v>4.3718467351112729</v>
      </c>
      <c r="AG342" s="64">
        <f>APPLICANTS_PER_YEAR*($H342/Segments!$AH$2)*AE342</f>
        <v>0</v>
      </c>
      <c r="AH342" s="64">
        <f t="shared" si="177"/>
        <v>4.3718467351112729</v>
      </c>
      <c r="AI342" s="40">
        <f t="shared" si="178"/>
        <v>2295.5416315488678</v>
      </c>
      <c r="AJ342" s="65">
        <f t="shared" si="179"/>
        <v>10035.756187198922</v>
      </c>
      <c r="AK342" s="65">
        <f t="shared" si="180"/>
        <v>19776.421943759422</v>
      </c>
      <c r="AL342" s="65">
        <f t="shared" si="181"/>
        <v>1984.1948540828216</v>
      </c>
      <c r="AM342" s="40">
        <f t="shared" si="182"/>
        <v>5535.6023519823675</v>
      </c>
      <c r="AN342" s="40">
        <f t="shared" si="183"/>
        <v>4160.0829769158645</v>
      </c>
      <c r="AO342" s="40">
        <f t="shared" si="184"/>
        <v>6806.2859057507148</v>
      </c>
      <c r="AP342" s="40">
        <f t="shared" si="185"/>
        <v>3209.1282104286629</v>
      </c>
      <c r="AQ342" s="40">
        <f t="shared" si="186"/>
        <v>6806.2859057507148</v>
      </c>
      <c r="AR342" s="41">
        <f t="shared" si="187"/>
        <v>0.3</v>
      </c>
      <c r="AS342" s="41">
        <f t="shared" si="188"/>
        <v>0.02</v>
      </c>
      <c r="AT342" s="64">
        <f t="shared" si="189"/>
        <v>3.5049287217938797E-2</v>
      </c>
      <c r="AU342" s="64">
        <f>APPLICANTS_PER_YEAR*($H342/Segments!$AH$2)*AS342</f>
        <v>0</v>
      </c>
      <c r="AV342" s="64">
        <f t="shared" si="190"/>
        <v>3.5049287217938797E-2</v>
      </c>
      <c r="AW342" s="40">
        <f t="shared" si="191"/>
        <v>6806.2859057507148</v>
      </c>
      <c r="AX342" s="65">
        <f t="shared" si="192"/>
        <v>238.55546959806551</v>
      </c>
      <c r="AY342" s="65">
        <f t="shared" si="193"/>
        <v>163.30489628138784</v>
      </c>
      <c r="AZ342" s="65">
        <f t="shared" si="194"/>
        <v>45.78796949839316</v>
      </c>
    </row>
    <row r="343" spans="1:52" ht="15" customHeight="1" x14ac:dyDescent="0.35">
      <c r="A343" s="61" t="str">
        <f>Segments!$A$323</f>
        <v>Greek</v>
      </c>
      <c r="B343" s="61" t="str">
        <f>Segments!$B$323</f>
        <v>Off 1-3mi</v>
      </c>
      <c r="C343" s="61" t="str">
        <f>Segments!$C$323</f>
        <v>No</v>
      </c>
      <c r="D343" s="61" t="str">
        <f>Segments!$D$323</f>
        <v>3.0+</v>
      </c>
      <c r="E343" s="61" t="str">
        <f>Segments!$E$323</f>
        <v>Senior</v>
      </c>
      <c r="F343" s="61">
        <f>Segments!$F$323</f>
        <v>3</v>
      </c>
      <c r="G343" s="61" t="str">
        <f>Segments!$G$323</f>
        <v>Base</v>
      </c>
      <c r="H343" s="62">
        <f>Segments!$H$323</f>
        <v>2</v>
      </c>
      <c r="I343" s="63">
        <f>Segments!$Y$323</f>
        <v>3665.1686080836544</v>
      </c>
      <c r="J343" s="42">
        <v>3</v>
      </c>
      <c r="K343" s="40">
        <f t="shared" si="156"/>
        <v>1426.2297754450396</v>
      </c>
      <c r="L343" s="40">
        <f t="shared" si="157"/>
        <v>3665.1686080836544</v>
      </c>
      <c r="M343" s="40">
        <f t="shared" si="158"/>
        <v>6001.516558677853</v>
      </c>
      <c r="N343" s="40">
        <f t="shared" si="159"/>
        <v>2925.6694300301256</v>
      </c>
      <c r="O343" s="40">
        <f t="shared" si="160"/>
        <v>1782.7872193062994</v>
      </c>
      <c r="P343" s="41">
        <f t="shared" si="161"/>
        <v>0.95</v>
      </c>
      <c r="Q343" s="41">
        <f t="shared" si="162"/>
        <v>0.02</v>
      </c>
      <c r="R343" s="64">
        <f t="shared" si="163"/>
        <v>0</v>
      </c>
      <c r="S343" s="64">
        <f>APPLICANTS_PER_YEAR*($H343/Segments!$AH$2)*Q343</f>
        <v>4.8000000000000001E-2</v>
      </c>
      <c r="T343" s="64">
        <f t="shared" si="164"/>
        <v>4.8000000000000001E-2</v>
      </c>
      <c r="U343" s="40">
        <f t="shared" si="165"/>
        <v>6001.516558677853</v>
      </c>
      <c r="V343" s="65">
        <f t="shared" si="166"/>
        <v>288.07279481653694</v>
      </c>
      <c r="W343" s="65">
        <f t="shared" si="167"/>
        <v>197.03946437057729</v>
      </c>
      <c r="X343" s="65">
        <f t="shared" si="168"/>
        <v>66.688306038904273</v>
      </c>
      <c r="Y343" s="40">
        <f t="shared" si="169"/>
        <v>1782.7872193062997</v>
      </c>
      <c r="Z343" s="40">
        <f t="shared" si="170"/>
        <v>3775.1236663261643</v>
      </c>
      <c r="AA343" s="40">
        <f t="shared" si="171"/>
        <v>6180.3120554381894</v>
      </c>
      <c r="AB343" s="40">
        <f t="shared" si="172"/>
        <v>3013.1348173054116</v>
      </c>
      <c r="AC343" s="40">
        <f t="shared" si="173"/>
        <v>2228.4840241328748</v>
      </c>
      <c r="AD343" s="41">
        <f t="shared" si="174"/>
        <v>0.90520505897479808</v>
      </c>
      <c r="AE343" s="41">
        <f t="shared" si="175"/>
        <v>0.02</v>
      </c>
      <c r="AF343" s="64">
        <f t="shared" si="176"/>
        <v>2.5798344180781743</v>
      </c>
      <c r="AG343" s="64">
        <f>APPLICANTS_PER_YEAR*($H343/Segments!$AH$2)*AE343</f>
        <v>4.8000000000000001E-2</v>
      </c>
      <c r="AH343" s="64">
        <f t="shared" si="177"/>
        <v>2.6278344180781743</v>
      </c>
      <c r="AI343" s="40">
        <f t="shared" si="178"/>
        <v>2300.6680796417377</v>
      </c>
      <c r="AJ343" s="65">
        <f t="shared" si="179"/>
        <v>6045.7747642563763</v>
      </c>
      <c r="AK343" s="65">
        <f t="shared" si="180"/>
        <v>11110.847891218164</v>
      </c>
      <c r="AL343" s="65">
        <f t="shared" si="181"/>
        <v>1206.7910430591548</v>
      </c>
      <c r="AM343" s="40">
        <f t="shared" si="182"/>
        <v>2295.5416315488678</v>
      </c>
      <c r="AN343" s="40">
        <f t="shared" si="183"/>
        <v>3888.3773763159488</v>
      </c>
      <c r="AO343" s="40">
        <f t="shared" si="184"/>
        <v>6364.4714171013347</v>
      </c>
      <c r="AP343" s="40">
        <f t="shared" si="185"/>
        <v>3103.2241358331135</v>
      </c>
      <c r="AQ343" s="40">
        <f t="shared" si="186"/>
        <v>2869.4270394360847</v>
      </c>
      <c r="AR343" s="41">
        <f t="shared" si="187"/>
        <v>0.81267003061386389</v>
      </c>
      <c r="AS343" s="41">
        <f t="shared" si="188"/>
        <v>0.02</v>
      </c>
      <c r="AT343" s="64">
        <f t="shared" si="189"/>
        <v>3.5528688200619989</v>
      </c>
      <c r="AU343" s="64">
        <f>APPLICANTS_PER_YEAR*($H343/Segments!$AH$2)*AS343</f>
        <v>4.8000000000000001E-2</v>
      </c>
      <c r="AV343" s="64">
        <f t="shared" si="190"/>
        <v>3.6008688200619989</v>
      </c>
      <c r="AW343" s="40">
        <f t="shared" si="191"/>
        <v>2916.0163873160345</v>
      </c>
      <c r="AX343" s="65">
        <f t="shared" si="192"/>
        <v>10500.192487876142</v>
      </c>
      <c r="AY343" s="65">
        <f t="shared" si="193"/>
        <v>15681.721277611852</v>
      </c>
      <c r="AZ343" s="65">
        <f t="shared" si="194"/>
        <v>2068.4460685905606</v>
      </c>
    </row>
    <row r="344" spans="1:52" ht="15" customHeight="1" x14ac:dyDescent="0.35">
      <c r="A344" s="61" t="str">
        <f>Segments!$A$324</f>
        <v>Greek</v>
      </c>
      <c r="B344" s="61" t="str">
        <f>Segments!$B$324</f>
        <v>Off 1-3mi</v>
      </c>
      <c r="C344" s="61" t="str">
        <f>Segments!$C$324</f>
        <v>No</v>
      </c>
      <c r="D344" s="61" t="str">
        <f>Segments!$D$324</f>
        <v>3.0+</v>
      </c>
      <c r="E344" s="61" t="str">
        <f>Segments!$E$324</f>
        <v>Grad student</v>
      </c>
      <c r="F344" s="61">
        <f>Segments!$F$324</f>
        <v>3</v>
      </c>
      <c r="G344" s="61" t="str">
        <f>Segments!$G$324</f>
        <v>Grad</v>
      </c>
      <c r="H344" s="62">
        <f>Segments!$H$324</f>
        <v>3</v>
      </c>
      <c r="I344" s="63">
        <f>Segments!$Y$324</f>
        <v>4364.0445232128832</v>
      </c>
      <c r="J344" s="42">
        <v>4</v>
      </c>
      <c r="K344" s="40">
        <f t="shared" si="156"/>
        <v>1426.2297754450396</v>
      </c>
      <c r="L344" s="40">
        <f t="shared" si="157"/>
        <v>4364.0445232128832</v>
      </c>
      <c r="M344" s="40">
        <f t="shared" si="158"/>
        <v>7137.9432808007241</v>
      </c>
      <c r="N344" s="40">
        <f t="shared" si="159"/>
        <v>3190.6656425448036</v>
      </c>
      <c r="O344" s="40">
        <f t="shared" si="160"/>
        <v>1782.7872193062994</v>
      </c>
      <c r="P344" s="41">
        <f t="shared" si="161"/>
        <v>0.95</v>
      </c>
      <c r="Q344" s="41">
        <f t="shared" si="162"/>
        <v>0.02</v>
      </c>
      <c r="R344" s="64">
        <f t="shared" si="163"/>
        <v>1.4249999999999998</v>
      </c>
      <c r="S344" s="64">
        <f>APPLICANTS_PER_YEAR*($H344/Segments!$AH$2)*Q344</f>
        <v>7.1999999999999995E-2</v>
      </c>
      <c r="T344" s="64">
        <f t="shared" si="164"/>
        <v>1.4969999999999999</v>
      </c>
      <c r="U344" s="40">
        <f t="shared" si="165"/>
        <v>2040.3498354904</v>
      </c>
      <c r="V344" s="65">
        <f t="shared" si="166"/>
        <v>3054.4037037291287</v>
      </c>
      <c r="W344" s="65">
        <f t="shared" si="167"/>
        <v>7316.9316093996486</v>
      </c>
      <c r="X344" s="65">
        <f t="shared" si="168"/>
        <v>627.00991707242315</v>
      </c>
      <c r="Y344" s="40">
        <f t="shared" si="169"/>
        <v>2040.3498354904</v>
      </c>
      <c r="Z344" s="40">
        <f t="shared" si="170"/>
        <v>4494.9658589092696</v>
      </c>
      <c r="AA344" s="40">
        <f t="shared" si="171"/>
        <v>7350.8315792247458</v>
      </c>
      <c r="AB344" s="40">
        <f t="shared" si="172"/>
        <v>3286.1062245078406</v>
      </c>
      <c r="AC344" s="40">
        <f t="shared" si="173"/>
        <v>2550.4372943630001</v>
      </c>
      <c r="AD344" s="41">
        <f t="shared" si="174"/>
        <v>0.88693626740642295</v>
      </c>
      <c r="AE344" s="41">
        <f t="shared" si="175"/>
        <v>0.02</v>
      </c>
      <c r="AF344" s="64">
        <f t="shared" si="176"/>
        <v>0.66387179615370751</v>
      </c>
      <c r="AG344" s="64">
        <f>APPLICANTS_PER_YEAR*($H344/Segments!$AH$2)*AE344</f>
        <v>7.1999999999999995E-2</v>
      </c>
      <c r="AH344" s="64">
        <f t="shared" si="177"/>
        <v>0.73587179615370746</v>
      </c>
      <c r="AI344" s="40">
        <f t="shared" si="178"/>
        <v>3020.122897638726</v>
      </c>
      <c r="AJ344" s="65">
        <f t="shared" si="179"/>
        <v>2222.4232612903488</v>
      </c>
      <c r="AK344" s="65">
        <f t="shared" si="180"/>
        <v>3704.6448322745759</v>
      </c>
      <c r="AL344" s="65">
        <f t="shared" si="181"/>
        <v>455.07952788659645</v>
      </c>
      <c r="AM344" s="40">
        <f t="shared" si="182"/>
        <v>3020.122897638726</v>
      </c>
      <c r="AN344" s="40">
        <f t="shared" si="183"/>
        <v>4629.8148346765474</v>
      </c>
      <c r="AO344" s="40">
        <f t="shared" si="184"/>
        <v>7570.1065266014875</v>
      </c>
      <c r="AP344" s="40">
        <f t="shared" si="185"/>
        <v>3384.4100005200371</v>
      </c>
      <c r="AQ344" s="40">
        <f t="shared" si="186"/>
        <v>3775.1536220484077</v>
      </c>
      <c r="AR344" s="41">
        <f t="shared" si="187"/>
        <v>0.71727300748604184</v>
      </c>
      <c r="AS344" s="41">
        <f t="shared" si="188"/>
        <v>0.02</v>
      </c>
      <c r="AT344" s="64">
        <f t="shared" si="189"/>
        <v>0.26391048817566265</v>
      </c>
      <c r="AU344" s="64">
        <f>APPLICANTS_PER_YEAR*($H344/Segments!$AH$2)*AS344</f>
        <v>7.1999999999999995E-2</v>
      </c>
      <c r="AV344" s="64">
        <f t="shared" si="190"/>
        <v>0.33591048817566266</v>
      </c>
      <c r="AW344" s="40">
        <f t="shared" si="191"/>
        <v>4588.5745146551726</v>
      </c>
      <c r="AX344" s="65">
        <f t="shared" si="192"/>
        <v>1541.3503052482233</v>
      </c>
      <c r="AY344" s="65">
        <f t="shared" si="193"/>
        <v>1741.8277646326192</v>
      </c>
      <c r="AZ344" s="65">
        <f t="shared" si="194"/>
        <v>318.91008590246327</v>
      </c>
    </row>
    <row r="345" spans="1:52" ht="15" customHeight="1" x14ac:dyDescent="0.35">
      <c r="A345" s="59" t="str">
        <f>Segments!$A$325</f>
        <v>Greek</v>
      </c>
      <c r="B345" s="59" t="str">
        <f>Segments!$B$325</f>
        <v>Off 3-6mi</v>
      </c>
      <c r="C345" s="59" t="str">
        <f>Segments!$C$325</f>
        <v>Yes</v>
      </c>
      <c r="D345" s="59" t="str">
        <f>Segments!$D$325</f>
        <v>&lt;1.0</v>
      </c>
      <c r="E345" s="59" t="str">
        <f>Segments!$E$325</f>
        <v>Freshman</v>
      </c>
      <c r="F345" s="59">
        <f>Segments!$F$325</f>
        <v>1</v>
      </c>
      <c r="G345" s="59" t="str">
        <f>Segments!$G$325</f>
        <v>Base</v>
      </c>
      <c r="H345" s="60">
        <f>Segments!$H$325</f>
        <v>3</v>
      </c>
      <c r="I345" s="26">
        <f>Segments!$Y$325</f>
        <v>3157.9631601041087</v>
      </c>
      <c r="J345" s="29">
        <v>0</v>
      </c>
      <c r="K345" s="14">
        <f t="shared" ref="K345:K408" si="195">IF($J345=0,M345,CURRENT_FLAT)</f>
        <v>5176.7609587031775</v>
      </c>
      <c r="L345" s="14">
        <f t="shared" ref="L345:L408" si="196">$I345*(1+LOSS_TREND)^0</f>
        <v>3157.9631601041087</v>
      </c>
      <c r="M345" s="14">
        <f t="shared" ref="M345:M408" si="197">L345*GROSS_MULT+POLICY_FEE</f>
        <v>5176.7609587031775</v>
      </c>
      <c r="N345" s="14">
        <f t="shared" ref="N345:N408" si="198">M345^MARKET_RISK_WEIGHT*(CURRENT_FLAT*(1+LOSS_TREND)^0)^(1-MARKET_RISK_WEIGHT)</f>
        <v>2717.213760392046</v>
      </c>
      <c r="O345" s="14">
        <f t="shared" ref="O345:O408" si="199">MEDIAN(K345*(1-CAP_DOWN),M345,K345*(1+CAP_UP))</f>
        <v>5176.7609587031775</v>
      </c>
      <c r="P345" s="33">
        <f t="shared" ref="P345:P408" si="200">MEDIAN(RET_FLOOR,BASE_RETENTION-ELAST_MARKET*(O345/N345-1)-ELAST_INCREASE*MAX(O345/K345-1,0),RET_CEIL)</f>
        <v>0.39741374525568018</v>
      </c>
      <c r="Q345" s="33">
        <f t="shared" ref="Q345:Q408" si="201">MEDIAN(CONV_FLOOR,BASE_CONVERSION-ELAST_MARKET*(M345/N345-1),CONV_CEIL)</f>
        <v>0.02</v>
      </c>
      <c r="R345" s="51">
        <f t="shared" ref="R345:R408" si="202">IF($J345=0,0,IF($J345=4,$H345*GRAD_CONTINUE,$H344)*P345)</f>
        <v>0</v>
      </c>
      <c r="S345" s="51">
        <f>APPLICANTS_PER_YEAR*($H345/Segments!$AH$2)*Q345</f>
        <v>7.1999999999999995E-2</v>
      </c>
      <c r="T345" s="51">
        <f t="shared" ref="T345:T408" si="203">R345+S345</f>
        <v>7.1999999999999995E-2</v>
      </c>
      <c r="U345" s="14">
        <f t="shared" ref="U345:U408" si="204">IFERROR((R345*O345+S345*M345)/T345,M345)</f>
        <v>5176.7609587031775</v>
      </c>
      <c r="V345" s="44">
        <f t="shared" ref="V345:V408" si="205">R345*O345+S345*M345</f>
        <v>372.72678902662875</v>
      </c>
      <c r="W345" s="44">
        <f t="shared" ref="W345:W408" si="206">T345*L345*(1+LAE_RATIO)</f>
        <v>254.65814923079532</v>
      </c>
      <c r="X345" s="44">
        <f t="shared" ref="X345:X408" si="207">R345*O345*(PREMIUM_TAX+OTHER_VARIABLE+COMMISSION_RN)+S345*M345*(PREMIUM_TAX+OTHER_VARIABLE+COMMISSION_NB)+T345*FIXED_PER_POLICY+S345*NB_ACQUISITION</f>
        <v>86.730800741964842</v>
      </c>
      <c r="Y345" s="14">
        <f t="shared" ref="Y345:Y408" si="208">IF($J345=0,AA345,IF($J345=4,U345,U344))</f>
        <v>5330.8137874642734</v>
      </c>
      <c r="Z345" s="14">
        <f t="shared" ref="Z345:Z408" si="209">$I345*(1+LOSS_TREND)^1</f>
        <v>3252.7020549072322</v>
      </c>
      <c r="AA345" s="14">
        <f t="shared" ref="AA345:AA408" si="210">Z345*GROSS_MULT+POLICY_FEE</f>
        <v>5330.8137874642734</v>
      </c>
      <c r="AB345" s="14">
        <f t="shared" ref="AB345:AB408" si="211">AA345^MARKET_RISK_WEIGHT*(CURRENT_FLAT*(1+LOSS_TREND)^1)^(1-MARKET_RISK_WEIGHT)</f>
        <v>2798.4020996928807</v>
      </c>
      <c r="AC345" s="14">
        <f t="shared" ref="AC345:AC408" si="212">MEDIAN(Y345*(1-CAP_DOWN),AA345,Y345*(1+CAP_UP))</f>
        <v>5330.8137874642734</v>
      </c>
      <c r="AD345" s="33">
        <f t="shared" ref="AD345:AD408" si="213">MEDIAN(RET_FLOOR,BASE_RETENTION-ELAST_MARKET*(AC345/AB345-1)-ELAST_INCREASE*MAX(AC345/Y345-1,0),RET_CEIL)</f>
        <v>0.39752540958118199</v>
      </c>
      <c r="AE345" s="33">
        <f t="shared" ref="AE345:AE408" si="214">MEDIAN(CONV_FLOOR,BASE_CONVERSION-ELAST_MARKET*(AA345/AB345-1),CONV_CEIL)</f>
        <v>0.02</v>
      </c>
      <c r="AF345" s="51">
        <f t="shared" ref="AF345:AF408" si="215">IF($J345=0,0,IF($J345=4,T345*GRAD_CONTINUE,T344)*AD345)</f>
        <v>0</v>
      </c>
      <c r="AG345" s="51">
        <f>APPLICANTS_PER_YEAR*($H345/Segments!$AH$2)*AE345</f>
        <v>7.1999999999999995E-2</v>
      </c>
      <c r="AH345" s="51">
        <f t="shared" ref="AH345:AH408" si="216">AF345+AG345</f>
        <v>7.1999999999999995E-2</v>
      </c>
      <c r="AI345" s="14">
        <f t="shared" ref="AI345:AI408" si="217">IFERROR((AF345*AC345+AG345*AA345)/AH345,AA345)</f>
        <v>5330.8137874642734</v>
      </c>
      <c r="AJ345" s="44">
        <f t="shared" ref="AJ345:AJ408" si="218">AF345*AC345+AG345*AA345</f>
        <v>383.81859269742768</v>
      </c>
      <c r="AK345" s="44">
        <f t="shared" ref="AK345:AK408" si="219">AH345*Z345*(1+LAE_RATIO)</f>
        <v>262.2978937077192</v>
      </c>
      <c r="AL345" s="44">
        <f t="shared" ref="AL345:AL408" si="220">AF345*AC345*(PREMIUM_TAX+OTHER_VARIABLE+COMMISSION_RN)+AG345*AA345*(PREMIUM_TAX+OTHER_VARIABLE+COMMISSION_NB)+AH345*FIXED_PER_POLICY+AG345*NB_ACQUISITION</f>
        <v>89.215364764223793</v>
      </c>
      <c r="AM345" s="14">
        <f t="shared" ref="AM345:AM408" si="221">IF($J345=0,AO345,IF($J345=4,AI345,AI344))</f>
        <v>5489.4882010882011</v>
      </c>
      <c r="AN345" s="14">
        <f t="shared" ref="AN345:AN408" si="222">$I345*(1+LOSS_TREND)^2</f>
        <v>3350.283116554449</v>
      </c>
      <c r="AO345" s="14">
        <f t="shared" ref="AO345:AO408" si="223">AN345*GROSS_MULT+POLICY_FEE</f>
        <v>5489.4882010882011</v>
      </c>
      <c r="AP345" s="14">
        <f t="shared" ref="AP345:AP408" si="224">AO345^MARKET_RISK_WEIGHT*(CURRENT_FLAT*(1+LOSS_TREND)^2)^(1-MARKET_RISK_WEIGHT)</f>
        <v>2882.0260512665222</v>
      </c>
      <c r="AQ345" s="14">
        <f t="shared" ref="AQ345:AQ408" si="225">MEDIAN(AM345*(1-CAP_DOWN),AO345,AM345*(1+CAP_UP))</f>
        <v>5489.4882010882011</v>
      </c>
      <c r="AR345" s="33">
        <f t="shared" ref="AR345:AR408" si="226">MEDIAN(RET_FLOOR,BASE_RETENTION-ELAST_MARKET*(AQ345/AP345-1)-ELAST_INCREASE*MAX(AQ345/AM345-1,0),RET_CEIL)</f>
        <v>0.39763383407380803</v>
      </c>
      <c r="AS345" s="33">
        <f t="shared" ref="AS345:AS408" si="227">MEDIAN(CONV_FLOOR,BASE_CONVERSION-ELAST_MARKET*(AO345/AP345-1),CONV_CEIL)</f>
        <v>0.02</v>
      </c>
      <c r="AT345" s="51">
        <f t="shared" ref="AT345:AT408" si="228">IF($J345=0,0,IF($J345=4,AH345*GRAD_CONTINUE,AH344)*AR345)</f>
        <v>0</v>
      </c>
      <c r="AU345" s="51">
        <f>APPLICANTS_PER_YEAR*($H345/Segments!$AH$2)*AS345</f>
        <v>7.1999999999999995E-2</v>
      </c>
      <c r="AV345" s="51">
        <f t="shared" ref="AV345:AV408" si="229">AT345+AU345</f>
        <v>7.1999999999999995E-2</v>
      </c>
      <c r="AW345" s="14">
        <f t="shared" ref="AW345:AW408" si="230">IFERROR((AT345*AQ345+AU345*AO345)/AV345,AO345)</f>
        <v>5489.4882010882011</v>
      </c>
      <c r="AX345" s="44">
        <f t="shared" ref="AX345:AX408" si="231">AT345*AQ345+AU345*AO345</f>
        <v>395.24315047835046</v>
      </c>
      <c r="AY345" s="44">
        <f t="shared" ref="AY345:AY408" si="232">AV345*AN345*(1+LAE_RATIO)</f>
        <v>270.16683051895075</v>
      </c>
      <c r="AZ345" s="44">
        <f t="shared" ref="AZ345:AZ408" si="233">AT345*AQ345*(PREMIUM_TAX+OTHER_VARIABLE+COMMISSION_RN)+AU345*AO345*(PREMIUM_TAX+OTHER_VARIABLE+COMMISSION_NB)+AV345*FIXED_PER_POLICY+AU345*NB_ACQUISITION</f>
        <v>91.774465707150497</v>
      </c>
    </row>
    <row r="346" spans="1:52" ht="15" customHeight="1" x14ac:dyDescent="0.35">
      <c r="A346" s="59" t="str">
        <f>Segments!$A$326</f>
        <v>Greek</v>
      </c>
      <c r="B346" s="59" t="str">
        <f>Segments!$B$326</f>
        <v>Off 3-6mi</v>
      </c>
      <c r="C346" s="59" t="str">
        <f>Segments!$C$326</f>
        <v>Yes</v>
      </c>
      <c r="D346" s="59" t="str">
        <f>Segments!$D$326</f>
        <v>&lt;1.0</v>
      </c>
      <c r="E346" s="59" t="str">
        <f>Segments!$E$326</f>
        <v>Sophomore</v>
      </c>
      <c r="F346" s="59">
        <f>Segments!$F$326</f>
        <v>1</v>
      </c>
      <c r="G346" s="59" t="str">
        <f>Segments!$G$326</f>
        <v>Sophomore</v>
      </c>
      <c r="H346" s="60">
        <f>Segments!$H$326</f>
        <v>3</v>
      </c>
      <c r="I346" s="26">
        <f>Segments!$Y$326</f>
        <v>3125.8348097295175</v>
      </c>
      <c r="J346" s="29">
        <v>1</v>
      </c>
      <c r="K346" s="14">
        <f t="shared" si="195"/>
        <v>1426.2297754450396</v>
      </c>
      <c r="L346" s="14">
        <f t="shared" si="196"/>
        <v>3125.8348097295175</v>
      </c>
      <c r="M346" s="14">
        <f t="shared" si="197"/>
        <v>5124.5177562790959</v>
      </c>
      <c r="N346" s="14">
        <f t="shared" si="198"/>
        <v>2703.4681075984704</v>
      </c>
      <c r="O346" s="14">
        <f t="shared" si="199"/>
        <v>1782.7872193062994</v>
      </c>
      <c r="P346" s="33">
        <f t="shared" si="200"/>
        <v>0.94527774170970802</v>
      </c>
      <c r="Q346" s="33">
        <f t="shared" si="201"/>
        <v>0.02</v>
      </c>
      <c r="R346" s="51">
        <f t="shared" si="202"/>
        <v>2.8358332251291243</v>
      </c>
      <c r="S346" s="51">
        <f>APPLICANTS_PER_YEAR*($H346/Segments!$AH$2)*Q346</f>
        <v>7.1999999999999995E-2</v>
      </c>
      <c r="T346" s="51">
        <f t="shared" si="203"/>
        <v>2.9078332251291243</v>
      </c>
      <c r="U346" s="14">
        <f t="shared" si="204"/>
        <v>1865.5308225441906</v>
      </c>
      <c r="V346" s="44">
        <f t="shared" si="205"/>
        <v>5424.6525082964617</v>
      </c>
      <c r="W346" s="44">
        <f t="shared" si="206"/>
        <v>10180.135073916268</v>
      </c>
      <c r="X346" s="44">
        <f t="shared" si="207"/>
        <v>1098.129773316437</v>
      </c>
      <c r="Y346" s="14">
        <f t="shared" si="208"/>
        <v>5176.7609587031775</v>
      </c>
      <c r="Z346" s="14">
        <f t="shared" si="209"/>
        <v>3219.609854021403</v>
      </c>
      <c r="AA346" s="14">
        <f t="shared" si="210"/>
        <v>5277.0032889674685</v>
      </c>
      <c r="AB346" s="14">
        <f t="shared" si="211"/>
        <v>2784.2424090445525</v>
      </c>
      <c r="AC346" s="14">
        <f t="shared" si="212"/>
        <v>5277.0032889674685</v>
      </c>
      <c r="AD346" s="33">
        <f t="shared" si="213"/>
        <v>0.39653568195103606</v>
      </c>
      <c r="AE346" s="33">
        <f t="shared" si="214"/>
        <v>0.02</v>
      </c>
      <c r="AF346" s="51">
        <f t="shared" si="215"/>
        <v>2.8550569100474595E-2</v>
      </c>
      <c r="AG346" s="51">
        <f>APPLICANTS_PER_YEAR*($H346/Segments!$AH$2)*AE346</f>
        <v>7.1999999999999995E-2</v>
      </c>
      <c r="AH346" s="51">
        <f t="shared" si="216"/>
        <v>0.10055056910047459</v>
      </c>
      <c r="AI346" s="14">
        <f t="shared" si="217"/>
        <v>5277.0032889674685</v>
      </c>
      <c r="AJ346" s="44">
        <f t="shared" si="218"/>
        <v>530.6056838507551</v>
      </c>
      <c r="AK346" s="44">
        <f t="shared" si="219"/>
        <v>362.58163547574981</v>
      </c>
      <c r="AL346" s="44">
        <f t="shared" si="220"/>
        <v>117.39353391800022</v>
      </c>
      <c r="AM346" s="14">
        <f t="shared" si="221"/>
        <v>5330.8137874642734</v>
      </c>
      <c r="AN346" s="14">
        <f t="shared" si="222"/>
        <v>3316.1981496420449</v>
      </c>
      <c r="AO346" s="14">
        <f t="shared" si="223"/>
        <v>5434.0633876364927</v>
      </c>
      <c r="AP346" s="14">
        <f t="shared" si="224"/>
        <v>2867.4399010465195</v>
      </c>
      <c r="AQ346" s="14">
        <f t="shared" si="225"/>
        <v>5434.0633876364927</v>
      </c>
      <c r="AR346" s="33">
        <f t="shared" si="226"/>
        <v>0.39664329574787077</v>
      </c>
      <c r="AS346" s="33">
        <f t="shared" si="227"/>
        <v>0.02</v>
      </c>
      <c r="AT346" s="51">
        <f t="shared" si="228"/>
        <v>2.8558317293846693E-2</v>
      </c>
      <c r="AU346" s="51">
        <f>APPLICANTS_PER_YEAR*($H346/Segments!$AH$2)*AS346</f>
        <v>7.1999999999999995E-2</v>
      </c>
      <c r="AV346" s="51">
        <f t="shared" si="229"/>
        <v>0.10055831729384669</v>
      </c>
      <c r="AW346" s="14">
        <f t="shared" si="230"/>
        <v>5434.0633876364927</v>
      </c>
      <c r="AX346" s="44">
        <f t="shared" si="231"/>
        <v>546.44027032882582</v>
      </c>
      <c r="AY346" s="44">
        <f t="shared" si="232"/>
        <v>373.48786242988871</v>
      </c>
      <c r="AZ346" s="44">
        <f t="shared" si="233"/>
        <v>120.78221717486899</v>
      </c>
    </row>
    <row r="347" spans="1:52" ht="15" customHeight="1" x14ac:dyDescent="0.35">
      <c r="A347" s="59" t="str">
        <f>Segments!$A$327</f>
        <v>Greek</v>
      </c>
      <c r="B347" s="59" t="str">
        <f>Segments!$B$327</f>
        <v>Off 3-6mi</v>
      </c>
      <c r="C347" s="59" t="str">
        <f>Segments!$C$327</f>
        <v>Yes</v>
      </c>
      <c r="D347" s="59" t="str">
        <f>Segments!$D$327</f>
        <v>&lt;1.0</v>
      </c>
      <c r="E347" s="59" t="str">
        <f>Segments!$E$327</f>
        <v>Junior</v>
      </c>
      <c r="F347" s="59">
        <f>Segments!$F$327</f>
        <v>2</v>
      </c>
      <c r="G347" s="59" t="str">
        <f>Segments!$G$327</f>
        <v>Base</v>
      </c>
      <c r="H347" s="60">
        <f>Segments!$H$327</f>
        <v>4</v>
      </c>
      <c r="I347" s="26">
        <f>Segments!$Y$327</f>
        <v>3736.7030276129531</v>
      </c>
      <c r="J347" s="29">
        <v>2</v>
      </c>
      <c r="K347" s="14">
        <f t="shared" si="195"/>
        <v>1426.2297754450396</v>
      </c>
      <c r="L347" s="14">
        <f t="shared" si="196"/>
        <v>3736.7030276129531</v>
      </c>
      <c r="M347" s="14">
        <f t="shared" si="197"/>
        <v>6117.8371016309056</v>
      </c>
      <c r="N347" s="14">
        <f t="shared" si="198"/>
        <v>2953.8858196735332</v>
      </c>
      <c r="O347" s="14">
        <f t="shared" si="199"/>
        <v>1782.7872193062994</v>
      </c>
      <c r="P347" s="33">
        <f t="shared" si="200"/>
        <v>0.95</v>
      </c>
      <c r="Q347" s="33">
        <f t="shared" si="201"/>
        <v>0.02</v>
      </c>
      <c r="R347" s="51">
        <f t="shared" si="202"/>
        <v>2.8499999999999996</v>
      </c>
      <c r="S347" s="51">
        <f>APPLICANTS_PER_YEAR*($H347/Segments!$AH$2)*Q347</f>
        <v>9.6000000000000002E-2</v>
      </c>
      <c r="T347" s="51">
        <f t="shared" si="203"/>
        <v>2.9459999999999997</v>
      </c>
      <c r="U347" s="14">
        <f t="shared" si="204"/>
        <v>1924.0515739238019</v>
      </c>
      <c r="V347" s="44">
        <f t="shared" si="205"/>
        <v>5668.2559367795202</v>
      </c>
      <c r="W347" s="44">
        <f t="shared" si="206"/>
        <v>12329.326373669492</v>
      </c>
      <c r="X347" s="44">
        <f t="shared" si="207"/>
        <v>1153.1763047128093</v>
      </c>
      <c r="Y347" s="14">
        <f t="shared" si="208"/>
        <v>1865.5308225441906</v>
      </c>
      <c r="Z347" s="14">
        <f t="shared" si="209"/>
        <v>3848.8041184413419</v>
      </c>
      <c r="AA347" s="14">
        <f t="shared" si="210"/>
        <v>6300.1222146798327</v>
      </c>
      <c r="AB347" s="14">
        <f t="shared" si="211"/>
        <v>3042.2006094708313</v>
      </c>
      <c r="AC347" s="14">
        <f t="shared" si="212"/>
        <v>2331.9135281802382</v>
      </c>
      <c r="AD347" s="33">
        <f t="shared" si="213"/>
        <v>0.89173902751175604</v>
      </c>
      <c r="AE347" s="33">
        <f t="shared" si="214"/>
        <v>0.02</v>
      </c>
      <c r="AF347" s="51">
        <f t="shared" si="215"/>
        <v>2.5930283723430185</v>
      </c>
      <c r="AG347" s="51">
        <f>APPLICANTS_PER_YEAR*($H347/Segments!$AH$2)*AE347</f>
        <v>9.6000000000000002E-2</v>
      </c>
      <c r="AH347" s="51">
        <f t="shared" si="216"/>
        <v>2.6890283723430186</v>
      </c>
      <c r="AI347" s="14">
        <f t="shared" si="217"/>
        <v>2473.5810679585675</v>
      </c>
      <c r="AJ347" s="44">
        <f t="shared" si="218"/>
        <v>6651.5296730311329</v>
      </c>
      <c r="AK347" s="44">
        <f t="shared" si="219"/>
        <v>11591.488690968961</v>
      </c>
      <c r="AL347" s="44">
        <f t="shared" si="220"/>
        <v>1334.4880862910688</v>
      </c>
      <c r="AM347" s="14">
        <f t="shared" si="221"/>
        <v>5277.0032889674685</v>
      </c>
      <c r="AN347" s="14">
        <f t="shared" si="222"/>
        <v>3964.2682419945818</v>
      </c>
      <c r="AO347" s="14">
        <f t="shared" si="223"/>
        <v>6487.8758811202279</v>
      </c>
      <c r="AP347" s="14">
        <f t="shared" si="224"/>
        <v>3133.1648134582797</v>
      </c>
      <c r="AQ347" s="14">
        <f t="shared" si="225"/>
        <v>6487.8758811202279</v>
      </c>
      <c r="AR347" s="33">
        <f t="shared" si="226"/>
        <v>0.3</v>
      </c>
      <c r="AS347" s="33">
        <f t="shared" si="227"/>
        <v>0.02</v>
      </c>
      <c r="AT347" s="51">
        <f t="shared" si="228"/>
        <v>3.0165170730142375E-2</v>
      </c>
      <c r="AU347" s="51">
        <f>APPLICANTS_PER_YEAR*($H347/Segments!$AH$2)*AS347</f>
        <v>9.6000000000000002E-2</v>
      </c>
      <c r="AV347" s="51">
        <f t="shared" si="229"/>
        <v>0.12616517073014238</v>
      </c>
      <c r="AW347" s="14">
        <f t="shared" si="230"/>
        <v>6487.8758811202279</v>
      </c>
      <c r="AX347" s="44">
        <f t="shared" si="231"/>
        <v>818.54396821750652</v>
      </c>
      <c r="AY347" s="44">
        <f t="shared" si="232"/>
        <v>560.17088911988719</v>
      </c>
      <c r="AZ347" s="44">
        <f t="shared" si="233"/>
        <v>181.42737636827556</v>
      </c>
    </row>
    <row r="348" spans="1:52" ht="15" customHeight="1" x14ac:dyDescent="0.35">
      <c r="A348" s="59" t="str">
        <f>Segments!$A$328</f>
        <v>Greek</v>
      </c>
      <c r="B348" s="59" t="str">
        <f>Segments!$B$328</f>
        <v>Off 3-6mi</v>
      </c>
      <c r="C348" s="59" t="str">
        <f>Segments!$C$328</f>
        <v>Yes</v>
      </c>
      <c r="D348" s="59" t="str">
        <f>Segments!$D$328</f>
        <v>&lt;1.0</v>
      </c>
      <c r="E348" s="59" t="str">
        <f>Segments!$E$328</f>
        <v>Senior</v>
      </c>
      <c r="F348" s="59">
        <f>Segments!$F$328</f>
        <v>3</v>
      </c>
      <c r="G348" s="59" t="str">
        <f>Segments!$G$328</f>
        <v>Base</v>
      </c>
      <c r="H348" s="60">
        <f>Segments!$H$328</f>
        <v>0</v>
      </c>
      <c r="I348" s="26">
        <f>Segments!$Y$328</f>
        <v>3492.649448389926</v>
      </c>
      <c r="J348" s="29">
        <v>3</v>
      </c>
      <c r="K348" s="14">
        <f t="shared" si="195"/>
        <v>1426.2297754450396</v>
      </c>
      <c r="L348" s="14">
        <f t="shared" si="196"/>
        <v>3492.649448389926</v>
      </c>
      <c r="M348" s="14">
        <f t="shared" si="197"/>
        <v>5720.9869554822944</v>
      </c>
      <c r="N348" s="14">
        <f t="shared" si="198"/>
        <v>2856.4736898563438</v>
      </c>
      <c r="O348" s="14">
        <f t="shared" si="199"/>
        <v>1782.7872193062994</v>
      </c>
      <c r="P348" s="33">
        <f t="shared" si="200"/>
        <v>0.95</v>
      </c>
      <c r="Q348" s="33">
        <f t="shared" si="201"/>
        <v>0.02</v>
      </c>
      <c r="R348" s="51">
        <f t="shared" si="202"/>
        <v>3.8</v>
      </c>
      <c r="S348" s="51">
        <f>APPLICANTS_PER_YEAR*($H348/Segments!$AH$2)*Q348</f>
        <v>0</v>
      </c>
      <c r="T348" s="51">
        <f t="shared" si="203"/>
        <v>3.8</v>
      </c>
      <c r="U348" s="14">
        <f t="shared" si="204"/>
        <v>1782.7872193062994</v>
      </c>
      <c r="V348" s="44">
        <f t="shared" si="205"/>
        <v>6774.5914333639375</v>
      </c>
      <c r="W348" s="44">
        <f t="shared" si="206"/>
        <v>14864.716052347525</v>
      </c>
      <c r="X348" s="44">
        <f t="shared" si="207"/>
        <v>1356.3977809057842</v>
      </c>
      <c r="Y348" s="14">
        <f t="shared" si="208"/>
        <v>1924.0515739238019</v>
      </c>
      <c r="Z348" s="14">
        <f t="shared" si="209"/>
        <v>3597.428931841624</v>
      </c>
      <c r="AA348" s="14">
        <f t="shared" si="210"/>
        <v>5891.3665641467633</v>
      </c>
      <c r="AB348" s="14">
        <f t="shared" si="211"/>
        <v>2941.8558231502229</v>
      </c>
      <c r="AC348" s="14">
        <f t="shared" si="212"/>
        <v>2405.0644674047526</v>
      </c>
      <c r="AD348" s="33">
        <f t="shared" si="213"/>
        <v>0.86623345738450552</v>
      </c>
      <c r="AE348" s="33">
        <f t="shared" si="214"/>
        <v>0.02</v>
      </c>
      <c r="AF348" s="51">
        <f t="shared" si="215"/>
        <v>2.5519237654547529</v>
      </c>
      <c r="AG348" s="51">
        <f>APPLICANTS_PER_YEAR*($H348/Segments!$AH$2)*AE348</f>
        <v>0</v>
      </c>
      <c r="AH348" s="51">
        <f t="shared" si="216"/>
        <v>2.5519237654547529</v>
      </c>
      <c r="AI348" s="14">
        <f t="shared" si="217"/>
        <v>2405.0644674047526</v>
      </c>
      <c r="AJ348" s="44">
        <f t="shared" si="218"/>
        <v>6137.5411718209662</v>
      </c>
      <c r="AK348" s="44">
        <f t="shared" si="219"/>
        <v>10282.008111985286</v>
      </c>
      <c r="AL348" s="44">
        <f t="shared" si="220"/>
        <v>1211.0337567832576</v>
      </c>
      <c r="AM348" s="14">
        <f t="shared" si="221"/>
        <v>2473.5810679585675</v>
      </c>
      <c r="AN348" s="14">
        <f t="shared" si="222"/>
        <v>3705.3517997968725</v>
      </c>
      <c r="AO348" s="14">
        <f t="shared" si="223"/>
        <v>6066.8575610711659</v>
      </c>
      <c r="AP348" s="14">
        <f t="shared" si="224"/>
        <v>3029.7993878159441</v>
      </c>
      <c r="AQ348" s="14">
        <f t="shared" si="225"/>
        <v>3091.9763349482091</v>
      </c>
      <c r="AR348" s="33">
        <f t="shared" si="226"/>
        <v>0.76473909834058595</v>
      </c>
      <c r="AS348" s="33">
        <f t="shared" si="227"/>
        <v>0.02</v>
      </c>
      <c r="AT348" s="51">
        <f t="shared" si="228"/>
        <v>2.0564051328778534</v>
      </c>
      <c r="AU348" s="51">
        <f>APPLICANTS_PER_YEAR*($H348/Segments!$AH$2)*AS348</f>
        <v>0</v>
      </c>
      <c r="AV348" s="51">
        <f t="shared" si="229"/>
        <v>2.0564051328778534</v>
      </c>
      <c r="AW348" s="14">
        <f t="shared" si="230"/>
        <v>3091.9763349482091</v>
      </c>
      <c r="AX348" s="44">
        <f t="shared" si="231"/>
        <v>6358.35600592435</v>
      </c>
      <c r="AY348" s="44">
        <f t="shared" si="232"/>
        <v>8534.0689954469399</v>
      </c>
      <c r="AZ348" s="44">
        <f t="shared" si="233"/>
        <v>1242.8573877772592</v>
      </c>
    </row>
    <row r="349" spans="1:52" ht="15" customHeight="1" x14ac:dyDescent="0.35">
      <c r="A349" s="59" t="str">
        <f>Segments!$A$329</f>
        <v>Greek</v>
      </c>
      <c r="B349" s="59" t="str">
        <f>Segments!$B$329</f>
        <v>Off 3-6mi</v>
      </c>
      <c r="C349" s="59" t="str">
        <f>Segments!$C$329</f>
        <v>Yes</v>
      </c>
      <c r="D349" s="59" t="str">
        <f>Segments!$D$329</f>
        <v>&lt;1.0</v>
      </c>
      <c r="E349" s="59" t="str">
        <f>Segments!$E$329</f>
        <v>Grad student</v>
      </c>
      <c r="F349" s="59">
        <f>Segments!$F$329</f>
        <v>3</v>
      </c>
      <c r="G349" s="59" t="str">
        <f>Segments!$G$329</f>
        <v>Grad</v>
      </c>
      <c r="H349" s="60">
        <f>Segments!$H$329</f>
        <v>0</v>
      </c>
      <c r="I349" s="26">
        <f>Segments!$Y$329</f>
        <v>4158.6293364871772</v>
      </c>
      <c r="J349" s="29">
        <v>4</v>
      </c>
      <c r="K349" s="14">
        <f t="shared" si="195"/>
        <v>1426.2297754450396</v>
      </c>
      <c r="L349" s="14">
        <f t="shared" si="196"/>
        <v>4158.6293364871772</v>
      </c>
      <c r="M349" s="14">
        <f t="shared" si="197"/>
        <v>6803.9221730883683</v>
      </c>
      <c r="N349" s="14">
        <f t="shared" si="198"/>
        <v>3115.1173963543251</v>
      </c>
      <c r="O349" s="14">
        <f t="shared" si="199"/>
        <v>1782.7872193062994</v>
      </c>
      <c r="P349" s="33">
        <f t="shared" si="200"/>
        <v>0.95</v>
      </c>
      <c r="Q349" s="33">
        <f t="shared" si="201"/>
        <v>0.02</v>
      </c>
      <c r="R349" s="51">
        <f t="shared" si="202"/>
        <v>0</v>
      </c>
      <c r="S349" s="51">
        <f>APPLICANTS_PER_YEAR*($H349/Segments!$AH$2)*Q349</f>
        <v>0</v>
      </c>
      <c r="T349" s="51">
        <f t="shared" si="203"/>
        <v>0</v>
      </c>
      <c r="U349" s="14">
        <f t="shared" si="204"/>
        <v>6803.9221730883683</v>
      </c>
      <c r="V349" s="44">
        <f t="shared" si="205"/>
        <v>0</v>
      </c>
      <c r="W349" s="44">
        <f t="shared" si="206"/>
        <v>0</v>
      </c>
      <c r="X349" s="44">
        <f t="shared" si="207"/>
        <v>0</v>
      </c>
      <c r="Y349" s="14">
        <f t="shared" si="208"/>
        <v>6803.9221730883683</v>
      </c>
      <c r="Z349" s="14">
        <f t="shared" si="209"/>
        <v>4283.3882165817922</v>
      </c>
      <c r="AA349" s="14">
        <f t="shared" si="210"/>
        <v>7006.789838281019</v>
      </c>
      <c r="AB349" s="14">
        <f t="shared" si="211"/>
        <v>3208.2847545957302</v>
      </c>
      <c r="AC349" s="14">
        <f t="shared" si="212"/>
        <v>7006.789838281019</v>
      </c>
      <c r="AD349" s="33">
        <f t="shared" si="213"/>
        <v>0.3</v>
      </c>
      <c r="AE349" s="33">
        <f t="shared" si="214"/>
        <v>0.02</v>
      </c>
      <c r="AF349" s="51">
        <f t="shared" si="215"/>
        <v>0</v>
      </c>
      <c r="AG349" s="51">
        <f>APPLICANTS_PER_YEAR*($H349/Segments!$AH$2)*AE349</f>
        <v>0</v>
      </c>
      <c r="AH349" s="51">
        <f t="shared" si="216"/>
        <v>0</v>
      </c>
      <c r="AI349" s="14">
        <f t="shared" si="217"/>
        <v>7006.789838281019</v>
      </c>
      <c r="AJ349" s="44">
        <f t="shared" si="218"/>
        <v>0</v>
      </c>
      <c r="AK349" s="44">
        <f t="shared" si="219"/>
        <v>0</v>
      </c>
      <c r="AL349" s="44">
        <f t="shared" si="220"/>
        <v>0</v>
      </c>
      <c r="AM349" s="14">
        <f t="shared" si="221"/>
        <v>7006.789838281019</v>
      </c>
      <c r="AN349" s="14">
        <f t="shared" si="222"/>
        <v>4411.8898630792464</v>
      </c>
      <c r="AO349" s="14">
        <f t="shared" si="223"/>
        <v>7215.7435334294505</v>
      </c>
      <c r="AP349" s="14">
        <f t="shared" si="224"/>
        <v>3304.2471084294866</v>
      </c>
      <c r="AQ349" s="14">
        <f t="shared" si="225"/>
        <v>7215.7435334294505</v>
      </c>
      <c r="AR349" s="33">
        <f t="shared" si="226"/>
        <v>0.3</v>
      </c>
      <c r="AS349" s="33">
        <f t="shared" si="227"/>
        <v>0.02</v>
      </c>
      <c r="AT349" s="51">
        <f t="shared" si="228"/>
        <v>0</v>
      </c>
      <c r="AU349" s="51">
        <f>APPLICANTS_PER_YEAR*($H349/Segments!$AH$2)*AS349</f>
        <v>0</v>
      </c>
      <c r="AV349" s="51">
        <f t="shared" si="229"/>
        <v>0</v>
      </c>
      <c r="AW349" s="14">
        <f t="shared" si="230"/>
        <v>7215.7435334294505</v>
      </c>
      <c r="AX349" s="44">
        <f t="shared" si="231"/>
        <v>0</v>
      </c>
      <c r="AY349" s="44">
        <f t="shared" si="232"/>
        <v>0</v>
      </c>
      <c r="AZ349" s="44">
        <f t="shared" si="233"/>
        <v>0</v>
      </c>
    </row>
    <row r="350" spans="1:52" ht="15" customHeight="1" x14ac:dyDescent="0.35">
      <c r="A350" s="61" t="str">
        <f>Segments!$A$330</f>
        <v>Greek</v>
      </c>
      <c r="B350" s="61" t="str">
        <f>Segments!$B$330</f>
        <v>Off 3-6mi</v>
      </c>
      <c r="C350" s="61" t="str">
        <f>Segments!$C$330</f>
        <v>Yes</v>
      </c>
      <c r="D350" s="61" t="str">
        <f>Segments!$D$330</f>
        <v>1.0-2.0</v>
      </c>
      <c r="E350" s="61" t="str">
        <f>Segments!$E$330</f>
        <v>Freshman</v>
      </c>
      <c r="F350" s="61">
        <f>Segments!$F$330</f>
        <v>1</v>
      </c>
      <c r="G350" s="61" t="str">
        <f>Segments!$G$330</f>
        <v>Base</v>
      </c>
      <c r="H350" s="62">
        <f>Segments!$H$330</f>
        <v>8</v>
      </c>
      <c r="I350" s="63">
        <f>Segments!$Y$330</f>
        <v>2865.6023496706348</v>
      </c>
      <c r="J350" s="42">
        <v>0</v>
      </c>
      <c r="K350" s="40">
        <f t="shared" si="195"/>
        <v>4701.3594885914727</v>
      </c>
      <c r="L350" s="40">
        <f t="shared" si="196"/>
        <v>2865.6023496706348</v>
      </c>
      <c r="M350" s="40">
        <f t="shared" si="197"/>
        <v>4701.3594885914727</v>
      </c>
      <c r="N350" s="40">
        <f t="shared" si="198"/>
        <v>2589.4437409799471</v>
      </c>
      <c r="O350" s="40">
        <f t="shared" si="199"/>
        <v>4701.3594885914727</v>
      </c>
      <c r="P350" s="41">
        <f t="shared" si="200"/>
        <v>0.44220667470220965</v>
      </c>
      <c r="Q350" s="41">
        <f t="shared" si="201"/>
        <v>0.02</v>
      </c>
      <c r="R350" s="64">
        <f t="shared" si="202"/>
        <v>0</v>
      </c>
      <c r="S350" s="64">
        <f>APPLICANTS_PER_YEAR*($H350/Segments!$AH$2)*Q350</f>
        <v>0.192</v>
      </c>
      <c r="T350" s="64">
        <f t="shared" si="203"/>
        <v>0.192</v>
      </c>
      <c r="U350" s="40">
        <f t="shared" si="204"/>
        <v>4701.3594885914727</v>
      </c>
      <c r="V350" s="65">
        <f t="shared" si="205"/>
        <v>902.66102180956273</v>
      </c>
      <c r="W350" s="65">
        <f t="shared" si="206"/>
        <v>616.21912927317328</v>
      </c>
      <c r="X350" s="65">
        <f t="shared" si="207"/>
        <v>210.83606888534206</v>
      </c>
      <c r="Y350" s="40">
        <f t="shared" si="208"/>
        <v>4841.1502732492172</v>
      </c>
      <c r="Z350" s="40">
        <f t="shared" si="209"/>
        <v>2951.5704201607541</v>
      </c>
      <c r="AA350" s="40">
        <f t="shared" si="210"/>
        <v>4841.1502732492172</v>
      </c>
      <c r="AB350" s="40">
        <f t="shared" si="211"/>
        <v>2666.7827896409713</v>
      </c>
      <c r="AC350" s="40">
        <f t="shared" si="212"/>
        <v>4841.1502732492172</v>
      </c>
      <c r="AD350" s="41">
        <f t="shared" si="213"/>
        <v>0.44232384953613324</v>
      </c>
      <c r="AE350" s="41">
        <f t="shared" si="214"/>
        <v>0.02</v>
      </c>
      <c r="AF350" s="64">
        <f t="shared" si="215"/>
        <v>0</v>
      </c>
      <c r="AG350" s="64">
        <f>APPLICANTS_PER_YEAR*($H350/Segments!$AH$2)*AE350</f>
        <v>0.192</v>
      </c>
      <c r="AH350" s="64">
        <f t="shared" si="216"/>
        <v>0.192</v>
      </c>
      <c r="AI350" s="40">
        <f t="shared" si="217"/>
        <v>4841.1502732492172</v>
      </c>
      <c r="AJ350" s="65">
        <f t="shared" si="218"/>
        <v>929.5008524638497</v>
      </c>
      <c r="AK350" s="65">
        <f t="shared" si="219"/>
        <v>634.70570315136865</v>
      </c>
      <c r="AL350" s="65">
        <f t="shared" si="220"/>
        <v>216.84819095190235</v>
      </c>
      <c r="AM350" s="40">
        <f t="shared" si="221"/>
        <v>4985.1347814466926</v>
      </c>
      <c r="AN350" s="40">
        <f t="shared" si="222"/>
        <v>3040.1175327655765</v>
      </c>
      <c r="AO350" s="40">
        <f t="shared" si="223"/>
        <v>4985.1347814466926</v>
      </c>
      <c r="AP350" s="40">
        <f t="shared" si="224"/>
        <v>2746.4419659614596</v>
      </c>
      <c r="AQ350" s="40">
        <f t="shared" si="225"/>
        <v>4985.1347814466926</v>
      </c>
      <c r="AR350" s="41">
        <f t="shared" si="226"/>
        <v>0.44243762598465763</v>
      </c>
      <c r="AS350" s="41">
        <f t="shared" si="227"/>
        <v>0.02</v>
      </c>
      <c r="AT350" s="64">
        <f t="shared" si="228"/>
        <v>0</v>
      </c>
      <c r="AU350" s="64">
        <f>APPLICANTS_PER_YEAR*($H350/Segments!$AH$2)*AS350</f>
        <v>0.192</v>
      </c>
      <c r="AV350" s="64">
        <f t="shared" si="229"/>
        <v>0.192</v>
      </c>
      <c r="AW350" s="40">
        <f t="shared" si="230"/>
        <v>4985.1347814466926</v>
      </c>
      <c r="AX350" s="65">
        <f t="shared" si="231"/>
        <v>957.14587803776499</v>
      </c>
      <c r="AY350" s="65">
        <f t="shared" si="232"/>
        <v>653.74687424590968</v>
      </c>
      <c r="AZ350" s="65">
        <f t="shared" si="233"/>
        <v>223.04067668045937</v>
      </c>
    </row>
    <row r="351" spans="1:52" ht="15" customHeight="1" x14ac:dyDescent="0.35">
      <c r="A351" s="61" t="str">
        <f>Segments!$A$331</f>
        <v>Greek</v>
      </c>
      <c r="B351" s="61" t="str">
        <f>Segments!$B$331</f>
        <v>Off 3-6mi</v>
      </c>
      <c r="C351" s="61" t="str">
        <f>Segments!$C$331</f>
        <v>Yes</v>
      </c>
      <c r="D351" s="61" t="str">
        <f>Segments!$D$331</f>
        <v>1.0-2.0</v>
      </c>
      <c r="E351" s="61" t="str">
        <f>Segments!$E$331</f>
        <v>Sophomore</v>
      </c>
      <c r="F351" s="61">
        <f>Segments!$F$331</f>
        <v>1</v>
      </c>
      <c r="G351" s="61" t="str">
        <f>Segments!$G$331</f>
        <v>Sophomore</v>
      </c>
      <c r="H351" s="62">
        <f>Segments!$H$331</f>
        <v>8</v>
      </c>
      <c r="I351" s="63">
        <f>Segments!$Y$331</f>
        <v>2836.4484071903707</v>
      </c>
      <c r="J351" s="42">
        <v>1</v>
      </c>
      <c r="K351" s="40">
        <f t="shared" si="195"/>
        <v>1426.2297754450396</v>
      </c>
      <c r="L351" s="40">
        <f t="shared" si="196"/>
        <v>2836.4484071903707</v>
      </c>
      <c r="M351" s="40">
        <f t="shared" si="197"/>
        <v>4653.9529052873695</v>
      </c>
      <c r="N351" s="40">
        <f t="shared" si="198"/>
        <v>2576.3552175582845</v>
      </c>
      <c r="O351" s="40">
        <f t="shared" si="199"/>
        <v>1782.7872193062994</v>
      </c>
      <c r="P351" s="41">
        <f t="shared" si="200"/>
        <v>0.92900981837513874</v>
      </c>
      <c r="Q351" s="41">
        <f t="shared" si="201"/>
        <v>0.02</v>
      </c>
      <c r="R351" s="64">
        <f t="shared" si="202"/>
        <v>7.4320785470011099</v>
      </c>
      <c r="S351" s="64">
        <f>APPLICANTS_PER_YEAR*($H351/Segments!$AH$2)*Q351</f>
        <v>0.192</v>
      </c>
      <c r="T351" s="64">
        <f t="shared" si="203"/>
        <v>7.6240785470011101</v>
      </c>
      <c r="U351" s="40">
        <f t="shared" si="204"/>
        <v>1855.0928505127358</v>
      </c>
      <c r="V351" s="65">
        <f t="shared" si="205"/>
        <v>14143.373604289287</v>
      </c>
      <c r="W351" s="65">
        <f t="shared" si="206"/>
        <v>24220.342105047846</v>
      </c>
      <c r="X351" s="65">
        <f t="shared" si="207"/>
        <v>2861.653745674229</v>
      </c>
      <c r="Y351" s="40">
        <f t="shared" si="208"/>
        <v>4701.3594885914727</v>
      </c>
      <c r="Z351" s="40">
        <f t="shared" si="209"/>
        <v>2921.541859406082</v>
      </c>
      <c r="AA351" s="40">
        <f t="shared" si="210"/>
        <v>4792.3214924459908</v>
      </c>
      <c r="AB351" s="40">
        <f t="shared" si="211"/>
        <v>2653.2998613448558</v>
      </c>
      <c r="AC351" s="40">
        <f t="shared" si="212"/>
        <v>4792.3214924459908</v>
      </c>
      <c r="AD351" s="41">
        <f t="shared" si="213"/>
        <v>0.44110854295738527</v>
      </c>
      <c r="AE351" s="41">
        <f t="shared" si="214"/>
        <v>0.02</v>
      </c>
      <c r="AF351" s="64">
        <f t="shared" si="215"/>
        <v>8.469284024781798E-2</v>
      </c>
      <c r="AG351" s="64">
        <f>APPLICANTS_PER_YEAR*($H351/Segments!$AH$2)*AE351</f>
        <v>0.192</v>
      </c>
      <c r="AH351" s="64">
        <f t="shared" si="216"/>
        <v>0.27669284024781798</v>
      </c>
      <c r="AI351" s="40">
        <f t="shared" si="217"/>
        <v>4792.3214924459908</v>
      </c>
      <c r="AJ351" s="65">
        <f t="shared" si="218"/>
        <v>1326.0010451255432</v>
      </c>
      <c r="AK351" s="65">
        <f t="shared" si="219"/>
        <v>905.37408077979558</v>
      </c>
      <c r="AL351" s="65">
        <f t="shared" si="220"/>
        <v>293.15245476292108</v>
      </c>
      <c r="AM351" s="40">
        <f t="shared" si="221"/>
        <v>4841.1502732492172</v>
      </c>
      <c r="AN351" s="40">
        <f t="shared" si="222"/>
        <v>3009.1881151882644</v>
      </c>
      <c r="AO351" s="40">
        <f t="shared" si="223"/>
        <v>4934.8411372193696</v>
      </c>
      <c r="AP351" s="40">
        <f t="shared" si="224"/>
        <v>2732.5527999735377</v>
      </c>
      <c r="AQ351" s="40">
        <f t="shared" si="225"/>
        <v>4934.8411372193696</v>
      </c>
      <c r="AR351" s="41">
        <f t="shared" si="226"/>
        <v>0.44122139892618389</v>
      </c>
      <c r="AS351" s="41">
        <f t="shared" si="227"/>
        <v>0.02</v>
      </c>
      <c r="AT351" s="64">
        <f t="shared" si="228"/>
        <v>8.4714508593827315E-2</v>
      </c>
      <c r="AU351" s="64">
        <f>APPLICANTS_PER_YEAR*($H351/Segments!$AH$2)*AS351</f>
        <v>0.192</v>
      </c>
      <c r="AV351" s="64">
        <f t="shared" si="229"/>
        <v>0.27671450859382729</v>
      </c>
      <c r="AW351" s="40">
        <f t="shared" si="230"/>
        <v>4934.8411372193696</v>
      </c>
      <c r="AX351" s="65">
        <f t="shared" si="231"/>
        <v>1365.5421402742618</v>
      </c>
      <c r="AY351" s="65">
        <f t="shared" si="232"/>
        <v>932.60833182799081</v>
      </c>
      <c r="AZ351" s="65">
        <f t="shared" si="233"/>
        <v>301.58388712582621</v>
      </c>
    </row>
    <row r="352" spans="1:52" ht="15" customHeight="1" x14ac:dyDescent="0.35">
      <c r="A352" s="61" t="str">
        <f>Segments!$A$332</f>
        <v>Greek</v>
      </c>
      <c r="B352" s="61" t="str">
        <f>Segments!$B$332</f>
        <v>Off 3-6mi</v>
      </c>
      <c r="C352" s="61" t="str">
        <f>Segments!$C$332</f>
        <v>Yes</v>
      </c>
      <c r="D352" s="61" t="str">
        <f>Segments!$D$332</f>
        <v>1.0-2.0</v>
      </c>
      <c r="E352" s="61" t="str">
        <f>Segments!$E$332</f>
        <v>Junior</v>
      </c>
      <c r="F352" s="61">
        <f>Segments!$F$332</f>
        <v>2</v>
      </c>
      <c r="G352" s="61" t="str">
        <f>Segments!$G$332</f>
        <v>Base</v>
      </c>
      <c r="H352" s="62">
        <f>Segments!$H$332</f>
        <v>6</v>
      </c>
      <c r="I352" s="63">
        <f>Segments!$Y$332</f>
        <v>3390.7631068109254</v>
      </c>
      <c r="J352" s="42">
        <v>2</v>
      </c>
      <c r="K352" s="40">
        <f t="shared" si="195"/>
        <v>1426.2297754450396</v>
      </c>
      <c r="L352" s="40">
        <f t="shared" si="196"/>
        <v>3390.7631068109254</v>
      </c>
      <c r="M352" s="40">
        <f t="shared" si="197"/>
        <v>5555.311821051163</v>
      </c>
      <c r="N352" s="40">
        <f t="shared" si="198"/>
        <v>2814.8092530516124</v>
      </c>
      <c r="O352" s="40">
        <f t="shared" si="199"/>
        <v>1782.7872193062994</v>
      </c>
      <c r="P352" s="41">
        <f t="shared" si="200"/>
        <v>0.95</v>
      </c>
      <c r="Q352" s="41">
        <f t="shared" si="201"/>
        <v>0.02</v>
      </c>
      <c r="R352" s="64">
        <f t="shared" si="202"/>
        <v>7.6</v>
      </c>
      <c r="S352" s="64">
        <f>APPLICANTS_PER_YEAR*($H352/Segments!$AH$2)*Q352</f>
        <v>0.14399999999999999</v>
      </c>
      <c r="T352" s="64">
        <f t="shared" si="203"/>
        <v>7.7439999999999998</v>
      </c>
      <c r="U352" s="40">
        <f t="shared" si="204"/>
        <v>1852.9374701651916</v>
      </c>
      <c r="V352" s="65">
        <f t="shared" si="205"/>
        <v>14349.147768959243</v>
      </c>
      <c r="W352" s="65">
        <f t="shared" si="206"/>
        <v>29409.037839041066</v>
      </c>
      <c r="X352" s="65">
        <f t="shared" si="207"/>
        <v>2898.4676999113949</v>
      </c>
      <c r="Y352" s="40">
        <f t="shared" si="208"/>
        <v>1855.0928505127358</v>
      </c>
      <c r="Z352" s="40">
        <f t="shared" si="209"/>
        <v>3492.486000015253</v>
      </c>
      <c r="AA352" s="40">
        <f t="shared" si="210"/>
        <v>5720.7211756826973</v>
      </c>
      <c r="AB352" s="40">
        <f t="shared" si="211"/>
        <v>2898.9368334116812</v>
      </c>
      <c r="AC352" s="40">
        <f t="shared" si="212"/>
        <v>2318.8660631409198</v>
      </c>
      <c r="AD352" s="41">
        <f t="shared" si="213"/>
        <v>0.87504888060773856</v>
      </c>
      <c r="AE352" s="41">
        <f t="shared" si="214"/>
        <v>0.02</v>
      </c>
      <c r="AF352" s="64">
        <f t="shared" si="215"/>
        <v>6.6714413982187954</v>
      </c>
      <c r="AG352" s="64">
        <f>APPLICANTS_PER_YEAR*($H352/Segments!$AH$2)*AE352</f>
        <v>0.14399999999999999</v>
      </c>
      <c r="AH352" s="64">
        <f t="shared" si="216"/>
        <v>6.8154413982187956</v>
      </c>
      <c r="AI352" s="40">
        <f t="shared" si="217"/>
        <v>2390.7421321412403</v>
      </c>
      <c r="AJ352" s="65">
        <f t="shared" si="218"/>
        <v>16293.962899861279</v>
      </c>
      <c r="AK352" s="65">
        <f t="shared" si="219"/>
        <v>26659.17370726795</v>
      </c>
      <c r="AL352" s="65">
        <f t="shared" si="220"/>
        <v>3248.3002507635983</v>
      </c>
      <c r="AM352" s="40">
        <f t="shared" si="221"/>
        <v>4792.3214924459908</v>
      </c>
      <c r="AN352" s="40">
        <f t="shared" si="222"/>
        <v>3597.2605800157107</v>
      </c>
      <c r="AO352" s="40">
        <f t="shared" si="223"/>
        <v>5891.0928109531787</v>
      </c>
      <c r="AP352" s="40">
        <f t="shared" si="224"/>
        <v>2985.5882070848852</v>
      </c>
      <c r="AQ352" s="40">
        <f t="shared" si="225"/>
        <v>5891.0928109531787</v>
      </c>
      <c r="AR352" s="41">
        <f t="shared" si="226"/>
        <v>0.3</v>
      </c>
      <c r="AS352" s="41">
        <f t="shared" si="227"/>
        <v>0.02</v>
      </c>
      <c r="AT352" s="64">
        <f t="shared" si="228"/>
        <v>8.3007852074345398E-2</v>
      </c>
      <c r="AU352" s="64">
        <f>APPLICANTS_PER_YEAR*($H352/Segments!$AH$2)*AS352</f>
        <v>0.14399999999999999</v>
      </c>
      <c r="AV352" s="64">
        <f t="shared" si="229"/>
        <v>0.22700785207434537</v>
      </c>
      <c r="AW352" s="40">
        <f t="shared" si="230"/>
        <v>5891.0928109531787</v>
      </c>
      <c r="AX352" s="65">
        <f t="shared" si="231"/>
        <v>1337.3243253850987</v>
      </c>
      <c r="AY352" s="65">
        <f t="shared" si="232"/>
        <v>914.59916533561</v>
      </c>
      <c r="AZ352" s="65">
        <f t="shared" si="233"/>
        <v>290.58556230647463</v>
      </c>
    </row>
    <row r="353" spans="1:52" ht="15" customHeight="1" x14ac:dyDescent="0.35">
      <c r="A353" s="61" t="str">
        <f>Segments!$A$333</f>
        <v>Greek</v>
      </c>
      <c r="B353" s="61" t="str">
        <f>Segments!$B$333</f>
        <v>Off 3-6mi</v>
      </c>
      <c r="C353" s="61" t="str">
        <f>Segments!$C$333</f>
        <v>Yes</v>
      </c>
      <c r="D353" s="61" t="str">
        <f>Segments!$D$333</f>
        <v>1.0-2.0</v>
      </c>
      <c r="E353" s="61" t="str">
        <f>Segments!$E$333</f>
        <v>Senior</v>
      </c>
      <c r="F353" s="61">
        <f>Segments!$F$333</f>
        <v>3</v>
      </c>
      <c r="G353" s="61" t="str">
        <f>Segments!$G$333</f>
        <v>Base</v>
      </c>
      <c r="H353" s="62">
        <f>Segments!$H$333</f>
        <v>5</v>
      </c>
      <c r="I353" s="63">
        <f>Segments!$Y$333</f>
        <v>3169.3037437308376</v>
      </c>
      <c r="J353" s="42">
        <v>3</v>
      </c>
      <c r="K353" s="40">
        <f t="shared" si="195"/>
        <v>1426.2297754450396</v>
      </c>
      <c r="L353" s="40">
        <f t="shared" si="196"/>
        <v>3169.3037437308376</v>
      </c>
      <c r="M353" s="40">
        <f t="shared" si="197"/>
        <v>5195.2016317881853</v>
      </c>
      <c r="N353" s="40">
        <f t="shared" si="198"/>
        <v>2722.0490915295713</v>
      </c>
      <c r="O353" s="40">
        <f t="shared" si="199"/>
        <v>1782.7872193062994</v>
      </c>
      <c r="P353" s="41">
        <f t="shared" si="200"/>
        <v>0.9475284593775426</v>
      </c>
      <c r="Q353" s="41">
        <f t="shared" si="201"/>
        <v>0.02</v>
      </c>
      <c r="R353" s="64">
        <f t="shared" si="202"/>
        <v>5.685170756265256</v>
      </c>
      <c r="S353" s="64">
        <f>APPLICANTS_PER_YEAR*($H353/Segments!$AH$2)*Q353</f>
        <v>0.12</v>
      </c>
      <c r="T353" s="64">
        <f t="shared" si="203"/>
        <v>5.8051707562652561</v>
      </c>
      <c r="U353" s="40">
        <f t="shared" si="204"/>
        <v>1853.3260107890276</v>
      </c>
      <c r="V353" s="65">
        <f t="shared" si="205"/>
        <v>10758.873959658209</v>
      </c>
      <c r="W353" s="65">
        <f t="shared" si="206"/>
        <v>20606.151340127646</v>
      </c>
      <c r="X353" s="65">
        <f t="shared" si="207"/>
        <v>2174.3504403542174</v>
      </c>
      <c r="Y353" s="40">
        <f t="shared" si="208"/>
        <v>1852.9374701651916</v>
      </c>
      <c r="Z353" s="40">
        <f t="shared" si="209"/>
        <v>3264.3828560427628</v>
      </c>
      <c r="AA353" s="40">
        <f t="shared" si="210"/>
        <v>5349.8076807418311</v>
      </c>
      <c r="AB353" s="40">
        <f t="shared" si="211"/>
        <v>2803.3830736083728</v>
      </c>
      <c r="AC353" s="40">
        <f t="shared" si="212"/>
        <v>2316.1718377064894</v>
      </c>
      <c r="AD353" s="41">
        <f t="shared" si="213"/>
        <v>0.86189701391304507</v>
      </c>
      <c r="AE353" s="41">
        <f t="shared" si="214"/>
        <v>0.02</v>
      </c>
      <c r="AF353" s="64">
        <f t="shared" si="215"/>
        <v>6.6745304757426211</v>
      </c>
      <c r="AG353" s="64">
        <f>APPLICANTS_PER_YEAR*($H353/Segments!$AH$2)*AE353</f>
        <v>0.12</v>
      </c>
      <c r="AH353" s="64">
        <f t="shared" si="216"/>
        <v>6.7945304757426213</v>
      </c>
      <c r="AI353" s="40">
        <f t="shared" si="217"/>
        <v>2369.7496827781833</v>
      </c>
      <c r="AJ353" s="65">
        <f t="shared" si="218"/>
        <v>16101.336439517776</v>
      </c>
      <c r="AK353" s="65">
        <f t="shared" si="219"/>
        <v>24841.542655859208</v>
      </c>
      <c r="AL353" s="65">
        <f t="shared" si="220"/>
        <v>3204.5123888428275</v>
      </c>
      <c r="AM353" s="40">
        <f t="shared" si="221"/>
        <v>2390.7421321412403</v>
      </c>
      <c r="AN353" s="40">
        <f t="shared" si="222"/>
        <v>3362.3143417240453</v>
      </c>
      <c r="AO353" s="40">
        <f t="shared" si="223"/>
        <v>5509.0519111640861</v>
      </c>
      <c r="AP353" s="40">
        <f t="shared" si="224"/>
        <v>2887.1570374450116</v>
      </c>
      <c r="AQ353" s="40">
        <f t="shared" si="225"/>
        <v>2988.4276651765504</v>
      </c>
      <c r="AR353" s="41">
        <f t="shared" si="226"/>
        <v>0.75746187747702876</v>
      </c>
      <c r="AS353" s="41">
        <f t="shared" si="227"/>
        <v>0.02</v>
      </c>
      <c r="AT353" s="64">
        <f t="shared" si="228"/>
        <v>5.1624370373294752</v>
      </c>
      <c r="AU353" s="64">
        <f>APPLICANTS_PER_YEAR*($H353/Segments!$AH$2)*AS353</f>
        <v>0.12</v>
      </c>
      <c r="AV353" s="64">
        <f t="shared" si="229"/>
        <v>5.2824370373294753</v>
      </c>
      <c r="AW353" s="40">
        <f t="shared" si="230"/>
        <v>3045.6881507026437</v>
      </c>
      <c r="AX353" s="65">
        <f t="shared" si="231"/>
        <v>16088.655891427161</v>
      </c>
      <c r="AY353" s="65">
        <f t="shared" si="232"/>
        <v>19892.559467051233</v>
      </c>
      <c r="AZ353" s="65">
        <f t="shared" si="233"/>
        <v>3172.5427222532126</v>
      </c>
    </row>
    <row r="354" spans="1:52" ht="15" customHeight="1" x14ac:dyDescent="0.35">
      <c r="A354" s="61" t="str">
        <f>Segments!$A$334</f>
        <v>Greek</v>
      </c>
      <c r="B354" s="61" t="str">
        <f>Segments!$B$334</f>
        <v>Off 3-6mi</v>
      </c>
      <c r="C354" s="61" t="str">
        <f>Segments!$C$334</f>
        <v>Yes</v>
      </c>
      <c r="D354" s="61" t="str">
        <f>Segments!$D$334</f>
        <v>1.0-2.0</v>
      </c>
      <c r="E354" s="61" t="str">
        <f>Segments!$E$334</f>
        <v>Grad student</v>
      </c>
      <c r="F354" s="61">
        <f>Segments!$F$334</f>
        <v>3</v>
      </c>
      <c r="G354" s="61" t="str">
        <f>Segments!$G$334</f>
        <v>Grad</v>
      </c>
      <c r="H354" s="62">
        <f>Segments!$H$334</f>
        <v>3</v>
      </c>
      <c r="I354" s="63">
        <f>Segments!$Y$334</f>
        <v>3773.627934802767</v>
      </c>
      <c r="J354" s="42">
        <v>4</v>
      </c>
      <c r="K354" s="40">
        <f t="shared" si="195"/>
        <v>1426.2297754450396</v>
      </c>
      <c r="L354" s="40">
        <f t="shared" si="196"/>
        <v>3773.627934802767</v>
      </c>
      <c r="M354" s="40">
        <f t="shared" si="197"/>
        <v>6177.8798793744372</v>
      </c>
      <c r="N354" s="40">
        <f t="shared" si="198"/>
        <v>2968.3457064645672</v>
      </c>
      <c r="O354" s="40">
        <f t="shared" si="199"/>
        <v>1782.7872193062994</v>
      </c>
      <c r="P354" s="41">
        <f t="shared" si="200"/>
        <v>0.95</v>
      </c>
      <c r="Q354" s="41">
        <f t="shared" si="201"/>
        <v>0.02</v>
      </c>
      <c r="R354" s="64">
        <f t="shared" si="202"/>
        <v>1.4249999999999998</v>
      </c>
      <c r="S354" s="64">
        <f>APPLICANTS_PER_YEAR*($H354/Segments!$AH$2)*Q354</f>
        <v>7.1999999999999995E-2</v>
      </c>
      <c r="T354" s="64">
        <f t="shared" si="203"/>
        <v>1.4969999999999999</v>
      </c>
      <c r="U354" s="40">
        <f t="shared" si="204"/>
        <v>1994.174441433825</v>
      </c>
      <c r="V354" s="65">
        <f t="shared" si="205"/>
        <v>2985.2791388264359</v>
      </c>
      <c r="W354" s="65">
        <f t="shared" si="206"/>
        <v>6327.015540607711</v>
      </c>
      <c r="X354" s="65">
        <f t="shared" si="207"/>
        <v>611.52601453421994</v>
      </c>
      <c r="Y354" s="40">
        <f t="shared" si="208"/>
        <v>1994.174441433825</v>
      </c>
      <c r="Z354" s="40">
        <f t="shared" si="209"/>
        <v>3886.8367728468502</v>
      </c>
      <c r="AA354" s="40">
        <f t="shared" si="210"/>
        <v>6361.9662757556707</v>
      </c>
      <c r="AB354" s="40">
        <f t="shared" si="211"/>
        <v>3057.0957631133706</v>
      </c>
      <c r="AC354" s="40">
        <f t="shared" si="212"/>
        <v>2492.7180517922811</v>
      </c>
      <c r="AD354" s="41">
        <f t="shared" si="213"/>
        <v>0.8673061878091648</v>
      </c>
      <c r="AE354" s="41">
        <f t="shared" si="214"/>
        <v>0.02</v>
      </c>
      <c r="AF354" s="64">
        <f t="shared" si="215"/>
        <v>0.64917868157515979</v>
      </c>
      <c r="AG354" s="64">
        <f>APPLICANTS_PER_YEAR*($H354/Segments!$AH$2)*AE354</f>
        <v>7.1999999999999995E-2</v>
      </c>
      <c r="AH354" s="64">
        <f t="shared" si="216"/>
        <v>0.72117868157515974</v>
      </c>
      <c r="AI354" s="40">
        <f t="shared" si="217"/>
        <v>2879.0104911595845</v>
      </c>
      <c r="AJ354" s="65">
        <f t="shared" si="218"/>
        <v>2076.2809902555223</v>
      </c>
      <c r="AK354" s="65">
        <f t="shared" si="219"/>
        <v>3139.4762776602852</v>
      </c>
      <c r="AL354" s="65">
        <f t="shared" si="220"/>
        <v>424.67283580470121</v>
      </c>
      <c r="AM354" s="40">
        <f t="shared" si="221"/>
        <v>2879.0104911595845</v>
      </c>
      <c r="AN354" s="40">
        <f t="shared" si="222"/>
        <v>4003.4418760322551</v>
      </c>
      <c r="AO354" s="40">
        <f t="shared" si="223"/>
        <v>6551.5752640283399</v>
      </c>
      <c r="AP354" s="40">
        <f t="shared" si="224"/>
        <v>3148.5082923870254</v>
      </c>
      <c r="AQ354" s="40">
        <f t="shared" si="225"/>
        <v>3598.7631139494806</v>
      </c>
      <c r="AR354" s="41">
        <f t="shared" si="226"/>
        <v>0.70349711994547481</v>
      </c>
      <c r="AS354" s="41">
        <f t="shared" si="227"/>
        <v>0.02</v>
      </c>
      <c r="AT354" s="64">
        <f t="shared" si="228"/>
        <v>0.25367356272709979</v>
      </c>
      <c r="AU354" s="64">
        <f>APPLICANTS_PER_YEAR*($H354/Segments!$AH$2)*AS354</f>
        <v>7.1999999999999995E-2</v>
      </c>
      <c r="AV354" s="64">
        <f t="shared" si="229"/>
        <v>0.3256735627270998</v>
      </c>
      <c r="AW354" s="40">
        <f t="shared" si="230"/>
        <v>4251.5716287868645</v>
      </c>
      <c r="AX354" s="65">
        <f t="shared" si="231"/>
        <v>1384.6244795364769</v>
      </c>
      <c r="AY354" s="65">
        <f t="shared" si="232"/>
        <v>1460.2730004108835</v>
      </c>
      <c r="AZ354" s="65">
        <f t="shared" si="233"/>
        <v>286.51746755228754</v>
      </c>
    </row>
    <row r="355" spans="1:52" ht="15" customHeight="1" x14ac:dyDescent="0.35">
      <c r="A355" s="59" t="str">
        <f>Segments!$A$335</f>
        <v>Greek</v>
      </c>
      <c r="B355" s="59" t="str">
        <f>Segments!$B$335</f>
        <v>Off 3-6mi</v>
      </c>
      <c r="C355" s="59" t="str">
        <f>Segments!$C$335</f>
        <v>Yes</v>
      </c>
      <c r="D355" s="59" t="str">
        <f>Segments!$D$335</f>
        <v>2.0-3.0</v>
      </c>
      <c r="E355" s="59" t="str">
        <f>Segments!$E$335</f>
        <v>Freshman</v>
      </c>
      <c r="F355" s="59">
        <f>Segments!$F$335</f>
        <v>1</v>
      </c>
      <c r="G355" s="59" t="str">
        <f>Segments!$G$335</f>
        <v>Base</v>
      </c>
      <c r="H355" s="60">
        <f>Segments!$H$335</f>
        <v>12</v>
      </c>
      <c r="I355" s="26">
        <f>Segments!$Y$335</f>
        <v>2815.9693132649536</v>
      </c>
      <c r="J355" s="29">
        <v>0</v>
      </c>
      <c r="K355" s="14">
        <f t="shared" si="195"/>
        <v>4620.6523020216164</v>
      </c>
      <c r="L355" s="14">
        <f t="shared" si="196"/>
        <v>2815.9693132649536</v>
      </c>
      <c r="M355" s="14">
        <f t="shared" si="197"/>
        <v>4620.6523020216164</v>
      </c>
      <c r="N355" s="14">
        <f t="shared" si="198"/>
        <v>2567.1213245816598</v>
      </c>
      <c r="O355" s="14">
        <f t="shared" si="199"/>
        <v>4620.6523020216164</v>
      </c>
      <c r="P355" s="33">
        <f t="shared" si="200"/>
        <v>0.45003234795016911</v>
      </c>
      <c r="Q355" s="33">
        <f t="shared" si="201"/>
        <v>0.02</v>
      </c>
      <c r="R355" s="51">
        <f t="shared" si="202"/>
        <v>0</v>
      </c>
      <c r="S355" s="51">
        <f>APPLICANTS_PER_YEAR*($H355/Segments!$AH$2)*Q355</f>
        <v>0.28799999999999998</v>
      </c>
      <c r="T355" s="51">
        <f t="shared" si="203"/>
        <v>0.28799999999999998</v>
      </c>
      <c r="U355" s="14">
        <f t="shared" si="204"/>
        <v>4620.6523020216164</v>
      </c>
      <c r="V355" s="44">
        <f t="shared" si="205"/>
        <v>1330.7478629822253</v>
      </c>
      <c r="W355" s="44">
        <f t="shared" si="206"/>
        <v>908.31906168674357</v>
      </c>
      <c r="X355" s="44">
        <f t="shared" si="207"/>
        <v>311.04752130801847</v>
      </c>
      <c r="Y355" s="14">
        <f t="shared" si="208"/>
        <v>4758.0218710822655</v>
      </c>
      <c r="Z355" s="14">
        <f t="shared" si="209"/>
        <v>2900.4483926629023</v>
      </c>
      <c r="AA355" s="14">
        <f t="shared" si="210"/>
        <v>4758.0218710822655</v>
      </c>
      <c r="AB355" s="14">
        <f t="shared" si="211"/>
        <v>2643.7877068136418</v>
      </c>
      <c r="AC355" s="14">
        <f t="shared" si="212"/>
        <v>4758.0218710822655</v>
      </c>
      <c r="AD355" s="33">
        <f t="shared" si="213"/>
        <v>0.45015054181170411</v>
      </c>
      <c r="AE355" s="33">
        <f t="shared" si="214"/>
        <v>0.02</v>
      </c>
      <c r="AF355" s="51">
        <f t="shared" si="215"/>
        <v>0</v>
      </c>
      <c r="AG355" s="51">
        <f>APPLICANTS_PER_YEAR*($H355/Segments!$AH$2)*AE355</f>
        <v>0.28799999999999998</v>
      </c>
      <c r="AH355" s="51">
        <f t="shared" si="216"/>
        <v>0.28799999999999998</v>
      </c>
      <c r="AI355" s="14">
        <f t="shared" si="217"/>
        <v>4758.0218710822655</v>
      </c>
      <c r="AJ355" s="44">
        <f t="shared" si="218"/>
        <v>1370.3102988716923</v>
      </c>
      <c r="AK355" s="44">
        <f t="shared" si="219"/>
        <v>935.56863353734582</v>
      </c>
      <c r="AL355" s="44">
        <f t="shared" si="220"/>
        <v>319.90950694725905</v>
      </c>
      <c r="AM355" s="14">
        <f t="shared" si="221"/>
        <v>4899.5125272147325</v>
      </c>
      <c r="AN355" s="14">
        <f t="shared" si="222"/>
        <v>2987.4618444427892</v>
      </c>
      <c r="AO355" s="14">
        <f t="shared" si="223"/>
        <v>4899.5125272147325</v>
      </c>
      <c r="AP355" s="14">
        <f t="shared" si="224"/>
        <v>2722.7540355593519</v>
      </c>
      <c r="AQ355" s="14">
        <f t="shared" si="225"/>
        <v>4899.5125272147325</v>
      </c>
      <c r="AR355" s="33">
        <f t="shared" si="226"/>
        <v>0.45026530798838826</v>
      </c>
      <c r="AS355" s="33">
        <f t="shared" si="227"/>
        <v>0.02</v>
      </c>
      <c r="AT355" s="51">
        <f t="shared" si="228"/>
        <v>0</v>
      </c>
      <c r="AU355" s="51">
        <f>APPLICANTS_PER_YEAR*($H355/Segments!$AH$2)*AS355</f>
        <v>0.28799999999999998</v>
      </c>
      <c r="AV355" s="51">
        <f t="shared" si="229"/>
        <v>0.28799999999999998</v>
      </c>
      <c r="AW355" s="14">
        <f t="shared" si="230"/>
        <v>4899.5125272147325</v>
      </c>
      <c r="AX355" s="44">
        <f t="shared" si="231"/>
        <v>1411.0596078378428</v>
      </c>
      <c r="AY355" s="44">
        <f t="shared" si="232"/>
        <v>963.63569254346612</v>
      </c>
      <c r="AZ355" s="44">
        <f t="shared" si="233"/>
        <v>329.03735215567679</v>
      </c>
    </row>
    <row r="356" spans="1:52" ht="15" customHeight="1" x14ac:dyDescent="0.35">
      <c r="A356" s="59" t="str">
        <f>Segments!$A$336</f>
        <v>Greek</v>
      </c>
      <c r="B356" s="59" t="str">
        <f>Segments!$B$336</f>
        <v>Off 3-6mi</v>
      </c>
      <c r="C356" s="59" t="str">
        <f>Segments!$C$336</f>
        <v>Yes</v>
      </c>
      <c r="D356" s="59" t="str">
        <f>Segments!$D$336</f>
        <v>2.0-3.0</v>
      </c>
      <c r="E356" s="59" t="str">
        <f>Segments!$E$336</f>
        <v>Sophomore</v>
      </c>
      <c r="F356" s="59">
        <f>Segments!$F$336</f>
        <v>1</v>
      </c>
      <c r="G356" s="59" t="str">
        <f>Segments!$G$336</f>
        <v>Sophomore</v>
      </c>
      <c r="H356" s="60">
        <f>Segments!$H$336</f>
        <v>8</v>
      </c>
      <c r="I356" s="26">
        <f>Segments!$Y$336</f>
        <v>2787.3203252451913</v>
      </c>
      <c r="J356" s="29">
        <v>1</v>
      </c>
      <c r="K356" s="14">
        <f t="shared" si="195"/>
        <v>1426.2297754450396</v>
      </c>
      <c r="L356" s="14">
        <f t="shared" si="196"/>
        <v>2787.3203252451913</v>
      </c>
      <c r="M356" s="14">
        <f t="shared" si="197"/>
        <v>4574.0668140363632</v>
      </c>
      <c r="N356" s="14">
        <f t="shared" si="198"/>
        <v>2554.1476631263295</v>
      </c>
      <c r="O356" s="14">
        <f t="shared" si="199"/>
        <v>1782.7872193062994</v>
      </c>
      <c r="P356" s="33">
        <f t="shared" si="200"/>
        <v>0.92600153662922313</v>
      </c>
      <c r="Q356" s="33">
        <f t="shared" si="201"/>
        <v>0.02</v>
      </c>
      <c r="R356" s="51">
        <f t="shared" si="202"/>
        <v>11.112018439550678</v>
      </c>
      <c r="S356" s="51">
        <f>APPLICANTS_PER_YEAR*($H356/Segments!$AH$2)*Q356</f>
        <v>0.192</v>
      </c>
      <c r="T356" s="51">
        <f t="shared" si="203"/>
        <v>11.304018439550678</v>
      </c>
      <c r="U356" s="14">
        <f t="shared" si="204"/>
        <v>1830.1974110937676</v>
      </c>
      <c r="V356" s="44">
        <f t="shared" si="205"/>
        <v>20688.585283021861</v>
      </c>
      <c r="W356" s="44">
        <f t="shared" si="206"/>
        <v>35288.870795926763</v>
      </c>
      <c r="X356" s="44">
        <f t="shared" si="207"/>
        <v>4171.7607162724698</v>
      </c>
      <c r="Y356" s="14">
        <f t="shared" si="208"/>
        <v>4620.6523020216164</v>
      </c>
      <c r="Z356" s="14">
        <f t="shared" si="209"/>
        <v>2870.9399350025469</v>
      </c>
      <c r="AA356" s="14">
        <f t="shared" si="210"/>
        <v>4710.0388184574531</v>
      </c>
      <c r="AB356" s="14">
        <f t="shared" si="211"/>
        <v>2630.423071404593</v>
      </c>
      <c r="AC356" s="14">
        <f t="shared" si="212"/>
        <v>4710.0388184574531</v>
      </c>
      <c r="AD356" s="33">
        <f t="shared" si="213"/>
        <v>0.44889587918754414</v>
      </c>
      <c r="AE356" s="33">
        <f t="shared" si="214"/>
        <v>0.02</v>
      </c>
      <c r="AF356" s="51">
        <f t="shared" si="215"/>
        <v>0.12928201320601271</v>
      </c>
      <c r="AG356" s="51">
        <f>APPLICANTS_PER_YEAR*($H356/Segments!$AH$2)*AE356</f>
        <v>0.192</v>
      </c>
      <c r="AH356" s="51">
        <f t="shared" si="216"/>
        <v>0.32128201320601268</v>
      </c>
      <c r="AI356" s="14">
        <f t="shared" si="217"/>
        <v>4710.0388184574531</v>
      </c>
      <c r="AJ356" s="44">
        <f t="shared" si="218"/>
        <v>1513.2507538724799</v>
      </c>
      <c r="AK356" s="44">
        <f t="shared" si="219"/>
        <v>1033.0671255644966</v>
      </c>
      <c r="AL356" s="44">
        <f t="shared" si="220"/>
        <v>328.88149360605308</v>
      </c>
      <c r="AM356" s="14">
        <f t="shared" si="221"/>
        <v>4758.0218710822655</v>
      </c>
      <c r="AN356" s="14">
        <f t="shared" si="222"/>
        <v>2957.0681330526231</v>
      </c>
      <c r="AO356" s="14">
        <f t="shared" si="223"/>
        <v>4850.0899830111766</v>
      </c>
      <c r="AP356" s="14">
        <f t="shared" si="224"/>
        <v>2708.9866962892943</v>
      </c>
      <c r="AQ356" s="14">
        <f t="shared" si="225"/>
        <v>4850.0899830111766</v>
      </c>
      <c r="AR356" s="33">
        <f t="shared" si="226"/>
        <v>0.44900970388044364</v>
      </c>
      <c r="AS356" s="33">
        <f t="shared" si="227"/>
        <v>0.02</v>
      </c>
      <c r="AT356" s="51">
        <f t="shared" si="228"/>
        <v>0.12931479471756777</v>
      </c>
      <c r="AU356" s="51">
        <f>APPLICANTS_PER_YEAR*($H356/Segments!$AH$2)*AS356</f>
        <v>0.192</v>
      </c>
      <c r="AV356" s="51">
        <f t="shared" si="229"/>
        <v>0.32131479471756774</v>
      </c>
      <c r="AW356" s="14">
        <f t="shared" si="230"/>
        <v>4850.0899830111775</v>
      </c>
      <c r="AX356" s="44">
        <f t="shared" si="231"/>
        <v>1558.405667252968</v>
      </c>
      <c r="AY356" s="44">
        <f t="shared" si="232"/>
        <v>1064.1677089541847</v>
      </c>
      <c r="AZ356" s="44">
        <f t="shared" si="233"/>
        <v>338.35757169099742</v>
      </c>
    </row>
    <row r="357" spans="1:52" ht="15" customHeight="1" x14ac:dyDescent="0.35">
      <c r="A357" s="59" t="str">
        <f>Segments!$A$337</f>
        <v>Greek</v>
      </c>
      <c r="B357" s="59" t="str">
        <f>Segments!$B$337</f>
        <v>Off 3-6mi</v>
      </c>
      <c r="C357" s="59" t="str">
        <f>Segments!$C$337</f>
        <v>Yes</v>
      </c>
      <c r="D357" s="59" t="str">
        <f>Segments!$D$337</f>
        <v>2.0-3.0</v>
      </c>
      <c r="E357" s="59" t="str">
        <f>Segments!$E$337</f>
        <v>Junior</v>
      </c>
      <c r="F357" s="59">
        <f>Segments!$F$337</f>
        <v>2</v>
      </c>
      <c r="G357" s="59" t="str">
        <f>Segments!$G$337</f>
        <v>Base</v>
      </c>
      <c r="H357" s="60">
        <f>Segments!$H$337</f>
        <v>8</v>
      </c>
      <c r="I357" s="26">
        <f>Segments!$Y$337</f>
        <v>3332.0341388008546</v>
      </c>
      <c r="J357" s="29">
        <v>2</v>
      </c>
      <c r="K357" s="14">
        <f t="shared" si="195"/>
        <v>1426.2297754450396</v>
      </c>
      <c r="L357" s="14">
        <f t="shared" si="196"/>
        <v>3332.0341388008546</v>
      </c>
      <c r="M357" s="14">
        <f t="shared" si="197"/>
        <v>5459.8139405769125</v>
      </c>
      <c r="N357" s="14">
        <f t="shared" si="198"/>
        <v>2790.5105644739474</v>
      </c>
      <c r="O357" s="14">
        <f t="shared" si="199"/>
        <v>1782.7872193062994</v>
      </c>
      <c r="P357" s="33">
        <f t="shared" si="200"/>
        <v>0.95</v>
      </c>
      <c r="Q357" s="33">
        <f t="shared" si="201"/>
        <v>0.02</v>
      </c>
      <c r="R357" s="51">
        <f t="shared" si="202"/>
        <v>7.6</v>
      </c>
      <c r="S357" s="51">
        <f>APPLICANTS_PER_YEAR*($H357/Segments!$AH$2)*Q357</f>
        <v>0.192</v>
      </c>
      <c r="T357" s="51">
        <f t="shared" si="203"/>
        <v>7.7919999999999998</v>
      </c>
      <c r="U357" s="14">
        <f t="shared" si="204"/>
        <v>1873.3915738345279</v>
      </c>
      <c r="V357" s="44">
        <f t="shared" si="205"/>
        <v>14597.467143318641</v>
      </c>
      <c r="W357" s="44">
        <f t="shared" si="206"/>
        <v>29078.795210680611</v>
      </c>
      <c r="X357" s="44">
        <f t="shared" si="207"/>
        <v>2956.2512397679006</v>
      </c>
      <c r="Y357" s="14">
        <f t="shared" si="208"/>
        <v>1830.1974110937676</v>
      </c>
      <c r="Z357" s="14">
        <f t="shared" si="209"/>
        <v>3431.9951629648804</v>
      </c>
      <c r="AA357" s="14">
        <f t="shared" si="210"/>
        <v>5622.3583587942194</v>
      </c>
      <c r="AB357" s="14">
        <f t="shared" si="211"/>
        <v>2873.906426194259</v>
      </c>
      <c r="AC357" s="14">
        <f t="shared" si="212"/>
        <v>2287.7467638672097</v>
      </c>
      <c r="AD357" s="33">
        <f t="shared" si="213"/>
        <v>0.87697960117707541</v>
      </c>
      <c r="AE357" s="33">
        <f t="shared" si="214"/>
        <v>0.02</v>
      </c>
      <c r="AF357" s="51">
        <f t="shared" si="215"/>
        <v>9.9133935828154591</v>
      </c>
      <c r="AG357" s="51">
        <f>APPLICANTS_PER_YEAR*($H357/Segments!$AH$2)*AE357</f>
        <v>0.192</v>
      </c>
      <c r="AH357" s="51">
        <f t="shared" si="216"/>
        <v>10.105393582815459</v>
      </c>
      <c r="AI357" s="14">
        <f t="shared" si="217"/>
        <v>2351.1035664478377</v>
      </c>
      <c r="AJ357" s="44">
        <f t="shared" si="218"/>
        <v>23758.826892916521</v>
      </c>
      <c r="AK357" s="44">
        <f t="shared" si="219"/>
        <v>38843.461323608484</v>
      </c>
      <c r="AL357" s="44">
        <f t="shared" si="220"/>
        <v>4735.1084025886285</v>
      </c>
      <c r="AM357" s="14">
        <f t="shared" si="221"/>
        <v>4710.0388184574531</v>
      </c>
      <c r="AN357" s="14">
        <f t="shared" si="222"/>
        <v>3534.9550178538266</v>
      </c>
      <c r="AO357" s="14">
        <f t="shared" si="223"/>
        <v>5789.779109558046</v>
      </c>
      <c r="AP357" s="14">
        <f t="shared" si="224"/>
        <v>2959.8041287698088</v>
      </c>
      <c r="AQ357" s="14">
        <f t="shared" si="225"/>
        <v>5789.779109558046</v>
      </c>
      <c r="AR357" s="33">
        <f t="shared" si="226"/>
        <v>0.30315935048011783</v>
      </c>
      <c r="AS357" s="33">
        <f t="shared" si="227"/>
        <v>0.02</v>
      </c>
      <c r="AT357" s="51">
        <f t="shared" si="228"/>
        <v>9.7399646444479446E-2</v>
      </c>
      <c r="AU357" s="51">
        <f>APPLICANTS_PER_YEAR*($H357/Segments!$AH$2)*AS357</f>
        <v>0.192</v>
      </c>
      <c r="AV357" s="51">
        <f t="shared" si="229"/>
        <v>0.28939964644447946</v>
      </c>
      <c r="AW357" s="14">
        <f t="shared" si="230"/>
        <v>5789.779109558046</v>
      </c>
      <c r="AX357" s="44">
        <f t="shared" si="231"/>
        <v>1675.5600272977317</v>
      </c>
      <c r="AY357" s="44">
        <f t="shared" si="232"/>
        <v>1145.7765002477204</v>
      </c>
      <c r="AZ357" s="44">
        <f t="shared" si="233"/>
        <v>366.17615370439097</v>
      </c>
    </row>
    <row r="358" spans="1:52" ht="15" customHeight="1" x14ac:dyDescent="0.35">
      <c r="A358" s="59" t="str">
        <f>Segments!$A$338</f>
        <v>Greek</v>
      </c>
      <c r="B358" s="59" t="str">
        <f>Segments!$B$338</f>
        <v>Off 3-6mi</v>
      </c>
      <c r="C358" s="59" t="str">
        <f>Segments!$C$338</f>
        <v>Yes</v>
      </c>
      <c r="D358" s="59" t="str">
        <f>Segments!$D$338</f>
        <v>2.0-3.0</v>
      </c>
      <c r="E358" s="59" t="str">
        <f>Segments!$E$338</f>
        <v>Senior</v>
      </c>
      <c r="F358" s="59">
        <f>Segments!$F$338</f>
        <v>3</v>
      </c>
      <c r="G358" s="59" t="str">
        <f>Segments!$G$338</f>
        <v>Base</v>
      </c>
      <c r="H358" s="60">
        <f>Segments!$H$338</f>
        <v>6</v>
      </c>
      <c r="I358" s="26">
        <f>Segments!$Y$338</f>
        <v>3114.4105140015513</v>
      </c>
      <c r="J358" s="29">
        <v>3</v>
      </c>
      <c r="K358" s="14">
        <f t="shared" si="195"/>
        <v>1426.2297754450396</v>
      </c>
      <c r="L358" s="14">
        <f t="shared" si="196"/>
        <v>3114.4105140015513</v>
      </c>
      <c r="M358" s="14">
        <f t="shared" si="197"/>
        <v>5105.9409607913103</v>
      </c>
      <c r="N358" s="14">
        <f t="shared" si="198"/>
        <v>2698.5635123052084</v>
      </c>
      <c r="O358" s="14">
        <f t="shared" si="199"/>
        <v>1782.7872193062994</v>
      </c>
      <c r="P358" s="33">
        <f t="shared" si="200"/>
        <v>0.94467847686798012</v>
      </c>
      <c r="Q358" s="33">
        <f t="shared" si="201"/>
        <v>0.02</v>
      </c>
      <c r="R358" s="51">
        <f t="shared" si="202"/>
        <v>7.557427814943841</v>
      </c>
      <c r="S358" s="51">
        <f>APPLICANTS_PER_YEAR*($H358/Segments!$AH$2)*Q358</f>
        <v>0.14399999999999999</v>
      </c>
      <c r="T358" s="51">
        <f t="shared" si="203"/>
        <v>7.7014278149438411</v>
      </c>
      <c r="U358" s="14">
        <f t="shared" si="204"/>
        <v>1844.9229881886999</v>
      </c>
      <c r="V358" s="44">
        <f t="shared" si="205"/>
        <v>14208.541217665761</v>
      </c>
      <c r="W358" s="44">
        <f t="shared" si="206"/>
        <v>26863.656690847303</v>
      </c>
      <c r="X358" s="44">
        <f t="shared" si="207"/>
        <v>2868.776788880094</v>
      </c>
      <c r="Y358" s="14">
        <f t="shared" si="208"/>
        <v>1873.3915738345279</v>
      </c>
      <c r="Z358" s="14">
        <f t="shared" si="209"/>
        <v>3207.8428294215978</v>
      </c>
      <c r="AA358" s="14">
        <f t="shared" si="210"/>
        <v>5257.8691896150494</v>
      </c>
      <c r="AB358" s="14">
        <f t="shared" si="211"/>
        <v>2779.1900765209971</v>
      </c>
      <c r="AC358" s="14">
        <f t="shared" si="212"/>
        <v>2341.73946729316</v>
      </c>
      <c r="AD358" s="33">
        <f t="shared" si="213"/>
        <v>0.85370109585585452</v>
      </c>
      <c r="AE358" s="33">
        <f t="shared" si="214"/>
        <v>0.02</v>
      </c>
      <c r="AF358" s="51">
        <f t="shared" si="215"/>
        <v>6.6520389389088184</v>
      </c>
      <c r="AG358" s="51">
        <f>APPLICANTS_PER_YEAR*($H358/Segments!$AH$2)*AE358</f>
        <v>0.14399999999999999</v>
      </c>
      <c r="AH358" s="51">
        <f t="shared" si="216"/>
        <v>6.7960389389088185</v>
      </c>
      <c r="AI358" s="14">
        <f t="shared" si="217"/>
        <v>2403.5287954281421</v>
      </c>
      <c r="AJ358" s="44">
        <f t="shared" si="218"/>
        <v>16334.475284518261</v>
      </c>
      <c r="AK358" s="44">
        <f t="shared" si="219"/>
        <v>24416.699752086453</v>
      </c>
      <c r="AL358" s="44">
        <f t="shared" si="220"/>
        <v>3253.2362682677876</v>
      </c>
      <c r="AM358" s="14">
        <f t="shared" si="221"/>
        <v>2351.1035664478377</v>
      </c>
      <c r="AN358" s="14">
        <f t="shared" si="222"/>
        <v>3304.0781143042454</v>
      </c>
      <c r="AO358" s="14">
        <f t="shared" si="223"/>
        <v>5414.3552653035003</v>
      </c>
      <c r="AP358" s="14">
        <f t="shared" si="224"/>
        <v>2862.2353989654798</v>
      </c>
      <c r="AQ358" s="14">
        <f t="shared" si="225"/>
        <v>2938.8794580597969</v>
      </c>
      <c r="AR358" s="33">
        <f t="shared" si="226"/>
        <v>0.7616111537992265</v>
      </c>
      <c r="AS358" s="33">
        <f t="shared" si="227"/>
        <v>0.02</v>
      </c>
      <c r="AT358" s="51">
        <f t="shared" si="228"/>
        <v>7.6963804662033812</v>
      </c>
      <c r="AU358" s="51">
        <f>APPLICANTS_PER_YEAR*($H358/Segments!$AH$2)*AS358</f>
        <v>0.14399999999999999</v>
      </c>
      <c r="AV358" s="51">
        <f t="shared" si="229"/>
        <v>7.8403804662033814</v>
      </c>
      <c r="AW358" s="14">
        <f t="shared" si="230"/>
        <v>2984.3451746509345</v>
      </c>
      <c r="AX358" s="44">
        <f t="shared" si="231"/>
        <v>23398.401611741505</v>
      </c>
      <c r="AY358" s="44">
        <f t="shared" si="232"/>
        <v>29013.857046945246</v>
      </c>
      <c r="AZ358" s="44">
        <f t="shared" si="233"/>
        <v>4609.9938644803424</v>
      </c>
    </row>
    <row r="359" spans="1:52" ht="15" customHeight="1" x14ac:dyDescent="0.35">
      <c r="A359" s="59" t="str">
        <f>Segments!$A$339</f>
        <v>Greek</v>
      </c>
      <c r="B359" s="59" t="str">
        <f>Segments!$B$339</f>
        <v>Off 3-6mi</v>
      </c>
      <c r="C359" s="59" t="str">
        <f>Segments!$C$339</f>
        <v>Yes</v>
      </c>
      <c r="D359" s="59" t="str">
        <f>Segments!$D$339</f>
        <v>2.0-3.0</v>
      </c>
      <c r="E359" s="59" t="str">
        <f>Segments!$E$339</f>
        <v>Grad student</v>
      </c>
      <c r="F359" s="59">
        <f>Segments!$F$339</f>
        <v>3</v>
      </c>
      <c r="G359" s="59" t="str">
        <f>Segments!$G$339</f>
        <v>Grad</v>
      </c>
      <c r="H359" s="60">
        <f>Segments!$H$339</f>
        <v>7</v>
      </c>
      <c r="I359" s="26">
        <f>Segments!$Y$339</f>
        <v>3708.2676405905954</v>
      </c>
      <c r="J359" s="29">
        <v>4</v>
      </c>
      <c r="K359" s="14">
        <f t="shared" si="195"/>
        <v>1426.2297754450396</v>
      </c>
      <c r="L359" s="14">
        <f t="shared" si="196"/>
        <v>3708.2676405905954</v>
      </c>
      <c r="M359" s="14">
        <f t="shared" si="197"/>
        <v>6071.5989455196914</v>
      </c>
      <c r="N359" s="14">
        <f t="shared" si="198"/>
        <v>2942.7020237633456</v>
      </c>
      <c r="O359" s="14">
        <f t="shared" si="199"/>
        <v>1782.7872193062994</v>
      </c>
      <c r="P359" s="33">
        <f t="shared" si="200"/>
        <v>0.95</v>
      </c>
      <c r="Q359" s="33">
        <f t="shared" si="201"/>
        <v>0.02</v>
      </c>
      <c r="R359" s="51">
        <f t="shared" si="202"/>
        <v>3.3249999999999997</v>
      </c>
      <c r="S359" s="51">
        <f>APPLICANTS_PER_YEAR*($H359/Segments!$AH$2)*Q359</f>
        <v>0.16800000000000001</v>
      </c>
      <c r="T359" s="51">
        <f t="shared" si="203"/>
        <v>3.4929999999999999</v>
      </c>
      <c r="U359" s="14">
        <f t="shared" si="204"/>
        <v>1989.0627331923145</v>
      </c>
      <c r="V359" s="44">
        <f t="shared" si="205"/>
        <v>6947.7961270407541</v>
      </c>
      <c r="W359" s="44">
        <f t="shared" si="206"/>
        <v>14507.336332812905</v>
      </c>
      <c r="X359" s="44">
        <f t="shared" si="207"/>
        <v>1422.8944698103583</v>
      </c>
      <c r="Y359" s="14">
        <f t="shared" si="208"/>
        <v>1989.0627331923145</v>
      </c>
      <c r="Z359" s="14">
        <f t="shared" si="209"/>
        <v>3819.5156698083133</v>
      </c>
      <c r="AA359" s="14">
        <f t="shared" si="210"/>
        <v>6252.4969138852821</v>
      </c>
      <c r="AB359" s="14">
        <f t="shared" si="211"/>
        <v>3030.6801526299751</v>
      </c>
      <c r="AC359" s="14">
        <f t="shared" si="212"/>
        <v>2486.328416490393</v>
      </c>
      <c r="AD359" s="33">
        <f t="shared" si="213"/>
        <v>0.86480685996626905</v>
      </c>
      <c r="AE359" s="33">
        <f t="shared" si="214"/>
        <v>0.02</v>
      </c>
      <c r="AF359" s="51">
        <f t="shared" si="215"/>
        <v>1.5103851809310889</v>
      </c>
      <c r="AG359" s="51">
        <f>APPLICANTS_PER_YEAR*($H359/Segments!$AH$2)*AE359</f>
        <v>0.16800000000000001</v>
      </c>
      <c r="AH359" s="51">
        <f t="shared" si="216"/>
        <v>1.6783851809310888</v>
      </c>
      <c r="AI359" s="14">
        <f t="shared" si="217"/>
        <v>2863.30761932829</v>
      </c>
      <c r="AJ359" s="44">
        <f t="shared" si="218"/>
        <v>4805.7330767276771</v>
      </c>
      <c r="AK359" s="44">
        <f t="shared" si="219"/>
        <v>7179.8927183651986</v>
      </c>
      <c r="AL359" s="44">
        <f t="shared" si="220"/>
        <v>982.81593697379833</v>
      </c>
      <c r="AM359" s="14">
        <f t="shared" si="221"/>
        <v>2863.30761932829</v>
      </c>
      <c r="AN359" s="14">
        <f t="shared" si="222"/>
        <v>3934.1011399025624</v>
      </c>
      <c r="AO359" s="14">
        <f t="shared" si="223"/>
        <v>6438.8218213018399</v>
      </c>
      <c r="AP359" s="14">
        <f t="shared" si="224"/>
        <v>3121.2975955210991</v>
      </c>
      <c r="AQ359" s="14">
        <f t="shared" si="225"/>
        <v>3579.1345241603626</v>
      </c>
      <c r="AR359" s="33">
        <f t="shared" si="226"/>
        <v>0.70165919947905064</v>
      </c>
      <c r="AS359" s="33">
        <f t="shared" si="227"/>
        <v>0.02</v>
      </c>
      <c r="AT359" s="51">
        <f t="shared" si="228"/>
        <v>0.5888272012348047</v>
      </c>
      <c r="AU359" s="51">
        <f>APPLICANTS_PER_YEAR*($H359/Segments!$AH$2)*AS359</f>
        <v>0.16800000000000001</v>
      </c>
      <c r="AV359" s="51">
        <f t="shared" si="229"/>
        <v>0.75682720123480474</v>
      </c>
      <c r="AW359" s="14">
        <f t="shared" si="230"/>
        <v>4213.9260130708099</v>
      </c>
      <c r="AX359" s="44">
        <f t="shared" si="231"/>
        <v>3189.2138306829202</v>
      </c>
      <c r="AY359" s="44">
        <f t="shared" si="232"/>
        <v>3334.7269256975646</v>
      </c>
      <c r="AZ359" s="44">
        <f t="shared" si="233"/>
        <v>659.95823033302293</v>
      </c>
    </row>
    <row r="360" spans="1:52" ht="15" customHeight="1" x14ac:dyDescent="0.35">
      <c r="A360" s="61" t="str">
        <f>Segments!$A$340</f>
        <v>Greek</v>
      </c>
      <c r="B360" s="61" t="str">
        <f>Segments!$B$340</f>
        <v>Off 3-6mi</v>
      </c>
      <c r="C360" s="61" t="str">
        <f>Segments!$C$340</f>
        <v>Yes</v>
      </c>
      <c r="D360" s="61" t="str">
        <f>Segments!$D$340</f>
        <v>3.0+</v>
      </c>
      <c r="E360" s="61" t="str">
        <f>Segments!$E$340</f>
        <v>Freshman</v>
      </c>
      <c r="F360" s="61">
        <f>Segments!$F$340</f>
        <v>1</v>
      </c>
      <c r="G360" s="61" t="str">
        <f>Segments!$G$340</f>
        <v>Base</v>
      </c>
      <c r="H360" s="62">
        <f>Segments!$H$340</f>
        <v>9</v>
      </c>
      <c r="I360" s="63">
        <f>Segments!$Y$340</f>
        <v>2468.3311929520055</v>
      </c>
      <c r="J360" s="42">
        <v>0</v>
      </c>
      <c r="K360" s="40">
        <f t="shared" si="195"/>
        <v>4055.3656166460746</v>
      </c>
      <c r="L360" s="40">
        <f t="shared" si="196"/>
        <v>2468.3311929520055</v>
      </c>
      <c r="M360" s="40">
        <f t="shared" si="197"/>
        <v>4055.3656166460746</v>
      </c>
      <c r="N360" s="40">
        <f t="shared" si="198"/>
        <v>2404.9705180680835</v>
      </c>
      <c r="O360" s="40">
        <f t="shared" si="199"/>
        <v>4055.3656166460746</v>
      </c>
      <c r="P360" s="41">
        <f t="shared" si="200"/>
        <v>0.50687830969675329</v>
      </c>
      <c r="Q360" s="41">
        <f t="shared" si="201"/>
        <v>0.02</v>
      </c>
      <c r="R360" s="64">
        <f t="shared" si="202"/>
        <v>0</v>
      </c>
      <c r="S360" s="64">
        <f>APPLICANTS_PER_YEAR*($H360/Segments!$AH$2)*Q360</f>
        <v>0.21599999999999997</v>
      </c>
      <c r="T360" s="64">
        <f t="shared" si="203"/>
        <v>0.21599999999999997</v>
      </c>
      <c r="U360" s="40">
        <f t="shared" si="204"/>
        <v>4055.3656166460746</v>
      </c>
      <c r="V360" s="65">
        <f t="shared" si="205"/>
        <v>875.95897319555195</v>
      </c>
      <c r="W360" s="65">
        <f t="shared" si="206"/>
        <v>597.13868219894914</v>
      </c>
      <c r="X360" s="65">
        <f t="shared" si="207"/>
        <v>205.93480999580365</v>
      </c>
      <c r="Y360" s="40">
        <f t="shared" si="208"/>
        <v>4175.7765851454569</v>
      </c>
      <c r="Z360" s="40">
        <f t="shared" si="209"/>
        <v>2542.3811287405656</v>
      </c>
      <c r="AA360" s="40">
        <f t="shared" si="210"/>
        <v>4175.7765851454569</v>
      </c>
      <c r="AB360" s="40">
        <f t="shared" si="211"/>
        <v>2476.7489594993026</v>
      </c>
      <c r="AC360" s="40">
        <f t="shared" si="212"/>
        <v>4175.7765851454569</v>
      </c>
      <c r="AD360" s="41">
        <f t="shared" si="213"/>
        <v>0.50700447372154578</v>
      </c>
      <c r="AE360" s="41">
        <f t="shared" si="214"/>
        <v>0.02</v>
      </c>
      <c r="AF360" s="64">
        <f t="shared" si="215"/>
        <v>0</v>
      </c>
      <c r="AG360" s="64">
        <f>APPLICANTS_PER_YEAR*($H360/Segments!$AH$2)*AE360</f>
        <v>0.21599999999999997</v>
      </c>
      <c r="AH360" s="64">
        <f t="shared" si="216"/>
        <v>0.21599999999999997</v>
      </c>
      <c r="AI360" s="40">
        <f t="shared" si="217"/>
        <v>4175.7765851454569</v>
      </c>
      <c r="AJ360" s="65">
        <f t="shared" si="218"/>
        <v>901.9677423914186</v>
      </c>
      <c r="AK360" s="65">
        <f t="shared" si="219"/>
        <v>615.05284266491765</v>
      </c>
      <c r="AL360" s="65">
        <f t="shared" si="220"/>
        <v>211.76077429567778</v>
      </c>
      <c r="AM360" s="40">
        <f t="shared" si="221"/>
        <v>4299.799882699821</v>
      </c>
      <c r="AN360" s="40">
        <f t="shared" si="222"/>
        <v>2618.6525626027824</v>
      </c>
      <c r="AO360" s="40">
        <f t="shared" si="223"/>
        <v>4299.799882699821</v>
      </c>
      <c r="AP360" s="40">
        <f t="shared" si="224"/>
        <v>2550.6806994977469</v>
      </c>
      <c r="AQ360" s="40">
        <f t="shared" si="225"/>
        <v>4299.799882699821</v>
      </c>
      <c r="AR360" s="41">
        <f t="shared" si="226"/>
        <v>0.50712698113360632</v>
      </c>
      <c r="AS360" s="41">
        <f t="shared" si="227"/>
        <v>0.02</v>
      </c>
      <c r="AT360" s="64">
        <f t="shared" si="228"/>
        <v>0</v>
      </c>
      <c r="AU360" s="64">
        <f>APPLICANTS_PER_YEAR*($H360/Segments!$AH$2)*AS360</f>
        <v>0.21599999999999997</v>
      </c>
      <c r="AV360" s="64">
        <f t="shared" si="229"/>
        <v>0.21599999999999997</v>
      </c>
      <c r="AW360" s="40">
        <f t="shared" si="230"/>
        <v>4299.799882699821</v>
      </c>
      <c r="AX360" s="65">
        <f t="shared" si="231"/>
        <v>928.7567746631612</v>
      </c>
      <c r="AY360" s="65">
        <f t="shared" si="232"/>
        <v>633.50442794486514</v>
      </c>
      <c r="AZ360" s="65">
        <f t="shared" si="233"/>
        <v>217.76151752454811</v>
      </c>
    </row>
    <row r="361" spans="1:52" ht="15" customHeight="1" x14ac:dyDescent="0.35">
      <c r="A361" s="61" t="str">
        <f>Segments!$A$341</f>
        <v>Greek</v>
      </c>
      <c r="B361" s="61" t="str">
        <f>Segments!$B$341</f>
        <v>Off 3-6mi</v>
      </c>
      <c r="C361" s="61" t="str">
        <f>Segments!$C$341</f>
        <v>Yes</v>
      </c>
      <c r="D361" s="61" t="str">
        <f>Segments!$D$341</f>
        <v>3.0+</v>
      </c>
      <c r="E361" s="61" t="str">
        <f>Segments!$E$341</f>
        <v>Sophomore</v>
      </c>
      <c r="F361" s="61">
        <f>Segments!$F$341</f>
        <v>1</v>
      </c>
      <c r="G361" s="61" t="str">
        <f>Segments!$G$341</f>
        <v>Sophomore</v>
      </c>
      <c r="H361" s="62">
        <f>Segments!$H$341</f>
        <v>6</v>
      </c>
      <c r="I361" s="63">
        <f>Segments!$Y$341</f>
        <v>2443.2189907548527</v>
      </c>
      <c r="J361" s="42">
        <v>1</v>
      </c>
      <c r="K361" s="40">
        <f t="shared" si="195"/>
        <v>1426.2297754450396</v>
      </c>
      <c r="L361" s="40">
        <f t="shared" si="196"/>
        <v>2443.2189907548527</v>
      </c>
      <c r="M361" s="40">
        <f t="shared" si="197"/>
        <v>4014.5312181349741</v>
      </c>
      <c r="N361" s="40">
        <f t="shared" si="198"/>
        <v>2392.8317863480802</v>
      </c>
      <c r="O361" s="40">
        <f t="shared" si="199"/>
        <v>1782.7872193062994</v>
      </c>
      <c r="P361" s="41">
        <f t="shared" si="200"/>
        <v>0.90247334988658467</v>
      </c>
      <c r="Q361" s="41">
        <f t="shared" si="201"/>
        <v>0.02</v>
      </c>
      <c r="R361" s="64">
        <f t="shared" si="202"/>
        <v>8.1222601489792616</v>
      </c>
      <c r="S361" s="64">
        <f>APPLICANTS_PER_YEAR*($H361/Segments!$AH$2)*Q361</f>
        <v>0.14399999999999999</v>
      </c>
      <c r="T361" s="64">
        <f t="shared" si="203"/>
        <v>8.2662601489792618</v>
      </c>
      <c r="U361" s="40">
        <f t="shared" si="204"/>
        <v>1821.6646717502576</v>
      </c>
      <c r="V361" s="65">
        <f t="shared" si="205"/>
        <v>15058.354080892543</v>
      </c>
      <c r="W361" s="65">
        <f t="shared" si="206"/>
        <v>22619.837831926914</v>
      </c>
      <c r="X361" s="65">
        <f t="shared" si="207"/>
        <v>3035.1873616076759</v>
      </c>
      <c r="Y361" s="40">
        <f t="shared" si="208"/>
        <v>4055.3656166460746</v>
      </c>
      <c r="Z361" s="40">
        <f t="shared" si="209"/>
        <v>2516.5155604774982</v>
      </c>
      <c r="AA361" s="40">
        <f t="shared" si="210"/>
        <v>4133.7171546790232</v>
      </c>
      <c r="AB361" s="40">
        <f t="shared" si="211"/>
        <v>2464.2441851304643</v>
      </c>
      <c r="AC361" s="40">
        <f t="shared" si="212"/>
        <v>4133.7171546790232</v>
      </c>
      <c r="AD361" s="41">
        <f t="shared" si="213"/>
        <v>0.5054645067750998</v>
      </c>
      <c r="AE361" s="41">
        <f t="shared" si="214"/>
        <v>0.02</v>
      </c>
      <c r="AF361" s="64">
        <f t="shared" si="215"/>
        <v>0.10918033346342154</v>
      </c>
      <c r="AG361" s="64">
        <f>APPLICANTS_PER_YEAR*($H361/Segments!$AH$2)*AE361</f>
        <v>0.14399999999999999</v>
      </c>
      <c r="AH361" s="64">
        <f t="shared" si="216"/>
        <v>0.2531803334634215</v>
      </c>
      <c r="AI361" s="40">
        <f t="shared" si="217"/>
        <v>4133.7171546790241</v>
      </c>
      <c r="AJ361" s="65">
        <f t="shared" si="218"/>
        <v>1046.5758876651012</v>
      </c>
      <c r="AK361" s="65">
        <f t="shared" si="219"/>
        <v>713.58811861969195</v>
      </c>
      <c r="AL361" s="65">
        <f t="shared" si="220"/>
        <v>227.30038389755481</v>
      </c>
      <c r="AM361" s="40">
        <f t="shared" si="221"/>
        <v>4175.7765851454569</v>
      </c>
      <c r="AN361" s="40">
        <f t="shared" si="222"/>
        <v>2592.0110272918232</v>
      </c>
      <c r="AO361" s="40">
        <f t="shared" si="223"/>
        <v>4256.4786693193946</v>
      </c>
      <c r="AP361" s="40">
        <f t="shared" si="224"/>
        <v>2537.7989003640259</v>
      </c>
      <c r="AQ361" s="40">
        <f t="shared" si="225"/>
        <v>4256.4786693193946</v>
      </c>
      <c r="AR361" s="41">
        <f t="shared" si="226"/>
        <v>0.50558590089231803</v>
      </c>
      <c r="AS361" s="41">
        <f t="shared" si="227"/>
        <v>0.02</v>
      </c>
      <c r="AT361" s="64">
        <f t="shared" si="228"/>
        <v>0.10920655459274067</v>
      </c>
      <c r="AU361" s="64">
        <f>APPLICANTS_PER_YEAR*($H361/Segments!$AH$2)*AS361</f>
        <v>0.14399999999999999</v>
      </c>
      <c r="AV361" s="64">
        <f t="shared" si="229"/>
        <v>0.25320655459274066</v>
      </c>
      <c r="AW361" s="40">
        <f t="shared" si="230"/>
        <v>4256.4786693193946</v>
      </c>
      <c r="AX361" s="65">
        <f t="shared" si="231"/>
        <v>1077.7682985558574</v>
      </c>
      <c r="AY361" s="65">
        <f t="shared" si="232"/>
        <v>735.07188348938723</v>
      </c>
      <c r="AZ361" s="65">
        <f t="shared" si="233"/>
        <v>233.81499201228161</v>
      </c>
    </row>
    <row r="362" spans="1:52" ht="15" customHeight="1" x14ac:dyDescent="0.35">
      <c r="A362" s="61" t="str">
        <f>Segments!$A$342</f>
        <v>Greek</v>
      </c>
      <c r="B362" s="61" t="str">
        <f>Segments!$B$342</f>
        <v>Off 3-6mi</v>
      </c>
      <c r="C362" s="61" t="str">
        <f>Segments!$C$342</f>
        <v>Yes</v>
      </c>
      <c r="D362" s="61" t="str">
        <f>Segments!$D$342</f>
        <v>3.0+</v>
      </c>
      <c r="E362" s="61" t="str">
        <f>Segments!$E$342</f>
        <v>Junior</v>
      </c>
      <c r="F362" s="61">
        <f>Segments!$F$342</f>
        <v>2</v>
      </c>
      <c r="G362" s="61" t="str">
        <f>Segments!$G$342</f>
        <v>Base</v>
      </c>
      <c r="H362" s="62">
        <f>Segments!$H$342</f>
        <v>2</v>
      </c>
      <c r="I362" s="63">
        <f>Segments!$Y$342</f>
        <v>2920.686586334713</v>
      </c>
      <c r="J362" s="42">
        <v>2</v>
      </c>
      <c r="K362" s="40">
        <f t="shared" si="195"/>
        <v>1426.2297754450396</v>
      </c>
      <c r="L362" s="40">
        <f t="shared" si="196"/>
        <v>2920.686586334713</v>
      </c>
      <c r="M362" s="40">
        <f t="shared" si="197"/>
        <v>4790.9307517551533</v>
      </c>
      <c r="N362" s="40">
        <f t="shared" si="198"/>
        <v>2613.9946614804876</v>
      </c>
      <c r="O362" s="40">
        <f t="shared" si="199"/>
        <v>1782.7872193062994</v>
      </c>
      <c r="P362" s="41">
        <f t="shared" si="200"/>
        <v>0.93399180178574226</v>
      </c>
      <c r="Q362" s="41">
        <f t="shared" si="201"/>
        <v>0.02</v>
      </c>
      <c r="R362" s="64">
        <f t="shared" si="202"/>
        <v>5.6039508107144531</v>
      </c>
      <c r="S362" s="64">
        <f>APPLICANTS_PER_YEAR*($H362/Segments!$AH$2)*Q362</f>
        <v>4.8000000000000001E-2</v>
      </c>
      <c r="T362" s="64">
        <f t="shared" si="203"/>
        <v>5.6519508107144532</v>
      </c>
      <c r="U362" s="40">
        <f t="shared" si="204"/>
        <v>1808.3343081599078</v>
      </c>
      <c r="V362" s="65">
        <f t="shared" si="205"/>
        <v>10220.61655904715</v>
      </c>
      <c r="W362" s="65">
        <f t="shared" si="206"/>
        <v>18488.486149814587</v>
      </c>
      <c r="X362" s="65">
        <f t="shared" si="207"/>
        <v>2053.9843095371489</v>
      </c>
      <c r="Y362" s="40">
        <f t="shared" si="208"/>
        <v>1821.6646717502576</v>
      </c>
      <c r="Z362" s="40">
        <f t="shared" si="209"/>
        <v>3008.3071839247546</v>
      </c>
      <c r="AA362" s="40">
        <f t="shared" si="210"/>
        <v>4933.4086743078087</v>
      </c>
      <c r="AB362" s="40">
        <f t="shared" si="211"/>
        <v>2692.0734715287276</v>
      </c>
      <c r="AC362" s="40">
        <f t="shared" si="212"/>
        <v>2277.0808396878219</v>
      </c>
      <c r="AD362" s="41">
        <f t="shared" si="213"/>
        <v>0.85207676559162537</v>
      </c>
      <c r="AE362" s="41">
        <f t="shared" si="214"/>
        <v>0.02</v>
      </c>
      <c r="AF362" s="64">
        <f t="shared" si="215"/>
        <v>7.043488211281197</v>
      </c>
      <c r="AG362" s="64">
        <f>APPLICANTS_PER_YEAR*($H362/Segments!$AH$2)*AE362</f>
        <v>4.8000000000000001E-2</v>
      </c>
      <c r="AH362" s="64">
        <f t="shared" si="216"/>
        <v>7.091488211281197</v>
      </c>
      <c r="AI362" s="40">
        <f t="shared" si="217"/>
        <v>2295.0606673717948</v>
      </c>
      <c r="AJ362" s="65">
        <f t="shared" si="218"/>
        <v>16275.395666842238</v>
      </c>
      <c r="AK362" s="65">
        <f t="shared" si="219"/>
        <v>23893.379922400727</v>
      </c>
      <c r="AL362" s="65">
        <f t="shared" si="220"/>
        <v>3227.3676718316437</v>
      </c>
      <c r="AM362" s="40">
        <f t="shared" si="221"/>
        <v>4133.7171546790241</v>
      </c>
      <c r="AN362" s="40">
        <f t="shared" si="222"/>
        <v>3098.556399442497</v>
      </c>
      <c r="AO362" s="40">
        <f t="shared" si="223"/>
        <v>5080.1609345370425</v>
      </c>
      <c r="AP362" s="40">
        <f t="shared" si="224"/>
        <v>2772.4946033009323</v>
      </c>
      <c r="AQ362" s="40">
        <f t="shared" si="225"/>
        <v>5080.1609345370425</v>
      </c>
      <c r="AR362" s="41">
        <f t="shared" si="226"/>
        <v>0.36514140416952756</v>
      </c>
      <c r="AS362" s="41">
        <f t="shared" si="227"/>
        <v>0.02</v>
      </c>
      <c r="AT362" s="64">
        <f t="shared" si="228"/>
        <v>9.244662246894296E-2</v>
      </c>
      <c r="AU362" s="64">
        <f>APPLICANTS_PER_YEAR*($H362/Segments!$AH$2)*AS362</f>
        <v>4.8000000000000001E-2</v>
      </c>
      <c r="AV362" s="64">
        <f t="shared" si="229"/>
        <v>0.14044662246894296</v>
      </c>
      <c r="AW362" s="40">
        <f t="shared" si="230"/>
        <v>5080.1609345370425</v>
      </c>
      <c r="AX362" s="65">
        <f t="shared" si="231"/>
        <v>713.49144485439649</v>
      </c>
      <c r="AY362" s="65">
        <f t="shared" si="232"/>
        <v>487.40359453097494</v>
      </c>
      <c r="AZ362" s="65">
        <f t="shared" si="233"/>
        <v>147.393485896882</v>
      </c>
    </row>
    <row r="363" spans="1:52" ht="15" customHeight="1" x14ac:dyDescent="0.35">
      <c r="A363" s="61" t="str">
        <f>Segments!$A$343</f>
        <v>Greek</v>
      </c>
      <c r="B363" s="61" t="str">
        <f>Segments!$B$343</f>
        <v>Off 3-6mi</v>
      </c>
      <c r="C363" s="61" t="str">
        <f>Segments!$C$343</f>
        <v>Yes</v>
      </c>
      <c r="D363" s="61" t="str">
        <f>Segments!$D$343</f>
        <v>3.0+</v>
      </c>
      <c r="E363" s="61" t="str">
        <f>Segments!$E$343</f>
        <v>Senior</v>
      </c>
      <c r="F363" s="61">
        <f>Segments!$F$343</f>
        <v>3</v>
      </c>
      <c r="G363" s="61" t="str">
        <f>Segments!$G$343</f>
        <v>Base</v>
      </c>
      <c r="H363" s="62">
        <f>Segments!$H$343</f>
        <v>8</v>
      </c>
      <c r="I363" s="63">
        <f>Segments!$Y$343</f>
        <v>2729.9291164698898</v>
      </c>
      <c r="J363" s="42">
        <v>3</v>
      </c>
      <c r="K363" s="40">
        <f t="shared" si="195"/>
        <v>1426.2297754450396</v>
      </c>
      <c r="L363" s="40">
        <f t="shared" si="196"/>
        <v>2729.9291164698898</v>
      </c>
      <c r="M363" s="40">
        <f t="shared" si="197"/>
        <v>4480.7442343690909</v>
      </c>
      <c r="N363" s="40">
        <f t="shared" si="198"/>
        <v>2527.9578404733898</v>
      </c>
      <c r="O363" s="40">
        <f t="shared" si="199"/>
        <v>1782.7872193062994</v>
      </c>
      <c r="P363" s="41">
        <f t="shared" si="200"/>
        <v>0.92238588777800756</v>
      </c>
      <c r="Q363" s="41">
        <f t="shared" si="201"/>
        <v>0.02</v>
      </c>
      <c r="R363" s="64">
        <f t="shared" si="202"/>
        <v>1.8447717755560151</v>
      </c>
      <c r="S363" s="64">
        <f>APPLICANTS_PER_YEAR*($H363/Segments!$AH$2)*Q363</f>
        <v>0.192</v>
      </c>
      <c r="T363" s="64">
        <f t="shared" si="203"/>
        <v>2.0367717755560153</v>
      </c>
      <c r="U363" s="40">
        <f t="shared" si="204"/>
        <v>2037.115049802009</v>
      </c>
      <c r="V363" s="65">
        <f t="shared" si="205"/>
        <v>4149.1384369971183</v>
      </c>
      <c r="W363" s="65">
        <f t="shared" si="206"/>
        <v>6227.4716825377755</v>
      </c>
      <c r="X363" s="65">
        <f t="shared" si="207"/>
        <v>859.8332013585358</v>
      </c>
      <c r="Y363" s="40">
        <f t="shared" si="208"/>
        <v>1808.3343081599078</v>
      </c>
      <c r="Z363" s="40">
        <f t="shared" si="209"/>
        <v>2811.8269899639868</v>
      </c>
      <c r="AA363" s="40">
        <f t="shared" si="210"/>
        <v>4613.916561400164</v>
      </c>
      <c r="AB363" s="40">
        <f t="shared" si="211"/>
        <v>2603.4439376960936</v>
      </c>
      <c r="AC363" s="40">
        <f t="shared" si="212"/>
        <v>2260.4178851998849</v>
      </c>
      <c r="AD363" s="41">
        <f t="shared" si="213"/>
        <v>0.8408792854206355</v>
      </c>
      <c r="AE363" s="41">
        <f t="shared" si="214"/>
        <v>0.02</v>
      </c>
      <c r="AF363" s="64">
        <f t="shared" si="215"/>
        <v>4.7526083589461505</v>
      </c>
      <c r="AG363" s="64">
        <f>APPLICANTS_PER_YEAR*($H363/Segments!$AH$2)*AE363</f>
        <v>0.192</v>
      </c>
      <c r="AH363" s="64">
        <f t="shared" si="216"/>
        <v>4.9446083589461507</v>
      </c>
      <c r="AI363" s="40">
        <f t="shared" si="217"/>
        <v>2351.8046469062783</v>
      </c>
      <c r="AJ363" s="65">
        <f t="shared" si="218"/>
        <v>11628.752915701185</v>
      </c>
      <c r="AK363" s="65">
        <f t="shared" si="219"/>
        <v>15571.789227104684</v>
      </c>
      <c r="AL363" s="65">
        <f t="shared" si="220"/>
        <v>2332.5319875390564</v>
      </c>
      <c r="AM363" s="40">
        <f t="shared" si="221"/>
        <v>2295.0606673717948</v>
      </c>
      <c r="AN363" s="40">
        <f t="shared" si="222"/>
        <v>2896.1817996629061</v>
      </c>
      <c r="AO363" s="40">
        <f t="shared" si="223"/>
        <v>4751.0840582421679</v>
      </c>
      <c r="AP363" s="40">
        <f t="shared" si="224"/>
        <v>2681.1945707598738</v>
      </c>
      <c r="AQ363" s="40">
        <f t="shared" si="225"/>
        <v>2868.8258342147437</v>
      </c>
      <c r="AR363" s="41">
        <f t="shared" si="226"/>
        <v>0.74000976365141347</v>
      </c>
      <c r="AS363" s="41">
        <f t="shared" si="227"/>
        <v>0.02</v>
      </c>
      <c r="AT363" s="64">
        <f t="shared" si="228"/>
        <v>5.2477705151669838</v>
      </c>
      <c r="AU363" s="64">
        <f>APPLICANTS_PER_YEAR*($H363/Segments!$AH$2)*AS363</f>
        <v>0.192</v>
      </c>
      <c r="AV363" s="64">
        <f t="shared" si="229"/>
        <v>5.439770515166984</v>
      </c>
      <c r="AW363" s="40">
        <f t="shared" si="230"/>
        <v>2935.261279975854</v>
      </c>
      <c r="AX363" s="65">
        <f t="shared" si="231"/>
        <v>15967.147765123953</v>
      </c>
      <c r="AY363" s="65">
        <f t="shared" si="232"/>
        <v>17645.112083613876</v>
      </c>
      <c r="AZ363" s="65">
        <f t="shared" si="233"/>
        <v>3163.3136227831546</v>
      </c>
    </row>
    <row r="364" spans="1:52" ht="15" customHeight="1" x14ac:dyDescent="0.35">
      <c r="A364" s="61" t="str">
        <f>Segments!$A$344</f>
        <v>Greek</v>
      </c>
      <c r="B364" s="61" t="str">
        <f>Segments!$B$344</f>
        <v>Off 3-6mi</v>
      </c>
      <c r="C364" s="61" t="str">
        <f>Segments!$C$344</f>
        <v>Yes</v>
      </c>
      <c r="D364" s="61" t="str">
        <f>Segments!$D$344</f>
        <v>3.0+</v>
      </c>
      <c r="E364" s="61" t="str">
        <f>Segments!$E$344</f>
        <v>Grad student</v>
      </c>
      <c r="F364" s="61">
        <f>Segments!$F$344</f>
        <v>3</v>
      </c>
      <c r="G364" s="61" t="str">
        <f>Segments!$G$344</f>
        <v>Grad</v>
      </c>
      <c r="H364" s="62">
        <f>Segments!$H$344</f>
        <v>6</v>
      </c>
      <c r="I364" s="63">
        <f>Segments!$Y$344</f>
        <v>3250.4731660131838</v>
      </c>
      <c r="J364" s="42">
        <v>4</v>
      </c>
      <c r="K364" s="40">
        <f t="shared" si="195"/>
        <v>1426.2297754450396</v>
      </c>
      <c r="L364" s="40">
        <f t="shared" si="196"/>
        <v>3250.4731660131838</v>
      </c>
      <c r="M364" s="40">
        <f t="shared" si="197"/>
        <v>5327.1894403591496</v>
      </c>
      <c r="N364" s="40">
        <f t="shared" si="198"/>
        <v>2756.410020166923</v>
      </c>
      <c r="O364" s="40">
        <f t="shared" si="199"/>
        <v>1782.7872193062994</v>
      </c>
      <c r="P364" s="41">
        <f t="shared" si="200"/>
        <v>0.95</v>
      </c>
      <c r="Q364" s="41">
        <f t="shared" si="201"/>
        <v>0.02</v>
      </c>
      <c r="R364" s="64">
        <f t="shared" si="202"/>
        <v>2.8499999999999996</v>
      </c>
      <c r="S364" s="64">
        <f>APPLICANTS_PER_YEAR*($H364/Segments!$AH$2)*Q364</f>
        <v>0.14399999999999999</v>
      </c>
      <c r="T364" s="64">
        <f t="shared" si="203"/>
        <v>2.9939999999999998</v>
      </c>
      <c r="U364" s="40">
        <f t="shared" si="204"/>
        <v>1953.2594704190617</v>
      </c>
      <c r="V364" s="65">
        <f t="shared" si="205"/>
        <v>5848.0588544346701</v>
      </c>
      <c r="W364" s="65">
        <f t="shared" si="206"/>
        <v>10899.74665812869</v>
      </c>
      <c r="X364" s="65">
        <f t="shared" si="207"/>
        <v>1195.6121582675628</v>
      </c>
      <c r="Y364" s="40">
        <f t="shared" si="208"/>
        <v>1953.2594704190617</v>
      </c>
      <c r="Z364" s="40">
        <f t="shared" si="209"/>
        <v>3347.9873609935794</v>
      </c>
      <c r="AA364" s="40">
        <f t="shared" si="210"/>
        <v>5485.7551235699239</v>
      </c>
      <c r="AB364" s="40">
        <f t="shared" si="211"/>
        <v>2838.7789130146566</v>
      </c>
      <c r="AC364" s="40">
        <f t="shared" si="212"/>
        <v>2441.5743380238273</v>
      </c>
      <c r="AD364" s="41">
        <f t="shared" si="213"/>
        <v>0.84496046313606998</v>
      </c>
      <c r="AE364" s="41">
        <f t="shared" si="214"/>
        <v>0.02</v>
      </c>
      <c r="AF364" s="64">
        <f t="shared" si="215"/>
        <v>1.2649058133146966</v>
      </c>
      <c r="AG364" s="64">
        <f>APPLICANTS_PER_YEAR*($H364/Segments!$AH$2)*AE364</f>
        <v>0.14399999999999999</v>
      </c>
      <c r="AH364" s="64">
        <f t="shared" si="216"/>
        <v>1.4089058133146966</v>
      </c>
      <c r="AI364" s="40">
        <f t="shared" si="217"/>
        <v>2752.7108447909582</v>
      </c>
      <c r="AJ364" s="65">
        <f t="shared" si="218"/>
        <v>3878.3103116003904</v>
      </c>
      <c r="AK364" s="65">
        <f t="shared" si="219"/>
        <v>5283.0387185049412</v>
      </c>
      <c r="AL364" s="65">
        <f t="shared" si="220"/>
        <v>792.4269709815602</v>
      </c>
      <c r="AM364" s="40">
        <f t="shared" si="221"/>
        <v>2752.7108447909582</v>
      </c>
      <c r="AN364" s="40">
        <f t="shared" si="222"/>
        <v>3448.4269818233865</v>
      </c>
      <c r="AO364" s="40">
        <f t="shared" si="223"/>
        <v>5649.0777772770216</v>
      </c>
      <c r="AP364" s="40">
        <f t="shared" si="224"/>
        <v>2923.6188363361584</v>
      </c>
      <c r="AQ364" s="40">
        <f t="shared" si="225"/>
        <v>3440.8885559886976</v>
      </c>
      <c r="AR364" s="41">
        <f t="shared" si="226"/>
        <v>0.68653605367025639</v>
      </c>
      <c r="AS364" s="41">
        <f t="shared" si="227"/>
        <v>0.02</v>
      </c>
      <c r="AT364" s="64">
        <f t="shared" si="228"/>
        <v>0.48363231853307737</v>
      </c>
      <c r="AU364" s="64">
        <f>APPLICANTS_PER_YEAR*($H364/Segments!$AH$2)*AS364</f>
        <v>0.14399999999999999</v>
      </c>
      <c r="AV364" s="64">
        <f t="shared" si="229"/>
        <v>0.62763231853307733</v>
      </c>
      <c r="AW364" s="40">
        <f t="shared" si="230"/>
        <v>3947.5215614539202</v>
      </c>
      <c r="AX364" s="65">
        <f t="shared" si="231"/>
        <v>2477.5921100746377</v>
      </c>
      <c r="AY364" s="65">
        <f t="shared" si="232"/>
        <v>2424.0655285210946</v>
      </c>
      <c r="AZ364" s="65">
        <f t="shared" si="233"/>
        <v>512.88890717224422</v>
      </c>
    </row>
    <row r="365" spans="1:52" ht="15" customHeight="1" x14ac:dyDescent="0.35">
      <c r="A365" s="59" t="str">
        <f>Segments!$A$345</f>
        <v>Greek</v>
      </c>
      <c r="B365" s="59" t="str">
        <f>Segments!$B$345</f>
        <v>Off 3-6mi</v>
      </c>
      <c r="C365" s="59" t="str">
        <f>Segments!$C$345</f>
        <v>No</v>
      </c>
      <c r="D365" s="59" t="str">
        <f>Segments!$D$345</f>
        <v>&lt;1.0</v>
      </c>
      <c r="E365" s="59" t="str">
        <f>Segments!$E$345</f>
        <v>Freshman</v>
      </c>
      <c r="F365" s="59">
        <f>Segments!$F$345</f>
        <v>1</v>
      </c>
      <c r="G365" s="59" t="str">
        <f>Segments!$G$345</f>
        <v>Base</v>
      </c>
      <c r="H365" s="60">
        <f>Segments!$H$345</f>
        <v>0</v>
      </c>
      <c r="I365" s="26">
        <f>Segments!$Y$345</f>
        <v>4863.499340731837</v>
      </c>
      <c r="J365" s="29">
        <v>0</v>
      </c>
      <c r="K365" s="14">
        <f t="shared" si="195"/>
        <v>7950.0957514100282</v>
      </c>
      <c r="L365" s="14">
        <f t="shared" si="196"/>
        <v>4863.499340731837</v>
      </c>
      <c r="M365" s="14">
        <f t="shared" si="197"/>
        <v>7950.0957514100282</v>
      </c>
      <c r="N365" s="14">
        <f t="shared" si="198"/>
        <v>3367.2931678575428</v>
      </c>
      <c r="O365" s="14">
        <f t="shared" si="199"/>
        <v>7950.0957514100282</v>
      </c>
      <c r="P365" s="33">
        <f t="shared" si="200"/>
        <v>0.3</v>
      </c>
      <c r="Q365" s="33">
        <f t="shared" si="201"/>
        <v>0.02</v>
      </c>
      <c r="R365" s="51">
        <f t="shared" si="202"/>
        <v>0</v>
      </c>
      <c r="S365" s="51">
        <f>APPLICANTS_PER_YEAR*($H365/Segments!$AH$2)*Q365</f>
        <v>0</v>
      </c>
      <c r="T365" s="51">
        <f t="shared" si="203"/>
        <v>0</v>
      </c>
      <c r="U365" s="14">
        <f t="shared" si="204"/>
        <v>7950.0957514100282</v>
      </c>
      <c r="V365" s="44">
        <f t="shared" si="205"/>
        <v>0</v>
      </c>
      <c r="W365" s="44">
        <f t="shared" si="206"/>
        <v>0</v>
      </c>
      <c r="X365" s="44">
        <f t="shared" si="207"/>
        <v>0</v>
      </c>
      <c r="Y365" s="14">
        <f t="shared" si="208"/>
        <v>8187.348623952329</v>
      </c>
      <c r="Z365" s="14">
        <f t="shared" si="209"/>
        <v>5009.4043209537922</v>
      </c>
      <c r="AA365" s="14">
        <f t="shared" si="210"/>
        <v>8187.348623952329</v>
      </c>
      <c r="AB365" s="14">
        <f t="shared" si="211"/>
        <v>3468.0472316727</v>
      </c>
      <c r="AC365" s="14">
        <f t="shared" si="212"/>
        <v>8187.348623952329</v>
      </c>
      <c r="AD365" s="33">
        <f t="shared" si="213"/>
        <v>0.3</v>
      </c>
      <c r="AE365" s="33">
        <f t="shared" si="214"/>
        <v>0.02</v>
      </c>
      <c r="AF365" s="51">
        <f t="shared" si="215"/>
        <v>0</v>
      </c>
      <c r="AG365" s="51">
        <f>APPLICANTS_PER_YEAR*($H365/Segments!$AH$2)*AE365</f>
        <v>0</v>
      </c>
      <c r="AH365" s="51">
        <f t="shared" si="216"/>
        <v>0</v>
      </c>
      <c r="AI365" s="14">
        <f t="shared" si="217"/>
        <v>8187.348623952329</v>
      </c>
      <c r="AJ365" s="44">
        <f t="shared" si="218"/>
        <v>0</v>
      </c>
      <c r="AK365" s="44">
        <f t="shared" si="219"/>
        <v>0</v>
      </c>
      <c r="AL365" s="44">
        <f t="shared" si="220"/>
        <v>0</v>
      </c>
      <c r="AM365" s="14">
        <f t="shared" si="221"/>
        <v>8431.7190826708975</v>
      </c>
      <c r="AN365" s="14">
        <f t="shared" si="222"/>
        <v>5159.686450582406</v>
      </c>
      <c r="AO365" s="14">
        <f t="shared" si="223"/>
        <v>8431.7190826708975</v>
      </c>
      <c r="AP365" s="14">
        <f t="shared" si="224"/>
        <v>3571.8238974870355</v>
      </c>
      <c r="AQ365" s="14">
        <f t="shared" si="225"/>
        <v>8431.7190826708975</v>
      </c>
      <c r="AR365" s="33">
        <f t="shared" si="226"/>
        <v>0.3</v>
      </c>
      <c r="AS365" s="33">
        <f t="shared" si="227"/>
        <v>0.02</v>
      </c>
      <c r="AT365" s="51">
        <f t="shared" si="228"/>
        <v>0</v>
      </c>
      <c r="AU365" s="51">
        <f>APPLICANTS_PER_YEAR*($H365/Segments!$AH$2)*AS365</f>
        <v>0</v>
      </c>
      <c r="AV365" s="51">
        <f t="shared" si="229"/>
        <v>0</v>
      </c>
      <c r="AW365" s="14">
        <f t="shared" si="230"/>
        <v>8431.7190826708975</v>
      </c>
      <c r="AX365" s="44">
        <f t="shared" si="231"/>
        <v>0</v>
      </c>
      <c r="AY365" s="44">
        <f t="shared" si="232"/>
        <v>0</v>
      </c>
      <c r="AZ365" s="44">
        <f t="shared" si="233"/>
        <v>0</v>
      </c>
    </row>
    <row r="366" spans="1:52" ht="15" customHeight="1" x14ac:dyDescent="0.35">
      <c r="A366" s="59" t="str">
        <f>Segments!$A$346</f>
        <v>Greek</v>
      </c>
      <c r="B366" s="59" t="str">
        <f>Segments!$B$346</f>
        <v>Off 3-6mi</v>
      </c>
      <c r="C366" s="59" t="str">
        <f>Segments!$C$346</f>
        <v>No</v>
      </c>
      <c r="D366" s="59" t="str">
        <f>Segments!$D$346</f>
        <v>&lt;1.0</v>
      </c>
      <c r="E366" s="59" t="str">
        <f>Segments!$E$346</f>
        <v>Sophomore</v>
      </c>
      <c r="F366" s="59">
        <f>Segments!$F$346</f>
        <v>1</v>
      </c>
      <c r="G366" s="59" t="str">
        <f>Segments!$G$346</f>
        <v>Sophomore</v>
      </c>
      <c r="H366" s="60">
        <f>Segments!$H$346</f>
        <v>1</v>
      </c>
      <c r="I366" s="26">
        <f>Segments!$Y$346</f>
        <v>4814.0192793936694</v>
      </c>
      <c r="J366" s="29">
        <v>1</v>
      </c>
      <c r="K366" s="14">
        <f t="shared" si="195"/>
        <v>1426.2297754450396</v>
      </c>
      <c r="L366" s="14">
        <f t="shared" si="196"/>
        <v>4814.0192793936694</v>
      </c>
      <c r="M366" s="14">
        <f t="shared" si="197"/>
        <v>7869.6373142258326</v>
      </c>
      <c r="N366" s="14">
        <f t="shared" si="198"/>
        <v>3350.2105992761431</v>
      </c>
      <c r="O366" s="14">
        <f t="shared" si="199"/>
        <v>1782.7872193062994</v>
      </c>
      <c r="P366" s="33">
        <f t="shared" si="200"/>
        <v>0.95</v>
      </c>
      <c r="Q366" s="33">
        <f t="shared" si="201"/>
        <v>0.02</v>
      </c>
      <c r="R366" s="51">
        <f t="shared" si="202"/>
        <v>0</v>
      </c>
      <c r="S366" s="51">
        <f>APPLICANTS_PER_YEAR*($H366/Segments!$AH$2)*Q366</f>
        <v>2.4E-2</v>
      </c>
      <c r="T366" s="51">
        <f t="shared" si="203"/>
        <v>2.4E-2</v>
      </c>
      <c r="U366" s="14">
        <f t="shared" si="204"/>
        <v>7869.6373142258326</v>
      </c>
      <c r="V366" s="44">
        <f t="shared" si="205"/>
        <v>188.87129554141998</v>
      </c>
      <c r="W366" s="44">
        <f t="shared" si="206"/>
        <v>129.40083823010187</v>
      </c>
      <c r="X366" s="44">
        <f t="shared" si="207"/>
        <v>43.387170201278074</v>
      </c>
      <c r="Y366" s="14">
        <f t="shared" si="208"/>
        <v>7950.0957514100282</v>
      </c>
      <c r="Z366" s="14">
        <f t="shared" si="209"/>
        <v>4958.43985777548</v>
      </c>
      <c r="AA366" s="14">
        <f t="shared" si="210"/>
        <v>8104.4764336526086</v>
      </c>
      <c r="AB366" s="14">
        <f t="shared" si="211"/>
        <v>3450.4508360778032</v>
      </c>
      <c r="AC366" s="14">
        <f t="shared" si="212"/>
        <v>8104.4764336526086</v>
      </c>
      <c r="AD366" s="33">
        <f t="shared" si="213"/>
        <v>0.3</v>
      </c>
      <c r="AE366" s="33">
        <f t="shared" si="214"/>
        <v>0.02</v>
      </c>
      <c r="AF366" s="51">
        <f t="shared" si="215"/>
        <v>0</v>
      </c>
      <c r="AG366" s="51">
        <f>APPLICANTS_PER_YEAR*($H366/Segments!$AH$2)*AE366</f>
        <v>2.4E-2</v>
      </c>
      <c r="AH366" s="51">
        <f t="shared" si="216"/>
        <v>2.4E-2</v>
      </c>
      <c r="AI366" s="14">
        <f t="shared" si="217"/>
        <v>8104.4764336526077</v>
      </c>
      <c r="AJ366" s="44">
        <f t="shared" si="218"/>
        <v>194.5074344076626</v>
      </c>
      <c r="AK366" s="44">
        <f t="shared" si="219"/>
        <v>133.2828633770049</v>
      </c>
      <c r="AL366" s="44">
        <f t="shared" si="220"/>
        <v>44.649665307316418</v>
      </c>
      <c r="AM366" s="14">
        <f t="shared" si="221"/>
        <v>8187.348623952329</v>
      </c>
      <c r="AN366" s="14">
        <f t="shared" si="222"/>
        <v>5107.193053508744</v>
      </c>
      <c r="AO366" s="14">
        <f t="shared" si="223"/>
        <v>8346.3607266621857</v>
      </c>
      <c r="AP366" s="14">
        <f t="shared" si="224"/>
        <v>3553.698259761994</v>
      </c>
      <c r="AQ366" s="14">
        <f t="shared" si="225"/>
        <v>8346.3607266621857</v>
      </c>
      <c r="AR366" s="33">
        <f t="shared" si="226"/>
        <v>0.3</v>
      </c>
      <c r="AS366" s="33">
        <f t="shared" si="227"/>
        <v>0.02</v>
      </c>
      <c r="AT366" s="51">
        <f t="shared" si="228"/>
        <v>0</v>
      </c>
      <c r="AU366" s="51">
        <f>APPLICANTS_PER_YEAR*($H366/Segments!$AH$2)*AS366</f>
        <v>2.4E-2</v>
      </c>
      <c r="AV366" s="51">
        <f t="shared" si="229"/>
        <v>2.4E-2</v>
      </c>
      <c r="AW366" s="14">
        <f t="shared" si="230"/>
        <v>8346.3607266621857</v>
      </c>
      <c r="AX366" s="44">
        <f t="shared" si="231"/>
        <v>200.31265743989246</v>
      </c>
      <c r="AY366" s="44">
        <f t="shared" si="232"/>
        <v>137.28134927831505</v>
      </c>
      <c r="AZ366" s="44">
        <f t="shared" si="233"/>
        <v>45.950035266535913</v>
      </c>
    </row>
    <row r="367" spans="1:52" ht="15" customHeight="1" x14ac:dyDescent="0.35">
      <c r="A367" s="59" t="str">
        <f>Segments!$A$347</f>
        <v>Greek</v>
      </c>
      <c r="B367" s="59" t="str">
        <f>Segments!$B$347</f>
        <v>Off 3-6mi</v>
      </c>
      <c r="C367" s="59" t="str">
        <f>Segments!$C$347</f>
        <v>No</v>
      </c>
      <c r="D367" s="59" t="str">
        <f>Segments!$D$347</f>
        <v>&lt;1.0</v>
      </c>
      <c r="E367" s="59" t="str">
        <f>Segments!$E$347</f>
        <v>Junior</v>
      </c>
      <c r="F367" s="59">
        <f>Segments!$F$347</f>
        <v>2</v>
      </c>
      <c r="G367" s="59" t="str">
        <f>Segments!$G$347</f>
        <v>Base</v>
      </c>
      <c r="H367" s="60">
        <f>Segments!$H$347</f>
        <v>0</v>
      </c>
      <c r="I367" s="26">
        <f>Segments!$Y$347</f>
        <v>5754.8020005107137</v>
      </c>
      <c r="J367" s="29">
        <v>2</v>
      </c>
      <c r="K367" s="14">
        <f t="shared" si="195"/>
        <v>1426.2297754450396</v>
      </c>
      <c r="L367" s="14">
        <f t="shared" si="196"/>
        <v>5754.8020005107137</v>
      </c>
      <c r="M367" s="14">
        <f t="shared" si="197"/>
        <v>9399.423361855168</v>
      </c>
      <c r="N367" s="14">
        <f t="shared" si="198"/>
        <v>3661.3846384519006</v>
      </c>
      <c r="O367" s="14">
        <f t="shared" si="199"/>
        <v>1782.7872193062994</v>
      </c>
      <c r="P367" s="33">
        <f t="shared" si="200"/>
        <v>0.95</v>
      </c>
      <c r="Q367" s="33">
        <f t="shared" si="201"/>
        <v>0.02</v>
      </c>
      <c r="R367" s="51">
        <f t="shared" si="202"/>
        <v>0.95</v>
      </c>
      <c r="S367" s="51">
        <f>APPLICANTS_PER_YEAR*($H367/Segments!$AH$2)*Q367</f>
        <v>0</v>
      </c>
      <c r="T367" s="51">
        <f t="shared" si="203"/>
        <v>0.95</v>
      </c>
      <c r="U367" s="14">
        <f t="shared" si="204"/>
        <v>1782.7872193062994</v>
      </c>
      <c r="V367" s="44">
        <f t="shared" si="205"/>
        <v>1693.6478583409844</v>
      </c>
      <c r="W367" s="44">
        <f t="shared" si="206"/>
        <v>6123.1093285433999</v>
      </c>
      <c r="X367" s="44">
        <f t="shared" si="207"/>
        <v>339.09944522644605</v>
      </c>
      <c r="Y367" s="14">
        <f t="shared" si="208"/>
        <v>7869.6373142258326</v>
      </c>
      <c r="Z367" s="14">
        <f t="shared" si="209"/>
        <v>5927.4460605260356</v>
      </c>
      <c r="AA367" s="14">
        <f t="shared" si="210"/>
        <v>9680.1560627108229</v>
      </c>
      <c r="AB367" s="14">
        <f t="shared" si="211"/>
        <v>3770.9827116841552</v>
      </c>
      <c r="AC367" s="14">
        <f t="shared" si="212"/>
        <v>9680.1560627108229</v>
      </c>
      <c r="AD367" s="33">
        <f t="shared" si="213"/>
        <v>0.3</v>
      </c>
      <c r="AE367" s="33">
        <f t="shared" si="214"/>
        <v>0.02</v>
      </c>
      <c r="AF367" s="51">
        <f t="shared" si="215"/>
        <v>7.1999999999999998E-3</v>
      </c>
      <c r="AG367" s="51">
        <f>APPLICANTS_PER_YEAR*($H367/Segments!$AH$2)*AE367</f>
        <v>0</v>
      </c>
      <c r="AH367" s="51">
        <f t="shared" si="216"/>
        <v>7.1999999999999998E-3</v>
      </c>
      <c r="AI367" s="14">
        <f t="shared" si="217"/>
        <v>9680.1560627108229</v>
      </c>
      <c r="AJ367" s="44">
        <f t="shared" si="218"/>
        <v>69.697123651517927</v>
      </c>
      <c r="AK367" s="44">
        <f t="shared" si="219"/>
        <v>47.798925032081954</v>
      </c>
      <c r="AL367" s="44">
        <f t="shared" si="220"/>
        <v>13.316756370136888</v>
      </c>
      <c r="AM367" s="14">
        <f t="shared" si="221"/>
        <v>8104.4764336526077</v>
      </c>
      <c r="AN367" s="14">
        <f t="shared" si="222"/>
        <v>6105.2694423418161</v>
      </c>
      <c r="AO367" s="14">
        <f t="shared" si="223"/>
        <v>9969.3107445921469</v>
      </c>
      <c r="AP367" s="14">
        <f t="shared" si="224"/>
        <v>3883.8687116224346</v>
      </c>
      <c r="AQ367" s="14">
        <f t="shared" si="225"/>
        <v>9969.3107445921469</v>
      </c>
      <c r="AR367" s="33">
        <f t="shared" si="226"/>
        <v>0.3</v>
      </c>
      <c r="AS367" s="33">
        <f t="shared" si="227"/>
        <v>0.02</v>
      </c>
      <c r="AT367" s="51">
        <f t="shared" si="228"/>
        <v>7.1999999999999998E-3</v>
      </c>
      <c r="AU367" s="51">
        <f>APPLICANTS_PER_YEAR*($H367/Segments!$AH$2)*AS367</f>
        <v>0</v>
      </c>
      <c r="AV367" s="51">
        <f t="shared" si="229"/>
        <v>7.1999999999999998E-3</v>
      </c>
      <c r="AW367" s="14">
        <f t="shared" si="230"/>
        <v>9969.3107445921469</v>
      </c>
      <c r="AX367" s="44">
        <f t="shared" si="231"/>
        <v>71.779037361063459</v>
      </c>
      <c r="AY367" s="44">
        <f t="shared" si="232"/>
        <v>49.232892783044413</v>
      </c>
      <c r="AZ367" s="44">
        <f t="shared" si="233"/>
        <v>13.710238061240993</v>
      </c>
    </row>
    <row r="368" spans="1:52" ht="15" customHeight="1" x14ac:dyDescent="0.35">
      <c r="A368" s="59" t="str">
        <f>Segments!$A$348</f>
        <v>Greek</v>
      </c>
      <c r="B368" s="59" t="str">
        <f>Segments!$B$348</f>
        <v>Off 3-6mi</v>
      </c>
      <c r="C368" s="59" t="str">
        <f>Segments!$C$348</f>
        <v>No</v>
      </c>
      <c r="D368" s="59" t="str">
        <f>Segments!$D$348</f>
        <v>&lt;1.0</v>
      </c>
      <c r="E368" s="59" t="str">
        <f>Segments!$E$348</f>
        <v>Senior</v>
      </c>
      <c r="F368" s="59">
        <f>Segments!$F$348</f>
        <v>3</v>
      </c>
      <c r="G368" s="59" t="str">
        <f>Segments!$G$348</f>
        <v>Base</v>
      </c>
      <c r="H368" s="60">
        <f>Segments!$H$348</f>
        <v>0</v>
      </c>
      <c r="I368" s="26">
        <f>Segments!$Y$348</f>
        <v>5378.9412442328257</v>
      </c>
      <c r="J368" s="29">
        <v>3</v>
      </c>
      <c r="K368" s="14">
        <f t="shared" si="195"/>
        <v>1426.2297754450396</v>
      </c>
      <c r="L368" s="14">
        <f t="shared" si="196"/>
        <v>5378.9412442328257</v>
      </c>
      <c r="M368" s="14">
        <f t="shared" si="197"/>
        <v>8788.2444701737713</v>
      </c>
      <c r="N368" s="14">
        <f t="shared" si="198"/>
        <v>3540.3468667987959</v>
      </c>
      <c r="O368" s="14">
        <f t="shared" si="199"/>
        <v>1782.7872193062994</v>
      </c>
      <c r="P368" s="33">
        <f t="shared" si="200"/>
        <v>0.95</v>
      </c>
      <c r="Q368" s="33">
        <f t="shared" si="201"/>
        <v>0.02</v>
      </c>
      <c r="R368" s="51">
        <f t="shared" si="202"/>
        <v>0</v>
      </c>
      <c r="S368" s="51">
        <f>APPLICANTS_PER_YEAR*($H368/Segments!$AH$2)*Q368</f>
        <v>0</v>
      </c>
      <c r="T368" s="51">
        <f t="shared" si="203"/>
        <v>0</v>
      </c>
      <c r="U368" s="14">
        <f t="shared" si="204"/>
        <v>8788.2444701737713</v>
      </c>
      <c r="V368" s="44">
        <f t="shared" si="205"/>
        <v>0</v>
      </c>
      <c r="W368" s="44">
        <f t="shared" si="206"/>
        <v>0</v>
      </c>
      <c r="X368" s="44">
        <f t="shared" si="207"/>
        <v>0</v>
      </c>
      <c r="Y368" s="14">
        <f t="shared" si="208"/>
        <v>1782.7872193062994</v>
      </c>
      <c r="Z368" s="14">
        <f t="shared" si="209"/>
        <v>5540.3094815598106</v>
      </c>
      <c r="AA368" s="14">
        <f t="shared" si="210"/>
        <v>9050.6418042789846</v>
      </c>
      <c r="AB368" s="14">
        <f t="shared" si="211"/>
        <v>3646.3054826762404</v>
      </c>
      <c r="AC368" s="14">
        <f t="shared" si="212"/>
        <v>2228.4840241328743</v>
      </c>
      <c r="AD368" s="33">
        <f t="shared" si="213"/>
        <v>0.95</v>
      </c>
      <c r="AE368" s="33">
        <f t="shared" si="214"/>
        <v>0.02</v>
      </c>
      <c r="AF368" s="51">
        <f t="shared" si="215"/>
        <v>0.90249999999999997</v>
      </c>
      <c r="AG368" s="51">
        <f>APPLICANTS_PER_YEAR*($H368/Segments!$AH$2)*AE368</f>
        <v>0</v>
      </c>
      <c r="AH368" s="51">
        <f t="shared" si="216"/>
        <v>0.90249999999999997</v>
      </c>
      <c r="AI368" s="14">
        <f t="shared" si="217"/>
        <v>2228.4840241328743</v>
      </c>
      <c r="AJ368" s="44">
        <f t="shared" si="218"/>
        <v>2011.206831779919</v>
      </c>
      <c r="AK368" s="44">
        <f t="shared" si="219"/>
        <v>5600.144823960657</v>
      </c>
      <c r="AL368" s="44">
        <f t="shared" si="220"/>
        <v>398.16809120640471</v>
      </c>
      <c r="AM368" s="14">
        <f t="shared" si="221"/>
        <v>9680.1560627108229</v>
      </c>
      <c r="AN368" s="14">
        <f t="shared" si="222"/>
        <v>5706.5187660066049</v>
      </c>
      <c r="AO368" s="14">
        <f t="shared" si="223"/>
        <v>9320.9110584073533</v>
      </c>
      <c r="AP368" s="14">
        <f t="shared" si="224"/>
        <v>3755.4428398950818</v>
      </c>
      <c r="AQ368" s="14">
        <f t="shared" si="225"/>
        <v>9320.9110584073533</v>
      </c>
      <c r="AR368" s="33">
        <f t="shared" si="226"/>
        <v>0.3</v>
      </c>
      <c r="AS368" s="33">
        <f t="shared" si="227"/>
        <v>0.02</v>
      </c>
      <c r="AT368" s="51">
        <f t="shared" si="228"/>
        <v>2.16E-3</v>
      </c>
      <c r="AU368" s="51">
        <f>APPLICANTS_PER_YEAR*($H368/Segments!$AH$2)*AS368</f>
        <v>0</v>
      </c>
      <c r="AV368" s="51">
        <f t="shared" si="229"/>
        <v>2.16E-3</v>
      </c>
      <c r="AW368" s="14">
        <f t="shared" si="230"/>
        <v>9320.9110584073533</v>
      </c>
      <c r="AX368" s="44">
        <f t="shared" si="231"/>
        <v>20.133167886159882</v>
      </c>
      <c r="AY368" s="44">
        <f t="shared" si="232"/>
        <v>13.805210198723181</v>
      </c>
      <c r="AZ368" s="44">
        <f t="shared" si="233"/>
        <v>3.8483687304842178</v>
      </c>
    </row>
    <row r="369" spans="1:52" ht="15" customHeight="1" x14ac:dyDescent="0.35">
      <c r="A369" s="59" t="str">
        <f>Segments!$A$349</f>
        <v>Greek</v>
      </c>
      <c r="B369" s="59" t="str">
        <f>Segments!$B$349</f>
        <v>Off 3-6mi</v>
      </c>
      <c r="C369" s="59" t="str">
        <f>Segments!$C$349</f>
        <v>No</v>
      </c>
      <c r="D369" s="59" t="str">
        <f>Segments!$D$349</f>
        <v>&lt;1.0</v>
      </c>
      <c r="E369" s="59" t="str">
        <f>Segments!$E$349</f>
        <v>Grad student</v>
      </c>
      <c r="F369" s="59">
        <f>Segments!$F$349</f>
        <v>3</v>
      </c>
      <c r="G369" s="59" t="str">
        <f>Segments!$G$349</f>
        <v>Grad</v>
      </c>
      <c r="H369" s="60">
        <f>Segments!$H$349</f>
        <v>0</v>
      </c>
      <c r="I369" s="26">
        <f>Segments!$Y$349</f>
        <v>6404.6000573631418</v>
      </c>
      <c r="J369" s="29">
        <v>4</v>
      </c>
      <c r="K369" s="14">
        <f t="shared" si="195"/>
        <v>1426.2297754450396</v>
      </c>
      <c r="L369" s="14">
        <f t="shared" si="196"/>
        <v>6404.6000573631418</v>
      </c>
      <c r="M369" s="14">
        <f t="shared" si="197"/>
        <v>10456.045660327236</v>
      </c>
      <c r="N369" s="14">
        <f t="shared" si="198"/>
        <v>3861.699581035738</v>
      </c>
      <c r="O369" s="14">
        <f t="shared" si="199"/>
        <v>1782.7872193062994</v>
      </c>
      <c r="P369" s="33">
        <f t="shared" si="200"/>
        <v>0.95</v>
      </c>
      <c r="Q369" s="33">
        <f t="shared" si="201"/>
        <v>0.02</v>
      </c>
      <c r="R369" s="51">
        <f t="shared" si="202"/>
        <v>0</v>
      </c>
      <c r="S369" s="51">
        <f>APPLICANTS_PER_YEAR*($H369/Segments!$AH$2)*Q369</f>
        <v>0</v>
      </c>
      <c r="T369" s="51">
        <f t="shared" si="203"/>
        <v>0</v>
      </c>
      <c r="U369" s="14">
        <f t="shared" si="204"/>
        <v>10456.045660327236</v>
      </c>
      <c r="V369" s="44">
        <f t="shared" si="205"/>
        <v>0</v>
      </c>
      <c r="W369" s="44">
        <f t="shared" si="206"/>
        <v>0</v>
      </c>
      <c r="X369" s="44">
        <f t="shared" si="207"/>
        <v>0</v>
      </c>
      <c r="Y369" s="14">
        <f t="shared" si="208"/>
        <v>10456.045660327236</v>
      </c>
      <c r="Z369" s="14">
        <f t="shared" si="209"/>
        <v>6596.7380590840366</v>
      </c>
      <c r="AA369" s="14">
        <f t="shared" si="210"/>
        <v>10768.477030137054</v>
      </c>
      <c r="AB369" s="14">
        <f t="shared" si="211"/>
        <v>3977.319732417141</v>
      </c>
      <c r="AC369" s="14">
        <f t="shared" si="212"/>
        <v>10768.477030137054</v>
      </c>
      <c r="AD369" s="33">
        <f t="shared" si="213"/>
        <v>0.3</v>
      </c>
      <c r="AE369" s="33">
        <f t="shared" si="214"/>
        <v>0.02</v>
      </c>
      <c r="AF369" s="51">
        <f t="shared" si="215"/>
        <v>0</v>
      </c>
      <c r="AG369" s="51">
        <f>APPLICANTS_PER_YEAR*($H369/Segments!$AH$2)*AE369</f>
        <v>0</v>
      </c>
      <c r="AH369" s="51">
        <f t="shared" si="216"/>
        <v>0</v>
      </c>
      <c r="AI369" s="14">
        <f t="shared" si="217"/>
        <v>10768.477030137054</v>
      </c>
      <c r="AJ369" s="44">
        <f t="shared" si="218"/>
        <v>0</v>
      </c>
      <c r="AK369" s="44">
        <f t="shared" si="219"/>
        <v>0</v>
      </c>
      <c r="AL369" s="44">
        <f t="shared" si="220"/>
        <v>0</v>
      </c>
      <c r="AM369" s="14">
        <f t="shared" si="221"/>
        <v>10768.477030137054</v>
      </c>
      <c r="AN369" s="14">
        <f t="shared" si="222"/>
        <v>6794.6402008565565</v>
      </c>
      <c r="AO369" s="14">
        <f t="shared" si="223"/>
        <v>11090.281341041164</v>
      </c>
      <c r="AP369" s="14">
        <f t="shared" si="224"/>
        <v>4096.4084751370647</v>
      </c>
      <c r="AQ369" s="14">
        <f t="shared" si="225"/>
        <v>11090.281341041164</v>
      </c>
      <c r="AR369" s="33">
        <f t="shared" si="226"/>
        <v>0.3</v>
      </c>
      <c r="AS369" s="33">
        <f t="shared" si="227"/>
        <v>0.02</v>
      </c>
      <c r="AT369" s="51">
        <f t="shared" si="228"/>
        <v>0</v>
      </c>
      <c r="AU369" s="51">
        <f>APPLICANTS_PER_YEAR*($H369/Segments!$AH$2)*AS369</f>
        <v>0</v>
      </c>
      <c r="AV369" s="51">
        <f t="shared" si="229"/>
        <v>0</v>
      </c>
      <c r="AW369" s="14">
        <f t="shared" si="230"/>
        <v>11090.281341041164</v>
      </c>
      <c r="AX369" s="44">
        <f t="shared" si="231"/>
        <v>0</v>
      </c>
      <c r="AY369" s="44">
        <f t="shared" si="232"/>
        <v>0</v>
      </c>
      <c r="AZ369" s="44">
        <f t="shared" si="233"/>
        <v>0</v>
      </c>
    </row>
    <row r="370" spans="1:52" ht="15" customHeight="1" x14ac:dyDescent="0.35">
      <c r="A370" s="61" t="str">
        <f>Segments!$A$350</f>
        <v>Greek</v>
      </c>
      <c r="B370" s="61" t="str">
        <f>Segments!$B$350</f>
        <v>Off 3-6mi</v>
      </c>
      <c r="C370" s="61" t="str">
        <f>Segments!$C$350</f>
        <v>No</v>
      </c>
      <c r="D370" s="61" t="str">
        <f>Segments!$D$350</f>
        <v>1.0-2.0</v>
      </c>
      <c r="E370" s="61" t="str">
        <f>Segments!$E$350</f>
        <v>Freshman</v>
      </c>
      <c r="F370" s="61">
        <f>Segments!$F$350</f>
        <v>1</v>
      </c>
      <c r="G370" s="61" t="str">
        <f>Segments!$G$350</f>
        <v>Base</v>
      </c>
      <c r="H370" s="62">
        <f>Segments!$H$350</f>
        <v>4</v>
      </c>
      <c r="I370" s="63">
        <f>Segments!$Y$350</f>
        <v>4413.2418371730728</v>
      </c>
      <c r="J370" s="42">
        <v>0</v>
      </c>
      <c r="K370" s="40">
        <f t="shared" si="195"/>
        <v>7217.9419487054411</v>
      </c>
      <c r="L370" s="40">
        <f t="shared" si="196"/>
        <v>4413.2418371730728</v>
      </c>
      <c r="M370" s="40">
        <f t="shared" si="197"/>
        <v>7217.9419487054411</v>
      </c>
      <c r="N370" s="40">
        <f t="shared" si="198"/>
        <v>3208.4955547230379</v>
      </c>
      <c r="O370" s="40">
        <f t="shared" si="199"/>
        <v>7217.9419487054411</v>
      </c>
      <c r="P370" s="41">
        <f t="shared" si="200"/>
        <v>0.3</v>
      </c>
      <c r="Q370" s="41">
        <f t="shared" si="201"/>
        <v>0.02</v>
      </c>
      <c r="R370" s="64">
        <f t="shared" si="202"/>
        <v>0</v>
      </c>
      <c r="S370" s="64">
        <f>APPLICANTS_PER_YEAR*($H370/Segments!$AH$2)*Q370</f>
        <v>9.6000000000000002E-2</v>
      </c>
      <c r="T370" s="64">
        <f t="shared" si="203"/>
        <v>9.6000000000000002E-2</v>
      </c>
      <c r="U370" s="40">
        <f t="shared" si="204"/>
        <v>7217.9419487054411</v>
      </c>
      <c r="V370" s="65">
        <f t="shared" si="205"/>
        <v>692.92242707572234</v>
      </c>
      <c r="W370" s="65">
        <f t="shared" si="206"/>
        <v>474.51176233284883</v>
      </c>
      <c r="X370" s="65">
        <f t="shared" si="207"/>
        <v>159.5346236649618</v>
      </c>
      <c r="Y370" s="40">
        <f t="shared" si="208"/>
        <v>7433.2302071666036</v>
      </c>
      <c r="Z370" s="40">
        <f t="shared" si="209"/>
        <v>4545.6390922882647</v>
      </c>
      <c r="AA370" s="40">
        <f t="shared" si="210"/>
        <v>7433.2302071666036</v>
      </c>
      <c r="AB370" s="40">
        <f t="shared" si="211"/>
        <v>3304.472586763955</v>
      </c>
      <c r="AC370" s="40">
        <f t="shared" si="212"/>
        <v>7433.2302071666036</v>
      </c>
      <c r="AD370" s="41">
        <f t="shared" si="213"/>
        <v>0.3</v>
      </c>
      <c r="AE370" s="41">
        <f t="shared" si="214"/>
        <v>0.02</v>
      </c>
      <c r="AF370" s="64">
        <f t="shared" si="215"/>
        <v>0</v>
      </c>
      <c r="AG370" s="64">
        <f>APPLICANTS_PER_YEAR*($H370/Segments!$AH$2)*AE370</f>
        <v>9.6000000000000002E-2</v>
      </c>
      <c r="AH370" s="64">
        <f t="shared" si="216"/>
        <v>9.6000000000000002E-2</v>
      </c>
      <c r="AI370" s="40">
        <f t="shared" si="217"/>
        <v>7433.2302071666036</v>
      </c>
      <c r="AJ370" s="65">
        <f t="shared" si="218"/>
        <v>713.59009988799392</v>
      </c>
      <c r="AK370" s="65">
        <f t="shared" si="219"/>
        <v>488.74711520283427</v>
      </c>
      <c r="AL370" s="65">
        <f t="shared" si="220"/>
        <v>164.16418237491064</v>
      </c>
      <c r="AM370" s="40">
        <f t="shared" si="221"/>
        <v>7654.9771133816021</v>
      </c>
      <c r="AN370" s="40">
        <f t="shared" si="222"/>
        <v>4682.0082650569129</v>
      </c>
      <c r="AO370" s="40">
        <f t="shared" si="223"/>
        <v>7654.9771133816021</v>
      </c>
      <c r="AP370" s="40">
        <f t="shared" si="224"/>
        <v>3403.3289067445394</v>
      </c>
      <c r="AQ370" s="40">
        <f t="shared" si="225"/>
        <v>7654.9771133816021</v>
      </c>
      <c r="AR370" s="41">
        <f t="shared" si="226"/>
        <v>0.3</v>
      </c>
      <c r="AS370" s="41">
        <f t="shared" si="227"/>
        <v>0.02</v>
      </c>
      <c r="AT370" s="64">
        <f t="shared" si="228"/>
        <v>0</v>
      </c>
      <c r="AU370" s="64">
        <f>APPLICANTS_PER_YEAR*($H370/Segments!$AH$2)*AS370</f>
        <v>9.6000000000000002E-2</v>
      </c>
      <c r="AV370" s="64">
        <f t="shared" si="229"/>
        <v>9.6000000000000002E-2</v>
      </c>
      <c r="AW370" s="40">
        <f t="shared" si="230"/>
        <v>7654.977113381603</v>
      </c>
      <c r="AX370" s="65">
        <f t="shared" si="231"/>
        <v>734.87780288463387</v>
      </c>
      <c r="AY370" s="65">
        <f t="shared" si="232"/>
        <v>503.40952865891933</v>
      </c>
      <c r="AZ370" s="65">
        <f t="shared" si="233"/>
        <v>168.93262784615797</v>
      </c>
    </row>
    <row r="371" spans="1:52" ht="15" customHeight="1" x14ac:dyDescent="0.35">
      <c r="A371" s="61" t="str">
        <f>Segments!$A$351</f>
        <v>Greek</v>
      </c>
      <c r="B371" s="61" t="str">
        <f>Segments!$B$351</f>
        <v>Off 3-6mi</v>
      </c>
      <c r="C371" s="61" t="str">
        <f>Segments!$C$351</f>
        <v>No</v>
      </c>
      <c r="D371" s="61" t="str">
        <f>Segments!$D$351</f>
        <v>1.0-2.0</v>
      </c>
      <c r="E371" s="61" t="str">
        <f>Segments!$E$351</f>
        <v>Sophomore</v>
      </c>
      <c r="F371" s="61">
        <f>Segments!$F$351</f>
        <v>1</v>
      </c>
      <c r="G371" s="61" t="str">
        <f>Segments!$G$351</f>
        <v>Sophomore</v>
      </c>
      <c r="H371" s="62">
        <f>Segments!$H$351</f>
        <v>2</v>
      </c>
      <c r="I371" s="63">
        <f>Segments!$Y$351</f>
        <v>4368.3425863446282</v>
      </c>
      <c r="J371" s="42">
        <v>1</v>
      </c>
      <c r="K371" s="40">
        <f t="shared" si="195"/>
        <v>1426.2297754450396</v>
      </c>
      <c r="L371" s="40">
        <f t="shared" si="196"/>
        <v>4368.3425863446282</v>
      </c>
      <c r="M371" s="40">
        <f t="shared" si="197"/>
        <v>7144.9322665284453</v>
      </c>
      <c r="N371" s="40">
        <f t="shared" si="198"/>
        <v>3192.2273011270486</v>
      </c>
      <c r="O371" s="40">
        <f t="shared" si="199"/>
        <v>1782.7872193062994</v>
      </c>
      <c r="P371" s="41">
        <f t="shared" si="200"/>
        <v>0.95</v>
      </c>
      <c r="Q371" s="41">
        <f t="shared" si="201"/>
        <v>0.02</v>
      </c>
      <c r="R371" s="64">
        <f t="shared" si="202"/>
        <v>3.8</v>
      </c>
      <c r="S371" s="64">
        <f>APPLICANTS_PER_YEAR*($H371/Segments!$AH$2)*Q371</f>
        <v>4.8000000000000001E-2</v>
      </c>
      <c r="T371" s="64">
        <f t="shared" si="203"/>
        <v>3.8479999999999999</v>
      </c>
      <c r="U371" s="40">
        <f t="shared" si="204"/>
        <v>1849.6746835128126</v>
      </c>
      <c r="V371" s="65">
        <f t="shared" si="205"/>
        <v>7117.548182157303</v>
      </c>
      <c r="W371" s="65">
        <f t="shared" si="206"/>
        <v>18826.508144924628</v>
      </c>
      <c r="X371" s="65">
        <f t="shared" si="207"/>
        <v>1435.3800926354982</v>
      </c>
      <c r="Y371" s="40">
        <f t="shared" si="208"/>
        <v>7217.9419487054411</v>
      </c>
      <c r="Z371" s="40">
        <f t="shared" si="209"/>
        <v>4499.392863934967</v>
      </c>
      <c r="AA371" s="40">
        <f t="shared" si="210"/>
        <v>7358.030234524299</v>
      </c>
      <c r="AB371" s="40">
        <f t="shared" si="211"/>
        <v>3287.7148695372753</v>
      </c>
      <c r="AC371" s="40">
        <f t="shared" si="212"/>
        <v>7358.030234524299</v>
      </c>
      <c r="AD371" s="41">
        <f t="shared" si="213"/>
        <v>0.3</v>
      </c>
      <c r="AE371" s="41">
        <f t="shared" si="214"/>
        <v>0.02</v>
      </c>
      <c r="AF371" s="64">
        <f t="shared" si="215"/>
        <v>2.8799999999999999E-2</v>
      </c>
      <c r="AG371" s="64">
        <f>APPLICANTS_PER_YEAR*($H371/Segments!$AH$2)*AE371</f>
        <v>4.8000000000000001E-2</v>
      </c>
      <c r="AH371" s="64">
        <f t="shared" si="216"/>
        <v>7.6800000000000007E-2</v>
      </c>
      <c r="AI371" s="40">
        <f t="shared" si="217"/>
        <v>7358.0302345242981</v>
      </c>
      <c r="AJ371" s="65">
        <f t="shared" si="218"/>
        <v>565.09672201146611</v>
      </c>
      <c r="AK371" s="65">
        <f t="shared" si="219"/>
        <v>387.01977658423016</v>
      </c>
      <c r="AL371" s="65">
        <f t="shared" si="220"/>
        <v>121.90077125416794</v>
      </c>
      <c r="AM371" s="40">
        <f t="shared" si="221"/>
        <v>7433.2302071666036</v>
      </c>
      <c r="AN371" s="40">
        <f t="shared" si="222"/>
        <v>4634.3746498530163</v>
      </c>
      <c r="AO371" s="40">
        <f t="shared" si="223"/>
        <v>7577.5211415600279</v>
      </c>
      <c r="AP371" s="40">
        <f t="shared" si="224"/>
        <v>3386.0670416244229</v>
      </c>
      <c r="AQ371" s="40">
        <f t="shared" si="225"/>
        <v>7577.5211415600279</v>
      </c>
      <c r="AR371" s="41">
        <f t="shared" si="226"/>
        <v>0.3</v>
      </c>
      <c r="AS371" s="41">
        <f t="shared" si="227"/>
        <v>0.02</v>
      </c>
      <c r="AT371" s="64">
        <f t="shared" si="228"/>
        <v>2.8799999999999999E-2</v>
      </c>
      <c r="AU371" s="64">
        <f>APPLICANTS_PER_YEAR*($H371/Segments!$AH$2)*AS371</f>
        <v>4.8000000000000001E-2</v>
      </c>
      <c r="AV371" s="64">
        <f t="shared" si="229"/>
        <v>7.6800000000000007E-2</v>
      </c>
      <c r="AW371" s="40">
        <f t="shared" si="230"/>
        <v>7577.5211415600279</v>
      </c>
      <c r="AX371" s="65">
        <f t="shared" si="231"/>
        <v>581.95362367181019</v>
      </c>
      <c r="AY371" s="65">
        <f t="shared" si="232"/>
        <v>398.63036988175713</v>
      </c>
      <c r="AZ371" s="65">
        <f t="shared" si="233"/>
        <v>125.45547039179296</v>
      </c>
    </row>
    <row r="372" spans="1:52" ht="15" customHeight="1" x14ac:dyDescent="0.35">
      <c r="A372" s="61" t="str">
        <f>Segments!$A$352</f>
        <v>Greek</v>
      </c>
      <c r="B372" s="61" t="str">
        <f>Segments!$B$352</f>
        <v>Off 3-6mi</v>
      </c>
      <c r="C372" s="61" t="str">
        <f>Segments!$C$352</f>
        <v>No</v>
      </c>
      <c r="D372" s="61" t="str">
        <f>Segments!$D$352</f>
        <v>1.0-2.0</v>
      </c>
      <c r="E372" s="61" t="str">
        <f>Segments!$E$352</f>
        <v>Junior</v>
      </c>
      <c r="F372" s="61">
        <f>Segments!$F$352</f>
        <v>2</v>
      </c>
      <c r="G372" s="61" t="str">
        <f>Segments!$G$352</f>
        <v>Base</v>
      </c>
      <c r="H372" s="62">
        <f>Segments!$H$352</f>
        <v>5</v>
      </c>
      <c r="I372" s="63">
        <f>Segments!$Y$352</f>
        <v>5222.0286616671965</v>
      </c>
      <c r="J372" s="42">
        <v>2</v>
      </c>
      <c r="K372" s="40">
        <f t="shared" si="195"/>
        <v>1426.2297754450396</v>
      </c>
      <c r="L372" s="40">
        <f t="shared" si="196"/>
        <v>5222.0286616671965</v>
      </c>
      <c r="M372" s="40">
        <f t="shared" si="197"/>
        <v>8533.0923780718149</v>
      </c>
      <c r="N372" s="40">
        <f t="shared" si="198"/>
        <v>3488.5742684124048</v>
      </c>
      <c r="O372" s="40">
        <f t="shared" si="199"/>
        <v>1782.7872193062994</v>
      </c>
      <c r="P372" s="41">
        <f t="shared" si="200"/>
        <v>0.95</v>
      </c>
      <c r="Q372" s="41">
        <f t="shared" si="201"/>
        <v>0.02</v>
      </c>
      <c r="R372" s="64">
        <f t="shared" si="202"/>
        <v>1.9</v>
      </c>
      <c r="S372" s="64">
        <f>APPLICANTS_PER_YEAR*($H372/Segments!$AH$2)*Q372</f>
        <v>0.12</v>
      </c>
      <c r="T372" s="64">
        <f t="shared" si="203"/>
        <v>2.02</v>
      </c>
      <c r="U372" s="40">
        <f t="shared" si="204"/>
        <v>2183.7954465596963</v>
      </c>
      <c r="V372" s="65">
        <f t="shared" si="205"/>
        <v>4411.2668020505862</v>
      </c>
      <c r="W372" s="65">
        <f t="shared" si="206"/>
        <v>11814.317644155866</v>
      </c>
      <c r="X372" s="65">
        <f t="shared" si="207"/>
        <v>912.96841357546248</v>
      </c>
      <c r="Y372" s="40">
        <f t="shared" si="208"/>
        <v>1849.6746835128126</v>
      </c>
      <c r="Z372" s="40">
        <f t="shared" si="209"/>
        <v>5378.6895215172126</v>
      </c>
      <c r="AA372" s="40">
        <f t="shared" si="210"/>
        <v>8787.8351494139697</v>
      </c>
      <c r="AB372" s="40">
        <f t="shared" si="211"/>
        <v>3592.9759693533456</v>
      </c>
      <c r="AC372" s="40">
        <f t="shared" si="212"/>
        <v>2312.093354391016</v>
      </c>
      <c r="AD372" s="41">
        <f t="shared" si="213"/>
        <v>0.95</v>
      </c>
      <c r="AE372" s="41">
        <f t="shared" si="214"/>
        <v>0.02</v>
      </c>
      <c r="AF372" s="64">
        <f t="shared" si="215"/>
        <v>3.6555999999999997</v>
      </c>
      <c r="AG372" s="64">
        <f>APPLICANTS_PER_YEAR*($H372/Segments!$AH$2)*AE372</f>
        <v>0.12</v>
      </c>
      <c r="AH372" s="64">
        <f t="shared" si="216"/>
        <v>3.7755999999999998</v>
      </c>
      <c r="AI372" s="40">
        <f t="shared" si="217"/>
        <v>2517.9120362966082</v>
      </c>
      <c r="AJ372" s="65">
        <f t="shared" si="218"/>
        <v>9506.6286842414738</v>
      </c>
      <c r="AK372" s="65">
        <f t="shared" si="219"/>
        <v>22744.713776333236</v>
      </c>
      <c r="AL372" s="65">
        <f t="shared" si="220"/>
        <v>1912.1737289491771</v>
      </c>
      <c r="AM372" s="40">
        <f t="shared" si="221"/>
        <v>7358.0302345242981</v>
      </c>
      <c r="AN372" s="40">
        <f t="shared" si="222"/>
        <v>5540.0502071627288</v>
      </c>
      <c r="AO372" s="40">
        <f t="shared" si="223"/>
        <v>9050.2202038963878</v>
      </c>
      <c r="AP372" s="40">
        <f t="shared" si="224"/>
        <v>3700.5097034132209</v>
      </c>
      <c r="AQ372" s="40">
        <f t="shared" si="225"/>
        <v>9050.2202038963878</v>
      </c>
      <c r="AR372" s="41">
        <f t="shared" si="226"/>
        <v>0.3</v>
      </c>
      <c r="AS372" s="41">
        <f t="shared" si="227"/>
        <v>0.02</v>
      </c>
      <c r="AT372" s="64">
        <f t="shared" si="228"/>
        <v>2.3040000000000001E-2</v>
      </c>
      <c r="AU372" s="64">
        <f>APPLICANTS_PER_YEAR*($H372/Segments!$AH$2)*AS372</f>
        <v>0.12</v>
      </c>
      <c r="AV372" s="64">
        <f t="shared" si="229"/>
        <v>0.14304</v>
      </c>
      <c r="AW372" s="40">
        <f t="shared" si="230"/>
        <v>9050.2202038963878</v>
      </c>
      <c r="AX372" s="65">
        <f t="shared" si="231"/>
        <v>1294.5434979653394</v>
      </c>
      <c r="AY372" s="65">
        <f t="shared" si="232"/>
        <v>887.54263542846354</v>
      </c>
      <c r="AZ372" s="65">
        <f t="shared" si="233"/>
        <v>288.54044597181399</v>
      </c>
    </row>
    <row r="373" spans="1:52" ht="15" customHeight="1" x14ac:dyDescent="0.35">
      <c r="A373" s="61" t="str">
        <f>Segments!$A$353</f>
        <v>Greek</v>
      </c>
      <c r="B373" s="61" t="str">
        <f>Segments!$B$353</f>
        <v>Off 3-6mi</v>
      </c>
      <c r="C373" s="61" t="str">
        <f>Segments!$C$353</f>
        <v>No</v>
      </c>
      <c r="D373" s="61" t="str">
        <f>Segments!$D$353</f>
        <v>1.0-2.0</v>
      </c>
      <c r="E373" s="61" t="str">
        <f>Segments!$E$353</f>
        <v>Senior</v>
      </c>
      <c r="F373" s="61">
        <f>Segments!$F$353</f>
        <v>3</v>
      </c>
      <c r="G373" s="61" t="str">
        <f>Segments!$G$353</f>
        <v>Base</v>
      </c>
      <c r="H373" s="62">
        <f>Segments!$H$353</f>
        <v>5</v>
      </c>
      <c r="I373" s="63">
        <f>Segments!$Y$353</f>
        <v>4880.9646872846124</v>
      </c>
      <c r="J373" s="42">
        <v>3</v>
      </c>
      <c r="K373" s="40">
        <f t="shared" si="195"/>
        <v>1426.2297754450396</v>
      </c>
      <c r="L373" s="40">
        <f t="shared" si="196"/>
        <v>4880.9646872846124</v>
      </c>
      <c r="M373" s="40">
        <f t="shared" si="197"/>
        <v>7978.4957664971707</v>
      </c>
      <c r="N373" s="40">
        <f t="shared" si="198"/>
        <v>3373.3022730612893</v>
      </c>
      <c r="O373" s="40">
        <f t="shared" si="199"/>
        <v>1782.7872193062994</v>
      </c>
      <c r="P373" s="41">
        <f t="shared" si="200"/>
        <v>0.95</v>
      </c>
      <c r="Q373" s="41">
        <f t="shared" si="201"/>
        <v>0.02</v>
      </c>
      <c r="R373" s="64">
        <f t="shared" si="202"/>
        <v>4.75</v>
      </c>
      <c r="S373" s="64">
        <f>APPLICANTS_PER_YEAR*($H373/Segments!$AH$2)*Q373</f>
        <v>0.12</v>
      </c>
      <c r="T373" s="64">
        <f t="shared" si="203"/>
        <v>4.87</v>
      </c>
      <c r="U373" s="40">
        <f t="shared" si="204"/>
        <v>1935.453549011208</v>
      </c>
      <c r="V373" s="65">
        <f t="shared" si="205"/>
        <v>9425.6587836845829</v>
      </c>
      <c r="W373" s="65">
        <f t="shared" si="206"/>
        <v>26622.733790325194</v>
      </c>
      <c r="X373" s="65">
        <f t="shared" si="207"/>
        <v>1915.3591923356744</v>
      </c>
      <c r="Y373" s="40">
        <f t="shared" si="208"/>
        <v>2183.7954465596963</v>
      </c>
      <c r="Z373" s="40">
        <f t="shared" si="209"/>
        <v>5027.3936279031514</v>
      </c>
      <c r="AA373" s="40">
        <f t="shared" si="210"/>
        <v>8216.600639492086</v>
      </c>
      <c r="AB373" s="40">
        <f t="shared" si="211"/>
        <v>3474.2370816531643</v>
      </c>
      <c r="AC373" s="40">
        <f t="shared" si="212"/>
        <v>2729.7443081996203</v>
      </c>
      <c r="AD373" s="41">
        <f t="shared" si="213"/>
        <v>0.88214478545305375</v>
      </c>
      <c r="AE373" s="41">
        <f t="shared" si="214"/>
        <v>0.02</v>
      </c>
      <c r="AF373" s="64">
        <f t="shared" si="215"/>
        <v>1.7819324666151686</v>
      </c>
      <c r="AG373" s="64">
        <f>APPLICANTS_PER_YEAR*($H373/Segments!$AH$2)*AE373</f>
        <v>0.12</v>
      </c>
      <c r="AH373" s="64">
        <f t="shared" si="216"/>
        <v>1.9019324666151687</v>
      </c>
      <c r="AI373" s="40">
        <f t="shared" si="217"/>
        <v>3075.9305010915673</v>
      </c>
      <c r="AJ373" s="65">
        <f t="shared" si="218"/>
        <v>5850.2120850779165</v>
      </c>
      <c r="AK373" s="65">
        <f t="shared" si="219"/>
        <v>10709.17474296681</v>
      </c>
      <c r="AL373" s="65">
        <f t="shared" si="220"/>
        <v>1181.2384560978962</v>
      </c>
      <c r="AM373" s="40">
        <f t="shared" si="221"/>
        <v>2517.9120362966082</v>
      </c>
      <c r="AN373" s="40">
        <f t="shared" si="222"/>
        <v>5178.2154367402454</v>
      </c>
      <c r="AO373" s="40">
        <f t="shared" si="223"/>
        <v>8461.8486586768486</v>
      </c>
      <c r="AP373" s="40">
        <f t="shared" si="224"/>
        <v>3578.1999146937765</v>
      </c>
      <c r="AQ373" s="40">
        <f t="shared" si="225"/>
        <v>3147.3900453707602</v>
      </c>
      <c r="AR373" s="41">
        <f t="shared" si="226"/>
        <v>0.835199245373897</v>
      </c>
      <c r="AS373" s="41">
        <f t="shared" si="227"/>
        <v>0.02</v>
      </c>
      <c r="AT373" s="64">
        <f t="shared" si="228"/>
        <v>3.1533782708336853</v>
      </c>
      <c r="AU373" s="64">
        <f>APPLICANTS_PER_YEAR*($H373/Segments!$AH$2)*AS373</f>
        <v>0.12</v>
      </c>
      <c r="AV373" s="64">
        <f t="shared" si="229"/>
        <v>3.2733782708336854</v>
      </c>
      <c r="AW373" s="40">
        <f t="shared" si="230"/>
        <v>3342.2147740857545</v>
      </c>
      <c r="AX373" s="65">
        <f t="shared" si="231"/>
        <v>10940.333217951624</v>
      </c>
      <c r="AY373" s="65">
        <f t="shared" si="232"/>
        <v>18984.288839399615</v>
      </c>
      <c r="AZ373" s="65">
        <f t="shared" si="233"/>
        <v>2171.7303079759731</v>
      </c>
    </row>
    <row r="374" spans="1:52" ht="15" customHeight="1" x14ac:dyDescent="0.35">
      <c r="A374" s="61" t="str">
        <f>Segments!$A$354</f>
        <v>Greek</v>
      </c>
      <c r="B374" s="61" t="str">
        <f>Segments!$B$354</f>
        <v>Off 3-6mi</v>
      </c>
      <c r="C374" s="61" t="str">
        <f>Segments!$C$354</f>
        <v>No</v>
      </c>
      <c r="D374" s="61" t="str">
        <f>Segments!$D$354</f>
        <v>1.0-2.0</v>
      </c>
      <c r="E374" s="61" t="str">
        <f>Segments!$E$354</f>
        <v>Grad student</v>
      </c>
      <c r="F374" s="61">
        <f>Segments!$F$354</f>
        <v>3</v>
      </c>
      <c r="G374" s="61" t="str">
        <f>Segments!$G$354</f>
        <v>Grad</v>
      </c>
      <c r="H374" s="62">
        <f>Segments!$H$354</f>
        <v>1</v>
      </c>
      <c r="I374" s="63">
        <f>Segments!$Y$354</f>
        <v>5811.6691179118943</v>
      </c>
      <c r="J374" s="42">
        <v>4</v>
      </c>
      <c r="K374" s="40">
        <f t="shared" si="195"/>
        <v>1426.2297754450396</v>
      </c>
      <c r="L374" s="40">
        <f t="shared" si="196"/>
        <v>5811.6691179118943</v>
      </c>
      <c r="M374" s="40">
        <f t="shared" si="197"/>
        <v>9491.8937280901373</v>
      </c>
      <c r="N374" s="40">
        <f t="shared" si="198"/>
        <v>3679.3506846130035</v>
      </c>
      <c r="O374" s="40">
        <f t="shared" si="199"/>
        <v>1782.7872193062994</v>
      </c>
      <c r="P374" s="41">
        <f t="shared" si="200"/>
        <v>0.95</v>
      </c>
      <c r="Q374" s="41">
        <f t="shared" si="201"/>
        <v>0.02</v>
      </c>
      <c r="R374" s="64">
        <f t="shared" si="202"/>
        <v>0.47499999999999998</v>
      </c>
      <c r="S374" s="64">
        <f>APPLICANTS_PER_YEAR*($H374/Segments!$AH$2)*Q374</f>
        <v>2.4E-2</v>
      </c>
      <c r="T374" s="64">
        <f t="shared" si="203"/>
        <v>0.499</v>
      </c>
      <c r="U374" s="40">
        <f t="shared" si="204"/>
        <v>2153.5658890674458</v>
      </c>
      <c r="V374" s="65">
        <f t="shared" si="205"/>
        <v>1074.6293786446554</v>
      </c>
      <c r="W374" s="65">
        <f t="shared" si="206"/>
        <v>3248.0256366185995</v>
      </c>
      <c r="X374" s="65">
        <f t="shared" si="207"/>
        <v>221.65814329543559</v>
      </c>
      <c r="Y374" s="40">
        <f t="shared" si="208"/>
        <v>2153.5658890674458</v>
      </c>
      <c r="Z374" s="40">
        <f t="shared" si="209"/>
        <v>5986.0191914492516</v>
      </c>
      <c r="AA374" s="40">
        <f t="shared" si="210"/>
        <v>9775.4005399328435</v>
      </c>
      <c r="AB374" s="40">
        <f t="shared" si="211"/>
        <v>3789.4889281356063</v>
      </c>
      <c r="AC374" s="40">
        <f t="shared" si="212"/>
        <v>2691.9573613343073</v>
      </c>
      <c r="AD374" s="41">
        <f t="shared" si="213"/>
        <v>0.91981261030379557</v>
      </c>
      <c r="AE374" s="41">
        <f t="shared" si="214"/>
        <v>0.02</v>
      </c>
      <c r="AF374" s="64">
        <f t="shared" si="215"/>
        <v>0.22949324627079701</v>
      </c>
      <c r="AG374" s="64">
        <f>APPLICANTS_PER_YEAR*($H374/Segments!$AH$2)*AE374</f>
        <v>2.4E-2</v>
      </c>
      <c r="AH374" s="64">
        <f t="shared" si="216"/>
        <v>0.253493246270797</v>
      </c>
      <c r="AI374" s="40">
        <f t="shared" si="217"/>
        <v>3362.5970678642307</v>
      </c>
      <c r="AJ374" s="65">
        <f t="shared" si="218"/>
        <v>852.39564663356737</v>
      </c>
      <c r="AK374" s="65">
        <f t="shared" si="219"/>
        <v>1699.505289529334</v>
      </c>
      <c r="AL374" s="65">
        <f t="shared" si="220"/>
        <v>174.98397859270375</v>
      </c>
      <c r="AM374" s="40">
        <f t="shared" si="221"/>
        <v>3362.5970678642307</v>
      </c>
      <c r="AN374" s="40">
        <f t="shared" si="222"/>
        <v>6165.599767192728</v>
      </c>
      <c r="AO374" s="40">
        <f t="shared" si="223"/>
        <v>10067.412556130826</v>
      </c>
      <c r="AP374" s="40">
        <f t="shared" si="224"/>
        <v>3902.931303698791</v>
      </c>
      <c r="AQ374" s="40">
        <f t="shared" si="225"/>
        <v>4203.2463348302881</v>
      </c>
      <c r="AR374" s="41">
        <f t="shared" si="226"/>
        <v>0.73652698987465015</v>
      </c>
      <c r="AS374" s="41">
        <f t="shared" si="227"/>
        <v>0.02</v>
      </c>
      <c r="AT374" s="64">
        <f t="shared" si="228"/>
        <v>9.3352308814691753E-2</v>
      </c>
      <c r="AU374" s="64">
        <f>APPLICANTS_PER_YEAR*($H374/Segments!$AH$2)*AS374</f>
        <v>2.4E-2</v>
      </c>
      <c r="AV374" s="64">
        <f t="shared" si="229"/>
        <v>0.11735230881469175</v>
      </c>
      <c r="AW374" s="40">
        <f t="shared" si="230"/>
        <v>5402.5409267539299</v>
      </c>
      <c r="AX374" s="65">
        <f t="shared" si="231"/>
        <v>634.00065122043816</v>
      </c>
      <c r="AY374" s="65">
        <f t="shared" si="232"/>
        <v>810.37305205627968</v>
      </c>
      <c r="AZ374" s="65">
        <f t="shared" si="233"/>
        <v>131.22979580410654</v>
      </c>
    </row>
    <row r="375" spans="1:52" ht="15" customHeight="1" x14ac:dyDescent="0.35">
      <c r="A375" s="59" t="str">
        <f>Segments!$A$355</f>
        <v>Greek</v>
      </c>
      <c r="B375" s="59" t="str">
        <f>Segments!$B$355</f>
        <v>Off 3-6mi</v>
      </c>
      <c r="C375" s="59" t="str">
        <f>Segments!$C$355</f>
        <v>No</v>
      </c>
      <c r="D375" s="59" t="str">
        <f>Segments!$D$355</f>
        <v>2.0-3.0</v>
      </c>
      <c r="E375" s="59" t="str">
        <f>Segments!$E$355</f>
        <v>Freshman</v>
      </c>
      <c r="F375" s="59">
        <f>Segments!$F$355</f>
        <v>1</v>
      </c>
      <c r="G375" s="59" t="str">
        <f>Segments!$G$355</f>
        <v>Base</v>
      </c>
      <c r="H375" s="60">
        <f>Segments!$H$355</f>
        <v>5</v>
      </c>
      <c r="I375" s="26">
        <f>Segments!$Y$355</f>
        <v>4336.8032507806984</v>
      </c>
      <c r="J375" s="29">
        <v>0</v>
      </c>
      <c r="K375" s="14">
        <f t="shared" si="195"/>
        <v>7093.6468481058882</v>
      </c>
      <c r="L375" s="14">
        <f t="shared" si="196"/>
        <v>4336.8032507806984</v>
      </c>
      <c r="M375" s="14">
        <f t="shared" si="197"/>
        <v>7093.6468481058882</v>
      </c>
      <c r="N375" s="14">
        <f t="shared" si="198"/>
        <v>3180.7499667940697</v>
      </c>
      <c r="O375" s="14">
        <f t="shared" si="199"/>
        <v>7093.6468481058882</v>
      </c>
      <c r="P375" s="33">
        <f t="shared" si="200"/>
        <v>0.3</v>
      </c>
      <c r="Q375" s="33">
        <f t="shared" si="201"/>
        <v>0.02</v>
      </c>
      <c r="R375" s="51">
        <f t="shared" si="202"/>
        <v>0</v>
      </c>
      <c r="S375" s="51">
        <f>APPLICANTS_PER_YEAR*($H375/Segments!$AH$2)*Q375</f>
        <v>0.12</v>
      </c>
      <c r="T375" s="51">
        <f t="shared" si="203"/>
        <v>0.12</v>
      </c>
      <c r="U375" s="14">
        <f t="shared" si="204"/>
        <v>7093.6468481058882</v>
      </c>
      <c r="V375" s="44">
        <f t="shared" si="205"/>
        <v>851.23762177270658</v>
      </c>
      <c r="W375" s="44">
        <f t="shared" si="206"/>
        <v>582.86635690492585</v>
      </c>
      <c r="X375" s="44">
        <f t="shared" si="207"/>
        <v>196.07722727708628</v>
      </c>
      <c r="Y375" s="14">
        <f t="shared" si="208"/>
        <v>7305.206253549065</v>
      </c>
      <c r="Z375" s="14">
        <f t="shared" si="209"/>
        <v>4466.9073483041193</v>
      </c>
      <c r="AA375" s="14">
        <f t="shared" si="210"/>
        <v>7305.206253549065</v>
      </c>
      <c r="AB375" s="14">
        <f t="shared" si="211"/>
        <v>3275.8922074476673</v>
      </c>
      <c r="AC375" s="14">
        <f t="shared" si="212"/>
        <v>7305.206253549065</v>
      </c>
      <c r="AD375" s="33">
        <f t="shared" si="213"/>
        <v>0.3</v>
      </c>
      <c r="AE375" s="33">
        <f t="shared" si="214"/>
        <v>0.02</v>
      </c>
      <c r="AF375" s="51">
        <f t="shared" si="215"/>
        <v>0</v>
      </c>
      <c r="AG375" s="51">
        <f>APPLICANTS_PER_YEAR*($H375/Segments!$AH$2)*AE375</f>
        <v>0.12</v>
      </c>
      <c r="AH375" s="51">
        <f t="shared" si="216"/>
        <v>0.12</v>
      </c>
      <c r="AI375" s="14">
        <f t="shared" si="217"/>
        <v>7305.206253549065</v>
      </c>
      <c r="AJ375" s="44">
        <f t="shared" si="218"/>
        <v>876.62475042588778</v>
      </c>
      <c r="AK375" s="44">
        <f t="shared" si="219"/>
        <v>600.35234761207369</v>
      </c>
      <c r="AL375" s="44">
        <f t="shared" si="220"/>
        <v>201.76394409539887</v>
      </c>
      <c r="AM375" s="14">
        <f t="shared" si="221"/>
        <v>7523.1124411555365</v>
      </c>
      <c r="AN375" s="14">
        <f t="shared" si="222"/>
        <v>4600.9145687532427</v>
      </c>
      <c r="AO375" s="14">
        <f t="shared" si="223"/>
        <v>7523.1124411555365</v>
      </c>
      <c r="AP375" s="14">
        <f t="shared" si="224"/>
        <v>3373.8886916914889</v>
      </c>
      <c r="AQ375" s="14">
        <f t="shared" si="225"/>
        <v>7523.1124411555365</v>
      </c>
      <c r="AR375" s="33">
        <f t="shared" si="226"/>
        <v>0.3</v>
      </c>
      <c r="AS375" s="33">
        <f t="shared" si="227"/>
        <v>0.02</v>
      </c>
      <c r="AT375" s="51">
        <f t="shared" si="228"/>
        <v>0</v>
      </c>
      <c r="AU375" s="51">
        <f>APPLICANTS_PER_YEAR*($H375/Segments!$AH$2)*AS375</f>
        <v>0.12</v>
      </c>
      <c r="AV375" s="51">
        <f t="shared" si="229"/>
        <v>0.12</v>
      </c>
      <c r="AW375" s="14">
        <f t="shared" si="230"/>
        <v>7523.1124411555365</v>
      </c>
      <c r="AX375" s="44">
        <f t="shared" si="231"/>
        <v>902.77349293866439</v>
      </c>
      <c r="AY375" s="44">
        <f t="shared" si="232"/>
        <v>618.36291804043583</v>
      </c>
      <c r="AZ375" s="44">
        <f t="shared" si="233"/>
        <v>207.62126241826084</v>
      </c>
    </row>
    <row r="376" spans="1:52" ht="15" customHeight="1" x14ac:dyDescent="0.35">
      <c r="A376" s="59" t="str">
        <f>Segments!$A$356</f>
        <v>Greek</v>
      </c>
      <c r="B376" s="59" t="str">
        <f>Segments!$B$356</f>
        <v>Off 3-6mi</v>
      </c>
      <c r="C376" s="59" t="str">
        <f>Segments!$C$356</f>
        <v>No</v>
      </c>
      <c r="D376" s="59" t="str">
        <f>Segments!$D$356</f>
        <v>2.0-3.0</v>
      </c>
      <c r="E376" s="59" t="str">
        <f>Segments!$E$356</f>
        <v>Sophomore</v>
      </c>
      <c r="F376" s="59">
        <f>Segments!$F$356</f>
        <v>1</v>
      </c>
      <c r="G376" s="59" t="str">
        <f>Segments!$G$356</f>
        <v>Sophomore</v>
      </c>
      <c r="H376" s="60">
        <f>Segments!$H$356</f>
        <v>7</v>
      </c>
      <c r="I376" s="26">
        <f>Segments!$Y$356</f>
        <v>4292.6816675694008</v>
      </c>
      <c r="J376" s="29">
        <v>1</v>
      </c>
      <c r="K376" s="14">
        <f t="shared" si="195"/>
        <v>1426.2297754450396</v>
      </c>
      <c r="L376" s="14">
        <f t="shared" si="196"/>
        <v>4292.6816675694008</v>
      </c>
      <c r="M376" s="14">
        <f t="shared" si="197"/>
        <v>7021.90171410107</v>
      </c>
      <c r="N376" s="14">
        <f t="shared" si="198"/>
        <v>3164.6240384758989</v>
      </c>
      <c r="O376" s="14">
        <f t="shared" si="199"/>
        <v>1782.7872193062994</v>
      </c>
      <c r="P376" s="33">
        <f t="shared" si="200"/>
        <v>0.95</v>
      </c>
      <c r="Q376" s="33">
        <f t="shared" si="201"/>
        <v>0.02</v>
      </c>
      <c r="R376" s="51">
        <f t="shared" si="202"/>
        <v>4.75</v>
      </c>
      <c r="S376" s="51">
        <f>APPLICANTS_PER_YEAR*($H376/Segments!$AH$2)*Q376</f>
        <v>0.16800000000000001</v>
      </c>
      <c r="T376" s="51">
        <f t="shared" si="203"/>
        <v>4.9180000000000001</v>
      </c>
      <c r="U376" s="14">
        <f t="shared" si="204"/>
        <v>1961.7565635774506</v>
      </c>
      <c r="V376" s="44">
        <f t="shared" si="205"/>
        <v>9647.9187796739025</v>
      </c>
      <c r="W376" s="44">
        <f t="shared" si="206"/>
        <v>23644.777454039071</v>
      </c>
      <c r="X376" s="44">
        <f t="shared" si="207"/>
        <v>1967.3054314372816</v>
      </c>
      <c r="Y376" s="14">
        <f t="shared" si="208"/>
        <v>7093.6468481058882</v>
      </c>
      <c r="Z376" s="14">
        <f t="shared" si="209"/>
        <v>4421.462117596483</v>
      </c>
      <c r="AA376" s="14">
        <f t="shared" si="210"/>
        <v>7231.3087655241025</v>
      </c>
      <c r="AB376" s="14">
        <f t="shared" si="211"/>
        <v>3259.2810730484725</v>
      </c>
      <c r="AC376" s="14">
        <f t="shared" si="212"/>
        <v>7231.3087655241025</v>
      </c>
      <c r="AD376" s="33">
        <f t="shared" si="213"/>
        <v>0.3</v>
      </c>
      <c r="AE376" s="33">
        <f t="shared" si="214"/>
        <v>0.02</v>
      </c>
      <c r="AF376" s="51">
        <f t="shared" si="215"/>
        <v>3.5999999999999997E-2</v>
      </c>
      <c r="AG376" s="51">
        <f>APPLICANTS_PER_YEAR*($H376/Segments!$AH$2)*AE376</f>
        <v>0.16800000000000001</v>
      </c>
      <c r="AH376" s="51">
        <f t="shared" si="216"/>
        <v>0.20400000000000001</v>
      </c>
      <c r="AI376" s="14">
        <f t="shared" si="217"/>
        <v>7231.3087655241025</v>
      </c>
      <c r="AJ376" s="44">
        <f t="shared" si="218"/>
        <v>1475.186988166917</v>
      </c>
      <c r="AK376" s="44">
        <f t="shared" si="219"/>
        <v>1010.2156646284446</v>
      </c>
      <c r="AL376" s="44">
        <f t="shared" si="220"/>
        <v>329.61043630482902</v>
      </c>
      <c r="AM376" s="14">
        <f t="shared" si="221"/>
        <v>7305.206253549065</v>
      </c>
      <c r="AN376" s="14">
        <f t="shared" si="222"/>
        <v>4554.1059811243767</v>
      </c>
      <c r="AO376" s="14">
        <f t="shared" si="223"/>
        <v>7446.9980284898247</v>
      </c>
      <c r="AP376" s="14">
        <f t="shared" si="224"/>
        <v>3356.7777946657088</v>
      </c>
      <c r="AQ376" s="14">
        <f t="shared" si="225"/>
        <v>7446.9980284898247</v>
      </c>
      <c r="AR376" s="33">
        <f t="shared" si="226"/>
        <v>0.3</v>
      </c>
      <c r="AS376" s="33">
        <f t="shared" si="227"/>
        <v>0.02</v>
      </c>
      <c r="AT376" s="51">
        <f t="shared" si="228"/>
        <v>3.5999999999999997E-2</v>
      </c>
      <c r="AU376" s="51">
        <f>APPLICANTS_PER_YEAR*($H376/Segments!$AH$2)*AS376</f>
        <v>0.16800000000000001</v>
      </c>
      <c r="AV376" s="51">
        <f t="shared" si="229"/>
        <v>0.20400000000000001</v>
      </c>
      <c r="AW376" s="14">
        <f t="shared" si="230"/>
        <v>7446.9980284898238</v>
      </c>
      <c r="AX376" s="44">
        <f t="shared" si="231"/>
        <v>1519.1875978119242</v>
      </c>
      <c r="AY376" s="44">
        <f t="shared" si="232"/>
        <v>1040.5221345672978</v>
      </c>
      <c r="AZ376" s="44">
        <f t="shared" si="233"/>
        <v>339.19480439397387</v>
      </c>
    </row>
    <row r="377" spans="1:52" ht="15" customHeight="1" x14ac:dyDescent="0.35">
      <c r="A377" s="59" t="str">
        <f>Segments!$A$357</f>
        <v>Greek</v>
      </c>
      <c r="B377" s="59" t="str">
        <f>Segments!$B$357</f>
        <v>Off 3-6mi</v>
      </c>
      <c r="C377" s="59" t="str">
        <f>Segments!$C$357</f>
        <v>No</v>
      </c>
      <c r="D377" s="59" t="str">
        <f>Segments!$D$357</f>
        <v>2.0-3.0</v>
      </c>
      <c r="E377" s="59" t="str">
        <f>Segments!$E$357</f>
        <v>Junior</v>
      </c>
      <c r="F377" s="59">
        <f>Segments!$F$357</f>
        <v>2</v>
      </c>
      <c r="G377" s="59" t="str">
        <f>Segments!$G$357</f>
        <v>Base</v>
      </c>
      <c r="H377" s="60">
        <f>Segments!$H$357</f>
        <v>2</v>
      </c>
      <c r="I377" s="26">
        <f>Segments!$Y$357</f>
        <v>5131.5816606358676</v>
      </c>
      <c r="J377" s="29">
        <v>2</v>
      </c>
      <c r="K377" s="14">
        <f t="shared" si="195"/>
        <v>1426.2297754450396</v>
      </c>
      <c r="L377" s="14">
        <f t="shared" si="196"/>
        <v>5131.5816606358676</v>
      </c>
      <c r="M377" s="14">
        <f t="shared" si="197"/>
        <v>8386.0185031781984</v>
      </c>
      <c r="N377" s="14">
        <f t="shared" si="198"/>
        <v>3458.3795752730484</v>
      </c>
      <c r="O377" s="14">
        <f t="shared" si="199"/>
        <v>1782.7872193062994</v>
      </c>
      <c r="P377" s="33">
        <f t="shared" si="200"/>
        <v>0.95</v>
      </c>
      <c r="Q377" s="33">
        <f t="shared" si="201"/>
        <v>0.02</v>
      </c>
      <c r="R377" s="51">
        <f t="shared" si="202"/>
        <v>6.6499999999999995</v>
      </c>
      <c r="S377" s="51">
        <f>APPLICANTS_PER_YEAR*($H377/Segments!$AH$2)*Q377</f>
        <v>4.8000000000000001E-2</v>
      </c>
      <c r="T377" s="51">
        <f t="shared" si="203"/>
        <v>6.6979999999999995</v>
      </c>
      <c r="U377" s="14">
        <f t="shared" si="204"/>
        <v>1830.1080765212669</v>
      </c>
      <c r="V377" s="44">
        <f t="shared" si="205"/>
        <v>12258.063896539445</v>
      </c>
      <c r="W377" s="44">
        <f t="shared" si="206"/>
        <v>38495.89403849173</v>
      </c>
      <c r="X377" s="44">
        <f t="shared" si="207"/>
        <v>2466.0225875312944</v>
      </c>
      <c r="Y377" s="14">
        <f t="shared" si="208"/>
        <v>1961.7565635774506</v>
      </c>
      <c r="Z377" s="14">
        <f t="shared" si="209"/>
        <v>5285.5291104549442</v>
      </c>
      <c r="AA377" s="14">
        <f t="shared" si="210"/>
        <v>8636.3490582735449</v>
      </c>
      <c r="AB377" s="14">
        <f t="shared" si="211"/>
        <v>3561.8732042828037</v>
      </c>
      <c r="AC377" s="14">
        <f t="shared" si="212"/>
        <v>2452.1957044718133</v>
      </c>
      <c r="AD377" s="33">
        <f t="shared" si="213"/>
        <v>0.93077161737210523</v>
      </c>
      <c r="AE377" s="33">
        <f t="shared" si="214"/>
        <v>0.02</v>
      </c>
      <c r="AF377" s="51">
        <f t="shared" si="215"/>
        <v>4.5775348142360137</v>
      </c>
      <c r="AG377" s="51">
        <f>APPLICANTS_PER_YEAR*($H377/Segments!$AH$2)*AE377</f>
        <v>4.8000000000000001E-2</v>
      </c>
      <c r="AH377" s="51">
        <f t="shared" si="216"/>
        <v>4.6255348142360138</v>
      </c>
      <c r="AI377" s="14">
        <f t="shared" si="217"/>
        <v>2516.3697671269902</v>
      </c>
      <c r="AJ377" s="44">
        <f t="shared" si="218"/>
        <v>11639.555963336863</v>
      </c>
      <c r="AK377" s="44">
        <f t="shared" si="219"/>
        <v>27382.206781515324</v>
      </c>
      <c r="AL377" s="44">
        <f t="shared" si="220"/>
        <v>2308.0958397732866</v>
      </c>
      <c r="AM377" s="14">
        <f t="shared" si="221"/>
        <v>7231.3087655241025</v>
      </c>
      <c r="AN377" s="14">
        <f t="shared" si="222"/>
        <v>5444.0949837685921</v>
      </c>
      <c r="AO377" s="14">
        <f t="shared" si="223"/>
        <v>8894.1895300217511</v>
      </c>
      <c r="AP377" s="14">
        <f t="shared" si="224"/>
        <v>3668.4716237802918</v>
      </c>
      <c r="AQ377" s="14">
        <f t="shared" si="225"/>
        <v>8894.1895300217511</v>
      </c>
      <c r="AR377" s="33">
        <f t="shared" si="226"/>
        <v>0.3</v>
      </c>
      <c r="AS377" s="33">
        <f t="shared" si="227"/>
        <v>0.02</v>
      </c>
      <c r="AT377" s="51">
        <f t="shared" si="228"/>
        <v>6.1200000000000004E-2</v>
      </c>
      <c r="AU377" s="51">
        <f>APPLICANTS_PER_YEAR*($H377/Segments!$AH$2)*AS377</f>
        <v>4.8000000000000001E-2</v>
      </c>
      <c r="AV377" s="51">
        <f t="shared" si="229"/>
        <v>0.10920000000000001</v>
      </c>
      <c r="AW377" s="14">
        <f t="shared" si="230"/>
        <v>8894.1895300217511</v>
      </c>
      <c r="AX377" s="44">
        <f t="shared" si="231"/>
        <v>971.24549667837528</v>
      </c>
      <c r="AY377" s="44">
        <f t="shared" si="232"/>
        <v>665.83459289483392</v>
      </c>
      <c r="AZ377" s="44">
        <f t="shared" si="233"/>
        <v>201.89163728264947</v>
      </c>
    </row>
    <row r="378" spans="1:52" ht="15" customHeight="1" x14ac:dyDescent="0.35">
      <c r="A378" s="59" t="str">
        <f>Segments!$A$358</f>
        <v>Greek</v>
      </c>
      <c r="B378" s="59" t="str">
        <f>Segments!$B$358</f>
        <v>Off 3-6mi</v>
      </c>
      <c r="C378" s="59" t="str">
        <f>Segments!$C$358</f>
        <v>No</v>
      </c>
      <c r="D378" s="59" t="str">
        <f>Segments!$D$358</f>
        <v>2.0-3.0</v>
      </c>
      <c r="E378" s="59" t="str">
        <f>Segments!$E$358</f>
        <v>Senior</v>
      </c>
      <c r="F378" s="59">
        <f>Segments!$F$358</f>
        <v>3</v>
      </c>
      <c r="G378" s="59" t="str">
        <f>Segments!$G$358</f>
        <v>Base</v>
      </c>
      <c r="H378" s="60">
        <f>Segments!$H$358</f>
        <v>4</v>
      </c>
      <c r="I378" s="26">
        <f>Segments!$Y$358</f>
        <v>4796.4250099470755</v>
      </c>
      <c r="J378" s="29">
        <v>3</v>
      </c>
      <c r="K378" s="14">
        <f t="shared" si="195"/>
        <v>1426.2297754450396</v>
      </c>
      <c r="L378" s="14">
        <f t="shared" si="196"/>
        <v>4796.4250099470755</v>
      </c>
      <c r="M378" s="14">
        <f t="shared" si="197"/>
        <v>7841.0276604625578</v>
      </c>
      <c r="N378" s="14">
        <f t="shared" si="198"/>
        <v>3344.1152969716604</v>
      </c>
      <c r="O378" s="14">
        <f t="shared" si="199"/>
        <v>1782.7872193062994</v>
      </c>
      <c r="P378" s="33">
        <f t="shared" si="200"/>
        <v>0.95</v>
      </c>
      <c r="Q378" s="33">
        <f t="shared" si="201"/>
        <v>0.02</v>
      </c>
      <c r="R378" s="51">
        <f t="shared" si="202"/>
        <v>1.9</v>
      </c>
      <c r="S378" s="51">
        <f>APPLICANTS_PER_YEAR*($H378/Segments!$AH$2)*Q378</f>
        <v>9.6000000000000002E-2</v>
      </c>
      <c r="T378" s="51">
        <f t="shared" si="203"/>
        <v>1.996</v>
      </c>
      <c r="U378" s="14">
        <f t="shared" si="204"/>
        <v>2074.165517077342</v>
      </c>
      <c r="V378" s="44">
        <f t="shared" si="205"/>
        <v>4140.0343720863748</v>
      </c>
      <c r="W378" s="44">
        <f t="shared" si="206"/>
        <v>10722.504038236886</v>
      </c>
      <c r="X378" s="44">
        <f t="shared" si="207"/>
        <v>851.13234926347889</v>
      </c>
      <c r="Y378" s="14">
        <f t="shared" si="208"/>
        <v>1830.1080765212669</v>
      </c>
      <c r="Z378" s="14">
        <f t="shared" si="209"/>
        <v>4940.317760245488</v>
      </c>
      <c r="AA378" s="14">
        <f t="shared" si="210"/>
        <v>8075.0084902764347</v>
      </c>
      <c r="AB378" s="14">
        <f t="shared" si="211"/>
        <v>3444.172189681849</v>
      </c>
      <c r="AC378" s="14">
        <f t="shared" si="212"/>
        <v>2287.6350956515835</v>
      </c>
      <c r="AD378" s="33">
        <f t="shared" si="213"/>
        <v>0.94289768779491534</v>
      </c>
      <c r="AE378" s="33">
        <f t="shared" si="214"/>
        <v>0.02</v>
      </c>
      <c r="AF378" s="51">
        <f t="shared" si="215"/>
        <v>6.3155287128503428</v>
      </c>
      <c r="AG378" s="51">
        <f>APPLICANTS_PER_YEAR*($H378/Segments!$AH$2)*AE378</f>
        <v>9.6000000000000002E-2</v>
      </c>
      <c r="AH378" s="51">
        <f t="shared" si="216"/>
        <v>6.4115287128503429</v>
      </c>
      <c r="AI378" s="14">
        <f t="shared" si="217"/>
        <v>2374.2896004922845</v>
      </c>
      <c r="AJ378" s="44">
        <f t="shared" si="218"/>
        <v>15222.825946178253</v>
      </c>
      <c r="AK378" s="44">
        <f t="shared" si="219"/>
        <v>35475.987870868659</v>
      </c>
      <c r="AL378" s="44">
        <f t="shared" si="220"/>
        <v>3034.8767066120258</v>
      </c>
      <c r="AM378" s="14">
        <f t="shared" si="221"/>
        <v>2516.3697671269902</v>
      </c>
      <c r="AN378" s="14">
        <f t="shared" si="222"/>
        <v>5088.5272930528527</v>
      </c>
      <c r="AO378" s="14">
        <f t="shared" si="223"/>
        <v>8316.0087449847269</v>
      </c>
      <c r="AP378" s="14">
        <f t="shared" si="224"/>
        <v>3547.2307688410306</v>
      </c>
      <c r="AQ378" s="14">
        <f t="shared" si="225"/>
        <v>3145.4622089087379</v>
      </c>
      <c r="AR378" s="33">
        <f t="shared" si="226"/>
        <v>0.83163129721661166</v>
      </c>
      <c r="AS378" s="33">
        <f t="shared" si="227"/>
        <v>0.02</v>
      </c>
      <c r="AT378" s="51">
        <f t="shared" si="228"/>
        <v>3.8467395178836949</v>
      </c>
      <c r="AU378" s="51">
        <f>APPLICANTS_PER_YEAR*($H378/Segments!$AH$2)*AS378</f>
        <v>9.6000000000000002E-2</v>
      </c>
      <c r="AV378" s="51">
        <f t="shared" si="229"/>
        <v>3.942739517883695</v>
      </c>
      <c r="AW378" s="14">
        <f t="shared" si="230"/>
        <v>3271.3575325059019</v>
      </c>
      <c r="AX378" s="44">
        <f t="shared" si="231"/>
        <v>12898.110620537514</v>
      </c>
      <c r="AY378" s="44">
        <f t="shared" si="232"/>
        <v>22470.266163687138</v>
      </c>
      <c r="AZ378" s="44">
        <f t="shared" si="233"/>
        <v>2546.9394870224132</v>
      </c>
    </row>
    <row r="379" spans="1:52" ht="15" customHeight="1" x14ac:dyDescent="0.35">
      <c r="A379" s="59" t="str">
        <f>Segments!$A$359</f>
        <v>Greek</v>
      </c>
      <c r="B379" s="59" t="str">
        <f>Segments!$B$359</f>
        <v>Off 3-6mi</v>
      </c>
      <c r="C379" s="59" t="str">
        <f>Segments!$C$359</f>
        <v>No</v>
      </c>
      <c r="D379" s="59" t="str">
        <f>Segments!$D$359</f>
        <v>2.0-3.0</v>
      </c>
      <c r="E379" s="59" t="str">
        <f>Segments!$E$359</f>
        <v>Grad student</v>
      </c>
      <c r="F379" s="59">
        <f>Segments!$F$359</f>
        <v>3</v>
      </c>
      <c r="G379" s="59" t="str">
        <f>Segments!$G$359</f>
        <v>Grad</v>
      </c>
      <c r="H379" s="60">
        <f>Segments!$H$359</f>
        <v>0</v>
      </c>
      <c r="I379" s="26">
        <f>Segments!$Y$359</f>
        <v>5711.0093788032036</v>
      </c>
      <c r="J379" s="29">
        <v>4</v>
      </c>
      <c r="K379" s="14">
        <f t="shared" si="195"/>
        <v>1426.2297754450396</v>
      </c>
      <c r="L379" s="14">
        <f t="shared" si="196"/>
        <v>5711.0093788032036</v>
      </c>
      <c r="M379" s="14">
        <f t="shared" si="197"/>
        <v>9328.2131449012322</v>
      </c>
      <c r="N379" s="14">
        <f t="shared" si="198"/>
        <v>3647.4889086816911</v>
      </c>
      <c r="O379" s="14">
        <f t="shared" si="199"/>
        <v>1782.7872193062994</v>
      </c>
      <c r="P379" s="33">
        <f t="shared" si="200"/>
        <v>0.95</v>
      </c>
      <c r="Q379" s="33">
        <f t="shared" si="201"/>
        <v>0.02</v>
      </c>
      <c r="R379" s="51">
        <f t="shared" si="202"/>
        <v>0</v>
      </c>
      <c r="S379" s="51">
        <f>APPLICANTS_PER_YEAR*($H379/Segments!$AH$2)*Q379</f>
        <v>0</v>
      </c>
      <c r="T379" s="51">
        <f t="shared" si="203"/>
        <v>0</v>
      </c>
      <c r="U379" s="14">
        <f t="shared" si="204"/>
        <v>9328.2131449012322</v>
      </c>
      <c r="V379" s="44">
        <f t="shared" si="205"/>
        <v>0</v>
      </c>
      <c r="W379" s="44">
        <f t="shared" si="206"/>
        <v>0</v>
      </c>
      <c r="X379" s="44">
        <f t="shared" si="207"/>
        <v>0</v>
      </c>
      <c r="Y379" s="14">
        <f t="shared" si="208"/>
        <v>9328.2131449012322</v>
      </c>
      <c r="Z379" s="14">
        <f t="shared" si="209"/>
        <v>5882.3396601673003</v>
      </c>
      <c r="AA379" s="14">
        <f t="shared" si="210"/>
        <v>9606.8095392482701</v>
      </c>
      <c r="AB379" s="14">
        <f t="shared" si="211"/>
        <v>3756.6691824357495</v>
      </c>
      <c r="AC379" s="14">
        <f t="shared" si="212"/>
        <v>9606.8095392482701</v>
      </c>
      <c r="AD379" s="33">
        <f t="shared" si="213"/>
        <v>0.3</v>
      </c>
      <c r="AE379" s="33">
        <f t="shared" si="214"/>
        <v>0.02</v>
      </c>
      <c r="AF379" s="51">
        <f t="shared" si="215"/>
        <v>0</v>
      </c>
      <c r="AG379" s="51">
        <f>APPLICANTS_PER_YEAR*($H379/Segments!$AH$2)*AE379</f>
        <v>0</v>
      </c>
      <c r="AH379" s="51">
        <f t="shared" si="216"/>
        <v>0</v>
      </c>
      <c r="AI379" s="14">
        <f t="shared" si="217"/>
        <v>9606.8095392482701</v>
      </c>
      <c r="AJ379" s="44">
        <f t="shared" si="218"/>
        <v>0</v>
      </c>
      <c r="AK379" s="44">
        <f t="shared" si="219"/>
        <v>0</v>
      </c>
      <c r="AL379" s="44">
        <f t="shared" si="220"/>
        <v>0</v>
      </c>
      <c r="AM379" s="14">
        <f t="shared" si="221"/>
        <v>9606.8095392482701</v>
      </c>
      <c r="AN379" s="14">
        <f t="shared" si="222"/>
        <v>6058.8098499723183</v>
      </c>
      <c r="AO379" s="14">
        <f t="shared" si="223"/>
        <v>9893.7638254257163</v>
      </c>
      <c r="AP379" s="14">
        <f t="shared" si="224"/>
        <v>3869.1248487337425</v>
      </c>
      <c r="AQ379" s="14">
        <f t="shared" si="225"/>
        <v>9893.7638254257163</v>
      </c>
      <c r="AR379" s="33">
        <f t="shared" si="226"/>
        <v>0.3</v>
      </c>
      <c r="AS379" s="33">
        <f t="shared" si="227"/>
        <v>0.02</v>
      </c>
      <c r="AT379" s="51">
        <f t="shared" si="228"/>
        <v>0</v>
      </c>
      <c r="AU379" s="51">
        <f>APPLICANTS_PER_YEAR*($H379/Segments!$AH$2)*AS379</f>
        <v>0</v>
      </c>
      <c r="AV379" s="51">
        <f t="shared" si="229"/>
        <v>0</v>
      </c>
      <c r="AW379" s="14">
        <f t="shared" si="230"/>
        <v>9893.7638254257163</v>
      </c>
      <c r="AX379" s="44">
        <f t="shared" si="231"/>
        <v>0</v>
      </c>
      <c r="AY379" s="44">
        <f t="shared" si="232"/>
        <v>0</v>
      </c>
      <c r="AZ379" s="44">
        <f t="shared" si="233"/>
        <v>0</v>
      </c>
    </row>
    <row r="380" spans="1:52" ht="15" customHeight="1" x14ac:dyDescent="0.35">
      <c r="A380" s="61" t="str">
        <f>Segments!$A$360</f>
        <v>Greek</v>
      </c>
      <c r="B380" s="61" t="str">
        <f>Segments!$B$360</f>
        <v>Off 3-6mi</v>
      </c>
      <c r="C380" s="61" t="str">
        <f>Segments!$C$360</f>
        <v>No</v>
      </c>
      <c r="D380" s="61" t="str">
        <f>Segments!$D$360</f>
        <v>3.0+</v>
      </c>
      <c r="E380" s="61" t="str">
        <f>Segments!$E$360</f>
        <v>Freshman</v>
      </c>
      <c r="F380" s="61">
        <f>Segments!$F$360</f>
        <v>1</v>
      </c>
      <c r="G380" s="61" t="str">
        <f>Segments!$G$360</f>
        <v>Base</v>
      </c>
      <c r="H380" s="62">
        <f>Segments!$H$360</f>
        <v>3</v>
      </c>
      <c r="I380" s="63">
        <f>Segments!$Y$360</f>
        <v>3801.41455774112</v>
      </c>
      <c r="J380" s="42">
        <v>0</v>
      </c>
      <c r="K380" s="40">
        <f t="shared" si="195"/>
        <v>6223.0630945076382</v>
      </c>
      <c r="L380" s="40">
        <f t="shared" si="196"/>
        <v>3801.41455774112</v>
      </c>
      <c r="M380" s="40">
        <f t="shared" si="197"/>
        <v>6223.0630945076382</v>
      </c>
      <c r="N380" s="40">
        <f t="shared" si="198"/>
        <v>2979.1807397101543</v>
      </c>
      <c r="O380" s="40">
        <f t="shared" si="199"/>
        <v>6223.0630945076382</v>
      </c>
      <c r="P380" s="41">
        <f t="shared" si="200"/>
        <v>0.30557476396798233</v>
      </c>
      <c r="Q380" s="41">
        <f t="shared" si="201"/>
        <v>0.02</v>
      </c>
      <c r="R380" s="64">
        <f t="shared" si="202"/>
        <v>0</v>
      </c>
      <c r="S380" s="64">
        <f>APPLICANTS_PER_YEAR*($H380/Segments!$AH$2)*Q380</f>
        <v>7.1999999999999995E-2</v>
      </c>
      <c r="T380" s="64">
        <f t="shared" si="203"/>
        <v>7.1999999999999995E-2</v>
      </c>
      <c r="U380" s="40">
        <f t="shared" si="204"/>
        <v>6223.0630945076382</v>
      </c>
      <c r="V380" s="65">
        <f t="shared" si="205"/>
        <v>448.06054280454993</v>
      </c>
      <c r="W380" s="65">
        <f t="shared" si="206"/>
        <v>306.54606993624395</v>
      </c>
      <c r="X380" s="65">
        <f t="shared" si="207"/>
        <v>103.60556158821917</v>
      </c>
      <c r="Y380" s="40">
        <f t="shared" si="208"/>
        <v>6408.5049873428679</v>
      </c>
      <c r="Z380" s="40">
        <f t="shared" si="209"/>
        <v>3915.4569944733539</v>
      </c>
      <c r="AA380" s="40">
        <f t="shared" si="210"/>
        <v>6408.5049873428679</v>
      </c>
      <c r="AB380" s="40">
        <f t="shared" si="211"/>
        <v>3068.2569396821259</v>
      </c>
      <c r="AC380" s="40">
        <f t="shared" si="212"/>
        <v>6408.5049873428679</v>
      </c>
      <c r="AD380" s="41">
        <f t="shared" si="213"/>
        <v>0.30567660836012067</v>
      </c>
      <c r="AE380" s="41">
        <f t="shared" si="214"/>
        <v>0.02</v>
      </c>
      <c r="AF380" s="64">
        <f t="shared" si="215"/>
        <v>0</v>
      </c>
      <c r="AG380" s="64">
        <f>APPLICANTS_PER_YEAR*($H380/Segments!$AH$2)*AE380</f>
        <v>7.1999999999999995E-2</v>
      </c>
      <c r="AH380" s="64">
        <f t="shared" si="216"/>
        <v>7.1999999999999995E-2</v>
      </c>
      <c r="AI380" s="40">
        <f t="shared" si="217"/>
        <v>6408.5049873428679</v>
      </c>
      <c r="AJ380" s="65">
        <f t="shared" si="218"/>
        <v>461.41235908868646</v>
      </c>
      <c r="AK380" s="65">
        <f t="shared" si="219"/>
        <v>315.74245203433128</v>
      </c>
      <c r="AL380" s="65">
        <f t="shared" si="220"/>
        <v>106.59636843586577</v>
      </c>
      <c r="AM380" s="40">
        <f t="shared" si="221"/>
        <v>6599.5101369631529</v>
      </c>
      <c r="AN380" s="40">
        <f t="shared" si="222"/>
        <v>4032.9207043075539</v>
      </c>
      <c r="AO380" s="40">
        <f t="shared" si="223"/>
        <v>6599.5101369631529</v>
      </c>
      <c r="AP380" s="40">
        <f t="shared" si="224"/>
        <v>3160.0053968947796</v>
      </c>
      <c r="AQ380" s="40">
        <f t="shared" si="225"/>
        <v>6599.5101369631529</v>
      </c>
      <c r="AR380" s="41">
        <f t="shared" si="226"/>
        <v>0.30577549591398678</v>
      </c>
      <c r="AS380" s="41">
        <f t="shared" si="227"/>
        <v>0.02</v>
      </c>
      <c r="AT380" s="64">
        <f t="shared" si="228"/>
        <v>0</v>
      </c>
      <c r="AU380" s="64">
        <f>APPLICANTS_PER_YEAR*($H380/Segments!$AH$2)*AS380</f>
        <v>7.1999999999999995E-2</v>
      </c>
      <c r="AV380" s="64">
        <f t="shared" si="229"/>
        <v>7.1999999999999995E-2</v>
      </c>
      <c r="AW380" s="40">
        <f t="shared" si="230"/>
        <v>6599.5101369631529</v>
      </c>
      <c r="AX380" s="65">
        <f t="shared" si="231"/>
        <v>475.16472986134698</v>
      </c>
      <c r="AY380" s="65">
        <f t="shared" si="232"/>
        <v>325.21472559536119</v>
      </c>
      <c r="AZ380" s="65">
        <f t="shared" si="233"/>
        <v>109.67689948894173</v>
      </c>
    </row>
    <row r="381" spans="1:52" ht="15" customHeight="1" x14ac:dyDescent="0.35">
      <c r="A381" s="61" t="str">
        <f>Segments!$A$361</f>
        <v>Greek</v>
      </c>
      <c r="B381" s="61" t="str">
        <f>Segments!$B$361</f>
        <v>Off 3-6mi</v>
      </c>
      <c r="C381" s="61" t="str">
        <f>Segments!$C$361</f>
        <v>No</v>
      </c>
      <c r="D381" s="61" t="str">
        <f>Segments!$D$361</f>
        <v>3.0+</v>
      </c>
      <c r="E381" s="61" t="str">
        <f>Segments!$E$361</f>
        <v>Sophomore</v>
      </c>
      <c r="F381" s="61">
        <f>Segments!$F$361</f>
        <v>1</v>
      </c>
      <c r="G381" s="61" t="str">
        <f>Segments!$G$361</f>
        <v>Sophomore</v>
      </c>
      <c r="H381" s="62">
        <f>Segments!$H$361</f>
        <v>4</v>
      </c>
      <c r="I381" s="63">
        <f>Segments!$Y$361</f>
        <v>3762.7398890897757</v>
      </c>
      <c r="J381" s="42">
        <v>1</v>
      </c>
      <c r="K381" s="40">
        <f t="shared" si="195"/>
        <v>1426.2297754450396</v>
      </c>
      <c r="L381" s="40">
        <f t="shared" si="196"/>
        <v>3762.7398890897757</v>
      </c>
      <c r="M381" s="40">
        <f t="shared" si="197"/>
        <v>6160.1750682168649</v>
      </c>
      <c r="N381" s="40">
        <f t="shared" si="198"/>
        <v>2964.0892537582386</v>
      </c>
      <c r="O381" s="40">
        <f t="shared" si="199"/>
        <v>1782.7872193062994</v>
      </c>
      <c r="P381" s="41">
        <f t="shared" si="200"/>
        <v>0.95</v>
      </c>
      <c r="Q381" s="41">
        <f t="shared" si="201"/>
        <v>0.02</v>
      </c>
      <c r="R381" s="64">
        <f t="shared" si="202"/>
        <v>2.8499999999999996</v>
      </c>
      <c r="S381" s="64">
        <f>APPLICANTS_PER_YEAR*($H381/Segments!$AH$2)*Q381</f>
        <v>9.6000000000000002E-2</v>
      </c>
      <c r="T381" s="64">
        <f t="shared" si="203"/>
        <v>2.9459999999999997</v>
      </c>
      <c r="U381" s="40">
        <f t="shared" si="204"/>
        <v>1925.4312225294545</v>
      </c>
      <c r="V381" s="65">
        <f t="shared" si="205"/>
        <v>5672.3203815717725</v>
      </c>
      <c r="W381" s="65">
        <f t="shared" si="206"/>
        <v>12415.235518849497</v>
      </c>
      <c r="X381" s="65">
        <f t="shared" si="207"/>
        <v>1154.0867403462737</v>
      </c>
      <c r="Y381" s="40">
        <f t="shared" si="208"/>
        <v>6223.0630945076382</v>
      </c>
      <c r="Z381" s="40">
        <f t="shared" si="209"/>
        <v>3875.6220857624689</v>
      </c>
      <c r="AA381" s="40">
        <f t="shared" si="210"/>
        <v>6343.7303202633702</v>
      </c>
      <c r="AB381" s="40">
        <f t="shared" si="211"/>
        <v>3052.7111855296284</v>
      </c>
      <c r="AC381" s="40">
        <f t="shared" si="212"/>
        <v>6343.7303202633702</v>
      </c>
      <c r="AD381" s="41">
        <f t="shared" si="213"/>
        <v>0.30515072133016874</v>
      </c>
      <c r="AE381" s="41">
        <f t="shared" si="214"/>
        <v>0.02</v>
      </c>
      <c r="AF381" s="64">
        <f t="shared" si="215"/>
        <v>2.1970851935772147E-2</v>
      </c>
      <c r="AG381" s="64">
        <f>APPLICANTS_PER_YEAR*($H381/Segments!$AH$2)*AE381</f>
        <v>9.6000000000000002E-2</v>
      </c>
      <c r="AH381" s="64">
        <f t="shared" si="216"/>
        <v>0.11797085193577214</v>
      </c>
      <c r="AI381" s="40">
        <f t="shared" si="217"/>
        <v>6343.7303202633711</v>
      </c>
      <c r="AJ381" s="65">
        <f t="shared" si="218"/>
        <v>748.37527033225854</v>
      </c>
      <c r="AK381" s="65">
        <f t="shared" si="219"/>
        <v>512.07569194711175</v>
      </c>
      <c r="AL381" s="65">
        <f t="shared" si="220"/>
        <v>167.51727700759724</v>
      </c>
      <c r="AM381" s="40">
        <f t="shared" si="221"/>
        <v>6408.5049873428679</v>
      </c>
      <c r="AN381" s="40">
        <f t="shared" si="222"/>
        <v>3991.8907483353428</v>
      </c>
      <c r="AO381" s="40">
        <f t="shared" si="223"/>
        <v>6532.792229871271</v>
      </c>
      <c r="AP381" s="40">
        <f t="shared" si="224"/>
        <v>3143.9917460540892</v>
      </c>
      <c r="AQ381" s="40">
        <f t="shared" si="225"/>
        <v>6532.792229871271</v>
      </c>
      <c r="AR381" s="41">
        <f t="shared" si="226"/>
        <v>0.3052489778670896</v>
      </c>
      <c r="AS381" s="41">
        <f t="shared" si="227"/>
        <v>0.02</v>
      </c>
      <c r="AT381" s="64">
        <f t="shared" si="228"/>
        <v>2.197792640643045E-2</v>
      </c>
      <c r="AU381" s="64">
        <f>APPLICANTS_PER_YEAR*($H381/Segments!$AH$2)*AS381</f>
        <v>9.6000000000000002E-2</v>
      </c>
      <c r="AV381" s="64">
        <f t="shared" si="229"/>
        <v>0.11797792640643046</v>
      </c>
      <c r="AW381" s="40">
        <f t="shared" si="230"/>
        <v>6532.792229871271</v>
      </c>
      <c r="AX381" s="65">
        <f t="shared" si="231"/>
        <v>770.72528092425352</v>
      </c>
      <c r="AY381" s="65">
        <f t="shared" si="232"/>
        <v>527.46959208117187</v>
      </c>
      <c r="AZ381" s="65">
        <f t="shared" si="233"/>
        <v>172.37681851518002</v>
      </c>
    </row>
    <row r="382" spans="1:52" ht="15" customHeight="1" x14ac:dyDescent="0.35">
      <c r="A382" s="61" t="str">
        <f>Segments!$A$362</f>
        <v>Greek</v>
      </c>
      <c r="B382" s="61" t="str">
        <f>Segments!$B$362</f>
        <v>Off 3-6mi</v>
      </c>
      <c r="C382" s="61" t="str">
        <f>Segments!$C$362</f>
        <v>No</v>
      </c>
      <c r="D382" s="61" t="str">
        <f>Segments!$D$362</f>
        <v>3.0+</v>
      </c>
      <c r="E382" s="61" t="str">
        <f>Segments!$E$362</f>
        <v>Junior</v>
      </c>
      <c r="F382" s="61">
        <f>Segments!$F$362</f>
        <v>2</v>
      </c>
      <c r="G382" s="61" t="str">
        <f>Segments!$G$362</f>
        <v>Base</v>
      </c>
      <c r="H382" s="62">
        <f>Segments!$H$362</f>
        <v>3</v>
      </c>
      <c r="I382" s="63">
        <f>Segments!$Y$362</f>
        <v>4498.0756794689487</v>
      </c>
      <c r="J382" s="42">
        <v>2</v>
      </c>
      <c r="K382" s="40">
        <f t="shared" si="195"/>
        <v>1426.2297754450396</v>
      </c>
      <c r="L382" s="40">
        <f t="shared" si="196"/>
        <v>4498.0756794689487</v>
      </c>
      <c r="M382" s="40">
        <f t="shared" si="197"/>
        <v>7355.8883898953109</v>
      </c>
      <c r="N382" s="40">
        <f t="shared" si="198"/>
        <v>3239.0101954947845</v>
      </c>
      <c r="O382" s="40">
        <f t="shared" si="199"/>
        <v>1782.7872193062994</v>
      </c>
      <c r="P382" s="41">
        <f t="shared" si="200"/>
        <v>0.95</v>
      </c>
      <c r="Q382" s="41">
        <f t="shared" si="201"/>
        <v>0.02</v>
      </c>
      <c r="R382" s="64">
        <f t="shared" si="202"/>
        <v>3.8</v>
      </c>
      <c r="S382" s="64">
        <f>APPLICANTS_PER_YEAR*($H382/Segments!$AH$2)*Q382</f>
        <v>7.1999999999999995E-2</v>
      </c>
      <c r="T382" s="64">
        <f t="shared" si="203"/>
        <v>3.8719999999999999</v>
      </c>
      <c r="U382" s="40">
        <f t="shared" si="204"/>
        <v>1886.4192658668389</v>
      </c>
      <c r="V382" s="65">
        <f t="shared" si="205"/>
        <v>7304.2153974364001</v>
      </c>
      <c r="W382" s="65">
        <f t="shared" si="206"/>
        <v>19506.534914612224</v>
      </c>
      <c r="X382" s="65">
        <f t="shared" si="207"/>
        <v>1478.2735488580158</v>
      </c>
      <c r="Y382" s="40">
        <f t="shared" si="208"/>
        <v>1925.4312225294545</v>
      </c>
      <c r="Z382" s="40">
        <f t="shared" si="209"/>
        <v>4633.0179498530169</v>
      </c>
      <c r="AA382" s="40">
        <f t="shared" si="210"/>
        <v>7575.31504159217</v>
      </c>
      <c r="AB382" s="40">
        <f t="shared" si="211"/>
        <v>3335.9052844492289</v>
      </c>
      <c r="AC382" s="40">
        <f t="shared" si="212"/>
        <v>2406.7890281618184</v>
      </c>
      <c r="AD382" s="41">
        <f t="shared" si="213"/>
        <v>0.91425998747905268</v>
      </c>
      <c r="AE382" s="41">
        <f t="shared" si="214"/>
        <v>0.02</v>
      </c>
      <c r="AF382" s="64">
        <f t="shared" si="215"/>
        <v>2.6934099231132889</v>
      </c>
      <c r="AG382" s="64">
        <f>APPLICANTS_PER_YEAR*($H382/Segments!$AH$2)*AE382</f>
        <v>7.1999999999999995E-2</v>
      </c>
      <c r="AH382" s="64">
        <f t="shared" si="216"/>
        <v>2.7654099231132889</v>
      </c>
      <c r="AI382" s="40">
        <f t="shared" si="217"/>
        <v>2541.3563738043908</v>
      </c>
      <c r="AJ382" s="65">
        <f t="shared" si="218"/>
        <v>7027.8921342858666</v>
      </c>
      <c r="AK382" s="65">
        <f t="shared" si="219"/>
        <v>14349.657069983783</v>
      </c>
      <c r="AL382" s="65">
        <f t="shared" si="220"/>
        <v>1404.4696057471067</v>
      </c>
      <c r="AM382" s="40">
        <f t="shared" si="221"/>
        <v>6343.7303202633711</v>
      </c>
      <c r="AN382" s="40">
        <f t="shared" si="222"/>
        <v>4772.0084883486079</v>
      </c>
      <c r="AO382" s="40">
        <f t="shared" si="223"/>
        <v>7801.3244928399363</v>
      </c>
      <c r="AP382" s="40">
        <f t="shared" si="224"/>
        <v>3435.7072036953973</v>
      </c>
      <c r="AQ382" s="40">
        <f t="shared" si="225"/>
        <v>7801.3244928399363</v>
      </c>
      <c r="AR382" s="41">
        <f t="shared" si="226"/>
        <v>0.3</v>
      </c>
      <c r="AS382" s="41">
        <f t="shared" si="227"/>
        <v>0.02</v>
      </c>
      <c r="AT382" s="64">
        <f t="shared" si="228"/>
        <v>3.539125558073164E-2</v>
      </c>
      <c r="AU382" s="64">
        <f>APPLICANTS_PER_YEAR*($H382/Segments!$AH$2)*AS382</f>
        <v>7.1999999999999995E-2</v>
      </c>
      <c r="AV382" s="64">
        <f t="shared" si="229"/>
        <v>0.10739125558073163</v>
      </c>
      <c r="AW382" s="40">
        <f t="shared" si="230"/>
        <v>7801.3244928399363</v>
      </c>
      <c r="AX382" s="65">
        <f t="shared" si="231"/>
        <v>837.7940324787952</v>
      </c>
      <c r="AY382" s="65">
        <f t="shared" si="232"/>
        <v>573.9686211903462</v>
      </c>
      <c r="AZ382" s="65">
        <f t="shared" si="233"/>
        <v>181.95023497206358</v>
      </c>
    </row>
    <row r="383" spans="1:52" ht="15" customHeight="1" x14ac:dyDescent="0.35">
      <c r="A383" s="61" t="str">
        <f>Segments!$A$363</f>
        <v>Greek</v>
      </c>
      <c r="B383" s="61" t="str">
        <f>Segments!$B$363</f>
        <v>Off 3-6mi</v>
      </c>
      <c r="C383" s="61" t="str">
        <f>Segments!$C$363</f>
        <v>No</v>
      </c>
      <c r="D383" s="61" t="str">
        <f>Segments!$D$363</f>
        <v>3.0+</v>
      </c>
      <c r="E383" s="61" t="str">
        <f>Segments!$E$363</f>
        <v>Senior</v>
      </c>
      <c r="F383" s="61">
        <f>Segments!$F$363</f>
        <v>3</v>
      </c>
      <c r="G383" s="61" t="str">
        <f>Segments!$G$363</f>
        <v>Base</v>
      </c>
      <c r="H383" s="62">
        <f>Segments!$H$363</f>
        <v>4</v>
      </c>
      <c r="I383" s="63">
        <f>Segments!$Y$363</f>
        <v>4204.2949157640751</v>
      </c>
      <c r="J383" s="42">
        <v>3</v>
      </c>
      <c r="K383" s="40">
        <f t="shared" si="195"/>
        <v>1426.2297754450396</v>
      </c>
      <c r="L383" s="40">
        <f t="shared" si="196"/>
        <v>4204.2949157640751</v>
      </c>
      <c r="M383" s="40">
        <f t="shared" si="197"/>
        <v>6878.1779650652479</v>
      </c>
      <c r="N383" s="40">
        <f t="shared" si="198"/>
        <v>3132.0699568473924</v>
      </c>
      <c r="O383" s="40">
        <f t="shared" si="199"/>
        <v>1782.7872193062994</v>
      </c>
      <c r="P383" s="41">
        <f t="shared" si="200"/>
        <v>0.95</v>
      </c>
      <c r="Q383" s="41">
        <f t="shared" si="201"/>
        <v>0.02</v>
      </c>
      <c r="R383" s="64">
        <f t="shared" si="202"/>
        <v>2.8499999999999996</v>
      </c>
      <c r="S383" s="64">
        <f>APPLICANTS_PER_YEAR*($H383/Segments!$AH$2)*Q383</f>
        <v>9.6000000000000002E-2</v>
      </c>
      <c r="T383" s="64">
        <f t="shared" si="203"/>
        <v>2.9459999999999997</v>
      </c>
      <c r="U383" s="40">
        <f t="shared" si="204"/>
        <v>1948.8284656039434</v>
      </c>
      <c r="V383" s="65">
        <f t="shared" si="205"/>
        <v>5741.248659669217</v>
      </c>
      <c r="W383" s="65">
        <f t="shared" si="206"/>
        <v>13872.155160461882</v>
      </c>
      <c r="X383" s="65">
        <f t="shared" si="207"/>
        <v>1169.5266746401014</v>
      </c>
      <c r="Y383" s="40">
        <f t="shared" si="208"/>
        <v>1886.4192658668389</v>
      </c>
      <c r="Z383" s="40">
        <f t="shared" si="209"/>
        <v>4330.4237632369977</v>
      </c>
      <c r="AA383" s="40">
        <f t="shared" si="210"/>
        <v>7083.2733040172061</v>
      </c>
      <c r="AB383" s="40">
        <f t="shared" si="211"/>
        <v>3225.7474409225579</v>
      </c>
      <c r="AC383" s="40">
        <f t="shared" si="212"/>
        <v>2358.0240823335489</v>
      </c>
      <c r="AD383" s="41">
        <f t="shared" si="213"/>
        <v>0.90949958102436579</v>
      </c>
      <c r="AE383" s="41">
        <f t="shared" si="214"/>
        <v>0.02</v>
      </c>
      <c r="AF383" s="64">
        <f t="shared" si="215"/>
        <v>3.5215823777263444</v>
      </c>
      <c r="AG383" s="64">
        <f>APPLICANTS_PER_YEAR*($H383/Segments!$AH$2)*AE383</f>
        <v>9.6000000000000002E-2</v>
      </c>
      <c r="AH383" s="64">
        <f t="shared" si="216"/>
        <v>3.6175823777263445</v>
      </c>
      <c r="AI383" s="40">
        <f t="shared" si="217"/>
        <v>2483.4183036440622</v>
      </c>
      <c r="AJ383" s="65">
        <f t="shared" si="218"/>
        <v>8983.9702917858122</v>
      </c>
      <c r="AK383" s="65">
        <f t="shared" si="219"/>
        <v>17545.544457250395</v>
      </c>
      <c r="AL383" s="65">
        <f t="shared" si="220"/>
        <v>1796.5218310035432</v>
      </c>
      <c r="AM383" s="40">
        <f t="shared" si="221"/>
        <v>2541.3563738043908</v>
      </c>
      <c r="AN383" s="40">
        <f t="shared" si="222"/>
        <v>4460.3364761341072</v>
      </c>
      <c r="AO383" s="40">
        <f t="shared" si="223"/>
        <v>7294.5215031377211</v>
      </c>
      <c r="AP383" s="40">
        <f t="shared" si="224"/>
        <v>3322.2352247714084</v>
      </c>
      <c r="AQ383" s="40">
        <f t="shared" si="225"/>
        <v>3176.6954672554884</v>
      </c>
      <c r="AR383" s="41">
        <f t="shared" si="226"/>
        <v>0.79690389115598137</v>
      </c>
      <c r="AS383" s="41">
        <f t="shared" si="227"/>
        <v>0.02</v>
      </c>
      <c r="AT383" s="64">
        <f t="shared" si="228"/>
        <v>2.203765928370343</v>
      </c>
      <c r="AU383" s="64">
        <f>APPLICANTS_PER_YEAR*($H383/Segments!$AH$2)*AS383</f>
        <v>9.6000000000000002E-2</v>
      </c>
      <c r="AV383" s="64">
        <f t="shared" si="229"/>
        <v>2.2997659283703431</v>
      </c>
      <c r="AW383" s="40">
        <f t="shared" si="230"/>
        <v>3348.5874387679191</v>
      </c>
      <c r="AX383" s="65">
        <f t="shared" si="231"/>
        <v>7700.9672998473734</v>
      </c>
      <c r="AY383" s="65">
        <f t="shared" si="232"/>
        <v>11488.65743970634</v>
      </c>
      <c r="AZ383" s="65">
        <f t="shared" si="233"/>
        <v>1528.3877304891032</v>
      </c>
    </row>
    <row r="384" spans="1:52" ht="15" customHeight="1" x14ac:dyDescent="0.35">
      <c r="A384" s="61" t="str">
        <f>Segments!$A$364</f>
        <v>Greek</v>
      </c>
      <c r="B384" s="61" t="str">
        <f>Segments!$B$364</f>
        <v>Off 3-6mi</v>
      </c>
      <c r="C384" s="61" t="str">
        <f>Segments!$C$364</f>
        <v>No</v>
      </c>
      <c r="D384" s="61" t="str">
        <f>Segments!$D$364</f>
        <v>3.0+</v>
      </c>
      <c r="E384" s="61" t="str">
        <f>Segments!$E$364</f>
        <v>Grad student</v>
      </c>
      <c r="F384" s="61">
        <f>Segments!$F$364</f>
        <v>3</v>
      </c>
      <c r="G384" s="61" t="str">
        <f>Segments!$G$364</f>
        <v>Grad</v>
      </c>
      <c r="H384" s="62">
        <f>Segments!$H$364</f>
        <v>0</v>
      </c>
      <c r="I384" s="63">
        <f>Segments!$Y$364</f>
        <v>5005.9716654359199</v>
      </c>
      <c r="J384" s="42">
        <v>4</v>
      </c>
      <c r="K384" s="40">
        <f t="shared" si="195"/>
        <v>1426.2297754450396</v>
      </c>
      <c r="L384" s="40">
        <f t="shared" si="196"/>
        <v>5005.9716654359199</v>
      </c>
      <c r="M384" s="40">
        <f t="shared" si="197"/>
        <v>8181.7668584716412</v>
      </c>
      <c r="N384" s="40">
        <f t="shared" si="198"/>
        <v>3416.0034410553035</v>
      </c>
      <c r="O384" s="40">
        <f t="shared" si="199"/>
        <v>1782.7872193062994</v>
      </c>
      <c r="P384" s="41">
        <f t="shared" si="200"/>
        <v>0.95</v>
      </c>
      <c r="Q384" s="41">
        <f t="shared" si="201"/>
        <v>0.02</v>
      </c>
      <c r="R384" s="64">
        <f t="shared" si="202"/>
        <v>0</v>
      </c>
      <c r="S384" s="64">
        <f>APPLICANTS_PER_YEAR*($H384/Segments!$AH$2)*Q384</f>
        <v>0</v>
      </c>
      <c r="T384" s="64">
        <f t="shared" si="203"/>
        <v>0</v>
      </c>
      <c r="U384" s="40">
        <f t="shared" si="204"/>
        <v>8181.7668584716412</v>
      </c>
      <c r="V384" s="65">
        <f t="shared" si="205"/>
        <v>0</v>
      </c>
      <c r="W384" s="65">
        <f t="shared" si="206"/>
        <v>0</v>
      </c>
      <c r="X384" s="65">
        <f t="shared" si="207"/>
        <v>0</v>
      </c>
      <c r="Y384" s="40">
        <f t="shared" si="208"/>
        <v>8181.7668584716412</v>
      </c>
      <c r="Z384" s="40">
        <f t="shared" si="209"/>
        <v>5156.150815398998</v>
      </c>
      <c r="AA384" s="40">
        <f t="shared" si="210"/>
        <v>8425.9698642257899</v>
      </c>
      <c r="AB384" s="40">
        <f t="shared" si="211"/>
        <v>3518.2225882655948</v>
      </c>
      <c r="AC384" s="40">
        <f t="shared" si="212"/>
        <v>8425.9698642257899</v>
      </c>
      <c r="AD384" s="41">
        <f t="shared" si="213"/>
        <v>0.3</v>
      </c>
      <c r="AE384" s="41">
        <f t="shared" si="214"/>
        <v>0.02</v>
      </c>
      <c r="AF384" s="64">
        <f t="shared" si="215"/>
        <v>0</v>
      </c>
      <c r="AG384" s="64">
        <f>APPLICANTS_PER_YEAR*($H384/Segments!$AH$2)*AE384</f>
        <v>0</v>
      </c>
      <c r="AH384" s="64">
        <f t="shared" si="216"/>
        <v>0</v>
      </c>
      <c r="AI384" s="40">
        <f t="shared" si="217"/>
        <v>8425.9698642257899</v>
      </c>
      <c r="AJ384" s="65">
        <f t="shared" si="218"/>
        <v>0</v>
      </c>
      <c r="AK384" s="65">
        <f t="shared" si="219"/>
        <v>0</v>
      </c>
      <c r="AL384" s="65">
        <f t="shared" si="220"/>
        <v>0</v>
      </c>
      <c r="AM384" s="40">
        <f t="shared" si="221"/>
        <v>8425.9698642257899</v>
      </c>
      <c r="AN384" s="40">
        <f t="shared" si="222"/>
        <v>5310.835339860967</v>
      </c>
      <c r="AO384" s="40">
        <f t="shared" si="223"/>
        <v>8677.4989601525631</v>
      </c>
      <c r="AP384" s="40">
        <f t="shared" si="224"/>
        <v>3623.5082908168929</v>
      </c>
      <c r="AQ384" s="40">
        <f t="shared" si="225"/>
        <v>8677.4989601525631</v>
      </c>
      <c r="AR384" s="41">
        <f t="shared" si="226"/>
        <v>0.3</v>
      </c>
      <c r="AS384" s="41">
        <f t="shared" si="227"/>
        <v>0.02</v>
      </c>
      <c r="AT384" s="64">
        <f t="shared" si="228"/>
        <v>0</v>
      </c>
      <c r="AU384" s="64">
        <f>APPLICANTS_PER_YEAR*($H384/Segments!$AH$2)*AS384</f>
        <v>0</v>
      </c>
      <c r="AV384" s="64">
        <f t="shared" si="229"/>
        <v>0</v>
      </c>
      <c r="AW384" s="40">
        <f t="shared" si="230"/>
        <v>8677.4989601525631</v>
      </c>
      <c r="AX384" s="65">
        <f t="shared" si="231"/>
        <v>0</v>
      </c>
      <c r="AY384" s="65">
        <f t="shared" si="232"/>
        <v>0</v>
      </c>
      <c r="AZ384" s="65">
        <f t="shared" si="233"/>
        <v>0</v>
      </c>
    </row>
    <row r="385" spans="1:52" ht="15" customHeight="1" x14ac:dyDescent="0.35">
      <c r="A385" s="59" t="str">
        <f>Segments!$A$365</f>
        <v>Greek</v>
      </c>
      <c r="B385" s="59" t="str">
        <f>Segments!$B$365</f>
        <v>Off 6+mi</v>
      </c>
      <c r="C385" s="59" t="str">
        <f>Segments!$C$365</f>
        <v>Yes</v>
      </c>
      <c r="D385" s="59" t="str">
        <f>Segments!$D$365</f>
        <v>&lt;1.0</v>
      </c>
      <c r="E385" s="59" t="str">
        <f>Segments!$E$365</f>
        <v>Freshman</v>
      </c>
      <c r="F385" s="59">
        <f>Segments!$F$365</f>
        <v>1</v>
      </c>
      <c r="G385" s="59" t="str">
        <f>Segments!$G$365</f>
        <v>Base</v>
      </c>
      <c r="H385" s="60">
        <f>Segments!$H$365</f>
        <v>2</v>
      </c>
      <c r="I385" s="26">
        <f>Segments!$Y$365</f>
        <v>3600.1530161003484</v>
      </c>
      <c r="J385" s="29">
        <v>0</v>
      </c>
      <c r="K385" s="14">
        <f t="shared" si="195"/>
        <v>5895.7961375201085</v>
      </c>
      <c r="L385" s="14">
        <f t="shared" si="196"/>
        <v>3600.1530161003484</v>
      </c>
      <c r="M385" s="14">
        <f t="shared" si="197"/>
        <v>5895.7961375201085</v>
      </c>
      <c r="N385" s="14">
        <f t="shared" si="198"/>
        <v>2899.786199236943</v>
      </c>
      <c r="O385" s="14">
        <f t="shared" si="199"/>
        <v>5895.7961375201085</v>
      </c>
      <c r="P385" s="33">
        <f t="shared" si="200"/>
        <v>0.33340847696434606</v>
      </c>
      <c r="Q385" s="33">
        <f t="shared" si="201"/>
        <v>0.02</v>
      </c>
      <c r="R385" s="51">
        <f t="shared" si="202"/>
        <v>0</v>
      </c>
      <c r="S385" s="51">
        <f>APPLICANTS_PER_YEAR*($H385/Segments!$AH$2)*Q385</f>
        <v>4.8000000000000001E-2</v>
      </c>
      <c r="T385" s="51">
        <f t="shared" si="203"/>
        <v>4.8000000000000001E-2</v>
      </c>
      <c r="U385" s="14">
        <f t="shared" si="204"/>
        <v>5895.7961375201075</v>
      </c>
      <c r="V385" s="44">
        <f t="shared" si="205"/>
        <v>282.99821460096518</v>
      </c>
      <c r="W385" s="44">
        <f t="shared" si="206"/>
        <v>193.54422614555475</v>
      </c>
      <c r="X385" s="44">
        <f t="shared" si="207"/>
        <v>65.551600070616203</v>
      </c>
      <c r="Y385" s="14">
        <f t="shared" si="208"/>
        <v>6071.4200216457111</v>
      </c>
      <c r="Z385" s="14">
        <f t="shared" si="209"/>
        <v>3708.1576065833588</v>
      </c>
      <c r="AA385" s="14">
        <f t="shared" si="210"/>
        <v>6071.4200216457111</v>
      </c>
      <c r="AB385" s="14">
        <f t="shared" si="211"/>
        <v>2986.4723696239698</v>
      </c>
      <c r="AC385" s="14">
        <f t="shared" si="212"/>
        <v>6071.4200216457111</v>
      </c>
      <c r="AD385" s="33">
        <f t="shared" si="213"/>
        <v>0.33351311008275453</v>
      </c>
      <c r="AE385" s="33">
        <f t="shared" si="214"/>
        <v>0.02</v>
      </c>
      <c r="AF385" s="51">
        <f t="shared" si="215"/>
        <v>0</v>
      </c>
      <c r="AG385" s="51">
        <f>APPLICANTS_PER_YEAR*($H385/Segments!$AH$2)*AE385</f>
        <v>4.8000000000000001E-2</v>
      </c>
      <c r="AH385" s="51">
        <f t="shared" si="216"/>
        <v>4.8000000000000001E-2</v>
      </c>
      <c r="AI385" s="14">
        <f t="shared" si="217"/>
        <v>6071.4200216457111</v>
      </c>
      <c r="AJ385" s="44">
        <f t="shared" si="218"/>
        <v>291.42816103899412</v>
      </c>
      <c r="AK385" s="44">
        <f t="shared" si="219"/>
        <v>199.35055292992141</v>
      </c>
      <c r="AL385" s="44">
        <f t="shared" si="220"/>
        <v>67.439908072734681</v>
      </c>
      <c r="AM385" s="14">
        <f t="shared" si="221"/>
        <v>6252.3126222950823</v>
      </c>
      <c r="AN385" s="14">
        <f t="shared" si="222"/>
        <v>3819.4023347808593</v>
      </c>
      <c r="AO385" s="14">
        <f t="shared" si="223"/>
        <v>6252.3126222950823</v>
      </c>
      <c r="AP385" s="14">
        <f t="shared" si="224"/>
        <v>3075.7590939361889</v>
      </c>
      <c r="AQ385" s="14">
        <f t="shared" si="225"/>
        <v>6252.3126222950823</v>
      </c>
      <c r="AR385" s="33">
        <f t="shared" si="226"/>
        <v>0.33361470594016629</v>
      </c>
      <c r="AS385" s="33">
        <f t="shared" si="227"/>
        <v>0.02</v>
      </c>
      <c r="AT385" s="51">
        <f t="shared" si="228"/>
        <v>0</v>
      </c>
      <c r="AU385" s="51">
        <f>APPLICANTS_PER_YEAR*($H385/Segments!$AH$2)*AS385</f>
        <v>4.8000000000000001E-2</v>
      </c>
      <c r="AV385" s="51">
        <f t="shared" si="229"/>
        <v>4.8000000000000001E-2</v>
      </c>
      <c r="AW385" s="14">
        <f t="shared" si="230"/>
        <v>6252.3126222950832</v>
      </c>
      <c r="AX385" s="44">
        <f t="shared" si="231"/>
        <v>300.11100587016398</v>
      </c>
      <c r="AY385" s="44">
        <f t="shared" si="232"/>
        <v>205.331069517819</v>
      </c>
      <c r="AZ385" s="44">
        <f t="shared" si="233"/>
        <v>69.384865314916723</v>
      </c>
    </row>
    <row r="386" spans="1:52" ht="15" customHeight="1" x14ac:dyDescent="0.35">
      <c r="A386" s="59" t="str">
        <f>Segments!$A$366</f>
        <v>Greek</v>
      </c>
      <c r="B386" s="59" t="str">
        <f>Segments!$B$366</f>
        <v>Off 6+mi</v>
      </c>
      <c r="C386" s="59" t="str">
        <f>Segments!$C$366</f>
        <v>Yes</v>
      </c>
      <c r="D386" s="59" t="str">
        <f>Segments!$D$366</f>
        <v>&lt;1.0</v>
      </c>
      <c r="E386" s="59" t="str">
        <f>Segments!$E$366</f>
        <v>Sophomore</v>
      </c>
      <c r="F386" s="59">
        <f>Segments!$F$366</f>
        <v>1</v>
      </c>
      <c r="G386" s="59" t="str">
        <f>Segments!$G$366</f>
        <v>Sophomore</v>
      </c>
      <c r="H386" s="60">
        <f>Segments!$H$366</f>
        <v>1</v>
      </c>
      <c r="I386" s="26">
        <f>Segments!$Y$366</f>
        <v>3563.5259335033493</v>
      </c>
      <c r="J386" s="29">
        <v>1</v>
      </c>
      <c r="K386" s="14">
        <f t="shared" si="195"/>
        <v>1426.2297754450396</v>
      </c>
      <c r="L386" s="14">
        <f t="shared" si="196"/>
        <v>3563.5259335033493</v>
      </c>
      <c r="M386" s="14">
        <f t="shared" si="197"/>
        <v>5836.237645782795</v>
      </c>
      <c r="N386" s="14">
        <f t="shared" si="198"/>
        <v>2885.102408405754</v>
      </c>
      <c r="O386" s="14">
        <f t="shared" si="199"/>
        <v>1782.7872193062994</v>
      </c>
      <c r="P386" s="33">
        <f t="shared" si="200"/>
        <v>0.95</v>
      </c>
      <c r="Q386" s="33">
        <f t="shared" si="201"/>
        <v>0.02</v>
      </c>
      <c r="R386" s="51">
        <f t="shared" si="202"/>
        <v>1.9</v>
      </c>
      <c r="S386" s="51">
        <f>APPLICANTS_PER_YEAR*($H386/Segments!$AH$2)*Q386</f>
        <v>2.4E-2</v>
      </c>
      <c r="T386" s="51">
        <f t="shared" si="203"/>
        <v>1.9239999999999999</v>
      </c>
      <c r="U386" s="14">
        <f t="shared" si="204"/>
        <v>1833.3500104889583</v>
      </c>
      <c r="V386" s="44">
        <f t="shared" si="205"/>
        <v>3527.3654201807558</v>
      </c>
      <c r="W386" s="44">
        <f t="shared" si="206"/>
        <v>7678.9707635876975</v>
      </c>
      <c r="X386" s="44">
        <f t="shared" si="207"/>
        <v>710.65450403662044</v>
      </c>
      <c r="Y386" s="14">
        <f t="shared" si="208"/>
        <v>5895.7961375201075</v>
      </c>
      <c r="Z386" s="14">
        <f t="shared" si="209"/>
        <v>3670.43171150845</v>
      </c>
      <c r="AA386" s="14">
        <f t="shared" si="210"/>
        <v>6010.0747751562794</v>
      </c>
      <c r="AB386" s="14">
        <f t="shared" si="211"/>
        <v>2971.3465003072947</v>
      </c>
      <c r="AC386" s="14">
        <f t="shared" si="212"/>
        <v>6010.0747751562794</v>
      </c>
      <c r="AD386" s="33">
        <f t="shared" si="213"/>
        <v>0.33284648602980516</v>
      </c>
      <c r="AE386" s="33">
        <f t="shared" si="214"/>
        <v>0.02</v>
      </c>
      <c r="AF386" s="51">
        <f t="shared" si="215"/>
        <v>1.5976631329430648E-2</v>
      </c>
      <c r="AG386" s="51">
        <f>APPLICANTS_PER_YEAR*($H386/Segments!$AH$2)*AE386</f>
        <v>2.4E-2</v>
      </c>
      <c r="AH386" s="51">
        <f t="shared" si="216"/>
        <v>3.9976631329430648E-2</v>
      </c>
      <c r="AI386" s="14">
        <f t="shared" si="217"/>
        <v>6010.0747751562794</v>
      </c>
      <c r="AJ386" s="44">
        <f t="shared" si="218"/>
        <v>240.26254354873339</v>
      </c>
      <c r="AK386" s="44">
        <f t="shared" si="219"/>
        <v>164.33927479292339</v>
      </c>
      <c r="AL386" s="44">
        <f t="shared" si="220"/>
        <v>51.857616168430503</v>
      </c>
      <c r="AM386" s="14">
        <f t="shared" si="221"/>
        <v>6071.4200216457111</v>
      </c>
      <c r="AN386" s="14">
        <f t="shared" si="222"/>
        <v>3780.5446628537029</v>
      </c>
      <c r="AO386" s="14">
        <f t="shared" si="223"/>
        <v>6189.1270184109671</v>
      </c>
      <c r="AP386" s="14">
        <f t="shared" si="224"/>
        <v>3060.1778833007652</v>
      </c>
      <c r="AQ386" s="14">
        <f t="shared" si="225"/>
        <v>6189.1270184109671</v>
      </c>
      <c r="AR386" s="33">
        <f t="shared" si="226"/>
        <v>0.33294740192949246</v>
      </c>
      <c r="AS386" s="33">
        <f t="shared" si="227"/>
        <v>0.02</v>
      </c>
      <c r="AT386" s="51">
        <f t="shared" si="228"/>
        <v>1.5981475292615639E-2</v>
      </c>
      <c r="AU386" s="51">
        <f>APPLICANTS_PER_YEAR*($H386/Segments!$AH$2)*AS386</f>
        <v>2.4E-2</v>
      </c>
      <c r="AV386" s="51">
        <f t="shared" si="229"/>
        <v>3.9981475292615642E-2</v>
      </c>
      <c r="AW386" s="14">
        <f t="shared" si="230"/>
        <v>6189.1270184109662</v>
      </c>
      <c r="AX386" s="44">
        <f t="shared" si="231"/>
        <v>247.45042896945796</v>
      </c>
      <c r="AY386" s="44">
        <f t="shared" si="232"/>
        <v>169.28996339417711</v>
      </c>
      <c r="AZ386" s="44">
        <f t="shared" si="233"/>
        <v>53.366627276545081</v>
      </c>
    </row>
    <row r="387" spans="1:52" ht="15" customHeight="1" x14ac:dyDescent="0.35">
      <c r="A387" s="59" t="str">
        <f>Segments!$A$367</f>
        <v>Greek</v>
      </c>
      <c r="B387" s="59" t="str">
        <f>Segments!$B$367</f>
        <v>Off 6+mi</v>
      </c>
      <c r="C387" s="59" t="str">
        <f>Segments!$C$367</f>
        <v>Yes</v>
      </c>
      <c r="D387" s="59" t="str">
        <f>Segments!$D$367</f>
        <v>&lt;1.0</v>
      </c>
      <c r="E387" s="59" t="str">
        <f>Segments!$E$367</f>
        <v>Junior</v>
      </c>
      <c r="F387" s="59">
        <f>Segments!$F$367</f>
        <v>2</v>
      </c>
      <c r="G387" s="59" t="str">
        <f>Segments!$G$367</f>
        <v>Base</v>
      </c>
      <c r="H387" s="60">
        <f>Segments!$H$367</f>
        <v>4</v>
      </c>
      <c r="I387" s="26">
        <f>Segments!$Y$367</f>
        <v>4259.9302123234966</v>
      </c>
      <c r="J387" s="29">
        <v>2</v>
      </c>
      <c r="K387" s="14">
        <f t="shared" si="195"/>
        <v>1426.2297754450396</v>
      </c>
      <c r="L387" s="14">
        <f t="shared" si="196"/>
        <v>4259.9302123234966</v>
      </c>
      <c r="M387" s="14">
        <f t="shared" si="197"/>
        <v>6968.6452945791943</v>
      </c>
      <c r="N387" s="14">
        <f t="shared" si="198"/>
        <v>3152.6004208658946</v>
      </c>
      <c r="O387" s="14">
        <f t="shared" si="199"/>
        <v>1782.7872193062994</v>
      </c>
      <c r="P387" s="33">
        <f t="shared" si="200"/>
        <v>0.95</v>
      </c>
      <c r="Q387" s="33">
        <f t="shared" si="201"/>
        <v>0.02</v>
      </c>
      <c r="R387" s="51">
        <f t="shared" si="202"/>
        <v>0.95</v>
      </c>
      <c r="S387" s="51">
        <f>APPLICANTS_PER_YEAR*($H387/Segments!$AH$2)*Q387</f>
        <v>9.6000000000000002E-2</v>
      </c>
      <c r="T387" s="51">
        <f t="shared" si="203"/>
        <v>1.046</v>
      </c>
      <c r="U387" s="14">
        <f t="shared" si="204"/>
        <v>2258.7359527921481</v>
      </c>
      <c r="V387" s="44">
        <f t="shared" si="205"/>
        <v>2362.6378066205871</v>
      </c>
      <c r="W387" s="44">
        <f t="shared" si="206"/>
        <v>4990.5934423412236</v>
      </c>
      <c r="X387" s="44">
        <f t="shared" si="207"/>
        <v>493.27319364107706</v>
      </c>
      <c r="Y387" s="14">
        <f t="shared" si="208"/>
        <v>1833.3500104889583</v>
      </c>
      <c r="Z387" s="14">
        <f t="shared" si="209"/>
        <v>4387.7281186932014</v>
      </c>
      <c r="AA387" s="14">
        <f t="shared" si="210"/>
        <v>7176.4546534165702</v>
      </c>
      <c r="AB387" s="14">
        <f t="shared" si="211"/>
        <v>3246.8956724999398</v>
      </c>
      <c r="AC387" s="14">
        <f t="shared" si="212"/>
        <v>2291.6875131111979</v>
      </c>
      <c r="AD387" s="33">
        <f t="shared" si="213"/>
        <v>0.922095603883891</v>
      </c>
      <c r="AE387" s="33">
        <f t="shared" si="214"/>
        <v>0.02</v>
      </c>
      <c r="AF387" s="51">
        <f t="shared" si="215"/>
        <v>1.7741119418726061</v>
      </c>
      <c r="AG387" s="51">
        <f>APPLICANTS_PER_YEAR*($H387/Segments!$AH$2)*AE387</f>
        <v>9.6000000000000002E-2</v>
      </c>
      <c r="AH387" s="51">
        <f t="shared" si="216"/>
        <v>1.8701119418726062</v>
      </c>
      <c r="AI387" s="14">
        <f t="shared" si="217"/>
        <v>2542.4412968658498</v>
      </c>
      <c r="AJ387" s="44">
        <f t="shared" si="218"/>
        <v>4754.6498307789016</v>
      </c>
      <c r="AK387" s="44">
        <f t="shared" si="219"/>
        <v>9190.207882753386</v>
      </c>
      <c r="AL387" s="44">
        <f t="shared" si="220"/>
        <v>962.54394449014433</v>
      </c>
      <c r="AM387" s="14">
        <f t="shared" si="221"/>
        <v>6010.0747751562794</v>
      </c>
      <c r="AN387" s="14">
        <f t="shared" si="222"/>
        <v>4519.3599622539969</v>
      </c>
      <c r="AO387" s="14">
        <f t="shared" si="223"/>
        <v>7390.4982930190663</v>
      </c>
      <c r="AP387" s="14">
        <f t="shared" si="224"/>
        <v>3344.0197574148833</v>
      </c>
      <c r="AQ387" s="14">
        <f t="shared" si="225"/>
        <v>7390.4982930190663</v>
      </c>
      <c r="AR387" s="33">
        <f t="shared" si="226"/>
        <v>0.3</v>
      </c>
      <c r="AS387" s="33">
        <f t="shared" si="227"/>
        <v>0.02</v>
      </c>
      <c r="AT387" s="51">
        <f t="shared" si="228"/>
        <v>1.1992989398829194E-2</v>
      </c>
      <c r="AU387" s="51">
        <f>APPLICANTS_PER_YEAR*($H387/Segments!$AH$2)*AS387</f>
        <v>9.6000000000000002E-2</v>
      </c>
      <c r="AV387" s="51">
        <f t="shared" si="229"/>
        <v>0.1079929893988292</v>
      </c>
      <c r="AW387" s="14">
        <f t="shared" si="230"/>
        <v>7390.4982930190663</v>
      </c>
      <c r="AX387" s="44">
        <f t="shared" si="231"/>
        <v>798.12200381007335</v>
      </c>
      <c r="AY387" s="44">
        <f t="shared" si="232"/>
        <v>546.62629559237178</v>
      </c>
      <c r="AZ387" s="44">
        <f t="shared" si="233"/>
        <v>180.23699277262452</v>
      </c>
    </row>
    <row r="388" spans="1:52" ht="15" customHeight="1" x14ac:dyDescent="0.35">
      <c r="A388" s="59" t="str">
        <f>Segments!$A$368</f>
        <v>Greek</v>
      </c>
      <c r="B388" s="59" t="str">
        <f>Segments!$B$368</f>
        <v>Off 6+mi</v>
      </c>
      <c r="C388" s="59" t="str">
        <f>Segments!$C$368</f>
        <v>Yes</v>
      </c>
      <c r="D388" s="59" t="str">
        <f>Segments!$D$368</f>
        <v>&lt;1.0</v>
      </c>
      <c r="E388" s="59" t="str">
        <f>Segments!$E$368</f>
        <v>Senior</v>
      </c>
      <c r="F388" s="59">
        <f>Segments!$F$368</f>
        <v>3</v>
      </c>
      <c r="G388" s="59" t="str">
        <f>Segments!$G$368</f>
        <v>Base</v>
      </c>
      <c r="H388" s="60">
        <f>Segments!$H$368</f>
        <v>3</v>
      </c>
      <c r="I388" s="26">
        <f>Segments!$Y$368</f>
        <v>3981.7033348127093</v>
      </c>
      <c r="J388" s="29">
        <v>3</v>
      </c>
      <c r="K388" s="14">
        <f t="shared" si="195"/>
        <v>1426.2297754450396</v>
      </c>
      <c r="L388" s="14">
        <f t="shared" si="196"/>
        <v>3981.7033348127093</v>
      </c>
      <c r="M388" s="14">
        <f t="shared" si="197"/>
        <v>6516.2267012762622</v>
      </c>
      <c r="N388" s="14">
        <f t="shared" si="198"/>
        <v>3048.5466282985103</v>
      </c>
      <c r="O388" s="14">
        <f t="shared" si="199"/>
        <v>1782.7872193062994</v>
      </c>
      <c r="P388" s="33">
        <f t="shared" si="200"/>
        <v>0.95</v>
      </c>
      <c r="Q388" s="33">
        <f t="shared" si="201"/>
        <v>0.02</v>
      </c>
      <c r="R388" s="51">
        <f t="shared" si="202"/>
        <v>3.8</v>
      </c>
      <c r="S388" s="51">
        <f>APPLICANTS_PER_YEAR*($H388/Segments!$AH$2)*Q388</f>
        <v>7.1999999999999995E-2</v>
      </c>
      <c r="T388" s="51">
        <f t="shared" si="203"/>
        <v>3.8719999999999999</v>
      </c>
      <c r="U388" s="14">
        <f t="shared" si="204"/>
        <v>1870.8057220702037</v>
      </c>
      <c r="V388" s="44">
        <f t="shared" si="205"/>
        <v>7243.7597558558282</v>
      </c>
      <c r="W388" s="44">
        <f t="shared" si="206"/>
        <v>17267.213949882189</v>
      </c>
      <c r="X388" s="44">
        <f t="shared" si="207"/>
        <v>1464.7314851439678</v>
      </c>
      <c r="Y388" s="14">
        <f t="shared" si="208"/>
        <v>2258.7359527921481</v>
      </c>
      <c r="Z388" s="14">
        <f t="shared" si="209"/>
        <v>4101.1544348570906</v>
      </c>
      <c r="AA388" s="14">
        <f t="shared" si="210"/>
        <v>6710.4635023145493</v>
      </c>
      <c r="AB388" s="14">
        <f t="shared" si="211"/>
        <v>3139.7106139992202</v>
      </c>
      <c r="AC388" s="14">
        <f t="shared" si="212"/>
        <v>2823.4199409901848</v>
      </c>
      <c r="AD388" s="33">
        <f t="shared" si="213"/>
        <v>0.82536939895014072</v>
      </c>
      <c r="AE388" s="33">
        <f t="shared" si="214"/>
        <v>0.02</v>
      </c>
      <c r="AF388" s="51">
        <f t="shared" si="215"/>
        <v>0.86333639130184725</v>
      </c>
      <c r="AG388" s="51">
        <f>APPLICANTS_PER_YEAR*($H388/Segments!$AH$2)*AE388</f>
        <v>7.1999999999999995E-2</v>
      </c>
      <c r="AH388" s="51">
        <f t="shared" si="216"/>
        <v>0.9353363913018472</v>
      </c>
      <c r="AI388" s="14">
        <f t="shared" si="217"/>
        <v>3122.6354307519177</v>
      </c>
      <c r="AJ388" s="44">
        <f t="shared" si="218"/>
        <v>2920.7145551507879</v>
      </c>
      <c r="AK388" s="44">
        <f t="shared" si="219"/>
        <v>4296.2740679832941</v>
      </c>
      <c r="AL388" s="44">
        <f t="shared" si="220"/>
        <v>589.43214677536855</v>
      </c>
      <c r="AM388" s="14">
        <f t="shared" si="221"/>
        <v>2542.4412968658498</v>
      </c>
      <c r="AN388" s="14">
        <f t="shared" si="222"/>
        <v>4224.1890679028029</v>
      </c>
      <c r="AO388" s="14">
        <f t="shared" si="223"/>
        <v>6910.5274073839855</v>
      </c>
      <c r="AP388" s="14">
        <f t="shared" si="224"/>
        <v>3233.6094924315853</v>
      </c>
      <c r="AQ388" s="14">
        <f t="shared" si="225"/>
        <v>3178.0516210823125</v>
      </c>
      <c r="AR388" s="33">
        <f t="shared" si="226"/>
        <v>0.78359068967346068</v>
      </c>
      <c r="AS388" s="33">
        <f t="shared" si="227"/>
        <v>0.02</v>
      </c>
      <c r="AT388" s="51">
        <f t="shared" si="228"/>
        <v>1.4654023062985304</v>
      </c>
      <c r="AU388" s="51">
        <f>APPLICANTS_PER_YEAR*($H388/Segments!$AH$2)*AS388</f>
        <v>7.1999999999999995E-2</v>
      </c>
      <c r="AV388" s="51">
        <f t="shared" si="229"/>
        <v>1.5374023062985305</v>
      </c>
      <c r="AW388" s="14">
        <f t="shared" si="230"/>
        <v>3352.8518379889319</v>
      </c>
      <c r="AX388" s="44">
        <f t="shared" si="231"/>
        <v>5154.6821484014508</v>
      </c>
      <c r="AY388" s="44">
        <f t="shared" si="232"/>
        <v>7273.5913770629868</v>
      </c>
      <c r="AZ388" s="44">
        <f t="shared" si="233"/>
        <v>1024.1975012404525</v>
      </c>
    </row>
    <row r="389" spans="1:52" ht="15" customHeight="1" x14ac:dyDescent="0.35">
      <c r="A389" s="59" t="str">
        <f>Segments!$A$369</f>
        <v>Greek</v>
      </c>
      <c r="B389" s="59" t="str">
        <f>Segments!$B$369</f>
        <v>Off 6+mi</v>
      </c>
      <c r="C389" s="59" t="str">
        <f>Segments!$C$369</f>
        <v>Yes</v>
      </c>
      <c r="D389" s="59" t="str">
        <f>Segments!$D$369</f>
        <v>&lt;1.0</v>
      </c>
      <c r="E389" s="59" t="str">
        <f>Segments!$E$369</f>
        <v>Grad student</v>
      </c>
      <c r="F389" s="59">
        <f>Segments!$F$369</f>
        <v>3</v>
      </c>
      <c r="G389" s="59" t="str">
        <f>Segments!$G$369</f>
        <v>Grad</v>
      </c>
      <c r="H389" s="60">
        <f>Segments!$H$369</f>
        <v>1</v>
      </c>
      <c r="I389" s="26">
        <f>Segments!$Y$369</f>
        <v>4740.9362267874349</v>
      </c>
      <c r="J389" s="29">
        <v>4</v>
      </c>
      <c r="K389" s="14">
        <f t="shared" si="195"/>
        <v>1426.2297754450396</v>
      </c>
      <c r="L389" s="14">
        <f t="shared" si="196"/>
        <v>4740.9362267874349</v>
      </c>
      <c r="M389" s="14">
        <f t="shared" si="197"/>
        <v>7750.7985731587878</v>
      </c>
      <c r="N389" s="14">
        <f t="shared" si="198"/>
        <v>3324.8187482201179</v>
      </c>
      <c r="O389" s="14">
        <f t="shared" si="199"/>
        <v>1782.7872193062994</v>
      </c>
      <c r="P389" s="33">
        <f t="shared" si="200"/>
        <v>0.95</v>
      </c>
      <c r="Q389" s="33">
        <f t="shared" si="201"/>
        <v>0.02</v>
      </c>
      <c r="R389" s="51">
        <f t="shared" si="202"/>
        <v>0.47499999999999998</v>
      </c>
      <c r="S389" s="51">
        <f>APPLICANTS_PER_YEAR*($H389/Segments!$AH$2)*Q389</f>
        <v>2.4E-2</v>
      </c>
      <c r="T389" s="51">
        <f t="shared" si="203"/>
        <v>0.499</v>
      </c>
      <c r="U389" s="14">
        <f t="shared" si="204"/>
        <v>2069.8258415356777</v>
      </c>
      <c r="V389" s="44">
        <f t="shared" si="205"/>
        <v>1032.8430949263031</v>
      </c>
      <c r="W389" s="44">
        <f t="shared" si="206"/>
        <v>2649.6144384269614</v>
      </c>
      <c r="X389" s="44">
        <f t="shared" si="207"/>
        <v>212.29801574252465</v>
      </c>
      <c r="Y389" s="14">
        <f t="shared" si="208"/>
        <v>2069.8258415356777</v>
      </c>
      <c r="Z389" s="14">
        <f t="shared" si="209"/>
        <v>4883.1643135910581</v>
      </c>
      <c r="AA389" s="14">
        <f t="shared" si="210"/>
        <v>7982.0725303535519</v>
      </c>
      <c r="AB389" s="14">
        <f t="shared" si="211"/>
        <v>3424.2951972528199</v>
      </c>
      <c r="AC389" s="14">
        <f t="shared" si="212"/>
        <v>2587.2823019195971</v>
      </c>
      <c r="AD389" s="33">
        <f t="shared" si="213"/>
        <v>0.8972168135511106</v>
      </c>
      <c r="AE389" s="33">
        <f t="shared" si="214"/>
        <v>0.02</v>
      </c>
      <c r="AF389" s="51">
        <f t="shared" si="215"/>
        <v>0.2238555949810021</v>
      </c>
      <c r="AG389" s="51">
        <f>APPLICANTS_PER_YEAR*($H389/Segments!$AH$2)*AE389</f>
        <v>2.4E-2</v>
      </c>
      <c r="AH389" s="51">
        <f t="shared" si="216"/>
        <v>0.2478555949810021</v>
      </c>
      <c r="AI389" s="14">
        <f t="shared" si="217"/>
        <v>3109.6629465539822</v>
      </c>
      <c r="AJ389" s="44">
        <f t="shared" si="218"/>
        <v>770.74735980851335</v>
      </c>
      <c r="AK389" s="44">
        <f t="shared" si="219"/>
        <v>1355.5579478953216</v>
      </c>
      <c r="AL389" s="44">
        <f t="shared" si="220"/>
        <v>157.93330382892603</v>
      </c>
      <c r="AM389" s="14">
        <f t="shared" si="221"/>
        <v>3109.6629465539822</v>
      </c>
      <c r="AN389" s="14">
        <f t="shared" si="222"/>
        <v>5029.6592429987895</v>
      </c>
      <c r="AO389" s="14">
        <f t="shared" si="223"/>
        <v>8220.2847062641576</v>
      </c>
      <c r="AP389" s="14">
        <f t="shared" si="224"/>
        <v>3526.7559190680645</v>
      </c>
      <c r="AQ389" s="14">
        <f t="shared" si="225"/>
        <v>3887.0786831924779</v>
      </c>
      <c r="AR389" s="33">
        <f t="shared" si="226"/>
        <v>0.72391583477945542</v>
      </c>
      <c r="AS389" s="33">
        <f t="shared" si="227"/>
        <v>0.02</v>
      </c>
      <c r="AT389" s="51">
        <f t="shared" si="228"/>
        <v>8.9713294972715366E-2</v>
      </c>
      <c r="AU389" s="51">
        <f>APPLICANTS_PER_YEAR*($H389/Segments!$AH$2)*AS389</f>
        <v>2.4E-2</v>
      </c>
      <c r="AV389" s="51">
        <f t="shared" si="229"/>
        <v>0.11371329497271537</v>
      </c>
      <c r="AW389" s="14">
        <f t="shared" si="230"/>
        <v>4801.6326461101253</v>
      </c>
      <c r="AX389" s="44">
        <f t="shared" si="231"/>
        <v>546.00946943774056</v>
      </c>
      <c r="AY389" s="44">
        <f t="shared" si="232"/>
        <v>640.57182012472958</v>
      </c>
      <c r="AZ389" s="44">
        <f t="shared" si="233"/>
        <v>112.97509477644915</v>
      </c>
    </row>
    <row r="390" spans="1:52" ht="15" customHeight="1" x14ac:dyDescent="0.35">
      <c r="A390" s="61" t="str">
        <f>Segments!$A$370</f>
        <v>Greek</v>
      </c>
      <c r="B390" s="61" t="str">
        <f>Segments!$B$370</f>
        <v>Off 6+mi</v>
      </c>
      <c r="C390" s="61" t="str">
        <f>Segments!$C$370</f>
        <v>Yes</v>
      </c>
      <c r="D390" s="61" t="str">
        <f>Segments!$D$370</f>
        <v>1.0-2.0</v>
      </c>
      <c r="E390" s="61" t="str">
        <f>Segments!$E$370</f>
        <v>Freshman</v>
      </c>
      <c r="F390" s="61">
        <f>Segments!$F$370</f>
        <v>1</v>
      </c>
      <c r="G390" s="61" t="str">
        <f>Segments!$G$370</f>
        <v>Base</v>
      </c>
      <c r="H390" s="62">
        <f>Segments!$H$370</f>
        <v>9</v>
      </c>
      <c r="I390" s="63">
        <f>Segments!$Y$370</f>
        <v>3266.8547475300102</v>
      </c>
      <c r="J390" s="42">
        <v>0</v>
      </c>
      <c r="K390" s="40">
        <f t="shared" si="195"/>
        <v>5353.8271690078946</v>
      </c>
      <c r="L390" s="40">
        <f t="shared" si="196"/>
        <v>3266.8547475300102</v>
      </c>
      <c r="M390" s="40">
        <f t="shared" si="197"/>
        <v>5353.8271690078946</v>
      </c>
      <c r="N390" s="40">
        <f t="shared" si="198"/>
        <v>2763.292912636241</v>
      </c>
      <c r="O390" s="40">
        <f t="shared" si="199"/>
        <v>5353.8271690078946</v>
      </c>
      <c r="P390" s="41">
        <f t="shared" si="200"/>
        <v>0.38125956272579364</v>
      </c>
      <c r="Q390" s="41">
        <f t="shared" si="201"/>
        <v>0.02</v>
      </c>
      <c r="R390" s="64">
        <f t="shared" si="202"/>
        <v>0</v>
      </c>
      <c r="S390" s="64">
        <f>APPLICANTS_PER_YEAR*($H390/Segments!$AH$2)*Q390</f>
        <v>0.21599999999999997</v>
      </c>
      <c r="T390" s="64">
        <f t="shared" si="203"/>
        <v>0.21599999999999997</v>
      </c>
      <c r="U390" s="40">
        <f t="shared" si="204"/>
        <v>5353.8271690078946</v>
      </c>
      <c r="V390" s="65">
        <f t="shared" si="205"/>
        <v>1156.426668505705</v>
      </c>
      <c r="W390" s="65">
        <f t="shared" si="206"/>
        <v>790.31750052246002</v>
      </c>
      <c r="X390" s="65">
        <f t="shared" si="207"/>
        <v>268.75957374527792</v>
      </c>
      <c r="Y390" s="40">
        <f t="shared" si="208"/>
        <v>5513.1919840781311</v>
      </c>
      <c r="Z390" s="40">
        <f t="shared" si="209"/>
        <v>3364.8603899559107</v>
      </c>
      <c r="AA390" s="40">
        <f t="shared" si="210"/>
        <v>5513.1919840781311</v>
      </c>
      <c r="AB390" s="40">
        <f t="shared" si="211"/>
        <v>2845.8690979031799</v>
      </c>
      <c r="AC390" s="40">
        <f t="shared" si="212"/>
        <v>5513.1919840781311</v>
      </c>
      <c r="AD390" s="41">
        <f t="shared" si="213"/>
        <v>0.38136936478557293</v>
      </c>
      <c r="AE390" s="41">
        <f t="shared" si="214"/>
        <v>0.02</v>
      </c>
      <c r="AF390" s="64">
        <f t="shared" si="215"/>
        <v>0</v>
      </c>
      <c r="AG390" s="64">
        <f>APPLICANTS_PER_YEAR*($H390/Segments!$AH$2)*AE390</f>
        <v>0.21599999999999997</v>
      </c>
      <c r="AH390" s="64">
        <f t="shared" si="216"/>
        <v>0.21599999999999997</v>
      </c>
      <c r="AI390" s="40">
        <f t="shared" si="217"/>
        <v>5513.1919840781311</v>
      </c>
      <c r="AJ390" s="65">
        <f t="shared" si="218"/>
        <v>1190.8494685608762</v>
      </c>
      <c r="AK390" s="65">
        <f t="shared" si="219"/>
        <v>814.0270255381339</v>
      </c>
      <c r="AL390" s="65">
        <f t="shared" si="220"/>
        <v>276.47028095763625</v>
      </c>
      <c r="AM390" s="40">
        <f t="shared" si="221"/>
        <v>5677.3377436004748</v>
      </c>
      <c r="AN390" s="40">
        <f t="shared" si="222"/>
        <v>3465.8062016545878</v>
      </c>
      <c r="AO390" s="40">
        <f t="shared" si="223"/>
        <v>5677.3377436004748</v>
      </c>
      <c r="AP390" s="40">
        <f t="shared" si="224"/>
        <v>2930.922532687187</v>
      </c>
      <c r="AQ390" s="40">
        <f t="shared" si="225"/>
        <v>5677.3377436004748</v>
      </c>
      <c r="AR390" s="41">
        <f t="shared" si="226"/>
        <v>0.38147598063684329</v>
      </c>
      <c r="AS390" s="41">
        <f t="shared" si="227"/>
        <v>0.02</v>
      </c>
      <c r="AT390" s="64">
        <f t="shared" si="228"/>
        <v>0</v>
      </c>
      <c r="AU390" s="64">
        <f>APPLICANTS_PER_YEAR*($H390/Segments!$AH$2)*AS390</f>
        <v>0.21599999999999997</v>
      </c>
      <c r="AV390" s="64">
        <f t="shared" si="229"/>
        <v>0.21599999999999997</v>
      </c>
      <c r="AW390" s="40">
        <f t="shared" si="230"/>
        <v>5677.3377436004748</v>
      </c>
      <c r="AX390" s="65">
        <f t="shared" si="231"/>
        <v>1226.3049526177024</v>
      </c>
      <c r="AY390" s="65">
        <f t="shared" si="232"/>
        <v>838.44783630427787</v>
      </c>
      <c r="AZ390" s="65">
        <f t="shared" si="233"/>
        <v>284.41230938636534</v>
      </c>
    </row>
    <row r="391" spans="1:52" ht="15" customHeight="1" x14ac:dyDescent="0.35">
      <c r="A391" s="61" t="str">
        <f>Segments!$A$371</f>
        <v>Greek</v>
      </c>
      <c r="B391" s="61" t="str">
        <f>Segments!$B$371</f>
        <v>Off 6+mi</v>
      </c>
      <c r="C391" s="61" t="str">
        <f>Segments!$C$371</f>
        <v>Yes</v>
      </c>
      <c r="D391" s="61" t="str">
        <f>Segments!$D$371</f>
        <v>1.0-2.0</v>
      </c>
      <c r="E391" s="61" t="str">
        <f>Segments!$E$371</f>
        <v>Sophomore</v>
      </c>
      <c r="F391" s="61">
        <f>Segments!$F$371</f>
        <v>1</v>
      </c>
      <c r="G391" s="61" t="str">
        <f>Segments!$G$371</f>
        <v>Sophomore</v>
      </c>
      <c r="H391" s="62">
        <f>Segments!$H$371</f>
        <v>5</v>
      </c>
      <c r="I391" s="63">
        <f>Segments!$Y$371</f>
        <v>3233.6185605859932</v>
      </c>
      <c r="J391" s="42">
        <v>1</v>
      </c>
      <c r="K391" s="40">
        <f t="shared" si="195"/>
        <v>1426.2297754450396</v>
      </c>
      <c r="L391" s="40">
        <f t="shared" si="196"/>
        <v>3233.6185605859932</v>
      </c>
      <c r="M391" s="40">
        <f t="shared" si="197"/>
        <v>5299.7825379553733</v>
      </c>
      <c r="N391" s="40">
        <f t="shared" si="198"/>
        <v>2749.3103969933322</v>
      </c>
      <c r="O391" s="40">
        <f t="shared" si="199"/>
        <v>1782.7872193062994</v>
      </c>
      <c r="P391" s="41">
        <f t="shared" si="200"/>
        <v>0.95</v>
      </c>
      <c r="Q391" s="41">
        <f t="shared" si="201"/>
        <v>0.02</v>
      </c>
      <c r="R391" s="64">
        <f t="shared" si="202"/>
        <v>8.5499999999999989</v>
      </c>
      <c r="S391" s="64">
        <f>APPLICANTS_PER_YEAR*($H391/Segments!$AH$2)*Q391</f>
        <v>0.12</v>
      </c>
      <c r="T391" s="64">
        <f t="shared" si="203"/>
        <v>8.6699999999999982</v>
      </c>
      <c r="U391" s="40">
        <f t="shared" si="204"/>
        <v>1831.4653552045565</v>
      </c>
      <c r="V391" s="65">
        <f t="shared" si="205"/>
        <v>15878.804629623502</v>
      </c>
      <c r="W391" s="65">
        <f t="shared" si="206"/>
        <v>31399.729670714223</v>
      </c>
      <c r="X391" s="65">
        <f t="shared" si="207"/>
        <v>3199.7531616582546</v>
      </c>
      <c r="Y391" s="40">
        <f t="shared" si="208"/>
        <v>5353.8271690078946</v>
      </c>
      <c r="Z391" s="40">
        <f t="shared" si="209"/>
        <v>3330.6271174035733</v>
      </c>
      <c r="AA391" s="40">
        <f t="shared" si="210"/>
        <v>5457.5260140940345</v>
      </c>
      <c r="AB391" s="40">
        <f t="shared" si="211"/>
        <v>2831.4654659052089</v>
      </c>
      <c r="AC391" s="40">
        <f t="shared" si="212"/>
        <v>5457.5260140940345</v>
      </c>
      <c r="AD391" s="41">
        <f t="shared" si="213"/>
        <v>0.38046110701657543</v>
      </c>
      <c r="AE391" s="41">
        <f t="shared" si="214"/>
        <v>0.02</v>
      </c>
      <c r="AF391" s="64">
        <f t="shared" si="215"/>
        <v>8.2179599115580287E-2</v>
      </c>
      <c r="AG391" s="64">
        <f>APPLICANTS_PER_YEAR*($H391/Segments!$AH$2)*AE391</f>
        <v>0.12</v>
      </c>
      <c r="AH391" s="64">
        <f t="shared" si="216"/>
        <v>0.20217959911558028</v>
      </c>
      <c r="AI391" s="40">
        <f t="shared" si="217"/>
        <v>5457.5260140940345</v>
      </c>
      <c r="AJ391" s="65">
        <f t="shared" si="218"/>
        <v>1103.4004216923827</v>
      </c>
      <c r="AK391" s="65">
        <f t="shared" si="219"/>
        <v>754.19103804815143</v>
      </c>
      <c r="AL391" s="65">
        <f t="shared" si="220"/>
        <v>238.50788094136686</v>
      </c>
      <c r="AM391" s="40">
        <f t="shared" si="221"/>
        <v>5513.1919840781311</v>
      </c>
      <c r="AN391" s="40">
        <f t="shared" si="222"/>
        <v>3430.5459309256803</v>
      </c>
      <c r="AO391" s="40">
        <f t="shared" si="223"/>
        <v>5620.0017945168556</v>
      </c>
      <c r="AP391" s="40">
        <f t="shared" si="224"/>
        <v>2916.0851502906803</v>
      </c>
      <c r="AQ391" s="40">
        <f t="shared" si="225"/>
        <v>5620.0017945168556</v>
      </c>
      <c r="AR391" s="41">
        <f t="shared" si="226"/>
        <v>0.38056694782073713</v>
      </c>
      <c r="AS391" s="41">
        <f t="shared" si="227"/>
        <v>0.02</v>
      </c>
      <c r="AT391" s="64">
        <f t="shared" si="228"/>
        <v>8.2202460729279211E-2</v>
      </c>
      <c r="AU391" s="64">
        <f>APPLICANTS_PER_YEAR*($H391/Segments!$AH$2)*AS391</f>
        <v>0.12</v>
      </c>
      <c r="AV391" s="64">
        <f t="shared" si="229"/>
        <v>0.20220246072927922</v>
      </c>
      <c r="AW391" s="40">
        <f t="shared" si="230"/>
        <v>5620.0017945168556</v>
      </c>
      <c r="AX391" s="65">
        <f t="shared" si="231"/>
        <v>1136.3781921542732</v>
      </c>
      <c r="AY391" s="65">
        <f t="shared" si="232"/>
        <v>776.90460834334715</v>
      </c>
      <c r="AZ391" s="65">
        <f t="shared" si="233"/>
        <v>245.42353506871399</v>
      </c>
    </row>
    <row r="392" spans="1:52" ht="15" customHeight="1" x14ac:dyDescent="0.35">
      <c r="A392" s="61" t="str">
        <f>Segments!$A$372</f>
        <v>Greek</v>
      </c>
      <c r="B392" s="61" t="str">
        <f>Segments!$B$372</f>
        <v>Off 6+mi</v>
      </c>
      <c r="C392" s="61" t="str">
        <f>Segments!$C$372</f>
        <v>Yes</v>
      </c>
      <c r="D392" s="61" t="str">
        <f>Segments!$D$372</f>
        <v>1.0-2.0</v>
      </c>
      <c r="E392" s="61" t="str">
        <f>Segments!$E$372</f>
        <v>Junior</v>
      </c>
      <c r="F392" s="61">
        <f>Segments!$F$372</f>
        <v>2</v>
      </c>
      <c r="G392" s="61" t="str">
        <f>Segments!$G$372</f>
        <v>Base</v>
      </c>
      <c r="H392" s="62">
        <f>Segments!$H$372</f>
        <v>7</v>
      </c>
      <c r="I392" s="63">
        <f>Segments!$Y$372</f>
        <v>3865.5504852262752</v>
      </c>
      <c r="J392" s="42">
        <v>2</v>
      </c>
      <c r="K392" s="40">
        <f t="shared" si="195"/>
        <v>1426.2297754450396</v>
      </c>
      <c r="L392" s="40">
        <f t="shared" si="196"/>
        <v>3865.5504852262752</v>
      </c>
      <c r="M392" s="40">
        <f t="shared" si="197"/>
        <v>6327.353112613052</v>
      </c>
      <c r="N392" s="40">
        <f t="shared" si="198"/>
        <v>3004.0405138685442</v>
      </c>
      <c r="O392" s="40">
        <f t="shared" si="199"/>
        <v>1782.7872193062994</v>
      </c>
      <c r="P392" s="41">
        <f t="shared" si="200"/>
        <v>0.95</v>
      </c>
      <c r="Q392" s="41">
        <f t="shared" si="201"/>
        <v>0.02</v>
      </c>
      <c r="R392" s="64">
        <f t="shared" si="202"/>
        <v>4.75</v>
      </c>
      <c r="S392" s="64">
        <f>APPLICANTS_PER_YEAR*($H392/Segments!$AH$2)*Q392</f>
        <v>0.16800000000000001</v>
      </c>
      <c r="T392" s="64">
        <f t="shared" si="203"/>
        <v>4.9180000000000001</v>
      </c>
      <c r="U392" s="40">
        <f t="shared" si="204"/>
        <v>1938.0306251776969</v>
      </c>
      <c r="V392" s="65">
        <f t="shared" si="205"/>
        <v>9531.2346146239142</v>
      </c>
      <c r="W392" s="65">
        <f t="shared" si="206"/>
        <v>21292.070560703964</v>
      </c>
      <c r="X392" s="65">
        <f t="shared" si="207"/>
        <v>1941.1681784660846</v>
      </c>
      <c r="Y392" s="40">
        <f t="shared" si="208"/>
        <v>1831.4653552045565</v>
      </c>
      <c r="Z392" s="40">
        <f t="shared" si="209"/>
        <v>3981.5169997830635</v>
      </c>
      <c r="AA392" s="40">
        <f t="shared" si="210"/>
        <v>6515.923705991444</v>
      </c>
      <c r="AB392" s="40">
        <f t="shared" si="211"/>
        <v>3093.8649835009901</v>
      </c>
      <c r="AC392" s="40">
        <f t="shared" si="212"/>
        <v>2289.3316940056957</v>
      </c>
      <c r="AD392" s="41">
        <f t="shared" si="213"/>
        <v>0.90502074973952029</v>
      </c>
      <c r="AE392" s="41">
        <f t="shared" si="214"/>
        <v>0.02</v>
      </c>
      <c r="AF392" s="64">
        <f t="shared" si="215"/>
        <v>7.8465299002416389</v>
      </c>
      <c r="AG392" s="64">
        <f>APPLICANTS_PER_YEAR*($H392/Segments!$AH$2)*AE392</f>
        <v>0.16800000000000001</v>
      </c>
      <c r="AH392" s="64">
        <f t="shared" si="216"/>
        <v>8.014529900241639</v>
      </c>
      <c r="AI392" s="40">
        <f t="shared" si="217"/>
        <v>2377.9292121199142</v>
      </c>
      <c r="AJ392" s="65">
        <f t="shared" si="218"/>
        <v>19057.984771193096</v>
      </c>
      <c r="AK392" s="65">
        <f t="shared" si="219"/>
        <v>35739.185488251562</v>
      </c>
      <c r="AL392" s="65">
        <f t="shared" si="220"/>
        <v>3804.7633511515573</v>
      </c>
      <c r="AM392" s="40">
        <f t="shared" si="221"/>
        <v>5457.5260140940345</v>
      </c>
      <c r="AN392" s="40">
        <f t="shared" si="222"/>
        <v>4100.9625097765556</v>
      </c>
      <c r="AO392" s="40">
        <f t="shared" si="223"/>
        <v>6710.1514171711879</v>
      </c>
      <c r="AP392" s="40">
        <f t="shared" si="224"/>
        <v>3186.3841591721416</v>
      </c>
      <c r="AQ392" s="40">
        <f t="shared" si="225"/>
        <v>6710.1514171711879</v>
      </c>
      <c r="AR392" s="41">
        <f t="shared" si="226"/>
        <v>0.3</v>
      </c>
      <c r="AS392" s="41">
        <f t="shared" si="227"/>
        <v>0.02</v>
      </c>
      <c r="AT392" s="64">
        <f t="shared" si="228"/>
        <v>6.0653879734674079E-2</v>
      </c>
      <c r="AU392" s="64">
        <f>APPLICANTS_PER_YEAR*($H392/Segments!$AH$2)*AS392</f>
        <v>0.16800000000000001</v>
      </c>
      <c r="AV392" s="64">
        <f t="shared" si="229"/>
        <v>0.2286538797346741</v>
      </c>
      <c r="AW392" s="40">
        <f t="shared" si="230"/>
        <v>6710.1514171711869</v>
      </c>
      <c r="AX392" s="65">
        <f t="shared" si="231"/>
        <v>1534.3021551433135</v>
      </c>
      <c r="AY392" s="65">
        <f t="shared" si="232"/>
        <v>1050.2251071276787</v>
      </c>
      <c r="AZ392" s="65">
        <f t="shared" si="233"/>
        <v>338.21187524974636</v>
      </c>
    </row>
    <row r="393" spans="1:52" ht="15" customHeight="1" x14ac:dyDescent="0.35">
      <c r="A393" s="61" t="str">
        <f>Segments!$A$373</f>
        <v>Greek</v>
      </c>
      <c r="B393" s="61" t="str">
        <f>Segments!$B$373</f>
        <v>Off 6+mi</v>
      </c>
      <c r="C393" s="61" t="str">
        <f>Segments!$C$373</f>
        <v>Yes</v>
      </c>
      <c r="D393" s="61" t="str">
        <f>Segments!$D$373</f>
        <v>1.0-2.0</v>
      </c>
      <c r="E393" s="61" t="str">
        <f>Segments!$E$373</f>
        <v>Senior</v>
      </c>
      <c r="F393" s="61">
        <f>Segments!$F$373</f>
        <v>3</v>
      </c>
      <c r="G393" s="61" t="str">
        <f>Segments!$G$373</f>
        <v>Base</v>
      </c>
      <c r="H393" s="62">
        <f>Segments!$H$373</f>
        <v>8</v>
      </c>
      <c r="I393" s="63">
        <f>Segments!$Y$373</f>
        <v>3613.0815508166188</v>
      </c>
      <c r="J393" s="42">
        <v>3</v>
      </c>
      <c r="K393" s="40">
        <f t="shared" si="195"/>
        <v>1426.2297754450396</v>
      </c>
      <c r="L393" s="40">
        <f t="shared" si="196"/>
        <v>3613.0815508166188</v>
      </c>
      <c r="M393" s="40">
        <f t="shared" si="197"/>
        <v>5916.8189428728247</v>
      </c>
      <c r="N393" s="40">
        <f t="shared" si="198"/>
        <v>2904.9515232172926</v>
      </c>
      <c r="O393" s="40">
        <f t="shared" si="199"/>
        <v>1782.7872193062994</v>
      </c>
      <c r="P393" s="41">
        <f t="shared" si="200"/>
        <v>0.95</v>
      </c>
      <c r="Q393" s="41">
        <f t="shared" si="201"/>
        <v>0.02</v>
      </c>
      <c r="R393" s="64">
        <f t="shared" si="202"/>
        <v>6.6499999999999995</v>
      </c>
      <c r="S393" s="64">
        <f>APPLICANTS_PER_YEAR*($H393/Segments!$AH$2)*Q393</f>
        <v>0.192</v>
      </c>
      <c r="T393" s="64">
        <f t="shared" si="203"/>
        <v>6.8419999999999996</v>
      </c>
      <c r="U393" s="40">
        <f t="shared" si="204"/>
        <v>1898.7962942733811</v>
      </c>
      <c r="V393" s="65">
        <f t="shared" si="205"/>
        <v>12991.564245418473</v>
      </c>
      <c r="W393" s="65">
        <f t="shared" si="206"/>
        <v>27687.188447169781</v>
      </c>
      <c r="X393" s="65">
        <f t="shared" si="207"/>
        <v>2636.8066656801975</v>
      </c>
      <c r="Y393" s="40">
        <f t="shared" si="208"/>
        <v>1938.0306251776969</v>
      </c>
      <c r="Z393" s="40">
        <f t="shared" si="209"/>
        <v>3721.4739973411174</v>
      </c>
      <c r="AA393" s="40">
        <f t="shared" si="210"/>
        <v>6093.0735111590093</v>
      </c>
      <c r="AB393" s="40">
        <f t="shared" si="211"/>
        <v>2991.7931999986472</v>
      </c>
      <c r="AC393" s="40">
        <f t="shared" si="212"/>
        <v>2422.5382814721211</v>
      </c>
      <c r="AD393" s="41">
        <f t="shared" si="213"/>
        <v>0.87013607399849424</v>
      </c>
      <c r="AE393" s="41">
        <f t="shared" si="214"/>
        <v>0.02</v>
      </c>
      <c r="AF393" s="64">
        <f t="shared" si="215"/>
        <v>4.2793292119245949</v>
      </c>
      <c r="AG393" s="64">
        <f>APPLICANTS_PER_YEAR*($H393/Segments!$AH$2)*AE393</f>
        <v>0.192</v>
      </c>
      <c r="AH393" s="64">
        <f t="shared" si="216"/>
        <v>4.4713292119245951</v>
      </c>
      <c r="AI393" s="40">
        <f t="shared" si="217"/>
        <v>2580.1519866362146</v>
      </c>
      <c r="AJ393" s="65">
        <f t="shared" si="218"/>
        <v>11536.708949051785</v>
      </c>
      <c r="AK393" s="65">
        <f t="shared" si="219"/>
        <v>18636.727643216629</v>
      </c>
      <c r="AL393" s="65">
        <f t="shared" si="220"/>
        <v>2315.6100296042682</v>
      </c>
      <c r="AM393" s="40">
        <f t="shared" si="221"/>
        <v>2377.9292121199142</v>
      </c>
      <c r="AN393" s="40">
        <f t="shared" si="222"/>
        <v>3833.1182172613508</v>
      </c>
      <c r="AO393" s="40">
        <f t="shared" si="223"/>
        <v>6274.6157164937786</v>
      </c>
      <c r="AP393" s="40">
        <f t="shared" si="224"/>
        <v>3081.2400960631217</v>
      </c>
      <c r="AQ393" s="40">
        <f t="shared" si="225"/>
        <v>2972.4115151498927</v>
      </c>
      <c r="AR393" s="41">
        <f t="shared" si="226"/>
        <v>0.79265986705357339</v>
      </c>
      <c r="AS393" s="41">
        <f t="shared" si="227"/>
        <v>0.02</v>
      </c>
      <c r="AT393" s="64">
        <f t="shared" si="228"/>
        <v>6.3527962052224263</v>
      </c>
      <c r="AU393" s="64">
        <f>APPLICANTS_PER_YEAR*($H393/Segments!$AH$2)*AS393</f>
        <v>0.192</v>
      </c>
      <c r="AV393" s="64">
        <f t="shared" si="229"/>
        <v>6.5447962052224264</v>
      </c>
      <c r="AW393" s="40">
        <f t="shared" si="230"/>
        <v>3069.2859153263421</v>
      </c>
      <c r="AX393" s="65">
        <f t="shared" si="231"/>
        <v>20087.850811370485</v>
      </c>
      <c r="AY393" s="65">
        <f t="shared" si="232"/>
        <v>28097.414870001168</v>
      </c>
      <c r="AZ393" s="65">
        <f t="shared" si="233"/>
        <v>3974.4651450683086</v>
      </c>
    </row>
    <row r="394" spans="1:52" ht="15" customHeight="1" x14ac:dyDescent="0.35">
      <c r="A394" s="61" t="str">
        <f>Segments!$A$374</f>
        <v>Greek</v>
      </c>
      <c r="B394" s="61" t="str">
        <f>Segments!$B$374</f>
        <v>Off 6+mi</v>
      </c>
      <c r="C394" s="61" t="str">
        <f>Segments!$C$374</f>
        <v>Yes</v>
      </c>
      <c r="D394" s="61" t="str">
        <f>Segments!$D$374</f>
        <v>1.0-2.0</v>
      </c>
      <c r="E394" s="61" t="str">
        <f>Segments!$E$374</f>
        <v>Grad student</v>
      </c>
      <c r="F394" s="61">
        <f>Segments!$F$374</f>
        <v>3</v>
      </c>
      <c r="G394" s="61" t="str">
        <f>Segments!$G$374</f>
        <v>Grad</v>
      </c>
      <c r="H394" s="62">
        <f>Segments!$H$374</f>
        <v>1</v>
      </c>
      <c r="I394" s="63">
        <f>Segments!$Y$374</f>
        <v>4302.0254836262338</v>
      </c>
      <c r="J394" s="42">
        <v>4</v>
      </c>
      <c r="K394" s="40">
        <f t="shared" si="195"/>
        <v>1426.2297754450396</v>
      </c>
      <c r="L394" s="40">
        <f t="shared" si="196"/>
        <v>4302.0254836262338</v>
      </c>
      <c r="M394" s="40">
        <f t="shared" si="197"/>
        <v>7037.095487450124</v>
      </c>
      <c r="N394" s="40">
        <f t="shared" si="198"/>
        <v>3168.045946139559</v>
      </c>
      <c r="O394" s="40">
        <f t="shared" si="199"/>
        <v>1782.7872193062994</v>
      </c>
      <c r="P394" s="41">
        <f t="shared" si="200"/>
        <v>0.95</v>
      </c>
      <c r="Q394" s="41">
        <f t="shared" si="201"/>
        <v>0.02</v>
      </c>
      <c r="R394" s="64">
        <f t="shared" si="202"/>
        <v>0.47499999999999998</v>
      </c>
      <c r="S394" s="64">
        <f>APPLICANTS_PER_YEAR*($H394/Segments!$AH$2)*Q394</f>
        <v>2.4E-2</v>
      </c>
      <c r="T394" s="64">
        <f t="shared" si="203"/>
        <v>0.499</v>
      </c>
      <c r="U394" s="40">
        <f t="shared" si="204"/>
        <v>2035.4994406198298</v>
      </c>
      <c r="V394" s="65">
        <f t="shared" si="205"/>
        <v>1015.7142208692951</v>
      </c>
      <c r="W394" s="65">
        <f t="shared" si="206"/>
        <v>2404.3160022890302</v>
      </c>
      <c r="X394" s="65">
        <f t="shared" si="207"/>
        <v>208.46114795375487</v>
      </c>
      <c r="Y394" s="40">
        <f t="shared" si="208"/>
        <v>2035.4994406198298</v>
      </c>
      <c r="Z394" s="40">
        <f t="shared" si="209"/>
        <v>4431.0862481350214</v>
      </c>
      <c r="AA394" s="40">
        <f t="shared" si="210"/>
        <v>7246.9583520736278</v>
      </c>
      <c r="AB394" s="40">
        <f t="shared" si="211"/>
        <v>3262.8059422269735</v>
      </c>
      <c r="AC394" s="40">
        <f t="shared" si="212"/>
        <v>2544.3743007747871</v>
      </c>
      <c r="AD394" s="41">
        <f t="shared" si="213"/>
        <v>0.88509414200126058</v>
      </c>
      <c r="AE394" s="41">
        <f t="shared" si="214"/>
        <v>0.02</v>
      </c>
      <c r="AF394" s="64">
        <f t="shared" si="215"/>
        <v>0.22083098842931451</v>
      </c>
      <c r="AG394" s="64">
        <f>APPLICANTS_PER_YEAR*($H394/Segments!$AH$2)*AE394</f>
        <v>2.4E-2</v>
      </c>
      <c r="AH394" s="64">
        <f t="shared" si="216"/>
        <v>0.2448309884293145</v>
      </c>
      <c r="AI394" s="40">
        <f t="shared" si="217"/>
        <v>3005.3535990050714</v>
      </c>
      <c r="AJ394" s="65">
        <f t="shared" si="218"/>
        <v>735.8036922240093</v>
      </c>
      <c r="AK394" s="65">
        <f t="shared" si="219"/>
        <v>1215.0512930600128</v>
      </c>
      <c r="AL394" s="65">
        <f t="shared" si="220"/>
        <v>150.65096261466587</v>
      </c>
      <c r="AM394" s="40">
        <f t="shared" si="221"/>
        <v>3005.3535990050714</v>
      </c>
      <c r="AN394" s="40">
        <f t="shared" si="222"/>
        <v>4564.0188355790715</v>
      </c>
      <c r="AO394" s="40">
        <f t="shared" si="223"/>
        <v>7463.1171026358361</v>
      </c>
      <c r="AP394" s="40">
        <f t="shared" si="224"/>
        <v>3360.4087142821718</v>
      </c>
      <c r="AQ394" s="40">
        <f t="shared" si="225"/>
        <v>3756.6919987563392</v>
      </c>
      <c r="AR394" s="41">
        <f t="shared" si="226"/>
        <v>0.71603644553861678</v>
      </c>
      <c r="AS394" s="41">
        <f t="shared" si="227"/>
        <v>0.02</v>
      </c>
      <c r="AT394" s="64">
        <f t="shared" si="228"/>
        <v>8.7653955356316288E-2</v>
      </c>
      <c r="AU394" s="64">
        <f>APPLICANTS_PER_YEAR*($H394/Segments!$AH$2)*AS394</f>
        <v>2.4E-2</v>
      </c>
      <c r="AV394" s="64">
        <f t="shared" si="229"/>
        <v>0.11165395535631628</v>
      </c>
      <c r="AW394" s="40">
        <f t="shared" si="230"/>
        <v>4553.387487144837</v>
      </c>
      <c r="AX394" s="65">
        <f t="shared" si="231"/>
        <v>508.40372320967879</v>
      </c>
      <c r="AY394" s="65">
        <f t="shared" si="232"/>
        <v>570.74164595070818</v>
      </c>
      <c r="AZ394" s="65">
        <f t="shared" si="233"/>
        <v>105.19040115996972</v>
      </c>
    </row>
    <row r="395" spans="1:52" ht="15" customHeight="1" x14ac:dyDescent="0.35">
      <c r="A395" s="59" t="str">
        <f>Segments!$A$375</f>
        <v>Greek</v>
      </c>
      <c r="B395" s="59" t="str">
        <f>Segments!$B$375</f>
        <v>Off 6+mi</v>
      </c>
      <c r="C395" s="59" t="str">
        <f>Segments!$C$375</f>
        <v>Yes</v>
      </c>
      <c r="D395" s="59" t="str">
        <f>Segments!$D$375</f>
        <v>2.0-3.0</v>
      </c>
      <c r="E395" s="59" t="str">
        <f>Segments!$E$375</f>
        <v>Freshman</v>
      </c>
      <c r="F395" s="59">
        <f>Segments!$F$375</f>
        <v>1</v>
      </c>
      <c r="G395" s="59" t="str">
        <f>Segments!$G$375</f>
        <v>Base</v>
      </c>
      <c r="H395" s="60">
        <f>Segments!$H$375</f>
        <v>12</v>
      </c>
      <c r="I395" s="26">
        <f>Segments!$Y$375</f>
        <v>3210.2719070549988</v>
      </c>
      <c r="J395" s="29">
        <v>0</v>
      </c>
      <c r="K395" s="14">
        <f t="shared" si="195"/>
        <v>5261.8190592170049</v>
      </c>
      <c r="L395" s="14">
        <f t="shared" si="196"/>
        <v>3210.2719070549988</v>
      </c>
      <c r="M395" s="14">
        <f t="shared" si="197"/>
        <v>5261.8190592170049</v>
      </c>
      <c r="N395" s="14">
        <f t="shared" si="198"/>
        <v>2739.4457496470886</v>
      </c>
      <c r="O395" s="14">
        <f t="shared" si="199"/>
        <v>5261.8190592170049</v>
      </c>
      <c r="P395" s="33">
        <f t="shared" si="200"/>
        <v>0.38961977347153831</v>
      </c>
      <c r="Q395" s="33">
        <f t="shared" si="201"/>
        <v>0.02</v>
      </c>
      <c r="R395" s="51">
        <f t="shared" si="202"/>
        <v>0</v>
      </c>
      <c r="S395" s="51">
        <f>APPLICANTS_PER_YEAR*($H395/Segments!$AH$2)*Q395</f>
        <v>0.28799999999999998</v>
      </c>
      <c r="T395" s="51">
        <f t="shared" si="203"/>
        <v>0.28799999999999998</v>
      </c>
      <c r="U395" s="14">
        <f t="shared" si="204"/>
        <v>5261.8190592170049</v>
      </c>
      <c r="V395" s="44">
        <f t="shared" si="205"/>
        <v>1515.4038890544973</v>
      </c>
      <c r="W395" s="44">
        <f t="shared" si="206"/>
        <v>1035.5053063396604</v>
      </c>
      <c r="X395" s="44">
        <f t="shared" si="207"/>
        <v>352.41047114820736</v>
      </c>
      <c r="Y395" s="14">
        <f t="shared" si="208"/>
        <v>5418.423630993515</v>
      </c>
      <c r="Z395" s="14">
        <f t="shared" si="209"/>
        <v>3306.5800642666491</v>
      </c>
      <c r="AA395" s="14">
        <f t="shared" si="210"/>
        <v>5418.423630993515</v>
      </c>
      <c r="AB395" s="14">
        <f t="shared" si="211"/>
        <v>2821.3037114165704</v>
      </c>
      <c r="AC395" s="14">
        <f t="shared" si="212"/>
        <v>5418.423630993515</v>
      </c>
      <c r="AD395" s="33">
        <f t="shared" si="213"/>
        <v>0.38973053147955194</v>
      </c>
      <c r="AE395" s="33">
        <f t="shared" si="214"/>
        <v>0.02</v>
      </c>
      <c r="AF395" s="51">
        <f t="shared" si="215"/>
        <v>0</v>
      </c>
      <c r="AG395" s="51">
        <f>APPLICANTS_PER_YEAR*($H395/Segments!$AH$2)*AE395</f>
        <v>0.28799999999999998</v>
      </c>
      <c r="AH395" s="51">
        <f t="shared" si="216"/>
        <v>0.28799999999999998</v>
      </c>
      <c r="AI395" s="14">
        <f t="shared" si="217"/>
        <v>5418.423630993515</v>
      </c>
      <c r="AJ395" s="44">
        <f t="shared" si="218"/>
        <v>1560.5060057261321</v>
      </c>
      <c r="AK395" s="44">
        <f t="shared" si="219"/>
        <v>1066.5704655298505</v>
      </c>
      <c r="AL395" s="44">
        <f t="shared" si="220"/>
        <v>362.51334528265357</v>
      </c>
      <c r="AM395" s="14">
        <f t="shared" si="221"/>
        <v>5579.7263399233207</v>
      </c>
      <c r="AN395" s="14">
        <f t="shared" si="222"/>
        <v>3405.7774661946482</v>
      </c>
      <c r="AO395" s="14">
        <f t="shared" si="223"/>
        <v>5579.7263399233207</v>
      </c>
      <c r="AP395" s="14">
        <f t="shared" si="224"/>
        <v>2905.6173750485418</v>
      </c>
      <c r="AQ395" s="14">
        <f t="shared" si="225"/>
        <v>5579.7263399233207</v>
      </c>
      <c r="AR395" s="33">
        <f t="shared" si="226"/>
        <v>0.38983807574971829</v>
      </c>
      <c r="AS395" s="33">
        <f t="shared" si="227"/>
        <v>0.02</v>
      </c>
      <c r="AT395" s="51">
        <f t="shared" si="228"/>
        <v>0</v>
      </c>
      <c r="AU395" s="51">
        <f>APPLICANTS_PER_YEAR*($H395/Segments!$AH$2)*AS395</f>
        <v>0.28799999999999998</v>
      </c>
      <c r="AV395" s="51">
        <f t="shared" si="229"/>
        <v>0.28799999999999998</v>
      </c>
      <c r="AW395" s="14">
        <f t="shared" si="230"/>
        <v>5579.7263399233207</v>
      </c>
      <c r="AX395" s="44">
        <f t="shared" si="231"/>
        <v>1606.9611858979163</v>
      </c>
      <c r="AY395" s="44">
        <f t="shared" si="232"/>
        <v>1098.5675794957458</v>
      </c>
      <c r="AZ395" s="44">
        <f t="shared" si="233"/>
        <v>372.91930564113323</v>
      </c>
    </row>
    <row r="396" spans="1:52" ht="15" customHeight="1" x14ac:dyDescent="0.35">
      <c r="A396" s="59" t="str">
        <f>Segments!$A$376</f>
        <v>Greek</v>
      </c>
      <c r="B396" s="59" t="str">
        <f>Segments!$B$376</f>
        <v>Off 6+mi</v>
      </c>
      <c r="C396" s="59" t="str">
        <f>Segments!$C$376</f>
        <v>Yes</v>
      </c>
      <c r="D396" s="59" t="str">
        <f>Segments!$D$376</f>
        <v>2.0-3.0</v>
      </c>
      <c r="E396" s="59" t="str">
        <f>Segments!$E$376</f>
        <v>Sophomore</v>
      </c>
      <c r="F396" s="59">
        <f>Segments!$F$376</f>
        <v>1</v>
      </c>
      <c r="G396" s="59" t="str">
        <f>Segments!$G$376</f>
        <v>Sophomore</v>
      </c>
      <c r="H396" s="60">
        <f>Segments!$H$376</f>
        <v>11</v>
      </c>
      <c r="I396" s="26">
        <f>Segments!$Y$376</f>
        <v>3177.6113801905344</v>
      </c>
      <c r="J396" s="29">
        <v>1</v>
      </c>
      <c r="K396" s="14">
        <f t="shared" si="195"/>
        <v>1426.2297754450396</v>
      </c>
      <c r="L396" s="14">
        <f t="shared" si="196"/>
        <v>3177.6113801905344</v>
      </c>
      <c r="M396" s="14">
        <f t="shared" si="197"/>
        <v>5208.7104963320953</v>
      </c>
      <c r="N396" s="14">
        <f t="shared" si="198"/>
        <v>2725.5858088752125</v>
      </c>
      <c r="O396" s="14">
        <f t="shared" si="199"/>
        <v>1782.7872193062994</v>
      </c>
      <c r="P396" s="33">
        <f t="shared" si="200"/>
        <v>0.94795338611224733</v>
      </c>
      <c r="Q396" s="33">
        <f t="shared" si="201"/>
        <v>0.02</v>
      </c>
      <c r="R396" s="51">
        <f t="shared" si="202"/>
        <v>11.375440633346969</v>
      </c>
      <c r="S396" s="51">
        <f>APPLICANTS_PER_YEAR*($H396/Segments!$AH$2)*Q396</f>
        <v>0.26400000000000001</v>
      </c>
      <c r="T396" s="51">
        <f t="shared" si="203"/>
        <v>11.639440633346968</v>
      </c>
      <c r="U396" s="14">
        <f t="shared" si="204"/>
        <v>1860.4923061421377</v>
      </c>
      <c r="V396" s="44">
        <f t="shared" si="205"/>
        <v>21655.089746140206</v>
      </c>
      <c r="W396" s="44">
        <f t="shared" si="206"/>
        <v>41423.893297444505</v>
      </c>
      <c r="X396" s="44">
        <f t="shared" si="207"/>
        <v>4380.3292596735473</v>
      </c>
      <c r="Y396" s="14">
        <f t="shared" si="208"/>
        <v>5261.8190592170049</v>
      </c>
      <c r="Z396" s="14">
        <f t="shared" si="209"/>
        <v>3272.9397215962504</v>
      </c>
      <c r="AA396" s="14">
        <f t="shared" si="210"/>
        <v>5363.721811222058</v>
      </c>
      <c r="AB396" s="14">
        <f t="shared" si="211"/>
        <v>2807.0263174754814</v>
      </c>
      <c r="AC396" s="14">
        <f t="shared" si="212"/>
        <v>5363.721811222058</v>
      </c>
      <c r="AD396" s="33">
        <f t="shared" si="213"/>
        <v>0.38878010381782802</v>
      </c>
      <c r="AE396" s="33">
        <f t="shared" si="214"/>
        <v>0.02</v>
      </c>
      <c r="AF396" s="51">
        <f t="shared" si="215"/>
        <v>0.11196866989953445</v>
      </c>
      <c r="AG396" s="51">
        <f>APPLICANTS_PER_YEAR*($H396/Segments!$AH$2)*AE396</f>
        <v>0.26400000000000001</v>
      </c>
      <c r="AH396" s="51">
        <f t="shared" si="216"/>
        <v>0.37596866989953448</v>
      </c>
      <c r="AI396" s="14">
        <f t="shared" si="217"/>
        <v>5363.721811222058</v>
      </c>
      <c r="AJ396" s="44">
        <f t="shared" si="218"/>
        <v>2016.5913550762791</v>
      </c>
      <c r="AK396" s="44">
        <f t="shared" si="219"/>
        <v>1378.1855290446824</v>
      </c>
      <c r="AL396" s="44">
        <f t="shared" si="220"/>
        <v>444.81592904309935</v>
      </c>
      <c r="AM396" s="14">
        <f t="shared" si="221"/>
        <v>5418.423630993515</v>
      </c>
      <c r="AN396" s="14">
        <f t="shared" si="222"/>
        <v>3371.1279132441377</v>
      </c>
      <c r="AO396" s="14">
        <f t="shared" si="223"/>
        <v>5523.3834655587198</v>
      </c>
      <c r="AP396" s="14">
        <f t="shared" si="224"/>
        <v>2890.9100037758531</v>
      </c>
      <c r="AQ396" s="14">
        <f t="shared" si="225"/>
        <v>5523.3834655587198</v>
      </c>
      <c r="AR396" s="33">
        <f t="shared" si="226"/>
        <v>0.38888685483333196</v>
      </c>
      <c r="AS396" s="33">
        <f t="shared" si="227"/>
        <v>0.02</v>
      </c>
      <c r="AT396" s="51">
        <f t="shared" si="228"/>
        <v>0.1119994141919996</v>
      </c>
      <c r="AU396" s="51">
        <f>APPLICANTS_PER_YEAR*($H396/Segments!$AH$2)*AS396</f>
        <v>0.26400000000000001</v>
      </c>
      <c r="AV396" s="51">
        <f t="shared" si="229"/>
        <v>0.37599941419199961</v>
      </c>
      <c r="AW396" s="14">
        <f t="shared" si="230"/>
        <v>5523.3834655587198</v>
      </c>
      <c r="AX396" s="44">
        <f t="shared" si="231"/>
        <v>2076.7889474078552</v>
      </c>
      <c r="AY396" s="44">
        <f t="shared" si="232"/>
        <v>1419.6471750116252</v>
      </c>
      <c r="AZ396" s="44">
        <f t="shared" si="233"/>
        <v>457.66916256568726</v>
      </c>
    </row>
    <row r="397" spans="1:52" ht="15" customHeight="1" x14ac:dyDescent="0.35">
      <c r="A397" s="59" t="str">
        <f>Segments!$A$377</f>
        <v>Greek</v>
      </c>
      <c r="B397" s="59" t="str">
        <f>Segments!$B$377</f>
        <v>Off 6+mi</v>
      </c>
      <c r="C397" s="59" t="str">
        <f>Segments!$C$377</f>
        <v>Yes</v>
      </c>
      <c r="D397" s="59" t="str">
        <f>Segments!$D$377</f>
        <v>2.0-3.0</v>
      </c>
      <c r="E397" s="59" t="str">
        <f>Segments!$E$377</f>
        <v>Junior</v>
      </c>
      <c r="F397" s="59">
        <f>Segments!$F$377</f>
        <v>2</v>
      </c>
      <c r="G397" s="59" t="str">
        <f>Segments!$G$377</f>
        <v>Base</v>
      </c>
      <c r="H397" s="60">
        <f>Segments!$H$377</f>
        <v>9</v>
      </c>
      <c r="I397" s="26">
        <f>Segments!$Y$377</f>
        <v>3798.5980666594464</v>
      </c>
      <c r="J397" s="29">
        <v>2</v>
      </c>
      <c r="K397" s="14">
        <f t="shared" si="195"/>
        <v>1426.2297754450396</v>
      </c>
      <c r="L397" s="14">
        <f t="shared" si="196"/>
        <v>3798.5980666594464</v>
      </c>
      <c r="M397" s="14">
        <f t="shared" si="197"/>
        <v>6218.4832604361736</v>
      </c>
      <c r="N397" s="14">
        <f t="shared" si="198"/>
        <v>2978.0842808994885</v>
      </c>
      <c r="O397" s="14">
        <f t="shared" si="199"/>
        <v>1782.7872193062994</v>
      </c>
      <c r="P397" s="33">
        <f t="shared" si="200"/>
        <v>0.95</v>
      </c>
      <c r="Q397" s="33">
        <f t="shared" si="201"/>
        <v>0.02</v>
      </c>
      <c r="R397" s="51">
        <f t="shared" si="202"/>
        <v>10.45</v>
      </c>
      <c r="S397" s="51">
        <f>APPLICANTS_PER_YEAR*($H397/Segments!$AH$2)*Q397</f>
        <v>0.21599999999999997</v>
      </c>
      <c r="T397" s="51">
        <f t="shared" si="203"/>
        <v>10.665999999999999</v>
      </c>
      <c r="U397" s="14">
        <f t="shared" si="204"/>
        <v>1872.6156784178741</v>
      </c>
      <c r="V397" s="44">
        <f t="shared" si="205"/>
        <v>19973.318826005041</v>
      </c>
      <c r="W397" s="44">
        <f t="shared" si="206"/>
        <v>45377.748616468409</v>
      </c>
      <c r="X397" s="44">
        <f t="shared" si="207"/>
        <v>4040.6889915638508</v>
      </c>
      <c r="Y397" s="14">
        <f t="shared" si="208"/>
        <v>1860.4923061421377</v>
      </c>
      <c r="Z397" s="14">
        <f t="shared" si="209"/>
        <v>3912.55600865923</v>
      </c>
      <c r="AA397" s="14">
        <f t="shared" si="210"/>
        <v>6403.7877582492592</v>
      </c>
      <c r="AB397" s="14">
        <f t="shared" si="211"/>
        <v>3067.1274769299857</v>
      </c>
      <c r="AC397" s="14">
        <f t="shared" si="212"/>
        <v>2325.6153826776722</v>
      </c>
      <c r="AD397" s="33">
        <f t="shared" si="213"/>
        <v>0.89588054699873831</v>
      </c>
      <c r="AE397" s="33">
        <f t="shared" si="214"/>
        <v>0.02</v>
      </c>
      <c r="AF397" s="51">
        <f t="shared" si="215"/>
        <v>10.427548441362223</v>
      </c>
      <c r="AG397" s="51">
        <f>APPLICANTS_PER_YEAR*($H397/Segments!$AH$2)*AE397</f>
        <v>0.21599999999999997</v>
      </c>
      <c r="AH397" s="51">
        <f t="shared" si="216"/>
        <v>10.643548441362222</v>
      </c>
      <c r="AI397" s="14">
        <f t="shared" si="217"/>
        <v>2408.3777469377183</v>
      </c>
      <c r="AJ397" s="44">
        <f t="shared" si="218"/>
        <v>25633.685214630412</v>
      </c>
      <c r="AK397" s="44">
        <f t="shared" si="219"/>
        <v>46640.69693663223</v>
      </c>
      <c r="AL397" s="44">
        <f t="shared" si="220"/>
        <v>5111.4501098447572</v>
      </c>
      <c r="AM397" s="14">
        <f t="shared" si="221"/>
        <v>5363.721811222058</v>
      </c>
      <c r="AN397" s="14">
        <f t="shared" si="222"/>
        <v>4029.9326889190065</v>
      </c>
      <c r="AO397" s="14">
        <f t="shared" si="223"/>
        <v>6594.6513909967362</v>
      </c>
      <c r="AP397" s="14">
        <f t="shared" si="224"/>
        <v>3158.8419400511384</v>
      </c>
      <c r="AQ397" s="14">
        <f t="shared" si="225"/>
        <v>6594.6513909967362</v>
      </c>
      <c r="AR397" s="33">
        <f t="shared" si="226"/>
        <v>0.3</v>
      </c>
      <c r="AS397" s="33">
        <f t="shared" si="227"/>
        <v>0.02</v>
      </c>
      <c r="AT397" s="51">
        <f t="shared" si="228"/>
        <v>0.11279060096986034</v>
      </c>
      <c r="AU397" s="51">
        <f>APPLICANTS_PER_YEAR*($H397/Segments!$AH$2)*AS397</f>
        <v>0.21599999999999997</v>
      </c>
      <c r="AV397" s="51">
        <f t="shared" si="229"/>
        <v>0.32879060096986029</v>
      </c>
      <c r="AW397" s="14">
        <f t="shared" si="230"/>
        <v>6594.6513909967371</v>
      </c>
      <c r="AX397" s="44">
        <f t="shared" si="231"/>
        <v>2168.2593940325423</v>
      </c>
      <c r="AY397" s="44">
        <f t="shared" si="232"/>
        <v>1484.0044695366971</v>
      </c>
      <c r="AZ397" s="44">
        <f t="shared" si="233"/>
        <v>471.63240200748299</v>
      </c>
    </row>
    <row r="398" spans="1:52" ht="15" customHeight="1" x14ac:dyDescent="0.35">
      <c r="A398" s="59" t="str">
        <f>Segments!$A$378</f>
        <v>Greek</v>
      </c>
      <c r="B398" s="59" t="str">
        <f>Segments!$B$378</f>
        <v>Off 6+mi</v>
      </c>
      <c r="C398" s="59" t="str">
        <f>Segments!$C$378</f>
        <v>Yes</v>
      </c>
      <c r="D398" s="59" t="str">
        <f>Segments!$D$378</f>
        <v>2.0-3.0</v>
      </c>
      <c r="E398" s="59" t="str">
        <f>Segments!$E$378</f>
        <v>Senior</v>
      </c>
      <c r="F398" s="59">
        <f>Segments!$F$378</f>
        <v>3</v>
      </c>
      <c r="G398" s="59" t="str">
        <f>Segments!$G$378</f>
        <v>Base</v>
      </c>
      <c r="H398" s="60">
        <f>Segments!$H$378</f>
        <v>8</v>
      </c>
      <c r="I398" s="26">
        <f>Segments!$Y$378</f>
        <v>3550.5019650031895</v>
      </c>
      <c r="J398" s="29">
        <v>3</v>
      </c>
      <c r="K398" s="14">
        <f t="shared" si="195"/>
        <v>1426.2297754450396</v>
      </c>
      <c r="L398" s="14">
        <f t="shared" si="196"/>
        <v>3550.5019650031895</v>
      </c>
      <c r="M398" s="14">
        <f t="shared" si="197"/>
        <v>5815.0596576574908</v>
      </c>
      <c r="N398" s="14">
        <f t="shared" si="198"/>
        <v>2879.863057463037</v>
      </c>
      <c r="O398" s="14">
        <f t="shared" si="199"/>
        <v>1782.7872193062994</v>
      </c>
      <c r="P398" s="33">
        <f t="shared" si="200"/>
        <v>0.95</v>
      </c>
      <c r="Q398" s="33">
        <f t="shared" si="201"/>
        <v>0.02</v>
      </c>
      <c r="R398" s="51">
        <f t="shared" si="202"/>
        <v>8.5499999999999989</v>
      </c>
      <c r="S398" s="51">
        <f>APPLICANTS_PER_YEAR*($H398/Segments!$AH$2)*Q398</f>
        <v>0.192</v>
      </c>
      <c r="T398" s="51">
        <f t="shared" si="203"/>
        <v>8.7419999999999991</v>
      </c>
      <c r="U398" s="14">
        <f t="shared" si="204"/>
        <v>1871.3477670257491</v>
      </c>
      <c r="V398" s="44">
        <f t="shared" si="205"/>
        <v>16359.322179339097</v>
      </c>
      <c r="W398" s="44">
        <f t="shared" si="206"/>
        <v>34763.106759424831</v>
      </c>
      <c r="X398" s="44">
        <f t="shared" si="207"/>
        <v>3310.6290927945479</v>
      </c>
      <c r="Y398" s="14">
        <f t="shared" si="208"/>
        <v>1872.6156784178741</v>
      </c>
      <c r="Z398" s="14">
        <f t="shared" si="209"/>
        <v>3657.0170239532854</v>
      </c>
      <c r="AA398" s="14">
        <f t="shared" si="210"/>
        <v>5988.2614473872154</v>
      </c>
      <c r="AB398" s="14">
        <f t="shared" si="211"/>
        <v>2965.9494066480047</v>
      </c>
      <c r="AC398" s="14">
        <f t="shared" si="212"/>
        <v>2340.7695980223425</v>
      </c>
      <c r="AD398" s="33">
        <f t="shared" si="213"/>
        <v>0.88039286462951083</v>
      </c>
      <c r="AE398" s="33">
        <f t="shared" si="214"/>
        <v>0.02</v>
      </c>
      <c r="AF398" s="51">
        <f t="shared" si="215"/>
        <v>9.3902702941383609</v>
      </c>
      <c r="AG398" s="51">
        <f>APPLICANTS_PER_YEAR*($H398/Segments!$AH$2)*AE398</f>
        <v>0.192</v>
      </c>
      <c r="AH398" s="51">
        <f t="shared" si="216"/>
        <v>9.5822702941383611</v>
      </c>
      <c r="AI398" s="14">
        <f t="shared" si="217"/>
        <v>2413.8544112848581</v>
      </c>
      <c r="AJ398" s="44">
        <f t="shared" si="218"/>
        <v>23130.205419629739</v>
      </c>
      <c r="AK398" s="44">
        <f t="shared" si="219"/>
        <v>39247.628665040145</v>
      </c>
      <c r="AL398" s="44">
        <f t="shared" si="220"/>
        <v>4608.2953471192313</v>
      </c>
      <c r="AM398" s="14">
        <f t="shared" si="221"/>
        <v>2408.3777469377183</v>
      </c>
      <c r="AN398" s="14">
        <f t="shared" si="222"/>
        <v>3766.7275346718834</v>
      </c>
      <c r="AO398" s="14">
        <f t="shared" si="223"/>
        <v>6166.6592908088314</v>
      </c>
      <c r="AP398" s="14">
        <f t="shared" si="224"/>
        <v>3054.61831447023</v>
      </c>
      <c r="AQ398" s="14">
        <f t="shared" si="225"/>
        <v>3010.4721836721478</v>
      </c>
      <c r="AR398" s="33">
        <f t="shared" si="226"/>
        <v>0.78222612880780473</v>
      </c>
      <c r="AS398" s="33">
        <f t="shared" si="227"/>
        <v>0.02</v>
      </c>
      <c r="AT398" s="51">
        <f t="shared" si="228"/>
        <v>8.3256616940651149</v>
      </c>
      <c r="AU398" s="51">
        <f>APPLICANTS_PER_YEAR*($H398/Segments!$AH$2)*AS398</f>
        <v>0.192</v>
      </c>
      <c r="AV398" s="51">
        <f t="shared" si="229"/>
        <v>8.5176616940651151</v>
      </c>
      <c r="AW398" s="14">
        <f t="shared" si="230"/>
        <v>3081.6170525734897</v>
      </c>
      <c r="AX398" s="44">
        <f t="shared" si="231"/>
        <v>26248.171524483056</v>
      </c>
      <c r="AY398" s="44">
        <f t="shared" si="232"/>
        <v>35933.756134141637</v>
      </c>
      <c r="AZ398" s="44">
        <f t="shared" si="233"/>
        <v>5177.4976024428352</v>
      </c>
    </row>
    <row r="399" spans="1:52" ht="15" customHeight="1" x14ac:dyDescent="0.35">
      <c r="A399" s="59" t="str">
        <f>Segments!$A$379</f>
        <v>Greek</v>
      </c>
      <c r="B399" s="59" t="str">
        <f>Segments!$B$379</f>
        <v>Off 6+mi</v>
      </c>
      <c r="C399" s="59" t="str">
        <f>Segments!$C$379</f>
        <v>Yes</v>
      </c>
      <c r="D399" s="59" t="str">
        <f>Segments!$D$379</f>
        <v>2.0-3.0</v>
      </c>
      <c r="E399" s="59" t="str">
        <f>Segments!$E$379</f>
        <v>Grad student</v>
      </c>
      <c r="F399" s="59">
        <f>Segments!$F$379</f>
        <v>3</v>
      </c>
      <c r="G399" s="59" t="str">
        <f>Segments!$G$379</f>
        <v>Grad</v>
      </c>
      <c r="H399" s="60">
        <f>Segments!$H$379</f>
        <v>7</v>
      </c>
      <c r="I399" s="26">
        <f>Segments!$Y$379</f>
        <v>4227.5131956699051</v>
      </c>
      <c r="J399" s="29">
        <v>4</v>
      </c>
      <c r="K399" s="14">
        <f t="shared" si="195"/>
        <v>1426.2297754450396</v>
      </c>
      <c r="L399" s="14">
        <f t="shared" si="196"/>
        <v>4227.5131956699051</v>
      </c>
      <c r="M399" s="14">
        <f t="shared" si="197"/>
        <v>6915.9326982811363</v>
      </c>
      <c r="N399" s="14">
        <f t="shared" si="198"/>
        <v>3140.6542533781894</v>
      </c>
      <c r="O399" s="14">
        <f t="shared" si="199"/>
        <v>1782.7872193062994</v>
      </c>
      <c r="P399" s="33">
        <f t="shared" si="200"/>
        <v>0.95</v>
      </c>
      <c r="Q399" s="33">
        <f t="shared" si="201"/>
        <v>0.02</v>
      </c>
      <c r="R399" s="51">
        <f t="shared" si="202"/>
        <v>3.3249999999999997</v>
      </c>
      <c r="S399" s="51">
        <f>APPLICANTS_PER_YEAR*($H399/Segments!$AH$2)*Q399</f>
        <v>0.16800000000000001</v>
      </c>
      <c r="T399" s="51">
        <f t="shared" si="203"/>
        <v>3.4929999999999999</v>
      </c>
      <c r="U399" s="14">
        <f t="shared" si="204"/>
        <v>2029.6719718020831</v>
      </c>
      <c r="V399" s="44">
        <f t="shared" si="205"/>
        <v>7089.6441975046764</v>
      </c>
      <c r="W399" s="44">
        <f t="shared" si="206"/>
        <v>16538.708023571977</v>
      </c>
      <c r="X399" s="44">
        <f t="shared" si="207"/>
        <v>1454.6684375942771</v>
      </c>
      <c r="Y399" s="14">
        <f t="shared" si="208"/>
        <v>2029.6719718020831</v>
      </c>
      <c r="Z399" s="14">
        <f t="shared" si="209"/>
        <v>4354.3385915400022</v>
      </c>
      <c r="AA399" s="14">
        <f t="shared" si="210"/>
        <v>7122.1606792295697</v>
      </c>
      <c r="AB399" s="14">
        <f t="shared" si="211"/>
        <v>3234.5900443499345</v>
      </c>
      <c r="AC399" s="14">
        <f t="shared" si="212"/>
        <v>2537.0899647526039</v>
      </c>
      <c r="AD399" s="33">
        <f t="shared" si="213"/>
        <v>0.88281893068886719</v>
      </c>
      <c r="AE399" s="33">
        <f t="shared" si="214"/>
        <v>0.02</v>
      </c>
      <c r="AF399" s="51">
        <f t="shared" si="215"/>
        <v>1.5418432624481064</v>
      </c>
      <c r="AG399" s="51">
        <f>APPLICANTS_PER_YEAR*($H399/Segments!$AH$2)*AE399</f>
        <v>0.16800000000000001</v>
      </c>
      <c r="AH399" s="51">
        <f t="shared" si="216"/>
        <v>1.7098432624481064</v>
      </c>
      <c r="AI399" s="14">
        <f t="shared" si="217"/>
        <v>2987.5943454460994</v>
      </c>
      <c r="AJ399" s="44">
        <f t="shared" si="218"/>
        <v>5108.3180624890738</v>
      </c>
      <c r="AK399" s="44">
        <f t="shared" si="219"/>
        <v>8338.6648835419437</v>
      </c>
      <c r="AL399" s="44">
        <f t="shared" si="220"/>
        <v>1045.7472838532669</v>
      </c>
      <c r="AM399" s="14">
        <f t="shared" si="221"/>
        <v>2987.5943454460994</v>
      </c>
      <c r="AN399" s="14">
        <f t="shared" si="222"/>
        <v>4484.9687492862022</v>
      </c>
      <c r="AO399" s="14">
        <f t="shared" si="223"/>
        <v>7334.575499606457</v>
      </c>
      <c r="AP399" s="14">
        <f t="shared" si="224"/>
        <v>3331.3438845046785</v>
      </c>
      <c r="AQ399" s="14">
        <f t="shared" si="225"/>
        <v>3734.4929318076242</v>
      </c>
      <c r="AR399" s="33">
        <f t="shared" si="226"/>
        <v>0.71449152935274229</v>
      </c>
      <c r="AS399" s="33">
        <f t="shared" si="227"/>
        <v>0.02</v>
      </c>
      <c r="AT399" s="51">
        <f t="shared" si="228"/>
        <v>0.61083426377001493</v>
      </c>
      <c r="AU399" s="51">
        <f>APPLICANTS_PER_YEAR*($H399/Segments!$AH$2)*AS399</f>
        <v>0.16800000000000001</v>
      </c>
      <c r="AV399" s="51">
        <f t="shared" si="229"/>
        <v>0.77883426377001497</v>
      </c>
      <c r="AW399" s="14">
        <f t="shared" si="230"/>
        <v>4511.0559305418474</v>
      </c>
      <c r="AX399" s="44">
        <f t="shared" si="231"/>
        <v>3513.3649244889198</v>
      </c>
      <c r="AY399" s="44">
        <f t="shared" si="232"/>
        <v>3912.2130139476658</v>
      </c>
      <c r="AZ399" s="44">
        <f t="shared" si="233"/>
        <v>726.92995994149226</v>
      </c>
    </row>
    <row r="400" spans="1:52" ht="15" customHeight="1" x14ac:dyDescent="0.35">
      <c r="A400" s="61" t="str">
        <f>Segments!$A$380</f>
        <v>Greek</v>
      </c>
      <c r="B400" s="61" t="str">
        <f>Segments!$B$380</f>
        <v>Off 6+mi</v>
      </c>
      <c r="C400" s="61" t="str">
        <f>Segments!$C$380</f>
        <v>Yes</v>
      </c>
      <c r="D400" s="61" t="str">
        <f>Segments!$D$380</f>
        <v>3.0+</v>
      </c>
      <c r="E400" s="61" t="str">
        <f>Segments!$E$380</f>
        <v>Freshman</v>
      </c>
      <c r="F400" s="61">
        <f>Segments!$F$380</f>
        <v>1</v>
      </c>
      <c r="G400" s="61" t="str">
        <f>Segments!$G$380</f>
        <v>Base</v>
      </c>
      <c r="H400" s="62">
        <f>Segments!$H$380</f>
        <v>7</v>
      </c>
      <c r="I400" s="63">
        <f>Segments!$Y$380</f>
        <v>2813.9561921766613</v>
      </c>
      <c r="J400" s="42">
        <v>0</v>
      </c>
      <c r="K400" s="40">
        <f t="shared" si="195"/>
        <v>4617.3788101898344</v>
      </c>
      <c r="L400" s="40">
        <f t="shared" si="196"/>
        <v>2813.9561921766613</v>
      </c>
      <c r="M400" s="40">
        <f t="shared" si="197"/>
        <v>4617.3788101898344</v>
      </c>
      <c r="N400" s="40">
        <f t="shared" si="198"/>
        <v>2566.211827500164</v>
      </c>
      <c r="O400" s="40">
        <f t="shared" si="199"/>
        <v>4617.3788101898344</v>
      </c>
      <c r="P400" s="41">
        <f t="shared" si="200"/>
        <v>0.45035119456841888</v>
      </c>
      <c r="Q400" s="41">
        <f t="shared" si="201"/>
        <v>0.02</v>
      </c>
      <c r="R400" s="64">
        <f t="shared" si="202"/>
        <v>0</v>
      </c>
      <c r="S400" s="64">
        <f>APPLICANTS_PER_YEAR*($H400/Segments!$AH$2)*Q400</f>
        <v>0.16800000000000001</v>
      </c>
      <c r="T400" s="64">
        <f t="shared" si="203"/>
        <v>0.16800000000000001</v>
      </c>
      <c r="U400" s="40">
        <f t="shared" si="204"/>
        <v>4617.3788101898344</v>
      </c>
      <c r="V400" s="65">
        <f t="shared" si="205"/>
        <v>775.7196401118922</v>
      </c>
      <c r="W400" s="65">
        <f t="shared" si="206"/>
        <v>529.4739971199607</v>
      </c>
      <c r="X400" s="65">
        <f t="shared" si="207"/>
        <v>181.32119938506386</v>
      </c>
      <c r="Y400" s="40">
        <f t="shared" si="208"/>
        <v>4754.6501744955303</v>
      </c>
      <c r="Z400" s="40">
        <f t="shared" si="209"/>
        <v>2898.3748779419611</v>
      </c>
      <c r="AA400" s="40">
        <f t="shared" si="210"/>
        <v>4754.6501744955303</v>
      </c>
      <c r="AB400" s="40">
        <f t="shared" si="211"/>
        <v>2642.8508017311897</v>
      </c>
      <c r="AC400" s="40">
        <f t="shared" si="212"/>
        <v>4754.6501744955303</v>
      </c>
      <c r="AD400" s="41">
        <f t="shared" si="213"/>
        <v>0.45046943032481923</v>
      </c>
      <c r="AE400" s="41">
        <f t="shared" si="214"/>
        <v>0.02</v>
      </c>
      <c r="AF400" s="64">
        <f t="shared" si="215"/>
        <v>0</v>
      </c>
      <c r="AG400" s="64">
        <f>APPLICANTS_PER_YEAR*($H400/Segments!$AH$2)*AE400</f>
        <v>0.16800000000000001</v>
      </c>
      <c r="AH400" s="64">
        <f t="shared" si="216"/>
        <v>0.16800000000000001</v>
      </c>
      <c r="AI400" s="40">
        <f t="shared" si="217"/>
        <v>4754.6501744955303</v>
      </c>
      <c r="AJ400" s="65">
        <f t="shared" si="218"/>
        <v>798.78122931524911</v>
      </c>
      <c r="AK400" s="65">
        <f t="shared" si="219"/>
        <v>545.35821703355953</v>
      </c>
      <c r="AL400" s="65">
        <f t="shared" si="220"/>
        <v>186.48699536661582</v>
      </c>
      <c r="AM400" s="40">
        <f t="shared" si="221"/>
        <v>4896.0396797303956</v>
      </c>
      <c r="AN400" s="40">
        <f t="shared" si="222"/>
        <v>2985.32612428022</v>
      </c>
      <c r="AO400" s="40">
        <f t="shared" si="223"/>
        <v>4896.0396797303956</v>
      </c>
      <c r="AP400" s="40">
        <f t="shared" si="224"/>
        <v>2721.7889001880899</v>
      </c>
      <c r="AQ400" s="40">
        <f t="shared" si="225"/>
        <v>4896.0396797303956</v>
      </c>
      <c r="AR400" s="41">
        <f t="shared" si="226"/>
        <v>0.45058423719193397</v>
      </c>
      <c r="AS400" s="41">
        <f t="shared" si="227"/>
        <v>0.02</v>
      </c>
      <c r="AT400" s="64">
        <f t="shared" si="228"/>
        <v>0</v>
      </c>
      <c r="AU400" s="64">
        <f>APPLICANTS_PER_YEAR*($H400/Segments!$AH$2)*AS400</f>
        <v>0.16800000000000001</v>
      </c>
      <c r="AV400" s="64">
        <f t="shared" si="229"/>
        <v>0.16800000000000001</v>
      </c>
      <c r="AW400" s="40">
        <f t="shared" si="230"/>
        <v>4896.0396797303956</v>
      </c>
      <c r="AX400" s="65">
        <f t="shared" si="231"/>
        <v>822.53466619470646</v>
      </c>
      <c r="AY400" s="65">
        <f t="shared" si="232"/>
        <v>561.71896354456624</v>
      </c>
      <c r="AZ400" s="65">
        <f t="shared" si="233"/>
        <v>191.80776522761425</v>
      </c>
    </row>
    <row r="401" spans="1:52" ht="15" customHeight="1" x14ac:dyDescent="0.35">
      <c r="A401" s="61" t="str">
        <f>Segments!$A$381</f>
        <v>Greek</v>
      </c>
      <c r="B401" s="61" t="str">
        <f>Segments!$B$381</f>
        <v>Off 6+mi</v>
      </c>
      <c r="C401" s="61" t="str">
        <f>Segments!$C$381</f>
        <v>Yes</v>
      </c>
      <c r="D401" s="61" t="str">
        <f>Segments!$D$381</f>
        <v>3.0+</v>
      </c>
      <c r="E401" s="61" t="str">
        <f>Segments!$E$381</f>
        <v>Sophomore</v>
      </c>
      <c r="F401" s="61">
        <f>Segments!$F$381</f>
        <v>1</v>
      </c>
      <c r="G401" s="61" t="str">
        <f>Segments!$G$381</f>
        <v>Sophomore</v>
      </c>
      <c r="H401" s="62">
        <f>Segments!$H$381</f>
        <v>4</v>
      </c>
      <c r="I401" s="63">
        <f>Segments!$Y$381</f>
        <v>2785.3276851620253</v>
      </c>
      <c r="J401" s="42">
        <v>1</v>
      </c>
      <c r="K401" s="40">
        <f t="shared" si="195"/>
        <v>1426.2297754450396</v>
      </c>
      <c r="L401" s="40">
        <f t="shared" si="196"/>
        <v>2785.3276851620253</v>
      </c>
      <c r="M401" s="40">
        <f t="shared" si="197"/>
        <v>4570.8266259156089</v>
      </c>
      <c r="N401" s="40">
        <f t="shared" si="198"/>
        <v>2553.2428463187412</v>
      </c>
      <c r="O401" s="40">
        <f t="shared" si="199"/>
        <v>1782.7872193062994</v>
      </c>
      <c r="P401" s="41">
        <f t="shared" si="200"/>
        <v>0.92587785874408346</v>
      </c>
      <c r="Q401" s="41">
        <f t="shared" si="201"/>
        <v>0.02</v>
      </c>
      <c r="R401" s="64">
        <f t="shared" si="202"/>
        <v>6.481145011208584</v>
      </c>
      <c r="S401" s="64">
        <f>APPLICANTS_PER_YEAR*($H401/Segments!$AH$2)*Q401</f>
        <v>9.6000000000000002E-2</v>
      </c>
      <c r="T401" s="64">
        <f t="shared" si="203"/>
        <v>6.5771450112085841</v>
      </c>
      <c r="U401" s="40">
        <f t="shared" si="204"/>
        <v>1823.4814388465968</v>
      </c>
      <c r="V401" s="65">
        <f t="shared" si="205"/>
        <v>11993.301848541345</v>
      </c>
      <c r="W401" s="65">
        <f t="shared" si="206"/>
        <v>20517.844579729917</v>
      </c>
      <c r="X401" s="65">
        <f t="shared" si="207"/>
        <v>2416.0349270615625</v>
      </c>
      <c r="Y401" s="40">
        <f t="shared" si="208"/>
        <v>4617.3788101898344</v>
      </c>
      <c r="Z401" s="40">
        <f t="shared" si="209"/>
        <v>2868.8875157168864</v>
      </c>
      <c r="AA401" s="40">
        <f t="shared" si="210"/>
        <v>4706.7014246930776</v>
      </c>
      <c r="AB401" s="40">
        <f t="shared" si="211"/>
        <v>2629.4909863902672</v>
      </c>
      <c r="AC401" s="40">
        <f t="shared" si="212"/>
        <v>4706.7014246930776</v>
      </c>
      <c r="AD401" s="41">
        <f t="shared" si="213"/>
        <v>0.44921316456335297</v>
      </c>
      <c r="AE401" s="41">
        <f t="shared" si="214"/>
        <v>0.02</v>
      </c>
      <c r="AF401" s="64">
        <f t="shared" si="215"/>
        <v>7.5467811646643304E-2</v>
      </c>
      <c r="AG401" s="64">
        <f>APPLICANTS_PER_YEAR*($H401/Segments!$AH$2)*AE401</f>
        <v>9.6000000000000002E-2</v>
      </c>
      <c r="AH401" s="64">
        <f t="shared" si="216"/>
        <v>0.17146781164664332</v>
      </c>
      <c r="AI401" s="40">
        <f t="shared" si="217"/>
        <v>4706.7014246930767</v>
      </c>
      <c r="AJ401" s="65">
        <f t="shared" si="218"/>
        <v>807.04779336626029</v>
      </c>
      <c r="AK401" s="65">
        <f t="shared" si="219"/>
        <v>550.95248788199149</v>
      </c>
      <c r="AL401" s="65">
        <f t="shared" si="220"/>
        <v>174.17590596612482</v>
      </c>
      <c r="AM401" s="40">
        <f t="shared" si="221"/>
        <v>4754.6501744955303</v>
      </c>
      <c r="AN401" s="40">
        <f t="shared" si="222"/>
        <v>2954.9541411883924</v>
      </c>
      <c r="AO401" s="40">
        <f t="shared" si="223"/>
        <v>4846.6524674338689</v>
      </c>
      <c r="AP401" s="40">
        <f t="shared" si="224"/>
        <v>2708.0265249734748</v>
      </c>
      <c r="AQ401" s="40">
        <f t="shared" si="225"/>
        <v>4846.6524674338689</v>
      </c>
      <c r="AR401" s="41">
        <f t="shared" si="226"/>
        <v>0.44932702907846889</v>
      </c>
      <c r="AS401" s="41">
        <f t="shared" si="227"/>
        <v>0.02</v>
      </c>
      <c r="AT401" s="64">
        <f t="shared" si="228"/>
        <v>7.5486940885182777E-2</v>
      </c>
      <c r="AU401" s="64">
        <f>APPLICANTS_PER_YEAR*($H401/Segments!$AH$2)*AS401</f>
        <v>9.6000000000000002E-2</v>
      </c>
      <c r="AV401" s="64">
        <f t="shared" si="229"/>
        <v>0.17148694088518279</v>
      </c>
      <c r="AW401" s="40">
        <f t="shared" si="230"/>
        <v>4846.652467433868</v>
      </c>
      <c r="AX401" s="65">
        <f t="shared" si="231"/>
        <v>831.13760517385708</v>
      </c>
      <c r="AY401" s="65">
        <f t="shared" si="232"/>
        <v>567.54437166380796</v>
      </c>
      <c r="AZ401" s="65">
        <f t="shared" si="233"/>
        <v>179.19949848614044</v>
      </c>
    </row>
    <row r="402" spans="1:52" ht="15" customHeight="1" x14ac:dyDescent="0.35">
      <c r="A402" s="61" t="str">
        <f>Segments!$A$382</f>
        <v>Greek</v>
      </c>
      <c r="B402" s="61" t="str">
        <f>Segments!$B$382</f>
        <v>Off 6+mi</v>
      </c>
      <c r="C402" s="61" t="str">
        <f>Segments!$C$382</f>
        <v>Yes</v>
      </c>
      <c r="D402" s="61" t="str">
        <f>Segments!$D$382</f>
        <v>3.0+</v>
      </c>
      <c r="E402" s="61" t="str">
        <f>Segments!$E$382</f>
        <v>Junior</v>
      </c>
      <c r="F402" s="61">
        <f>Segments!$F$382</f>
        <v>2</v>
      </c>
      <c r="G402" s="61" t="str">
        <f>Segments!$G$382</f>
        <v>Base</v>
      </c>
      <c r="H402" s="62">
        <f>Segments!$H$382</f>
        <v>3</v>
      </c>
      <c r="I402" s="63">
        <f>Segments!$Y$382</f>
        <v>3329.6520857862379</v>
      </c>
      <c r="J402" s="42">
        <v>2</v>
      </c>
      <c r="K402" s="40">
        <f t="shared" si="195"/>
        <v>1426.2297754450396</v>
      </c>
      <c r="L402" s="40">
        <f t="shared" si="196"/>
        <v>3329.6520857862379</v>
      </c>
      <c r="M402" s="40">
        <f t="shared" si="197"/>
        <v>5455.9405366711226</v>
      </c>
      <c r="N402" s="40">
        <f t="shared" si="198"/>
        <v>2789.5205406051309</v>
      </c>
      <c r="O402" s="40">
        <f t="shared" si="199"/>
        <v>1782.7872193062994</v>
      </c>
      <c r="P402" s="41">
        <f t="shared" si="200"/>
        <v>0.95</v>
      </c>
      <c r="Q402" s="41">
        <f t="shared" si="201"/>
        <v>0.02</v>
      </c>
      <c r="R402" s="64">
        <f t="shared" si="202"/>
        <v>3.8</v>
      </c>
      <c r="S402" s="64">
        <f>APPLICANTS_PER_YEAR*($H402/Segments!$AH$2)*Q402</f>
        <v>7.1999999999999995E-2</v>
      </c>
      <c r="T402" s="64">
        <f t="shared" si="203"/>
        <v>3.8719999999999999</v>
      </c>
      <c r="U402" s="40">
        <f t="shared" si="204"/>
        <v>1851.0896570258933</v>
      </c>
      <c r="V402" s="65">
        <f t="shared" si="205"/>
        <v>7167.4191520042586</v>
      </c>
      <c r="W402" s="65">
        <f t="shared" si="206"/>
        <v>14439.502421304032</v>
      </c>
      <c r="X402" s="65">
        <f t="shared" si="207"/>
        <v>1447.631189881216</v>
      </c>
      <c r="Y402" s="40">
        <f t="shared" si="208"/>
        <v>1823.4814388465968</v>
      </c>
      <c r="Z402" s="40">
        <f t="shared" si="209"/>
        <v>3429.5416483598251</v>
      </c>
      <c r="AA402" s="40">
        <f t="shared" si="210"/>
        <v>5618.3687527712564</v>
      </c>
      <c r="AB402" s="40">
        <f t="shared" si="211"/>
        <v>2872.8865882194768</v>
      </c>
      <c r="AC402" s="40">
        <f t="shared" si="212"/>
        <v>2279.3517985582462</v>
      </c>
      <c r="AD402" s="41">
        <f t="shared" si="213"/>
        <v>0.87829937702641514</v>
      </c>
      <c r="AE402" s="41">
        <f t="shared" si="214"/>
        <v>0.02</v>
      </c>
      <c r="AF402" s="64">
        <f t="shared" si="215"/>
        <v>5.7767023659568935</v>
      </c>
      <c r="AG402" s="64">
        <f>APPLICANTS_PER_YEAR*($H402/Segments!$AH$2)*AE402</f>
        <v>7.1999999999999995E-2</v>
      </c>
      <c r="AH402" s="64">
        <f t="shared" si="216"/>
        <v>5.8487023659568935</v>
      </c>
      <c r="AI402" s="40">
        <f t="shared" si="217"/>
        <v>2320.4565095968292</v>
      </c>
      <c r="AJ402" s="65">
        <f t="shared" si="218"/>
        <v>13571.659477779051</v>
      </c>
      <c r="AK402" s="65">
        <f t="shared" si="219"/>
        <v>22465.372555258993</v>
      </c>
      <c r="AL402" s="65">
        <f t="shared" si="220"/>
        <v>2697.9759778763623</v>
      </c>
      <c r="AM402" s="40">
        <f t="shared" si="221"/>
        <v>4706.7014246930767</v>
      </c>
      <c r="AN402" s="40">
        <f t="shared" si="222"/>
        <v>3532.4278978106195</v>
      </c>
      <c r="AO402" s="40">
        <f t="shared" si="223"/>
        <v>5785.669815354393</v>
      </c>
      <c r="AP402" s="40">
        <f t="shared" si="224"/>
        <v>2958.7535822285977</v>
      </c>
      <c r="AQ402" s="40">
        <f t="shared" si="225"/>
        <v>5785.669815354393</v>
      </c>
      <c r="AR402" s="41">
        <f t="shared" si="226"/>
        <v>0.30350693906561926</v>
      </c>
      <c r="AS402" s="41">
        <f t="shared" si="227"/>
        <v>0.02</v>
      </c>
      <c r="AT402" s="64">
        <f t="shared" si="228"/>
        <v>5.2041670661152853E-2</v>
      </c>
      <c r="AU402" s="64">
        <f>APPLICANTS_PER_YEAR*($H402/Segments!$AH$2)*AS402</f>
        <v>7.1999999999999995E-2</v>
      </c>
      <c r="AV402" s="64">
        <f t="shared" si="229"/>
        <v>0.12404167066115285</v>
      </c>
      <c r="AW402" s="40">
        <f t="shared" si="230"/>
        <v>5785.669815354393</v>
      </c>
      <c r="AX402" s="65">
        <f t="shared" si="231"/>
        <v>717.66414979036267</v>
      </c>
      <c r="AY402" s="65">
        <f t="shared" si="232"/>
        <v>490.74844888663262</v>
      </c>
      <c r="AZ402" s="65">
        <f t="shared" si="233"/>
        <v>154.49924565829465</v>
      </c>
    </row>
    <row r="403" spans="1:52" ht="15" customHeight="1" x14ac:dyDescent="0.35">
      <c r="A403" s="61" t="str">
        <f>Segments!$A$383</f>
        <v>Greek</v>
      </c>
      <c r="B403" s="61" t="str">
        <f>Segments!$B$383</f>
        <v>Off 6+mi</v>
      </c>
      <c r="C403" s="61" t="str">
        <f>Segments!$C$383</f>
        <v>Yes</v>
      </c>
      <c r="D403" s="61" t="str">
        <f>Segments!$D$383</f>
        <v>3.0+</v>
      </c>
      <c r="E403" s="61" t="str">
        <f>Segments!$E$383</f>
        <v>Senior</v>
      </c>
      <c r="F403" s="61">
        <f>Segments!$F$383</f>
        <v>3</v>
      </c>
      <c r="G403" s="61" t="str">
        <f>Segments!$G$383</f>
        <v>Base</v>
      </c>
      <c r="H403" s="62">
        <f>Segments!$H$383</f>
        <v>6</v>
      </c>
      <c r="I403" s="63">
        <f>Segments!$Y$383</f>
        <v>3112.1840389281892</v>
      </c>
      <c r="J403" s="42">
        <v>3</v>
      </c>
      <c r="K403" s="40">
        <f t="shared" si="195"/>
        <v>1426.2297754450396</v>
      </c>
      <c r="L403" s="40">
        <f t="shared" si="196"/>
        <v>3112.1840389281892</v>
      </c>
      <c r="M403" s="40">
        <f t="shared" si="197"/>
        <v>5102.3205387468024</v>
      </c>
      <c r="N403" s="40">
        <f t="shared" si="198"/>
        <v>2697.6066199921488</v>
      </c>
      <c r="O403" s="40">
        <f t="shared" si="199"/>
        <v>1782.7872193062994</v>
      </c>
      <c r="P403" s="41">
        <f t="shared" si="200"/>
        <v>0.94456130554878892</v>
      </c>
      <c r="Q403" s="41">
        <f t="shared" si="201"/>
        <v>0.02</v>
      </c>
      <c r="R403" s="64">
        <f t="shared" si="202"/>
        <v>2.8336839166463665</v>
      </c>
      <c r="S403" s="64">
        <f>APPLICANTS_PER_YEAR*($H403/Segments!$AH$2)*Q403</f>
        <v>0.14399999999999999</v>
      </c>
      <c r="T403" s="64">
        <f t="shared" si="203"/>
        <v>2.9776839166463667</v>
      </c>
      <c r="U403" s="40">
        <f t="shared" si="204"/>
        <v>1943.3189652472172</v>
      </c>
      <c r="V403" s="65">
        <f t="shared" si="205"/>
        <v>5786.5896277304983</v>
      </c>
      <c r="W403" s="65">
        <f t="shared" si="206"/>
        <v>10379.152401363201</v>
      </c>
      <c r="X403" s="65">
        <f t="shared" si="207"/>
        <v>1182.5348134892754</v>
      </c>
      <c r="Y403" s="40">
        <f t="shared" si="208"/>
        <v>1851.0896570258933</v>
      </c>
      <c r="Z403" s="40">
        <f t="shared" si="209"/>
        <v>3205.5495600960348</v>
      </c>
      <c r="AA403" s="40">
        <f t="shared" si="210"/>
        <v>5254.1401549092061</v>
      </c>
      <c r="AB403" s="40">
        <f t="shared" si="211"/>
        <v>2778.2043602463286</v>
      </c>
      <c r="AC403" s="40">
        <f t="shared" si="212"/>
        <v>2313.8620712823667</v>
      </c>
      <c r="AD403" s="41">
        <f t="shared" si="213"/>
        <v>0.85856877838223378</v>
      </c>
      <c r="AE403" s="41">
        <f t="shared" si="214"/>
        <v>0.02</v>
      </c>
      <c r="AF403" s="64">
        <f t="shared" si="215"/>
        <v>3.3243783098960091</v>
      </c>
      <c r="AG403" s="64">
        <f>APPLICANTS_PER_YEAR*($H403/Segments!$AH$2)*AE403</f>
        <v>0.14399999999999999</v>
      </c>
      <c r="AH403" s="64">
        <f t="shared" si="216"/>
        <v>3.4683783098960093</v>
      </c>
      <c r="AI403" s="40">
        <f t="shared" si="217"/>
        <v>2435.9364259841636</v>
      </c>
      <c r="AJ403" s="65">
        <f t="shared" si="218"/>
        <v>8448.7490641690783</v>
      </c>
      <c r="AK403" s="65">
        <f t="shared" si="219"/>
        <v>12452.225593397838</v>
      </c>
      <c r="AL403" s="65">
        <f t="shared" si="220"/>
        <v>1696.2620057066185</v>
      </c>
      <c r="AM403" s="40">
        <f t="shared" si="221"/>
        <v>2320.4565095968292</v>
      </c>
      <c r="AN403" s="40">
        <f t="shared" si="222"/>
        <v>3301.7160468989159</v>
      </c>
      <c r="AO403" s="40">
        <f t="shared" si="223"/>
        <v>5410.5143595564823</v>
      </c>
      <c r="AP403" s="40">
        <f t="shared" si="224"/>
        <v>2861.2199939691486</v>
      </c>
      <c r="AQ403" s="40">
        <f t="shared" si="225"/>
        <v>2900.5706369960362</v>
      </c>
      <c r="AR403" s="41">
        <f t="shared" si="226"/>
        <v>0.76812345029221274</v>
      </c>
      <c r="AS403" s="41">
        <f t="shared" si="227"/>
        <v>0.02</v>
      </c>
      <c r="AT403" s="64">
        <f t="shared" si="228"/>
        <v>4.4925254410710371</v>
      </c>
      <c r="AU403" s="64">
        <f>APPLICANTS_PER_YEAR*($H403/Segments!$AH$2)*AS403</f>
        <v>0.14399999999999999</v>
      </c>
      <c r="AV403" s="64">
        <f t="shared" si="229"/>
        <v>4.6365254410710373</v>
      </c>
      <c r="AW403" s="40">
        <f t="shared" si="230"/>
        <v>2978.5238156515629</v>
      </c>
      <c r="AX403" s="65">
        <f t="shared" si="231"/>
        <v>13810.001448104451</v>
      </c>
      <c r="AY403" s="65">
        <f t="shared" si="232"/>
        <v>17145.509304716037</v>
      </c>
      <c r="AZ403" s="65">
        <f t="shared" si="233"/>
        <v>2733.6897748853262</v>
      </c>
    </row>
    <row r="404" spans="1:52" ht="15" customHeight="1" x14ac:dyDescent="0.35">
      <c r="A404" s="61" t="str">
        <f>Segments!$A$384</f>
        <v>Greek</v>
      </c>
      <c r="B404" s="61" t="str">
        <f>Segments!$B$384</f>
        <v>Off 6+mi</v>
      </c>
      <c r="C404" s="61" t="str">
        <f>Segments!$C$384</f>
        <v>Yes</v>
      </c>
      <c r="D404" s="61" t="str">
        <f>Segments!$D$384</f>
        <v>3.0+</v>
      </c>
      <c r="E404" s="61" t="str">
        <f>Segments!$E$384</f>
        <v>Grad student</v>
      </c>
      <c r="F404" s="61">
        <f>Segments!$F$384</f>
        <v>3</v>
      </c>
      <c r="G404" s="61" t="str">
        <f>Segments!$G$384</f>
        <v>Grad</v>
      </c>
      <c r="H404" s="62">
        <f>Segments!$H$384</f>
        <v>3</v>
      </c>
      <c r="I404" s="63">
        <f>Segments!$Y$384</f>
        <v>3705.6166202995933</v>
      </c>
      <c r="J404" s="42">
        <v>4</v>
      </c>
      <c r="K404" s="40">
        <f t="shared" si="195"/>
        <v>1426.2297754450396</v>
      </c>
      <c r="L404" s="40">
        <f t="shared" si="196"/>
        <v>3705.6166202995933</v>
      </c>
      <c r="M404" s="40">
        <f t="shared" si="197"/>
        <v>6067.2881798539038</v>
      </c>
      <c r="N404" s="40">
        <f t="shared" si="198"/>
        <v>2941.6571959209277</v>
      </c>
      <c r="O404" s="40">
        <f t="shared" si="199"/>
        <v>1782.7872193062994</v>
      </c>
      <c r="P404" s="41">
        <f t="shared" si="200"/>
        <v>0.95</v>
      </c>
      <c r="Q404" s="41">
        <f t="shared" si="201"/>
        <v>0.02</v>
      </c>
      <c r="R404" s="64">
        <f t="shared" si="202"/>
        <v>1.4249999999999998</v>
      </c>
      <c r="S404" s="64">
        <f>APPLICANTS_PER_YEAR*($H404/Segments!$AH$2)*Q404</f>
        <v>7.1999999999999995E-2</v>
      </c>
      <c r="T404" s="64">
        <f t="shared" si="203"/>
        <v>1.4969999999999999</v>
      </c>
      <c r="U404" s="40">
        <f t="shared" si="204"/>
        <v>1988.855401777527</v>
      </c>
      <c r="V404" s="65">
        <f t="shared" si="205"/>
        <v>2977.3165364609576</v>
      </c>
      <c r="W404" s="65">
        <f t="shared" si="206"/>
        <v>6212.9850502591107</v>
      </c>
      <c r="X404" s="65">
        <f t="shared" si="207"/>
        <v>609.74239160435286</v>
      </c>
      <c r="Y404" s="40">
        <f t="shared" si="208"/>
        <v>1988.855401777527</v>
      </c>
      <c r="Z404" s="40">
        <f t="shared" si="209"/>
        <v>3816.7851189085814</v>
      </c>
      <c r="AA404" s="40">
        <f t="shared" si="210"/>
        <v>6248.0568252495214</v>
      </c>
      <c r="AB404" s="40">
        <f t="shared" si="211"/>
        <v>3029.6038723451575</v>
      </c>
      <c r="AC404" s="40">
        <f t="shared" si="212"/>
        <v>2486.0692522219088</v>
      </c>
      <c r="AD404" s="41">
        <f t="shared" si="213"/>
        <v>0.86470390899693916</v>
      </c>
      <c r="AE404" s="41">
        <f t="shared" si="214"/>
        <v>0.02</v>
      </c>
      <c r="AF404" s="64">
        <f t="shared" si="215"/>
        <v>0.64723087588420891</v>
      </c>
      <c r="AG404" s="64">
        <f>APPLICANTS_PER_YEAR*($H404/Segments!$AH$2)*AE404</f>
        <v>7.1999999999999995E-2</v>
      </c>
      <c r="AH404" s="64">
        <f t="shared" si="216"/>
        <v>0.71923087588420886</v>
      </c>
      <c r="AI404" s="40">
        <f t="shared" si="217"/>
        <v>2862.6703052912644</v>
      </c>
      <c r="AJ404" s="65">
        <f t="shared" si="218"/>
        <v>2058.9208710423518</v>
      </c>
      <c r="AK404" s="65">
        <f t="shared" si="219"/>
        <v>3074.5676686305655</v>
      </c>
      <c r="AL404" s="65">
        <f t="shared" si="220"/>
        <v>421.06576534431741</v>
      </c>
      <c r="AM404" s="40">
        <f t="shared" si="221"/>
        <v>2862.6703052912644</v>
      </c>
      <c r="AN404" s="40">
        <f t="shared" si="222"/>
        <v>3931.2886724758382</v>
      </c>
      <c r="AO404" s="40">
        <f t="shared" si="223"/>
        <v>6434.2485300070057</v>
      </c>
      <c r="AP404" s="40">
        <f t="shared" si="224"/>
        <v>3120.1889191887944</v>
      </c>
      <c r="AQ404" s="40">
        <f t="shared" si="225"/>
        <v>3578.3378816140803</v>
      </c>
      <c r="AR404" s="41">
        <f t="shared" si="226"/>
        <v>0.7015831373850917</v>
      </c>
      <c r="AS404" s="41">
        <f t="shared" si="227"/>
        <v>0.02</v>
      </c>
      <c r="AT404" s="64">
        <f t="shared" si="228"/>
        <v>0.2523001272035354</v>
      </c>
      <c r="AU404" s="64">
        <f>APPLICANTS_PER_YEAR*($H404/Segments!$AH$2)*AS404</f>
        <v>7.1999999999999995E-2</v>
      </c>
      <c r="AV404" s="64">
        <f t="shared" si="229"/>
        <v>0.3243001272035354</v>
      </c>
      <c r="AW404" s="40">
        <f t="shared" si="230"/>
        <v>4212.3973513325027</v>
      </c>
      <c r="AX404" s="65">
        <f t="shared" si="231"/>
        <v>1366.0809968689662</v>
      </c>
      <c r="AY404" s="65">
        <f t="shared" si="232"/>
        <v>1427.9075065446602</v>
      </c>
      <c r="AZ404" s="65">
        <f t="shared" si="233"/>
        <v>282.68961724792297</v>
      </c>
    </row>
    <row r="405" spans="1:52" ht="15" customHeight="1" x14ac:dyDescent="0.35">
      <c r="A405" s="59" t="str">
        <f>Segments!$A$385</f>
        <v>Greek</v>
      </c>
      <c r="B405" s="59" t="str">
        <f>Segments!$B$385</f>
        <v>Off 6+mi</v>
      </c>
      <c r="C405" s="59" t="str">
        <f>Segments!$C$385</f>
        <v>No</v>
      </c>
      <c r="D405" s="59" t="str">
        <f>Segments!$D$385</f>
        <v>&lt;1.0</v>
      </c>
      <c r="E405" s="59" t="str">
        <f>Segments!$E$385</f>
        <v>Freshman</v>
      </c>
      <c r="F405" s="59">
        <f>Segments!$F$385</f>
        <v>1</v>
      </c>
      <c r="G405" s="59" t="str">
        <f>Segments!$G$385</f>
        <v>Base</v>
      </c>
      <c r="H405" s="60">
        <f>Segments!$H$385</f>
        <v>0</v>
      </c>
      <c r="I405" s="26">
        <f>Segments!$Y$385</f>
        <v>5544.5047749577134</v>
      </c>
      <c r="J405" s="29">
        <v>0</v>
      </c>
      <c r="K405" s="14">
        <f t="shared" si="195"/>
        <v>9057.4636784075847</v>
      </c>
      <c r="L405" s="14">
        <f t="shared" si="196"/>
        <v>5544.5047749577134</v>
      </c>
      <c r="M405" s="14">
        <f t="shared" si="197"/>
        <v>9057.4636784075847</v>
      </c>
      <c r="N405" s="14">
        <f t="shared" si="198"/>
        <v>3594.1653256572454</v>
      </c>
      <c r="O405" s="14">
        <f t="shared" si="199"/>
        <v>9057.4636784075847</v>
      </c>
      <c r="P405" s="33">
        <f t="shared" si="200"/>
        <v>0.3</v>
      </c>
      <c r="Q405" s="33">
        <f t="shared" si="201"/>
        <v>0.02</v>
      </c>
      <c r="R405" s="51">
        <f t="shared" si="202"/>
        <v>0</v>
      </c>
      <c r="S405" s="51">
        <f>APPLICANTS_PER_YEAR*($H405/Segments!$AH$2)*Q405</f>
        <v>0</v>
      </c>
      <c r="T405" s="51">
        <f t="shared" si="203"/>
        <v>0</v>
      </c>
      <c r="U405" s="14">
        <f t="shared" si="204"/>
        <v>9057.4636784075847</v>
      </c>
      <c r="V405" s="44">
        <f t="shared" si="205"/>
        <v>0</v>
      </c>
      <c r="W405" s="44">
        <f t="shared" si="206"/>
        <v>0</v>
      </c>
      <c r="X405" s="44">
        <f t="shared" si="207"/>
        <v>0</v>
      </c>
      <c r="Y405" s="14">
        <f t="shared" si="208"/>
        <v>9327.9375887598126</v>
      </c>
      <c r="Z405" s="14">
        <f t="shared" si="209"/>
        <v>5710.839918206445</v>
      </c>
      <c r="AA405" s="14">
        <f t="shared" si="210"/>
        <v>9327.9375887598126</v>
      </c>
      <c r="AB405" s="14">
        <f t="shared" si="211"/>
        <v>3701.7422658202067</v>
      </c>
      <c r="AC405" s="14">
        <f t="shared" si="212"/>
        <v>9327.9375887598126</v>
      </c>
      <c r="AD405" s="33">
        <f t="shared" si="213"/>
        <v>0.3</v>
      </c>
      <c r="AE405" s="33">
        <f t="shared" si="214"/>
        <v>0.02</v>
      </c>
      <c r="AF405" s="51">
        <f t="shared" si="215"/>
        <v>0</v>
      </c>
      <c r="AG405" s="51">
        <f>APPLICANTS_PER_YEAR*($H405/Segments!$AH$2)*AE405</f>
        <v>0</v>
      </c>
      <c r="AH405" s="51">
        <f t="shared" si="216"/>
        <v>0</v>
      </c>
      <c r="AI405" s="14">
        <f t="shared" si="217"/>
        <v>9327.9375887598126</v>
      </c>
      <c r="AJ405" s="44">
        <f t="shared" si="218"/>
        <v>0</v>
      </c>
      <c r="AK405" s="44">
        <f t="shared" si="219"/>
        <v>0</v>
      </c>
      <c r="AL405" s="44">
        <f t="shared" si="220"/>
        <v>0</v>
      </c>
      <c r="AM405" s="14">
        <f t="shared" si="221"/>
        <v>9606.5257164226059</v>
      </c>
      <c r="AN405" s="14">
        <f t="shared" si="222"/>
        <v>5882.1651157526376</v>
      </c>
      <c r="AO405" s="14">
        <f t="shared" si="223"/>
        <v>9606.5257164226059</v>
      </c>
      <c r="AP405" s="14">
        <f t="shared" si="224"/>
        <v>3812.5464978114878</v>
      </c>
      <c r="AQ405" s="14">
        <f t="shared" si="225"/>
        <v>9606.5257164226059</v>
      </c>
      <c r="AR405" s="33">
        <f t="shared" si="226"/>
        <v>0.3</v>
      </c>
      <c r="AS405" s="33">
        <f t="shared" si="227"/>
        <v>0.02</v>
      </c>
      <c r="AT405" s="51">
        <f t="shared" si="228"/>
        <v>0</v>
      </c>
      <c r="AU405" s="51">
        <f>APPLICANTS_PER_YEAR*($H405/Segments!$AH$2)*AS405</f>
        <v>0</v>
      </c>
      <c r="AV405" s="51">
        <f t="shared" si="229"/>
        <v>0</v>
      </c>
      <c r="AW405" s="14">
        <f t="shared" si="230"/>
        <v>9606.5257164226059</v>
      </c>
      <c r="AX405" s="44">
        <f t="shared" si="231"/>
        <v>0</v>
      </c>
      <c r="AY405" s="44">
        <f t="shared" si="232"/>
        <v>0</v>
      </c>
      <c r="AZ405" s="44">
        <f t="shared" si="233"/>
        <v>0</v>
      </c>
    </row>
    <row r="406" spans="1:52" ht="15" customHeight="1" x14ac:dyDescent="0.35">
      <c r="A406" s="59" t="str">
        <f>Segments!$A$386</f>
        <v>Greek</v>
      </c>
      <c r="B406" s="59" t="str">
        <f>Segments!$B$386</f>
        <v>Off 6+mi</v>
      </c>
      <c r="C406" s="59" t="str">
        <f>Segments!$C$386</f>
        <v>No</v>
      </c>
      <c r="D406" s="59" t="str">
        <f>Segments!$D$386</f>
        <v>&lt;1.0</v>
      </c>
      <c r="E406" s="59" t="str">
        <f>Segments!$E$386</f>
        <v>Sophomore</v>
      </c>
      <c r="F406" s="59">
        <f>Segments!$F$386</f>
        <v>1</v>
      </c>
      <c r="G406" s="59" t="str">
        <f>Segments!$G$386</f>
        <v>Sophomore</v>
      </c>
      <c r="H406" s="60">
        <f>Segments!$H$386</f>
        <v>0</v>
      </c>
      <c r="I406" s="26">
        <f>Segments!$Y$386</f>
        <v>5488.0963296934051</v>
      </c>
      <c r="J406" s="29">
        <v>1</v>
      </c>
      <c r="K406" s="14">
        <f t="shared" si="195"/>
        <v>1426.2297754450396</v>
      </c>
      <c r="L406" s="14">
        <f t="shared" si="196"/>
        <v>5488.0963296934051</v>
      </c>
      <c r="M406" s="14">
        <f t="shared" si="197"/>
        <v>8965.7391488250887</v>
      </c>
      <c r="N406" s="14">
        <f t="shared" si="198"/>
        <v>3575.9200400634809</v>
      </c>
      <c r="O406" s="14">
        <f t="shared" si="199"/>
        <v>1782.7872193062994</v>
      </c>
      <c r="P406" s="33">
        <f t="shared" si="200"/>
        <v>0.95</v>
      </c>
      <c r="Q406" s="33">
        <f t="shared" si="201"/>
        <v>0.02</v>
      </c>
      <c r="R406" s="51">
        <f t="shared" si="202"/>
        <v>0</v>
      </c>
      <c r="S406" s="51">
        <f>APPLICANTS_PER_YEAR*($H406/Segments!$AH$2)*Q406</f>
        <v>0</v>
      </c>
      <c r="T406" s="51">
        <f t="shared" si="203"/>
        <v>0</v>
      </c>
      <c r="U406" s="14">
        <f t="shared" si="204"/>
        <v>8965.7391488250887</v>
      </c>
      <c r="V406" s="44">
        <f t="shared" si="205"/>
        <v>0</v>
      </c>
      <c r="W406" s="44">
        <f t="shared" si="206"/>
        <v>0</v>
      </c>
      <c r="X406" s="44">
        <f t="shared" si="207"/>
        <v>0</v>
      </c>
      <c r="Y406" s="14">
        <f t="shared" si="208"/>
        <v>9057.4636784075847</v>
      </c>
      <c r="Z406" s="14">
        <f t="shared" si="209"/>
        <v>5652.7392195842076</v>
      </c>
      <c r="AA406" s="14">
        <f t="shared" si="210"/>
        <v>9233.4613232898428</v>
      </c>
      <c r="AB406" s="14">
        <f t="shared" si="211"/>
        <v>3682.9483561118545</v>
      </c>
      <c r="AC406" s="14">
        <f t="shared" si="212"/>
        <v>9233.4613232898428</v>
      </c>
      <c r="AD406" s="33">
        <f t="shared" si="213"/>
        <v>0.3</v>
      </c>
      <c r="AE406" s="33">
        <f t="shared" si="214"/>
        <v>0.02</v>
      </c>
      <c r="AF406" s="51">
        <f t="shared" si="215"/>
        <v>0</v>
      </c>
      <c r="AG406" s="51">
        <f>APPLICANTS_PER_YEAR*($H406/Segments!$AH$2)*AE406</f>
        <v>0</v>
      </c>
      <c r="AH406" s="51">
        <f t="shared" si="216"/>
        <v>0</v>
      </c>
      <c r="AI406" s="14">
        <f t="shared" si="217"/>
        <v>9233.4613232898428</v>
      </c>
      <c r="AJ406" s="44">
        <f t="shared" si="218"/>
        <v>0</v>
      </c>
      <c r="AK406" s="44">
        <f t="shared" si="219"/>
        <v>0</v>
      </c>
      <c r="AL406" s="44">
        <f t="shared" si="220"/>
        <v>0</v>
      </c>
      <c r="AM406" s="14">
        <f t="shared" si="221"/>
        <v>9327.9375887598126</v>
      </c>
      <c r="AN406" s="14">
        <f t="shared" si="222"/>
        <v>5822.3213961717329</v>
      </c>
      <c r="AO406" s="14">
        <f t="shared" si="223"/>
        <v>9509.2151629885357</v>
      </c>
      <c r="AP406" s="14">
        <f t="shared" si="224"/>
        <v>3793.187505013123</v>
      </c>
      <c r="AQ406" s="14">
        <f t="shared" si="225"/>
        <v>9509.2151629885357</v>
      </c>
      <c r="AR406" s="33">
        <f t="shared" si="226"/>
        <v>0.3</v>
      </c>
      <c r="AS406" s="33">
        <f t="shared" si="227"/>
        <v>0.02</v>
      </c>
      <c r="AT406" s="51">
        <f t="shared" si="228"/>
        <v>0</v>
      </c>
      <c r="AU406" s="51">
        <f>APPLICANTS_PER_YEAR*($H406/Segments!$AH$2)*AS406</f>
        <v>0</v>
      </c>
      <c r="AV406" s="51">
        <f t="shared" si="229"/>
        <v>0</v>
      </c>
      <c r="AW406" s="14">
        <f t="shared" si="230"/>
        <v>9509.2151629885357</v>
      </c>
      <c r="AX406" s="44">
        <f t="shared" si="231"/>
        <v>0</v>
      </c>
      <c r="AY406" s="44">
        <f t="shared" si="232"/>
        <v>0</v>
      </c>
      <c r="AZ406" s="44">
        <f t="shared" si="233"/>
        <v>0</v>
      </c>
    </row>
    <row r="407" spans="1:52" ht="15" customHeight="1" x14ac:dyDescent="0.35">
      <c r="A407" s="59" t="str">
        <f>Segments!$A$387</f>
        <v>Greek</v>
      </c>
      <c r="B407" s="59" t="str">
        <f>Segments!$B$387</f>
        <v>Off 6+mi</v>
      </c>
      <c r="C407" s="59" t="str">
        <f>Segments!$C$387</f>
        <v>No</v>
      </c>
      <c r="D407" s="59" t="str">
        <f>Segments!$D$387</f>
        <v>&lt;1.0</v>
      </c>
      <c r="E407" s="59" t="str">
        <f>Segments!$E$387</f>
        <v>Junior</v>
      </c>
      <c r="F407" s="59">
        <f>Segments!$F$387</f>
        <v>2</v>
      </c>
      <c r="G407" s="59" t="str">
        <f>Segments!$G$387</f>
        <v>Base</v>
      </c>
      <c r="H407" s="60">
        <f>Segments!$H$387</f>
        <v>1</v>
      </c>
      <c r="I407" s="26">
        <f>Segments!$Y$387</f>
        <v>6560.610978918432</v>
      </c>
      <c r="J407" s="29">
        <v>2</v>
      </c>
      <c r="K407" s="14">
        <f t="shared" si="195"/>
        <v>1426.2297754450396</v>
      </c>
      <c r="L407" s="14">
        <f t="shared" si="196"/>
        <v>6560.610978918432</v>
      </c>
      <c r="M407" s="14">
        <f t="shared" si="197"/>
        <v>10709.731581333202</v>
      </c>
      <c r="N407" s="14">
        <f t="shared" si="198"/>
        <v>3908.2653528543201</v>
      </c>
      <c r="O407" s="14">
        <f t="shared" si="199"/>
        <v>1782.7872193062994</v>
      </c>
      <c r="P407" s="33">
        <f t="shared" si="200"/>
        <v>0.95</v>
      </c>
      <c r="Q407" s="33">
        <f t="shared" si="201"/>
        <v>0.02</v>
      </c>
      <c r="R407" s="51">
        <f t="shared" si="202"/>
        <v>0</v>
      </c>
      <c r="S407" s="51">
        <f>APPLICANTS_PER_YEAR*($H407/Segments!$AH$2)*Q407</f>
        <v>2.4E-2</v>
      </c>
      <c r="T407" s="51">
        <f t="shared" si="203"/>
        <v>2.4E-2</v>
      </c>
      <c r="U407" s="14">
        <f t="shared" si="204"/>
        <v>10709.731581333201</v>
      </c>
      <c r="V407" s="44">
        <f t="shared" si="205"/>
        <v>257.03355795199684</v>
      </c>
      <c r="W407" s="44">
        <f t="shared" si="206"/>
        <v>176.34922311332747</v>
      </c>
      <c r="X407" s="44">
        <f t="shared" si="207"/>
        <v>58.655516981247288</v>
      </c>
      <c r="Y407" s="14">
        <f t="shared" si="208"/>
        <v>8965.7391488250887</v>
      </c>
      <c r="Z407" s="14">
        <f t="shared" si="209"/>
        <v>6757.4293082859849</v>
      </c>
      <c r="AA407" s="14">
        <f t="shared" si="210"/>
        <v>11029.773528773199</v>
      </c>
      <c r="AB407" s="14">
        <f t="shared" si="211"/>
        <v>4025.2852278871364</v>
      </c>
      <c r="AC407" s="14">
        <f t="shared" si="212"/>
        <v>11029.773528773199</v>
      </c>
      <c r="AD407" s="33">
        <f t="shared" si="213"/>
        <v>0.3</v>
      </c>
      <c r="AE407" s="33">
        <f t="shared" si="214"/>
        <v>0.02</v>
      </c>
      <c r="AF407" s="51">
        <f t="shared" si="215"/>
        <v>0</v>
      </c>
      <c r="AG407" s="51">
        <f>APPLICANTS_PER_YEAR*($H407/Segments!$AH$2)*AE407</f>
        <v>2.4E-2</v>
      </c>
      <c r="AH407" s="51">
        <f t="shared" si="216"/>
        <v>2.4E-2</v>
      </c>
      <c r="AI407" s="14">
        <f t="shared" si="217"/>
        <v>11029.773528773201</v>
      </c>
      <c r="AJ407" s="44">
        <f t="shared" si="218"/>
        <v>264.71456469055681</v>
      </c>
      <c r="AK407" s="44">
        <f t="shared" si="219"/>
        <v>181.63969980672729</v>
      </c>
      <c r="AL407" s="44">
        <f t="shared" si="220"/>
        <v>60.376062490684724</v>
      </c>
      <c r="AM407" s="14">
        <f t="shared" si="221"/>
        <v>9233.4613232898428</v>
      </c>
      <c r="AN407" s="14">
        <f t="shared" si="222"/>
        <v>6960.1521875345643</v>
      </c>
      <c r="AO407" s="14">
        <f t="shared" si="223"/>
        <v>11359.416734636396</v>
      </c>
      <c r="AP407" s="14">
        <f t="shared" si="224"/>
        <v>4145.8156864343937</v>
      </c>
      <c r="AQ407" s="14">
        <f t="shared" si="225"/>
        <v>11359.416734636396</v>
      </c>
      <c r="AR407" s="33">
        <f t="shared" si="226"/>
        <v>0.3</v>
      </c>
      <c r="AS407" s="33">
        <f t="shared" si="227"/>
        <v>0.02</v>
      </c>
      <c r="AT407" s="51">
        <f t="shared" si="228"/>
        <v>0</v>
      </c>
      <c r="AU407" s="51">
        <f>APPLICANTS_PER_YEAR*($H407/Segments!$AH$2)*AS407</f>
        <v>2.4E-2</v>
      </c>
      <c r="AV407" s="51">
        <f t="shared" si="229"/>
        <v>2.4E-2</v>
      </c>
      <c r="AW407" s="14">
        <f t="shared" si="230"/>
        <v>11359.416734636396</v>
      </c>
      <c r="AX407" s="44">
        <f t="shared" si="231"/>
        <v>272.62600163127348</v>
      </c>
      <c r="AY407" s="44">
        <f t="shared" si="232"/>
        <v>187.08889080092911</v>
      </c>
      <c r="AZ407" s="44">
        <f t="shared" si="233"/>
        <v>62.148224365405262</v>
      </c>
    </row>
    <row r="408" spans="1:52" ht="15" customHeight="1" x14ac:dyDescent="0.35">
      <c r="A408" s="59" t="str">
        <f>Segments!$A$388</f>
        <v>Greek</v>
      </c>
      <c r="B408" s="59" t="str">
        <f>Segments!$B$388</f>
        <v>Off 6+mi</v>
      </c>
      <c r="C408" s="59" t="str">
        <f>Segments!$C$388</f>
        <v>No</v>
      </c>
      <c r="D408" s="59" t="str">
        <f>Segments!$D$388</f>
        <v>&lt;1.0</v>
      </c>
      <c r="E408" s="59" t="str">
        <f>Segments!$E$388</f>
        <v>Senior</v>
      </c>
      <c r="F408" s="59">
        <f>Segments!$F$388</f>
        <v>3</v>
      </c>
      <c r="G408" s="59" t="str">
        <f>Segments!$G$388</f>
        <v>Base</v>
      </c>
      <c r="H408" s="60">
        <f>Segments!$H$388</f>
        <v>2</v>
      </c>
      <c r="I408" s="26">
        <f>Segments!$Y$388</f>
        <v>6132.1207886456032</v>
      </c>
      <c r="J408" s="29">
        <v>3</v>
      </c>
      <c r="K408" s="14">
        <f t="shared" si="195"/>
        <v>1426.2297754450396</v>
      </c>
      <c r="L408" s="14">
        <f t="shared" si="196"/>
        <v>6132.1207886456032</v>
      </c>
      <c r="M408" s="14">
        <f t="shared" si="197"/>
        <v>10012.973127003703</v>
      </c>
      <c r="N408" s="14">
        <f t="shared" si="198"/>
        <v>3778.9946301184004</v>
      </c>
      <c r="O408" s="14">
        <f t="shared" si="199"/>
        <v>1782.7872193062994</v>
      </c>
      <c r="P408" s="33">
        <f t="shared" si="200"/>
        <v>0.95</v>
      </c>
      <c r="Q408" s="33">
        <f t="shared" si="201"/>
        <v>0.02</v>
      </c>
      <c r="R408" s="51">
        <f t="shared" si="202"/>
        <v>0.95</v>
      </c>
      <c r="S408" s="51">
        <f>APPLICANTS_PER_YEAR*($H408/Segments!$AH$2)*Q408</f>
        <v>4.8000000000000001E-2</v>
      </c>
      <c r="T408" s="51">
        <f t="shared" si="203"/>
        <v>0.998</v>
      </c>
      <c r="U408" s="14">
        <f t="shared" si="204"/>
        <v>2178.627824085333</v>
      </c>
      <c r="V408" s="44">
        <f t="shared" si="205"/>
        <v>2174.2705684371622</v>
      </c>
      <c r="W408" s="44">
        <f t="shared" si="206"/>
        <v>6854.23933271651</v>
      </c>
      <c r="X408" s="44">
        <f t="shared" si="207"/>
        <v>448.91893228798983</v>
      </c>
      <c r="Y408" s="14">
        <f t="shared" si="208"/>
        <v>10709.731581333201</v>
      </c>
      <c r="Z408" s="14">
        <f t="shared" si="209"/>
        <v>6316.084412304971</v>
      </c>
      <c r="AA408" s="14">
        <f t="shared" si="210"/>
        <v>10312.112320813814</v>
      </c>
      <c r="AB408" s="14">
        <f t="shared" si="211"/>
        <v>3892.1285807214363</v>
      </c>
      <c r="AC408" s="14">
        <f t="shared" si="212"/>
        <v>10312.112320813814</v>
      </c>
      <c r="AD408" s="33">
        <f t="shared" si="213"/>
        <v>0.3</v>
      </c>
      <c r="AE408" s="33">
        <f t="shared" si="214"/>
        <v>0.02</v>
      </c>
      <c r="AF408" s="51">
        <f t="shared" si="215"/>
        <v>7.1999999999999998E-3</v>
      </c>
      <c r="AG408" s="51">
        <f>APPLICANTS_PER_YEAR*($H408/Segments!$AH$2)*AE408</f>
        <v>4.8000000000000001E-2</v>
      </c>
      <c r="AH408" s="51">
        <f t="shared" si="216"/>
        <v>5.5199999999999999E-2</v>
      </c>
      <c r="AI408" s="14">
        <f t="shared" si="217"/>
        <v>10312.112320813816</v>
      </c>
      <c r="AJ408" s="44">
        <f t="shared" si="218"/>
        <v>569.22860010892259</v>
      </c>
      <c r="AK408" s="44">
        <f t="shared" si="219"/>
        <v>390.48560270634255</v>
      </c>
      <c r="AL408" s="44">
        <f t="shared" si="220"/>
        <v>127.21255411955357</v>
      </c>
      <c r="AM408" s="14">
        <f t="shared" si="221"/>
        <v>11029.773528773201</v>
      </c>
      <c r="AN408" s="14">
        <f t="shared" si="222"/>
        <v>6505.5669446741204</v>
      </c>
      <c r="AO408" s="14">
        <f t="shared" si="223"/>
        <v>10620.225690438228</v>
      </c>
      <c r="AP408" s="14">
        <f t="shared" si="224"/>
        <v>4008.6565357535687</v>
      </c>
      <c r="AQ408" s="14">
        <f t="shared" si="225"/>
        <v>10620.225690438228</v>
      </c>
      <c r="AR408" s="33">
        <f t="shared" si="226"/>
        <v>0.3</v>
      </c>
      <c r="AS408" s="33">
        <f t="shared" si="227"/>
        <v>0.02</v>
      </c>
      <c r="AT408" s="51">
        <f t="shared" si="228"/>
        <v>7.1999999999999998E-3</v>
      </c>
      <c r="AU408" s="51">
        <f>APPLICANTS_PER_YEAR*($H408/Segments!$AH$2)*AS408</f>
        <v>4.8000000000000001E-2</v>
      </c>
      <c r="AV408" s="51">
        <f t="shared" si="229"/>
        <v>5.5199999999999999E-2</v>
      </c>
      <c r="AW408" s="14">
        <f t="shared" si="230"/>
        <v>10620.225690438228</v>
      </c>
      <c r="AX408" s="44">
        <f t="shared" si="231"/>
        <v>586.23645811219023</v>
      </c>
      <c r="AY408" s="44">
        <f t="shared" si="232"/>
        <v>402.20017078753284</v>
      </c>
      <c r="AZ408" s="44">
        <f t="shared" si="233"/>
        <v>130.9446697431402</v>
      </c>
    </row>
    <row r="409" spans="1:52" ht="15" customHeight="1" x14ac:dyDescent="0.35">
      <c r="A409" s="59" t="str">
        <f>Segments!$A$389</f>
        <v>Greek</v>
      </c>
      <c r="B409" s="59" t="str">
        <f>Segments!$B$389</f>
        <v>Off 6+mi</v>
      </c>
      <c r="C409" s="59" t="str">
        <f>Segments!$C$389</f>
        <v>No</v>
      </c>
      <c r="D409" s="59" t="str">
        <f>Segments!$D$389</f>
        <v>&lt;1.0</v>
      </c>
      <c r="E409" s="59" t="str">
        <f>Segments!$E$389</f>
        <v>Grad student</v>
      </c>
      <c r="F409" s="59">
        <f>Segments!$F$389</f>
        <v>3</v>
      </c>
      <c r="G409" s="59" t="str">
        <f>Segments!$G$389</f>
        <v>Grad</v>
      </c>
      <c r="H409" s="60">
        <f>Segments!$H$389</f>
        <v>0</v>
      </c>
      <c r="I409" s="26">
        <f>Segments!$Y$389</f>
        <v>7301.396198894302</v>
      </c>
      <c r="J409" s="29">
        <v>4</v>
      </c>
      <c r="K409" s="14">
        <f t="shared" ref="K409:K424" si="234">IF($J409=0,M409,CURRENT_FLAT)</f>
        <v>1426.2297754450396</v>
      </c>
      <c r="L409" s="14">
        <f t="shared" ref="L409:L424" si="235">$I409*(1+LOSS_TREND)^0</f>
        <v>7301.396198894302</v>
      </c>
      <c r="M409" s="14">
        <f t="shared" ref="M409:M424" si="236">L409*GROSS_MULT+POLICY_FEE</f>
        <v>11914.30610037151</v>
      </c>
      <c r="N409" s="14">
        <f t="shared" ref="N409:N424" si="237">M409^MARKET_RISK_WEIGHT*(CURRENT_FLAT*(1+LOSS_TREND)^0)^(1-MARKET_RISK_WEIGHT)</f>
        <v>4122.2006397210125</v>
      </c>
      <c r="O409" s="14">
        <f t="shared" ref="O409:O424" si="238">MEDIAN(K409*(1-CAP_DOWN),M409,K409*(1+CAP_UP))</f>
        <v>1782.7872193062994</v>
      </c>
      <c r="P409" s="33">
        <f t="shared" ref="P409:P424" si="239">MEDIAN(RET_FLOOR,BASE_RETENTION-ELAST_MARKET*(O409/N409-1)-ELAST_INCREASE*MAX(O409/K409-1,0),RET_CEIL)</f>
        <v>0.95</v>
      </c>
      <c r="Q409" s="33">
        <f t="shared" ref="Q409:Q424" si="240">MEDIAN(CONV_FLOOR,BASE_CONVERSION-ELAST_MARKET*(M409/N409-1),CONV_CEIL)</f>
        <v>0.02</v>
      </c>
      <c r="R409" s="51">
        <f t="shared" ref="R409:R424" si="241">IF($J409=0,0,IF($J409=4,$H409*GRAD_CONTINUE,$H408)*P409)</f>
        <v>0</v>
      </c>
      <c r="S409" s="51">
        <f>APPLICANTS_PER_YEAR*($H409/Segments!$AH$2)*Q409</f>
        <v>0</v>
      </c>
      <c r="T409" s="51">
        <f t="shared" ref="T409:T424" si="242">R409+S409</f>
        <v>0</v>
      </c>
      <c r="U409" s="14">
        <f t="shared" ref="U409:U424" si="243">IFERROR((R409*O409+S409*M409)/T409,M409)</f>
        <v>11914.30610037151</v>
      </c>
      <c r="V409" s="44">
        <f t="shared" ref="V409:V424" si="244">R409*O409+S409*M409</f>
        <v>0</v>
      </c>
      <c r="W409" s="44">
        <f t="shared" ref="W409:W424" si="245">T409*L409*(1+LAE_RATIO)</f>
        <v>0</v>
      </c>
      <c r="X409" s="44">
        <f t="shared" ref="X409:X424" si="246">R409*O409*(PREMIUM_TAX+OTHER_VARIABLE+COMMISSION_RN)+S409*M409*(PREMIUM_TAX+OTHER_VARIABLE+COMMISSION_NB)+T409*FIXED_PER_POLICY+S409*NB_ACQUISITION</f>
        <v>0</v>
      </c>
      <c r="Y409" s="14">
        <f t="shared" ref="Y409:Y424" si="247">IF($J409=0,AA409,IF($J409=4,U409,U408))</f>
        <v>11914.30610037151</v>
      </c>
      <c r="Z409" s="14">
        <f t="shared" ref="Z409:Z424" si="248">$I409*(1+LOSS_TREND)^1</f>
        <v>7520.4380848611308</v>
      </c>
      <c r="AA409" s="14">
        <f t="shared" ref="AA409:AA424" si="249">Z409*GROSS_MULT+POLICY_FEE</f>
        <v>12270.485283382655</v>
      </c>
      <c r="AB409" s="14">
        <f t="shared" ref="AB409:AB424" si="250">AA409^MARKET_RISK_WEIGHT*(CURRENT_FLAT*(1+LOSS_TREND)^1)^(1-MARKET_RISK_WEIGHT)</f>
        <v>4245.6504112362009</v>
      </c>
      <c r="AC409" s="14">
        <f t="shared" ref="AC409:AC424" si="251">MEDIAN(Y409*(1-CAP_DOWN),AA409,Y409*(1+CAP_UP))</f>
        <v>12270.485283382655</v>
      </c>
      <c r="AD409" s="33">
        <f t="shared" ref="AD409:AD424" si="252">MEDIAN(RET_FLOOR,BASE_RETENTION-ELAST_MARKET*(AC409/AB409-1)-ELAST_INCREASE*MAX(AC409/Y409-1,0),RET_CEIL)</f>
        <v>0.3</v>
      </c>
      <c r="AE409" s="33">
        <f t="shared" ref="AE409:AE424" si="253">MEDIAN(CONV_FLOOR,BASE_CONVERSION-ELAST_MARKET*(AA409/AB409-1),CONV_CEIL)</f>
        <v>0.02</v>
      </c>
      <c r="AF409" s="51">
        <f t="shared" ref="AF409:AF424" si="254">IF($J409=0,0,IF($J409=4,T409*GRAD_CONTINUE,T408)*AD409)</f>
        <v>0</v>
      </c>
      <c r="AG409" s="51">
        <f>APPLICANTS_PER_YEAR*($H409/Segments!$AH$2)*AE409</f>
        <v>0</v>
      </c>
      <c r="AH409" s="51">
        <f t="shared" ref="AH409:AH424" si="255">AF409+AG409</f>
        <v>0</v>
      </c>
      <c r="AI409" s="14">
        <f t="shared" ref="AI409:AI424" si="256">IFERROR((AF409*AC409+AG409*AA409)/AH409,AA409)</f>
        <v>12270.485283382655</v>
      </c>
      <c r="AJ409" s="44">
        <f t="shared" ref="AJ409:AJ424" si="257">AF409*AC409+AG409*AA409</f>
        <v>0</v>
      </c>
      <c r="AK409" s="44">
        <f t="shared" ref="AK409:AK424" si="258">AH409*Z409*(1+LAE_RATIO)</f>
        <v>0</v>
      </c>
      <c r="AL409" s="44">
        <f t="shared" ref="AL409:AL424" si="259">AF409*AC409*(PREMIUM_TAX+OTHER_VARIABLE+COMMISSION_RN)+AG409*AA409*(PREMIUM_TAX+OTHER_VARIABLE+COMMISSION_NB)+AH409*FIXED_PER_POLICY+AG409*NB_ACQUISITION</f>
        <v>0</v>
      </c>
      <c r="AM409" s="14">
        <f t="shared" ref="AM409:AM424" si="260">IF($J409=0,AO409,IF($J409=4,AI409,AI408))</f>
        <v>12270.485283382655</v>
      </c>
      <c r="AN409" s="14">
        <f t="shared" ref="AN409:AN424" si="261">$I409*(1+LOSS_TREND)^2</f>
        <v>7746.0512274069642</v>
      </c>
      <c r="AO409" s="14">
        <f t="shared" ref="AO409:AO424" si="262">AN409*GROSS_MULT+POLICY_FEE</f>
        <v>12637.349841884134</v>
      </c>
      <c r="AP409" s="14">
        <f t="shared" ref="AP409:AP424" si="263">AO409^MARKET_RISK_WEIGHT*(CURRENT_FLAT*(1+LOSS_TREND)^2)^(1-MARKET_RISK_WEIGHT)</f>
        <v>4372.8036650423664</v>
      </c>
      <c r="AQ409" s="14">
        <f t="shared" ref="AQ409:AQ424" si="264">MEDIAN(AM409*(1-CAP_DOWN),AO409,AM409*(1+CAP_UP))</f>
        <v>12637.349841884134</v>
      </c>
      <c r="AR409" s="33">
        <f t="shared" ref="AR409:AR424" si="265">MEDIAN(RET_FLOOR,BASE_RETENTION-ELAST_MARKET*(AQ409/AP409-1)-ELAST_INCREASE*MAX(AQ409/AM409-1,0),RET_CEIL)</f>
        <v>0.3</v>
      </c>
      <c r="AS409" s="33">
        <f t="shared" ref="AS409:AS424" si="266">MEDIAN(CONV_FLOOR,BASE_CONVERSION-ELAST_MARKET*(AO409/AP409-1),CONV_CEIL)</f>
        <v>0.02</v>
      </c>
      <c r="AT409" s="51">
        <f t="shared" ref="AT409:AT424" si="267">IF($J409=0,0,IF($J409=4,AH409*GRAD_CONTINUE,AH408)*AR409)</f>
        <v>0</v>
      </c>
      <c r="AU409" s="51">
        <f>APPLICANTS_PER_YEAR*($H409/Segments!$AH$2)*AS409</f>
        <v>0</v>
      </c>
      <c r="AV409" s="51">
        <f t="shared" ref="AV409:AV424" si="268">AT409+AU409</f>
        <v>0</v>
      </c>
      <c r="AW409" s="14">
        <f t="shared" ref="AW409:AW424" si="269">IFERROR((AT409*AQ409+AU409*AO409)/AV409,AO409)</f>
        <v>12637.349841884134</v>
      </c>
      <c r="AX409" s="44">
        <f t="shared" ref="AX409:AX424" si="270">AT409*AQ409+AU409*AO409</f>
        <v>0</v>
      </c>
      <c r="AY409" s="44">
        <f t="shared" ref="AY409:AY424" si="271">AV409*AN409*(1+LAE_RATIO)</f>
        <v>0</v>
      </c>
      <c r="AZ409" s="44">
        <f t="shared" ref="AZ409:AZ424" si="272">AT409*AQ409*(PREMIUM_TAX+OTHER_VARIABLE+COMMISSION_RN)+AU409*AO409*(PREMIUM_TAX+OTHER_VARIABLE+COMMISSION_NB)+AV409*FIXED_PER_POLICY+AU409*NB_ACQUISITION</f>
        <v>0</v>
      </c>
    </row>
    <row r="410" spans="1:52" ht="15" customHeight="1" x14ac:dyDescent="0.35">
      <c r="A410" s="61" t="str">
        <f>Segments!$A$390</f>
        <v>Greek</v>
      </c>
      <c r="B410" s="61" t="str">
        <f>Segments!$B$390</f>
        <v>Off 6+mi</v>
      </c>
      <c r="C410" s="61" t="str">
        <f>Segments!$C$390</f>
        <v>No</v>
      </c>
      <c r="D410" s="61" t="str">
        <f>Segments!$D$390</f>
        <v>1.0-2.0</v>
      </c>
      <c r="E410" s="61" t="str">
        <f>Segments!$E$390</f>
        <v>Freshman</v>
      </c>
      <c r="F410" s="61">
        <f>Segments!$F$390</f>
        <v>1</v>
      </c>
      <c r="G410" s="61" t="str">
        <f>Segments!$G$390</f>
        <v>Base</v>
      </c>
      <c r="H410" s="62">
        <f>Segments!$H$390</f>
        <v>5</v>
      </c>
      <c r="I410" s="63">
        <f>Segments!$Y$390</f>
        <v>5031.2005255802569</v>
      </c>
      <c r="J410" s="42">
        <v>0</v>
      </c>
      <c r="K410" s="40">
        <f t="shared" si="234"/>
        <v>8222.7909518994766</v>
      </c>
      <c r="L410" s="40">
        <f t="shared" si="235"/>
        <v>5031.2005255802569</v>
      </c>
      <c r="M410" s="40">
        <f t="shared" si="236"/>
        <v>8222.7909518994766</v>
      </c>
      <c r="N410" s="40">
        <f t="shared" si="237"/>
        <v>3424.5568023992673</v>
      </c>
      <c r="O410" s="40">
        <f t="shared" si="238"/>
        <v>8222.7909518994766</v>
      </c>
      <c r="P410" s="41">
        <f t="shared" si="239"/>
        <v>0.3</v>
      </c>
      <c r="Q410" s="41">
        <f t="shared" si="240"/>
        <v>0.02</v>
      </c>
      <c r="R410" s="64">
        <f t="shared" si="241"/>
        <v>0</v>
      </c>
      <c r="S410" s="64">
        <f>APPLICANTS_PER_YEAR*($H410/Segments!$AH$2)*Q410</f>
        <v>0.12</v>
      </c>
      <c r="T410" s="64">
        <f t="shared" si="242"/>
        <v>0.12</v>
      </c>
      <c r="U410" s="40">
        <f t="shared" si="243"/>
        <v>8222.7909518994766</v>
      </c>
      <c r="V410" s="65">
        <f t="shared" si="244"/>
        <v>986.73491422793711</v>
      </c>
      <c r="W410" s="65">
        <f t="shared" si="245"/>
        <v>676.19335063798655</v>
      </c>
      <c r="X410" s="65">
        <f t="shared" si="246"/>
        <v>226.42862078705792</v>
      </c>
      <c r="Y410" s="40">
        <f t="shared" si="247"/>
        <v>8468.2246804564602</v>
      </c>
      <c r="Z410" s="40">
        <f t="shared" si="248"/>
        <v>5182.1365413476651</v>
      </c>
      <c r="AA410" s="40">
        <f t="shared" si="249"/>
        <v>8468.2246804564602</v>
      </c>
      <c r="AB410" s="40">
        <f t="shared" si="250"/>
        <v>3527.0332022761459</v>
      </c>
      <c r="AC410" s="40">
        <f t="shared" si="251"/>
        <v>8468.2246804564602</v>
      </c>
      <c r="AD410" s="41">
        <f t="shared" si="252"/>
        <v>0.3</v>
      </c>
      <c r="AE410" s="41">
        <f t="shared" si="253"/>
        <v>0.02</v>
      </c>
      <c r="AF410" s="64">
        <f t="shared" si="254"/>
        <v>0</v>
      </c>
      <c r="AG410" s="64">
        <f>APPLICANTS_PER_YEAR*($H410/Segments!$AH$2)*AE410</f>
        <v>0.12</v>
      </c>
      <c r="AH410" s="64">
        <f t="shared" si="255"/>
        <v>0.12</v>
      </c>
      <c r="AI410" s="40">
        <f t="shared" si="256"/>
        <v>8468.2246804564602</v>
      </c>
      <c r="AJ410" s="65">
        <f t="shared" si="257"/>
        <v>1016.1869616547751</v>
      </c>
      <c r="AK410" s="65">
        <f t="shared" si="258"/>
        <v>696.47915115712624</v>
      </c>
      <c r="AL410" s="65">
        <f t="shared" si="259"/>
        <v>233.02587941066963</v>
      </c>
      <c r="AM410" s="40">
        <f t="shared" si="260"/>
        <v>8721.0214208701527</v>
      </c>
      <c r="AN410" s="40">
        <f t="shared" si="261"/>
        <v>5337.6006375880943</v>
      </c>
      <c r="AO410" s="40">
        <f t="shared" si="262"/>
        <v>8721.0214208701527</v>
      </c>
      <c r="AP410" s="40">
        <f t="shared" si="263"/>
        <v>3632.5838752166242</v>
      </c>
      <c r="AQ410" s="40">
        <f t="shared" si="264"/>
        <v>8721.0214208701527</v>
      </c>
      <c r="AR410" s="41">
        <f t="shared" si="265"/>
        <v>0.3</v>
      </c>
      <c r="AS410" s="41">
        <f t="shared" si="266"/>
        <v>0.02</v>
      </c>
      <c r="AT410" s="64">
        <f t="shared" si="267"/>
        <v>0</v>
      </c>
      <c r="AU410" s="64">
        <f>APPLICANTS_PER_YEAR*($H410/Segments!$AH$2)*AS410</f>
        <v>0.12</v>
      </c>
      <c r="AV410" s="64">
        <f t="shared" si="268"/>
        <v>0.12</v>
      </c>
      <c r="AW410" s="40">
        <f t="shared" si="269"/>
        <v>8721.0214208701527</v>
      </c>
      <c r="AX410" s="65">
        <f t="shared" si="270"/>
        <v>1046.5225705044184</v>
      </c>
      <c r="AY410" s="65">
        <f t="shared" si="271"/>
        <v>717.37352569183997</v>
      </c>
      <c r="AZ410" s="65">
        <f t="shared" si="272"/>
        <v>239.82105579298971</v>
      </c>
    </row>
    <row r="411" spans="1:52" ht="15" customHeight="1" x14ac:dyDescent="0.35">
      <c r="A411" s="61" t="str">
        <f>Segments!$A$391</f>
        <v>Greek</v>
      </c>
      <c r="B411" s="61" t="str">
        <f>Segments!$B$391</f>
        <v>Off 6+mi</v>
      </c>
      <c r="C411" s="61" t="str">
        <f>Segments!$C$391</f>
        <v>No</v>
      </c>
      <c r="D411" s="61" t="str">
        <f>Segments!$D$391</f>
        <v>1.0-2.0</v>
      </c>
      <c r="E411" s="61" t="str">
        <f>Segments!$E$391</f>
        <v>Sophomore</v>
      </c>
      <c r="F411" s="61">
        <f>Segments!$F$391</f>
        <v>1</v>
      </c>
      <c r="G411" s="61" t="str">
        <f>Segments!$G$391</f>
        <v>Sophomore</v>
      </c>
      <c r="H411" s="62">
        <f>Segments!$H$391</f>
        <v>0</v>
      </c>
      <c r="I411" s="63">
        <f>Segments!$Y$391</f>
        <v>4980.0143131086261</v>
      </c>
      <c r="J411" s="42">
        <v>1</v>
      </c>
      <c r="K411" s="40">
        <f t="shared" si="234"/>
        <v>1426.2297754450396</v>
      </c>
      <c r="L411" s="40">
        <f t="shared" si="235"/>
        <v>4980.0143131086261</v>
      </c>
      <c r="M411" s="40">
        <f t="shared" si="236"/>
        <v>8139.5581799613219</v>
      </c>
      <c r="N411" s="40">
        <f t="shared" si="237"/>
        <v>3407.1806871999133</v>
      </c>
      <c r="O411" s="40">
        <f t="shared" si="238"/>
        <v>1782.7872193062994</v>
      </c>
      <c r="P411" s="41">
        <f t="shared" si="239"/>
        <v>0.95</v>
      </c>
      <c r="Q411" s="41">
        <f t="shared" si="240"/>
        <v>0.02</v>
      </c>
      <c r="R411" s="64">
        <f t="shared" si="241"/>
        <v>4.75</v>
      </c>
      <c r="S411" s="64">
        <f>APPLICANTS_PER_YEAR*($H411/Segments!$AH$2)*Q411</f>
        <v>0</v>
      </c>
      <c r="T411" s="64">
        <f t="shared" si="242"/>
        <v>4.75</v>
      </c>
      <c r="U411" s="40">
        <f t="shared" si="243"/>
        <v>1782.7872193062994</v>
      </c>
      <c r="V411" s="65">
        <f t="shared" si="244"/>
        <v>8468.2392917049219</v>
      </c>
      <c r="W411" s="65">
        <f t="shared" si="245"/>
        <v>26493.676145737893</v>
      </c>
      <c r="X411" s="65">
        <f t="shared" si="246"/>
        <v>1695.4972261322303</v>
      </c>
      <c r="Y411" s="40">
        <f t="shared" si="247"/>
        <v>8222.7909518994766</v>
      </c>
      <c r="Z411" s="40">
        <f t="shared" si="248"/>
        <v>5129.4147425018846</v>
      </c>
      <c r="AA411" s="40">
        <f t="shared" si="249"/>
        <v>8382.4949253601608</v>
      </c>
      <c r="AB411" s="40">
        <f t="shared" si="250"/>
        <v>3509.1344760093725</v>
      </c>
      <c r="AC411" s="40">
        <f t="shared" si="251"/>
        <v>8382.4949253601608</v>
      </c>
      <c r="AD411" s="41">
        <f t="shared" si="252"/>
        <v>0.3</v>
      </c>
      <c r="AE411" s="41">
        <f t="shared" si="253"/>
        <v>0.02</v>
      </c>
      <c r="AF411" s="64">
        <f t="shared" si="254"/>
        <v>3.5999999999999997E-2</v>
      </c>
      <c r="AG411" s="64">
        <f>APPLICANTS_PER_YEAR*($H411/Segments!$AH$2)*AE411</f>
        <v>0</v>
      </c>
      <c r="AH411" s="64">
        <f t="shared" si="255"/>
        <v>3.5999999999999997E-2</v>
      </c>
      <c r="AI411" s="40">
        <f t="shared" si="256"/>
        <v>8382.4949253601608</v>
      </c>
      <c r="AJ411" s="65">
        <f t="shared" si="257"/>
        <v>301.76981731296576</v>
      </c>
      <c r="AK411" s="65">
        <f t="shared" si="258"/>
        <v>206.81800241767598</v>
      </c>
      <c r="AL411" s="65">
        <f t="shared" si="259"/>
        <v>57.754495472150531</v>
      </c>
      <c r="AM411" s="40">
        <f t="shared" si="260"/>
        <v>8468.2246804564602</v>
      </c>
      <c r="AN411" s="40">
        <f t="shared" si="261"/>
        <v>5283.2971847769413</v>
      </c>
      <c r="AO411" s="40">
        <f t="shared" si="262"/>
        <v>8632.7197731209653</v>
      </c>
      <c r="AP411" s="40">
        <f t="shared" si="263"/>
        <v>3614.1468592592241</v>
      </c>
      <c r="AQ411" s="40">
        <f t="shared" si="264"/>
        <v>8632.7197731209653</v>
      </c>
      <c r="AR411" s="41">
        <f t="shared" si="265"/>
        <v>0.3</v>
      </c>
      <c r="AS411" s="41">
        <f t="shared" si="266"/>
        <v>0.02</v>
      </c>
      <c r="AT411" s="64">
        <f t="shared" si="267"/>
        <v>3.5999999999999997E-2</v>
      </c>
      <c r="AU411" s="64">
        <f>APPLICANTS_PER_YEAR*($H411/Segments!$AH$2)*AS411</f>
        <v>0</v>
      </c>
      <c r="AV411" s="64">
        <f t="shared" si="268"/>
        <v>3.5999999999999997E-2</v>
      </c>
      <c r="AW411" s="40">
        <f t="shared" si="269"/>
        <v>8632.7197731209653</v>
      </c>
      <c r="AX411" s="65">
        <f t="shared" si="270"/>
        <v>310.77791183235473</v>
      </c>
      <c r="AY411" s="65">
        <f t="shared" si="271"/>
        <v>213.02254249020626</v>
      </c>
      <c r="AZ411" s="65">
        <f t="shared" si="272"/>
        <v>59.457025336315041</v>
      </c>
    </row>
    <row r="412" spans="1:52" ht="15" customHeight="1" x14ac:dyDescent="0.35">
      <c r="A412" s="61" t="str">
        <f>Segments!$A$392</f>
        <v>Greek</v>
      </c>
      <c r="B412" s="61" t="str">
        <f>Segments!$B$392</f>
        <v>Off 6+mi</v>
      </c>
      <c r="C412" s="61" t="str">
        <f>Segments!$C$392</f>
        <v>No</v>
      </c>
      <c r="D412" s="61" t="str">
        <f>Segments!$D$392</f>
        <v>1.0-2.0</v>
      </c>
      <c r="E412" s="61" t="str">
        <f>Segments!$E$392</f>
        <v>Junior</v>
      </c>
      <c r="F412" s="61">
        <f>Segments!$F$392</f>
        <v>2</v>
      </c>
      <c r="G412" s="61" t="str">
        <f>Segments!$G$392</f>
        <v>Base</v>
      </c>
      <c r="H412" s="62">
        <f>Segments!$H$392</f>
        <v>4</v>
      </c>
      <c r="I412" s="63">
        <f>Segments!$Y$392</f>
        <v>5953.2367172528511</v>
      </c>
      <c r="J412" s="42">
        <v>2</v>
      </c>
      <c r="K412" s="40">
        <f t="shared" si="234"/>
        <v>1426.2297754450396</v>
      </c>
      <c r="L412" s="40">
        <f t="shared" si="235"/>
        <v>5953.2367172528511</v>
      </c>
      <c r="M412" s="40">
        <f t="shared" si="236"/>
        <v>9722.0936811792344</v>
      </c>
      <c r="N412" s="40">
        <f t="shared" si="237"/>
        <v>3723.6997042946277</v>
      </c>
      <c r="O412" s="40">
        <f t="shared" si="238"/>
        <v>1782.7872193062994</v>
      </c>
      <c r="P412" s="41">
        <f t="shared" si="239"/>
        <v>0.95</v>
      </c>
      <c r="Q412" s="41">
        <f t="shared" si="240"/>
        <v>0.02</v>
      </c>
      <c r="R412" s="64">
        <f t="shared" si="241"/>
        <v>0</v>
      </c>
      <c r="S412" s="64">
        <f>APPLICANTS_PER_YEAR*($H412/Segments!$AH$2)*Q412</f>
        <v>9.6000000000000002E-2</v>
      </c>
      <c r="T412" s="64">
        <f t="shared" si="242"/>
        <v>9.6000000000000002E-2</v>
      </c>
      <c r="U412" s="40">
        <f t="shared" si="243"/>
        <v>9722.0936811792344</v>
      </c>
      <c r="V412" s="65">
        <f t="shared" si="244"/>
        <v>933.32099339320655</v>
      </c>
      <c r="W412" s="65">
        <f t="shared" si="245"/>
        <v>640.09201183902655</v>
      </c>
      <c r="X412" s="65">
        <f t="shared" si="246"/>
        <v>213.38390252007827</v>
      </c>
      <c r="Y412" s="40">
        <f t="shared" si="247"/>
        <v>1782.7872193062994</v>
      </c>
      <c r="Z412" s="40">
        <f t="shared" si="248"/>
        <v>6131.8338187704367</v>
      </c>
      <c r="AA412" s="40">
        <f t="shared" si="249"/>
        <v>10012.506491614611</v>
      </c>
      <c r="AB412" s="40">
        <f t="shared" si="250"/>
        <v>3835.1713040922737</v>
      </c>
      <c r="AC412" s="40">
        <f t="shared" si="251"/>
        <v>2228.4840241328743</v>
      </c>
      <c r="AD412" s="41">
        <f t="shared" si="252"/>
        <v>0.95</v>
      </c>
      <c r="AE412" s="41">
        <f t="shared" si="253"/>
        <v>0.02</v>
      </c>
      <c r="AF412" s="64">
        <f t="shared" si="254"/>
        <v>4.5125000000000002</v>
      </c>
      <c r="AG412" s="64">
        <f>APPLICANTS_PER_YEAR*($H412/Segments!$AH$2)*AE412</f>
        <v>9.6000000000000002E-2</v>
      </c>
      <c r="AH412" s="64">
        <f t="shared" si="255"/>
        <v>4.6085000000000003</v>
      </c>
      <c r="AI412" s="40">
        <f t="shared" si="256"/>
        <v>2390.6335645209065</v>
      </c>
      <c r="AJ412" s="65">
        <f t="shared" si="257"/>
        <v>11017.234782094598</v>
      </c>
      <c r="AK412" s="65">
        <f t="shared" si="258"/>
        <v>31649.582892259987</v>
      </c>
      <c r="AL412" s="65">
        <f t="shared" si="259"/>
        <v>2210.4693956277047</v>
      </c>
      <c r="AM412" s="40">
        <f t="shared" si="260"/>
        <v>8382.4949253601608</v>
      </c>
      <c r="AN412" s="40">
        <f t="shared" si="261"/>
        <v>6315.7888333335495</v>
      </c>
      <c r="AO412" s="40">
        <f t="shared" si="262"/>
        <v>10311.631686363049</v>
      </c>
      <c r="AP412" s="40">
        <f t="shared" si="263"/>
        <v>3949.9870371577676</v>
      </c>
      <c r="AQ412" s="40">
        <f t="shared" si="264"/>
        <v>10311.631686363049</v>
      </c>
      <c r="AR412" s="41">
        <f t="shared" si="265"/>
        <v>0.3</v>
      </c>
      <c r="AS412" s="41">
        <f t="shared" si="266"/>
        <v>0.02</v>
      </c>
      <c r="AT412" s="64">
        <f t="shared" si="267"/>
        <v>1.0799999999999999E-2</v>
      </c>
      <c r="AU412" s="64">
        <f>APPLICANTS_PER_YEAR*($H412/Segments!$AH$2)*AS412</f>
        <v>9.6000000000000002E-2</v>
      </c>
      <c r="AV412" s="64">
        <f t="shared" si="268"/>
        <v>0.10680000000000001</v>
      </c>
      <c r="AW412" s="40">
        <f t="shared" si="269"/>
        <v>10311.631686363049</v>
      </c>
      <c r="AX412" s="65">
        <f t="shared" si="270"/>
        <v>1101.2822641035737</v>
      </c>
      <c r="AY412" s="65">
        <f t="shared" si="271"/>
        <v>755.46939708802608</v>
      </c>
      <c r="AZ412" s="65">
        <f t="shared" si="272"/>
        <v>247.32543038175527</v>
      </c>
    </row>
    <row r="413" spans="1:52" ht="15" customHeight="1" x14ac:dyDescent="0.35">
      <c r="A413" s="61" t="str">
        <f>Segments!$A$393</f>
        <v>Greek</v>
      </c>
      <c r="B413" s="61" t="str">
        <f>Segments!$B$393</f>
        <v>Off 6+mi</v>
      </c>
      <c r="C413" s="61" t="str">
        <f>Segments!$C$393</f>
        <v>No</v>
      </c>
      <c r="D413" s="61" t="str">
        <f>Segments!$D$393</f>
        <v>1.0-2.0</v>
      </c>
      <c r="E413" s="61" t="str">
        <f>Segments!$E$393</f>
        <v>Senior</v>
      </c>
      <c r="F413" s="61">
        <f>Segments!$F$393</f>
        <v>3</v>
      </c>
      <c r="G413" s="61" t="str">
        <f>Segments!$G$393</f>
        <v>Base</v>
      </c>
      <c r="H413" s="62">
        <f>Segments!$H$393</f>
        <v>0</v>
      </c>
      <c r="I413" s="63">
        <f>Segments!$Y$393</f>
        <v>5564.4156848959838</v>
      </c>
      <c r="J413" s="42">
        <v>3</v>
      </c>
      <c r="K413" s="40">
        <f t="shared" si="234"/>
        <v>1426.2297754450396</v>
      </c>
      <c r="L413" s="40">
        <f t="shared" si="235"/>
        <v>5564.4156848959838</v>
      </c>
      <c r="M413" s="40">
        <f t="shared" si="236"/>
        <v>9089.8403702148116</v>
      </c>
      <c r="N413" s="40">
        <f t="shared" si="237"/>
        <v>3600.5834235638431</v>
      </c>
      <c r="O413" s="40">
        <f t="shared" si="238"/>
        <v>1782.7872193062994</v>
      </c>
      <c r="P413" s="41">
        <f t="shared" si="239"/>
        <v>0.95</v>
      </c>
      <c r="Q413" s="41">
        <f t="shared" si="240"/>
        <v>0.02</v>
      </c>
      <c r="R413" s="64">
        <f t="shared" si="241"/>
        <v>3.8</v>
      </c>
      <c r="S413" s="64">
        <f>APPLICANTS_PER_YEAR*($H413/Segments!$AH$2)*Q413</f>
        <v>0</v>
      </c>
      <c r="T413" s="64">
        <f t="shared" si="242"/>
        <v>3.8</v>
      </c>
      <c r="U413" s="40">
        <f t="shared" si="243"/>
        <v>1782.7872193062994</v>
      </c>
      <c r="V413" s="65">
        <f t="shared" si="244"/>
        <v>6774.5914333639375</v>
      </c>
      <c r="W413" s="65">
        <f t="shared" si="245"/>
        <v>23682.153154917305</v>
      </c>
      <c r="X413" s="65">
        <f t="shared" si="246"/>
        <v>1356.3977809057842</v>
      </c>
      <c r="Y413" s="40">
        <f t="shared" si="247"/>
        <v>9722.0936811792344</v>
      </c>
      <c r="Z413" s="40">
        <f t="shared" si="248"/>
        <v>5731.3481554428636</v>
      </c>
      <c r="AA413" s="40">
        <f t="shared" si="249"/>
        <v>9361.2855813212554</v>
      </c>
      <c r="AB413" s="40">
        <f t="shared" si="250"/>
        <v>3708.3533487924856</v>
      </c>
      <c r="AC413" s="40">
        <f t="shared" si="251"/>
        <v>9361.2855813212554</v>
      </c>
      <c r="AD413" s="41">
        <f t="shared" si="252"/>
        <v>0.3</v>
      </c>
      <c r="AE413" s="41">
        <f t="shared" si="253"/>
        <v>0.02</v>
      </c>
      <c r="AF413" s="64">
        <f t="shared" si="254"/>
        <v>2.8799999999999999E-2</v>
      </c>
      <c r="AG413" s="64">
        <f>APPLICANTS_PER_YEAR*($H413/Segments!$AH$2)*AE413</f>
        <v>0</v>
      </c>
      <c r="AH413" s="64">
        <f t="shared" si="255"/>
        <v>2.8799999999999999E-2</v>
      </c>
      <c r="AI413" s="40">
        <f t="shared" si="256"/>
        <v>9361.2855813212554</v>
      </c>
      <c r="AJ413" s="65">
        <f t="shared" si="257"/>
        <v>269.60502474205214</v>
      </c>
      <c r="AK413" s="65">
        <f t="shared" si="258"/>
        <v>184.870366101965</v>
      </c>
      <c r="AL413" s="65">
        <f t="shared" si="259"/>
        <v>51.531349676247856</v>
      </c>
      <c r="AM413" s="40">
        <f t="shared" si="260"/>
        <v>2390.6335645209065</v>
      </c>
      <c r="AN413" s="40">
        <f t="shared" si="261"/>
        <v>5903.2886001061488</v>
      </c>
      <c r="AO413" s="40">
        <f t="shared" si="262"/>
        <v>9640.8741487608931</v>
      </c>
      <c r="AP413" s="40">
        <f t="shared" si="263"/>
        <v>3819.3563554888483</v>
      </c>
      <c r="AQ413" s="40">
        <f t="shared" si="264"/>
        <v>2988.2919556511333</v>
      </c>
      <c r="AR413" s="41">
        <f t="shared" si="265"/>
        <v>0.88379639427247758</v>
      </c>
      <c r="AS413" s="41">
        <f t="shared" si="266"/>
        <v>0.02</v>
      </c>
      <c r="AT413" s="64">
        <f t="shared" si="267"/>
        <v>4.0729756830047128</v>
      </c>
      <c r="AU413" s="64">
        <f>APPLICANTS_PER_YEAR*($H413/Segments!$AH$2)*AS413</f>
        <v>0</v>
      </c>
      <c r="AV413" s="64">
        <f t="shared" si="268"/>
        <v>4.0729756830047128</v>
      </c>
      <c r="AW413" s="40">
        <f t="shared" si="269"/>
        <v>2988.2919556511333</v>
      </c>
      <c r="AX413" s="65">
        <f t="shared" si="270"/>
        <v>12171.240469085664</v>
      </c>
      <c r="AY413" s="65">
        <f t="shared" si="271"/>
        <v>26929.225028150231</v>
      </c>
      <c r="AZ413" s="65">
        <f t="shared" si="272"/>
        <v>2381.8239623172849</v>
      </c>
    </row>
    <row r="414" spans="1:52" ht="15" customHeight="1" x14ac:dyDescent="0.35">
      <c r="A414" s="61" t="str">
        <f>Segments!$A$394</f>
        <v>Greek</v>
      </c>
      <c r="B414" s="61" t="str">
        <f>Segments!$B$394</f>
        <v>Off 6+mi</v>
      </c>
      <c r="C414" s="61" t="str">
        <f>Segments!$C$394</f>
        <v>No</v>
      </c>
      <c r="D414" s="61" t="str">
        <f>Segments!$D$394</f>
        <v>1.0-2.0</v>
      </c>
      <c r="E414" s="61" t="str">
        <f>Segments!$E$394</f>
        <v>Grad student</v>
      </c>
      <c r="F414" s="61">
        <f>Segments!$F$394</f>
        <v>3</v>
      </c>
      <c r="G414" s="61" t="str">
        <f>Segments!$G$394</f>
        <v>Grad</v>
      </c>
      <c r="H414" s="62">
        <f>Segments!$H$394</f>
        <v>4</v>
      </c>
      <c r="I414" s="63">
        <f>Segments!$Y$394</f>
        <v>6625.4408435651258</v>
      </c>
      <c r="J414" s="42">
        <v>4</v>
      </c>
      <c r="K414" s="40">
        <f t="shared" si="234"/>
        <v>1426.2297754450396</v>
      </c>
      <c r="L414" s="40">
        <f t="shared" si="235"/>
        <v>6625.4408435651258</v>
      </c>
      <c r="M414" s="40">
        <f t="shared" si="236"/>
        <v>10815.149995362379</v>
      </c>
      <c r="N414" s="40">
        <f t="shared" si="237"/>
        <v>3927.4532396058016</v>
      </c>
      <c r="O414" s="40">
        <f t="shared" si="238"/>
        <v>1782.7872193062994</v>
      </c>
      <c r="P414" s="41">
        <f t="shared" si="239"/>
        <v>0.95</v>
      </c>
      <c r="Q414" s="41">
        <f t="shared" si="240"/>
        <v>0.02</v>
      </c>
      <c r="R414" s="64">
        <f t="shared" si="241"/>
        <v>1.9</v>
      </c>
      <c r="S414" s="64">
        <f>APPLICANTS_PER_YEAR*($H414/Segments!$AH$2)*Q414</f>
        <v>9.6000000000000002E-2</v>
      </c>
      <c r="T414" s="64">
        <f t="shared" si="242"/>
        <v>1.996</v>
      </c>
      <c r="U414" s="40">
        <f t="shared" si="243"/>
        <v>2217.2094770725239</v>
      </c>
      <c r="V414" s="65">
        <f t="shared" si="244"/>
        <v>4425.5501162367573</v>
      </c>
      <c r="W414" s="65">
        <f t="shared" si="245"/>
        <v>14811.305514606711</v>
      </c>
      <c r="X414" s="65">
        <f t="shared" si="246"/>
        <v>915.0878759531646</v>
      </c>
      <c r="Y414" s="40">
        <f t="shared" si="247"/>
        <v>2217.2094770725239</v>
      </c>
      <c r="Z414" s="40">
        <f t="shared" si="248"/>
        <v>6824.2040688720799</v>
      </c>
      <c r="AA414" s="40">
        <f t="shared" si="249"/>
        <v>11138.35449522325</v>
      </c>
      <c r="AB414" s="40">
        <f t="shared" si="250"/>
        <v>4045.0498656340428</v>
      </c>
      <c r="AC414" s="40">
        <f t="shared" si="251"/>
        <v>2771.5118463406548</v>
      </c>
      <c r="AD414" s="41">
        <f t="shared" si="252"/>
        <v>0.93241932257907623</v>
      </c>
      <c r="AE414" s="41">
        <f t="shared" si="253"/>
        <v>0.02</v>
      </c>
      <c r="AF414" s="64">
        <f t="shared" si="254"/>
        <v>0.93055448393391804</v>
      </c>
      <c r="AG414" s="64">
        <f>APPLICANTS_PER_YEAR*($H414/Segments!$AH$2)*AE414</f>
        <v>9.6000000000000002E-2</v>
      </c>
      <c r="AH414" s="64">
        <f t="shared" si="255"/>
        <v>1.026554483933918</v>
      </c>
      <c r="AI414" s="40">
        <f t="shared" si="256"/>
        <v>3553.9514604707065</v>
      </c>
      <c r="AJ414" s="65">
        <f t="shared" si="257"/>
        <v>3648.3248074297003</v>
      </c>
      <c r="AK414" s="65">
        <f t="shared" si="258"/>
        <v>7846.0673605224092</v>
      </c>
      <c r="AL414" s="65">
        <f t="shared" si="259"/>
        <v>749.88934938684179</v>
      </c>
      <c r="AM414" s="40">
        <f t="shared" si="260"/>
        <v>3553.9514604707065</v>
      </c>
      <c r="AN414" s="40">
        <f t="shared" si="261"/>
        <v>7028.930190938242</v>
      </c>
      <c r="AO414" s="40">
        <f t="shared" si="262"/>
        <v>11471.255130079948</v>
      </c>
      <c r="AP414" s="40">
        <f t="shared" si="263"/>
        <v>4166.1743778923737</v>
      </c>
      <c r="AQ414" s="40">
        <f t="shared" si="264"/>
        <v>4442.4393255883833</v>
      </c>
      <c r="AR414" s="41">
        <f t="shared" si="265"/>
        <v>0.74184428895223431</v>
      </c>
      <c r="AS414" s="41">
        <f t="shared" si="266"/>
        <v>0.02</v>
      </c>
      <c r="AT414" s="64">
        <f t="shared" si="267"/>
        <v>0.38077179060234262</v>
      </c>
      <c r="AU414" s="64">
        <f>APPLICANTS_PER_YEAR*($H414/Segments!$AH$2)*AS414</f>
        <v>9.6000000000000002E-2</v>
      </c>
      <c r="AV414" s="64">
        <f t="shared" si="268"/>
        <v>0.47677179060234265</v>
      </c>
      <c r="AW414" s="40">
        <f t="shared" si="269"/>
        <v>5857.7208722979849</v>
      </c>
      <c r="AX414" s="65">
        <f t="shared" si="270"/>
        <v>2792.7960691342269</v>
      </c>
      <c r="AY414" s="65">
        <f t="shared" si="271"/>
        <v>3753.3391091307913</v>
      </c>
      <c r="AZ414" s="65">
        <f t="shared" si="272"/>
        <v>578.31731011548447</v>
      </c>
    </row>
    <row r="415" spans="1:52" ht="15" customHeight="1" x14ac:dyDescent="0.35">
      <c r="A415" s="59" t="str">
        <f>Segments!$A$395</f>
        <v>Greek</v>
      </c>
      <c r="B415" s="59" t="str">
        <f>Segments!$B$395</f>
        <v>Off 6+mi</v>
      </c>
      <c r="C415" s="59" t="str">
        <f>Segments!$C$395</f>
        <v>No</v>
      </c>
      <c r="D415" s="59" t="str">
        <f>Segments!$D$395</f>
        <v>2.0-3.0</v>
      </c>
      <c r="E415" s="59" t="str">
        <f>Segments!$E$395</f>
        <v>Freshman</v>
      </c>
      <c r="F415" s="59">
        <f>Segments!$F$395</f>
        <v>1</v>
      </c>
      <c r="G415" s="59" t="str">
        <f>Segments!$G$395</f>
        <v>Base</v>
      </c>
      <c r="H415" s="60">
        <f>Segments!$H$395</f>
        <v>4</v>
      </c>
      <c r="I415" s="26">
        <f>Segments!$Y$395</f>
        <v>4944.0587213871131</v>
      </c>
      <c r="J415" s="29">
        <v>0</v>
      </c>
      <c r="K415" s="14">
        <f t="shared" si="234"/>
        <v>8081.0915847367432</v>
      </c>
      <c r="L415" s="14">
        <f t="shared" si="235"/>
        <v>4944.0587213871131</v>
      </c>
      <c r="M415" s="14">
        <f t="shared" si="236"/>
        <v>8081.0915847367432</v>
      </c>
      <c r="N415" s="14">
        <f t="shared" si="237"/>
        <v>3394.9217128307814</v>
      </c>
      <c r="O415" s="14">
        <f t="shared" si="238"/>
        <v>8081.0915847367432</v>
      </c>
      <c r="P415" s="33">
        <f t="shared" si="239"/>
        <v>0.3</v>
      </c>
      <c r="Q415" s="33">
        <f t="shared" si="240"/>
        <v>0.02</v>
      </c>
      <c r="R415" s="51">
        <f t="shared" si="241"/>
        <v>0</v>
      </c>
      <c r="S415" s="51">
        <f>APPLICANTS_PER_YEAR*($H415/Segments!$AH$2)*Q415</f>
        <v>9.6000000000000002E-2</v>
      </c>
      <c r="T415" s="51">
        <f t="shared" si="242"/>
        <v>9.6000000000000002E-2</v>
      </c>
      <c r="U415" s="14">
        <f t="shared" si="243"/>
        <v>8081.0915847367432</v>
      </c>
      <c r="V415" s="44">
        <f t="shared" si="244"/>
        <v>775.78479213472735</v>
      </c>
      <c r="W415" s="44">
        <f t="shared" si="245"/>
        <v>531.58519372354249</v>
      </c>
      <c r="X415" s="44">
        <f t="shared" si="246"/>
        <v>178.09579343817893</v>
      </c>
      <c r="Y415" s="14">
        <f t="shared" si="247"/>
        <v>8322.2743322788447</v>
      </c>
      <c r="Z415" s="14">
        <f t="shared" si="248"/>
        <v>5092.3804830287263</v>
      </c>
      <c r="AA415" s="14">
        <f t="shared" si="249"/>
        <v>8322.2743322788447</v>
      </c>
      <c r="AB415" s="14">
        <f t="shared" si="250"/>
        <v>3496.5067875926702</v>
      </c>
      <c r="AC415" s="14">
        <f t="shared" si="251"/>
        <v>8322.2743322788447</v>
      </c>
      <c r="AD415" s="33">
        <f t="shared" si="252"/>
        <v>0.3</v>
      </c>
      <c r="AE415" s="33">
        <f t="shared" si="253"/>
        <v>0.02</v>
      </c>
      <c r="AF415" s="51">
        <f t="shared" si="254"/>
        <v>0</v>
      </c>
      <c r="AG415" s="51">
        <f>APPLICANTS_PER_YEAR*($H415/Segments!$AH$2)*AE415</f>
        <v>9.6000000000000002E-2</v>
      </c>
      <c r="AH415" s="51">
        <f t="shared" si="255"/>
        <v>9.6000000000000002E-2</v>
      </c>
      <c r="AI415" s="14">
        <f t="shared" si="256"/>
        <v>8322.2743322788447</v>
      </c>
      <c r="AJ415" s="44">
        <f t="shared" si="257"/>
        <v>798.93833589876908</v>
      </c>
      <c r="AK415" s="44">
        <f t="shared" si="258"/>
        <v>547.53274953524874</v>
      </c>
      <c r="AL415" s="44">
        <f t="shared" si="259"/>
        <v>183.28218724132427</v>
      </c>
      <c r="AM415" s="14">
        <f t="shared" si="260"/>
        <v>8570.6925622472099</v>
      </c>
      <c r="AN415" s="14">
        <f t="shared" si="261"/>
        <v>5245.1518975195877</v>
      </c>
      <c r="AO415" s="14">
        <f t="shared" si="262"/>
        <v>8570.6925622472099</v>
      </c>
      <c r="AP415" s="14">
        <f t="shared" si="263"/>
        <v>3601.1393951644891</v>
      </c>
      <c r="AQ415" s="14">
        <f t="shared" si="264"/>
        <v>8570.6925622472099</v>
      </c>
      <c r="AR415" s="33">
        <f t="shared" si="265"/>
        <v>0.3</v>
      </c>
      <c r="AS415" s="33">
        <f t="shared" si="266"/>
        <v>0.02</v>
      </c>
      <c r="AT415" s="51">
        <f t="shared" si="267"/>
        <v>0</v>
      </c>
      <c r="AU415" s="51">
        <f>APPLICANTS_PER_YEAR*($H415/Segments!$AH$2)*AS415</f>
        <v>9.6000000000000002E-2</v>
      </c>
      <c r="AV415" s="51">
        <f t="shared" si="268"/>
        <v>9.6000000000000002E-2</v>
      </c>
      <c r="AW415" s="14">
        <f t="shared" si="269"/>
        <v>8570.6925622472099</v>
      </c>
      <c r="AX415" s="44">
        <f t="shared" si="270"/>
        <v>822.78648597573215</v>
      </c>
      <c r="AY415" s="44">
        <f t="shared" si="271"/>
        <v>563.9587320213061</v>
      </c>
      <c r="AZ415" s="44">
        <f t="shared" si="272"/>
        <v>188.62417285856401</v>
      </c>
    </row>
    <row r="416" spans="1:52" ht="15" customHeight="1" x14ac:dyDescent="0.35">
      <c r="A416" s="59" t="str">
        <f>Segments!$A$396</f>
        <v>Greek</v>
      </c>
      <c r="B416" s="59" t="str">
        <f>Segments!$B$396</f>
        <v>Off 6+mi</v>
      </c>
      <c r="C416" s="59" t="str">
        <f>Segments!$C$396</f>
        <v>No</v>
      </c>
      <c r="D416" s="59" t="str">
        <f>Segments!$D$396</f>
        <v>2.0-3.0</v>
      </c>
      <c r="E416" s="59" t="str">
        <f>Segments!$E$396</f>
        <v>Sophomore</v>
      </c>
      <c r="F416" s="59">
        <f>Segments!$F$396</f>
        <v>1</v>
      </c>
      <c r="G416" s="59" t="str">
        <f>Segments!$G$396</f>
        <v>Sophomore</v>
      </c>
      <c r="H416" s="60">
        <f>Segments!$H$396</f>
        <v>5</v>
      </c>
      <c r="I416" s="26">
        <f>Segments!$Y$396</f>
        <v>4893.7590684715797</v>
      </c>
      <c r="J416" s="29">
        <v>1</v>
      </c>
      <c r="K416" s="14">
        <f t="shared" si="234"/>
        <v>1426.2297754450396</v>
      </c>
      <c r="L416" s="14">
        <f t="shared" si="235"/>
        <v>4893.7590684715797</v>
      </c>
      <c r="M416" s="14">
        <f t="shared" si="236"/>
        <v>7999.300427752677</v>
      </c>
      <c r="N416" s="14">
        <f t="shared" si="237"/>
        <v>3377.6975075916894</v>
      </c>
      <c r="O416" s="14">
        <f t="shared" si="238"/>
        <v>1782.7872193062994</v>
      </c>
      <c r="P416" s="33">
        <f t="shared" si="239"/>
        <v>0.95</v>
      </c>
      <c r="Q416" s="33">
        <f t="shared" si="240"/>
        <v>0.02</v>
      </c>
      <c r="R416" s="51">
        <f t="shared" si="241"/>
        <v>3.8</v>
      </c>
      <c r="S416" s="51">
        <f>APPLICANTS_PER_YEAR*($H416/Segments!$AH$2)*Q416</f>
        <v>0.12</v>
      </c>
      <c r="T416" s="51">
        <f t="shared" si="242"/>
        <v>3.92</v>
      </c>
      <c r="U416" s="14">
        <f t="shared" si="243"/>
        <v>1973.0886440546578</v>
      </c>
      <c r="V416" s="44">
        <f t="shared" si="244"/>
        <v>7734.5074846942589</v>
      </c>
      <c r="W416" s="44">
        <f t="shared" si="245"/>
        <v>21485.559814217624</v>
      </c>
      <c r="X416" s="44">
        <f t="shared" si="246"/>
        <v>1576.8189764037763</v>
      </c>
      <c r="Y416" s="14">
        <f t="shared" si="247"/>
        <v>8081.0915847367432</v>
      </c>
      <c r="Z416" s="14">
        <f t="shared" si="248"/>
        <v>5040.5718405257276</v>
      </c>
      <c r="AA416" s="14">
        <f t="shared" si="249"/>
        <v>8238.0294405852583</v>
      </c>
      <c r="AB416" s="14">
        <f t="shared" si="250"/>
        <v>3478.7645171138279</v>
      </c>
      <c r="AC416" s="14">
        <f t="shared" si="251"/>
        <v>8238.0294405852583</v>
      </c>
      <c r="AD416" s="33">
        <f t="shared" si="252"/>
        <v>0.3</v>
      </c>
      <c r="AE416" s="33">
        <f t="shared" si="253"/>
        <v>0.02</v>
      </c>
      <c r="AF416" s="51">
        <f t="shared" si="254"/>
        <v>2.8799999999999999E-2</v>
      </c>
      <c r="AG416" s="51">
        <f>APPLICANTS_PER_YEAR*($H416/Segments!$AH$2)*AE416</f>
        <v>0.12</v>
      </c>
      <c r="AH416" s="51">
        <f t="shared" si="255"/>
        <v>0.14879999999999999</v>
      </c>
      <c r="AI416" s="14">
        <f t="shared" si="256"/>
        <v>8238.0294405852583</v>
      </c>
      <c r="AJ416" s="44">
        <f t="shared" si="257"/>
        <v>1225.8187807590864</v>
      </c>
      <c r="AK416" s="44">
        <f t="shared" si="258"/>
        <v>840.04154065465571</v>
      </c>
      <c r="AL416" s="44">
        <f t="shared" si="259"/>
        <v>272.25547321392543</v>
      </c>
      <c r="AM416" s="14">
        <f t="shared" si="260"/>
        <v>8322.2743322788447</v>
      </c>
      <c r="AN416" s="14">
        <f t="shared" si="261"/>
        <v>5191.7889957414991</v>
      </c>
      <c r="AO416" s="14">
        <f t="shared" si="262"/>
        <v>8483.9203238028149</v>
      </c>
      <c r="AP416" s="14">
        <f t="shared" si="263"/>
        <v>3582.8635171898513</v>
      </c>
      <c r="AQ416" s="14">
        <f t="shared" si="264"/>
        <v>8483.9203238028149</v>
      </c>
      <c r="AR416" s="33">
        <f t="shared" si="265"/>
        <v>0.3</v>
      </c>
      <c r="AS416" s="33">
        <f t="shared" si="266"/>
        <v>0.02</v>
      </c>
      <c r="AT416" s="51">
        <f t="shared" si="267"/>
        <v>2.8799999999999999E-2</v>
      </c>
      <c r="AU416" s="51">
        <f>APPLICANTS_PER_YEAR*($H416/Segments!$AH$2)*AS416</f>
        <v>0.12</v>
      </c>
      <c r="AV416" s="51">
        <f t="shared" si="268"/>
        <v>0.14879999999999999</v>
      </c>
      <c r="AW416" s="14">
        <f t="shared" si="269"/>
        <v>8483.9203238028167</v>
      </c>
      <c r="AX416" s="44">
        <f t="shared" si="270"/>
        <v>1262.4073441818589</v>
      </c>
      <c r="AY416" s="44">
        <f t="shared" si="271"/>
        <v>865.24278687429535</v>
      </c>
      <c r="AZ416" s="44">
        <f t="shared" si="272"/>
        <v>280.20345341034312</v>
      </c>
    </row>
    <row r="417" spans="1:52" ht="15" customHeight="1" x14ac:dyDescent="0.35">
      <c r="A417" s="59" t="str">
        <f>Segments!$A$397</f>
        <v>Greek</v>
      </c>
      <c r="B417" s="59" t="str">
        <f>Segments!$B$397</f>
        <v>Off 6+mi</v>
      </c>
      <c r="C417" s="59" t="str">
        <f>Segments!$C$397</f>
        <v>No</v>
      </c>
      <c r="D417" s="59" t="str">
        <f>Segments!$D$397</f>
        <v>2.0-3.0</v>
      </c>
      <c r="E417" s="59" t="str">
        <f>Segments!$E$397</f>
        <v>Junior</v>
      </c>
      <c r="F417" s="59">
        <f>Segments!$F$397</f>
        <v>2</v>
      </c>
      <c r="G417" s="59" t="str">
        <f>Segments!$G$397</f>
        <v>Base</v>
      </c>
      <c r="H417" s="60">
        <f>Segments!$H$397</f>
        <v>8</v>
      </c>
      <c r="I417" s="26">
        <f>Segments!$Y$397</f>
        <v>5850.124987618412</v>
      </c>
      <c r="J417" s="29">
        <v>2</v>
      </c>
      <c r="K417" s="14">
        <f t="shared" si="234"/>
        <v>1426.2297754450396</v>
      </c>
      <c r="L417" s="14">
        <f t="shared" si="235"/>
        <v>5850.124987618412</v>
      </c>
      <c r="M417" s="14">
        <f t="shared" si="236"/>
        <v>9554.4259702391337</v>
      </c>
      <c r="N417" s="14">
        <f t="shared" si="237"/>
        <v>3691.4505016375902</v>
      </c>
      <c r="O417" s="14">
        <f t="shared" si="238"/>
        <v>1782.7872193062994</v>
      </c>
      <c r="P417" s="33">
        <f t="shared" si="239"/>
        <v>0.95</v>
      </c>
      <c r="Q417" s="33">
        <f t="shared" si="240"/>
        <v>0.02</v>
      </c>
      <c r="R417" s="51">
        <f t="shared" si="241"/>
        <v>4.75</v>
      </c>
      <c r="S417" s="51">
        <f>APPLICANTS_PER_YEAR*($H417/Segments!$AH$2)*Q417</f>
        <v>0.192</v>
      </c>
      <c r="T417" s="51">
        <f t="shared" si="242"/>
        <v>4.9420000000000002</v>
      </c>
      <c r="U417" s="14">
        <f t="shared" si="243"/>
        <v>2084.7205742595779</v>
      </c>
      <c r="V417" s="44">
        <f t="shared" si="244"/>
        <v>10302.689077990835</v>
      </c>
      <c r="W417" s="44">
        <f t="shared" si="245"/>
        <v>32380.675811467419</v>
      </c>
      <c r="X417" s="44">
        <f t="shared" si="246"/>
        <v>2115.053978260275</v>
      </c>
      <c r="Y417" s="14">
        <f t="shared" si="247"/>
        <v>1973.0886440546578</v>
      </c>
      <c r="Z417" s="14">
        <f t="shared" si="248"/>
        <v>6025.6287372469642</v>
      </c>
      <c r="AA417" s="14">
        <f t="shared" si="249"/>
        <v>9839.8087493463081</v>
      </c>
      <c r="AB417" s="14">
        <f t="shared" si="250"/>
        <v>3801.9525338557801</v>
      </c>
      <c r="AC417" s="14">
        <f t="shared" si="251"/>
        <v>2466.3608050683224</v>
      </c>
      <c r="AD417" s="33">
        <f t="shared" si="252"/>
        <v>0.95</v>
      </c>
      <c r="AE417" s="33">
        <f t="shared" si="253"/>
        <v>0.02</v>
      </c>
      <c r="AF417" s="51">
        <f t="shared" si="254"/>
        <v>3.7239999999999998</v>
      </c>
      <c r="AG417" s="51">
        <f>APPLICANTS_PER_YEAR*($H417/Segments!$AH$2)*AE417</f>
        <v>0.192</v>
      </c>
      <c r="AH417" s="51">
        <f t="shared" si="255"/>
        <v>3.9159999999999999</v>
      </c>
      <c r="AI417" s="14">
        <f t="shared" si="256"/>
        <v>2827.8781710799085</v>
      </c>
      <c r="AJ417" s="44">
        <f t="shared" si="257"/>
        <v>11073.970917948922</v>
      </c>
      <c r="AK417" s="44">
        <f t="shared" si="258"/>
        <v>26427.925591266208</v>
      </c>
      <c r="AL417" s="44">
        <f t="shared" si="259"/>
        <v>2242.2240182879541</v>
      </c>
      <c r="AM417" s="14">
        <f t="shared" si="260"/>
        <v>8238.0294405852583</v>
      </c>
      <c r="AN417" s="14">
        <f t="shared" si="261"/>
        <v>6206.3975993643726</v>
      </c>
      <c r="AO417" s="14">
        <f t="shared" si="262"/>
        <v>10133.753011826697</v>
      </c>
      <c r="AP417" s="14">
        <f t="shared" si="263"/>
        <v>3915.769611925055</v>
      </c>
      <c r="AQ417" s="14">
        <f t="shared" si="264"/>
        <v>10133.753011826697</v>
      </c>
      <c r="AR417" s="33">
        <f t="shared" si="265"/>
        <v>0.3</v>
      </c>
      <c r="AS417" s="33">
        <f t="shared" si="266"/>
        <v>0.02</v>
      </c>
      <c r="AT417" s="51">
        <f t="shared" si="267"/>
        <v>4.4639999999999992E-2</v>
      </c>
      <c r="AU417" s="51">
        <f>APPLICANTS_PER_YEAR*($H417/Segments!$AH$2)*AS417</f>
        <v>0.192</v>
      </c>
      <c r="AV417" s="51">
        <f t="shared" si="268"/>
        <v>0.23663999999999999</v>
      </c>
      <c r="AW417" s="14">
        <f t="shared" si="269"/>
        <v>10133.753011826697</v>
      </c>
      <c r="AX417" s="44">
        <f t="shared" si="270"/>
        <v>2398.0513127186696</v>
      </c>
      <c r="AY417" s="44">
        <f t="shared" si="271"/>
        <v>1644.9237592632153</v>
      </c>
      <c r="AZ417" s="44">
        <f t="shared" si="272"/>
        <v>530.86331834330394</v>
      </c>
    </row>
    <row r="418" spans="1:52" ht="15" customHeight="1" x14ac:dyDescent="0.35">
      <c r="A418" s="59" t="str">
        <f>Segments!$A$398</f>
        <v>Greek</v>
      </c>
      <c r="B418" s="59" t="str">
        <f>Segments!$B$398</f>
        <v>Off 6+mi</v>
      </c>
      <c r="C418" s="59" t="str">
        <f>Segments!$C$398</f>
        <v>No</v>
      </c>
      <c r="D418" s="59" t="str">
        <f>Segments!$D$398</f>
        <v>2.0-3.0</v>
      </c>
      <c r="E418" s="59" t="str">
        <f>Segments!$E$398</f>
        <v>Senior</v>
      </c>
      <c r="F418" s="59">
        <f>Segments!$F$398</f>
        <v>3</v>
      </c>
      <c r="G418" s="59" t="str">
        <f>Segments!$G$398</f>
        <v>Base</v>
      </c>
      <c r="H418" s="60">
        <f>Segments!$H$398</f>
        <v>2</v>
      </c>
      <c r="I418" s="26">
        <f>Segments!$Y$398</f>
        <v>5468.0384445937725</v>
      </c>
      <c r="J418" s="29">
        <v>3</v>
      </c>
      <c r="K418" s="14">
        <f t="shared" si="234"/>
        <v>1426.2297754450396</v>
      </c>
      <c r="L418" s="14">
        <f t="shared" si="235"/>
        <v>5468.0384445937725</v>
      </c>
      <c r="M418" s="14">
        <f t="shared" si="236"/>
        <v>8933.123463947355</v>
      </c>
      <c r="N418" s="14">
        <f t="shared" si="237"/>
        <v>3569.4098492619828</v>
      </c>
      <c r="O418" s="14">
        <f t="shared" si="238"/>
        <v>1782.7872193062994</v>
      </c>
      <c r="P418" s="33">
        <f t="shared" si="239"/>
        <v>0.95</v>
      </c>
      <c r="Q418" s="33">
        <f t="shared" si="240"/>
        <v>0.02</v>
      </c>
      <c r="R418" s="51">
        <f t="shared" si="241"/>
        <v>7.6</v>
      </c>
      <c r="S418" s="51">
        <f>APPLICANTS_PER_YEAR*($H418/Segments!$AH$2)*Q418</f>
        <v>4.8000000000000001E-2</v>
      </c>
      <c r="T418" s="51">
        <f t="shared" si="242"/>
        <v>7.6479999999999997</v>
      </c>
      <c r="U418" s="14">
        <f t="shared" si="243"/>
        <v>1827.6638066157623</v>
      </c>
      <c r="V418" s="44">
        <f t="shared" si="244"/>
        <v>13977.972792997349</v>
      </c>
      <c r="W418" s="44">
        <f t="shared" si="245"/>
        <v>46837.904987163558</v>
      </c>
      <c r="X418" s="44">
        <f t="shared" si="246"/>
        <v>2811.0045052959304</v>
      </c>
      <c r="Y418" s="14">
        <f t="shared" si="247"/>
        <v>2084.7205742595779</v>
      </c>
      <c r="Z418" s="14">
        <f t="shared" si="248"/>
        <v>5632.0795979315862</v>
      </c>
      <c r="AA418" s="14">
        <f t="shared" si="249"/>
        <v>9199.8671678657774</v>
      </c>
      <c r="AB418" s="14">
        <f t="shared" si="250"/>
        <v>3676.2424048881599</v>
      </c>
      <c r="AC418" s="14">
        <f t="shared" si="251"/>
        <v>2605.9007178244724</v>
      </c>
      <c r="AD418" s="33">
        <f t="shared" si="252"/>
        <v>0.9205755047110733</v>
      </c>
      <c r="AE418" s="33">
        <f t="shared" si="253"/>
        <v>0.02</v>
      </c>
      <c r="AF418" s="51">
        <f t="shared" si="254"/>
        <v>4.5494841442821246</v>
      </c>
      <c r="AG418" s="51">
        <f>APPLICANTS_PER_YEAR*($H418/Segments!$AH$2)*AE418</f>
        <v>4.8000000000000001E-2</v>
      </c>
      <c r="AH418" s="51">
        <f t="shared" si="255"/>
        <v>4.5974841442821246</v>
      </c>
      <c r="AI418" s="14">
        <f t="shared" si="256"/>
        <v>2674.7449769168338</v>
      </c>
      <c r="AJ418" s="44">
        <f t="shared" si="257"/>
        <v>12297.097621373401</v>
      </c>
      <c r="AK418" s="44">
        <f t="shared" si="258"/>
        <v>29000.604248924352</v>
      </c>
      <c r="AL418" s="44">
        <f t="shared" si="259"/>
        <v>2432.7569101672298</v>
      </c>
      <c r="AM418" s="14">
        <f t="shared" si="260"/>
        <v>2827.8781710799085</v>
      </c>
      <c r="AN418" s="14">
        <f t="shared" si="261"/>
        <v>5801.0419858695332</v>
      </c>
      <c r="AO418" s="14">
        <f t="shared" si="262"/>
        <v>9474.6131829017486</v>
      </c>
      <c r="AP418" s="14">
        <f t="shared" si="263"/>
        <v>3786.2799204634011</v>
      </c>
      <c r="AQ418" s="14">
        <f t="shared" si="264"/>
        <v>3534.8477138498856</v>
      </c>
      <c r="AR418" s="33">
        <f t="shared" si="265"/>
        <v>0.8082030663204034</v>
      </c>
      <c r="AS418" s="33">
        <f t="shared" si="266"/>
        <v>0.02</v>
      </c>
      <c r="AT418" s="51">
        <f t="shared" si="267"/>
        <v>3.1649232077106997</v>
      </c>
      <c r="AU418" s="51">
        <f>APPLICANTS_PER_YEAR*($H418/Segments!$AH$2)*AS418</f>
        <v>4.8000000000000001E-2</v>
      </c>
      <c r="AV418" s="51">
        <f t="shared" si="268"/>
        <v>3.2129232077106997</v>
      </c>
      <c r="AW418" s="14">
        <f t="shared" si="269"/>
        <v>3623.5858268026809</v>
      </c>
      <c r="AX418" s="44">
        <f t="shared" si="270"/>
        <v>11642.302998065898</v>
      </c>
      <c r="AY418" s="44">
        <f t="shared" si="271"/>
        <v>20874.898716340915</v>
      </c>
      <c r="AZ418" s="44">
        <f t="shared" si="272"/>
        <v>2281.7710809359437</v>
      </c>
    </row>
    <row r="419" spans="1:52" ht="15" customHeight="1" x14ac:dyDescent="0.35">
      <c r="A419" s="59" t="str">
        <f>Segments!$A$399</f>
        <v>Greek</v>
      </c>
      <c r="B419" s="59" t="str">
        <f>Segments!$B$399</f>
        <v>Off 6+mi</v>
      </c>
      <c r="C419" s="59" t="str">
        <f>Segments!$C$399</f>
        <v>No</v>
      </c>
      <c r="D419" s="59" t="str">
        <f>Segments!$D$399</f>
        <v>2.0-3.0</v>
      </c>
      <c r="E419" s="59" t="str">
        <f>Segments!$E$399</f>
        <v>Grad student</v>
      </c>
      <c r="F419" s="59">
        <f>Segments!$F$399</f>
        <v>3</v>
      </c>
      <c r="G419" s="59" t="str">
        <f>Segments!$G$399</f>
        <v>Grad</v>
      </c>
      <c r="H419" s="60">
        <f>Segments!$H$399</f>
        <v>6</v>
      </c>
      <c r="I419" s="26">
        <f>Segments!$Y$399</f>
        <v>6510.6863499312985</v>
      </c>
      <c r="J419" s="29">
        <v>4</v>
      </c>
      <c r="K419" s="14">
        <f t="shared" si="234"/>
        <v>1426.2297754450396</v>
      </c>
      <c r="L419" s="14">
        <f t="shared" si="235"/>
        <v>6510.6863499312985</v>
      </c>
      <c r="M419" s="14">
        <f t="shared" si="236"/>
        <v>10628.550242493449</v>
      </c>
      <c r="N419" s="14">
        <f t="shared" si="237"/>
        <v>3893.4245627285186</v>
      </c>
      <c r="O419" s="14">
        <f t="shared" si="238"/>
        <v>1782.7872193062994</v>
      </c>
      <c r="P419" s="33">
        <f t="shared" si="239"/>
        <v>0.95</v>
      </c>
      <c r="Q419" s="33">
        <f t="shared" si="240"/>
        <v>0.02</v>
      </c>
      <c r="R419" s="51">
        <f t="shared" si="241"/>
        <v>2.8499999999999996</v>
      </c>
      <c r="S419" s="51">
        <f>APPLICANTS_PER_YEAR*($H419/Segments!$AH$2)*Q419</f>
        <v>0.14399999999999999</v>
      </c>
      <c r="T419" s="51">
        <f t="shared" si="242"/>
        <v>2.9939999999999998</v>
      </c>
      <c r="U419" s="14">
        <f t="shared" si="243"/>
        <v>2208.2347394595895</v>
      </c>
      <c r="V419" s="44">
        <f t="shared" si="244"/>
        <v>6611.4548099420099</v>
      </c>
      <c r="W419" s="44">
        <f t="shared" si="245"/>
        <v>21832.154323497623</v>
      </c>
      <c r="X419" s="44">
        <f t="shared" si="246"/>
        <v>1366.6128523012067</v>
      </c>
      <c r="Y419" s="14">
        <f t="shared" si="247"/>
        <v>2208.2347394595895</v>
      </c>
      <c r="Z419" s="14">
        <f t="shared" si="248"/>
        <v>6706.0069404292381</v>
      </c>
      <c r="AA419" s="14">
        <f t="shared" si="249"/>
        <v>10946.156749768254</v>
      </c>
      <c r="AB419" s="14">
        <f t="shared" si="250"/>
        <v>4009.9983446012075</v>
      </c>
      <c r="AC419" s="14">
        <f t="shared" si="251"/>
        <v>2760.2934243244868</v>
      </c>
      <c r="AD419" s="33">
        <f t="shared" si="252"/>
        <v>0.930823620470971</v>
      </c>
      <c r="AE419" s="33">
        <f t="shared" si="253"/>
        <v>0.02</v>
      </c>
      <c r="AF419" s="51">
        <f t="shared" si="254"/>
        <v>1.3934429598450435</v>
      </c>
      <c r="AG419" s="51">
        <f>APPLICANTS_PER_YEAR*($H419/Segments!$AH$2)*AE419</f>
        <v>0.14399999999999999</v>
      </c>
      <c r="AH419" s="51">
        <f t="shared" si="255"/>
        <v>1.5374429598450434</v>
      </c>
      <c r="AI419" s="14">
        <f t="shared" si="256"/>
        <v>3526.9978482614297</v>
      </c>
      <c r="AJ419" s="44">
        <f t="shared" si="257"/>
        <v>5422.5580111981517</v>
      </c>
      <c r="AK419" s="44">
        <f t="shared" si="258"/>
        <v>11547.315538343124</v>
      </c>
      <c r="AL419" s="44">
        <f t="shared" si="259"/>
        <v>1114.3809533321835</v>
      </c>
      <c r="AM419" s="14">
        <f t="shared" si="260"/>
        <v>3526.9978482614297</v>
      </c>
      <c r="AN419" s="14">
        <f t="shared" si="261"/>
        <v>6907.1871486421142</v>
      </c>
      <c r="AO419" s="14">
        <f t="shared" si="262"/>
        <v>11273.291452261301</v>
      </c>
      <c r="AP419" s="14">
        <f t="shared" si="263"/>
        <v>4130.0693270473157</v>
      </c>
      <c r="AQ419" s="14">
        <f t="shared" si="264"/>
        <v>4408.7473103267876</v>
      </c>
      <c r="AR419" s="33">
        <f t="shared" si="265"/>
        <v>0.74126231169360224</v>
      </c>
      <c r="AS419" s="33">
        <f t="shared" si="266"/>
        <v>0.02</v>
      </c>
      <c r="AT419" s="51">
        <f t="shared" si="267"/>
        <v>0.56982426125589547</v>
      </c>
      <c r="AU419" s="51">
        <f>APPLICANTS_PER_YEAR*($H419/Segments!$AH$2)*AS419</f>
        <v>0.14399999999999999</v>
      </c>
      <c r="AV419" s="51">
        <f t="shared" si="268"/>
        <v>0.71382426125589549</v>
      </c>
      <c r="AW419" s="14">
        <f t="shared" si="269"/>
        <v>5793.5340289785499</v>
      </c>
      <c r="AX419" s="44">
        <f t="shared" si="270"/>
        <v>4135.565148296505</v>
      </c>
      <c r="AY419" s="44">
        <f t="shared" si="271"/>
        <v>5522.1798953839534</v>
      </c>
      <c r="AZ419" s="44">
        <f t="shared" si="272"/>
        <v>856.31568717255436</v>
      </c>
    </row>
    <row r="420" spans="1:52" ht="15" customHeight="1" x14ac:dyDescent="0.35">
      <c r="A420" s="61" t="str">
        <f>Segments!$A$400</f>
        <v>Greek</v>
      </c>
      <c r="B420" s="61" t="str">
        <f>Segments!$B$400</f>
        <v>Off 6+mi</v>
      </c>
      <c r="C420" s="61" t="str">
        <f>Segments!$C$400</f>
        <v>No</v>
      </c>
      <c r="D420" s="61" t="str">
        <f>Segments!$D$400</f>
        <v>3.0+</v>
      </c>
      <c r="E420" s="61" t="str">
        <f>Segments!$E$400</f>
        <v>Freshman</v>
      </c>
      <c r="F420" s="61">
        <f>Segments!$F$400</f>
        <v>1</v>
      </c>
      <c r="G420" s="61" t="str">
        <f>Segments!$G$400</f>
        <v>Base</v>
      </c>
      <c r="H420" s="62">
        <f>Segments!$H$400</f>
        <v>3</v>
      </c>
      <c r="I420" s="63">
        <f>Segments!$Y$400</f>
        <v>4333.7028938134563</v>
      </c>
      <c r="J420" s="42">
        <v>0</v>
      </c>
      <c r="K420" s="40">
        <f t="shared" si="234"/>
        <v>7088.6054259744042</v>
      </c>
      <c r="L420" s="40">
        <f t="shared" si="235"/>
        <v>4333.7028938134563</v>
      </c>
      <c r="M420" s="40">
        <f t="shared" si="236"/>
        <v>7088.6054259744042</v>
      </c>
      <c r="N420" s="40">
        <f t="shared" si="237"/>
        <v>3179.6194937297078</v>
      </c>
      <c r="O420" s="40">
        <f t="shared" si="238"/>
        <v>7088.6054259744042</v>
      </c>
      <c r="P420" s="41">
        <f t="shared" si="239"/>
        <v>0.3</v>
      </c>
      <c r="Q420" s="41">
        <f t="shared" si="240"/>
        <v>0.02</v>
      </c>
      <c r="R420" s="64">
        <f t="shared" si="241"/>
        <v>0</v>
      </c>
      <c r="S420" s="64">
        <f>APPLICANTS_PER_YEAR*($H420/Segments!$AH$2)*Q420</f>
        <v>7.1999999999999995E-2</v>
      </c>
      <c r="T420" s="64">
        <f t="shared" si="242"/>
        <v>7.1999999999999995E-2</v>
      </c>
      <c r="U420" s="40">
        <f t="shared" si="243"/>
        <v>7088.6054259744042</v>
      </c>
      <c r="V420" s="65">
        <f t="shared" si="244"/>
        <v>510.37959067015709</v>
      </c>
      <c r="W420" s="65">
        <f t="shared" si="245"/>
        <v>349.46980135711715</v>
      </c>
      <c r="X420" s="65">
        <f t="shared" si="246"/>
        <v>117.56502831011518</v>
      </c>
      <c r="Y420" s="40">
        <f t="shared" si="247"/>
        <v>7300.0135887536362</v>
      </c>
      <c r="Z420" s="40">
        <f t="shared" si="248"/>
        <v>4463.7139806278601</v>
      </c>
      <c r="AA420" s="40">
        <f t="shared" si="249"/>
        <v>7300.0135887536362</v>
      </c>
      <c r="AB420" s="40">
        <f t="shared" si="250"/>
        <v>3274.7277205405721</v>
      </c>
      <c r="AC420" s="40">
        <f t="shared" si="251"/>
        <v>7300.0135887536362</v>
      </c>
      <c r="AD420" s="41">
        <f t="shared" si="252"/>
        <v>0.3</v>
      </c>
      <c r="AE420" s="41">
        <f t="shared" si="253"/>
        <v>0.02</v>
      </c>
      <c r="AF420" s="64">
        <f t="shared" si="254"/>
        <v>0</v>
      </c>
      <c r="AG420" s="64">
        <f>APPLICANTS_PER_YEAR*($H420/Segments!$AH$2)*AE420</f>
        <v>7.1999999999999995E-2</v>
      </c>
      <c r="AH420" s="64">
        <f t="shared" si="255"/>
        <v>7.1999999999999995E-2</v>
      </c>
      <c r="AI420" s="40">
        <f t="shared" si="256"/>
        <v>7300.0135887536353</v>
      </c>
      <c r="AJ420" s="65">
        <f t="shared" si="257"/>
        <v>525.60097839026173</v>
      </c>
      <c r="AK420" s="65">
        <f t="shared" si="258"/>
        <v>359.95389539783065</v>
      </c>
      <c r="AL420" s="65">
        <f t="shared" si="259"/>
        <v>120.97461915941862</v>
      </c>
      <c r="AM420" s="40">
        <f t="shared" si="260"/>
        <v>7517.7639964162445</v>
      </c>
      <c r="AN420" s="40">
        <f t="shared" si="261"/>
        <v>4597.6254000466952</v>
      </c>
      <c r="AO420" s="40">
        <f t="shared" si="262"/>
        <v>7517.7639964162445</v>
      </c>
      <c r="AP420" s="40">
        <f t="shared" si="263"/>
        <v>3372.6891705011612</v>
      </c>
      <c r="AQ420" s="40">
        <f t="shared" si="264"/>
        <v>7517.7639964162445</v>
      </c>
      <c r="AR420" s="41">
        <f t="shared" si="265"/>
        <v>0.3</v>
      </c>
      <c r="AS420" s="41">
        <f t="shared" si="266"/>
        <v>0.02</v>
      </c>
      <c r="AT420" s="64">
        <f t="shared" si="267"/>
        <v>0</v>
      </c>
      <c r="AU420" s="64">
        <f>APPLICANTS_PER_YEAR*($H420/Segments!$AH$2)*AS420</f>
        <v>7.1999999999999995E-2</v>
      </c>
      <c r="AV420" s="64">
        <f t="shared" si="268"/>
        <v>7.1999999999999995E-2</v>
      </c>
      <c r="AW420" s="40">
        <f t="shared" si="269"/>
        <v>7517.7639964162436</v>
      </c>
      <c r="AX420" s="65">
        <f t="shared" si="270"/>
        <v>541.27900774196951</v>
      </c>
      <c r="AY420" s="65">
        <f t="shared" si="271"/>
        <v>370.75251225976552</v>
      </c>
      <c r="AZ420" s="65">
        <f t="shared" si="272"/>
        <v>124.48649773420117</v>
      </c>
    </row>
    <row r="421" spans="1:52" ht="15" customHeight="1" x14ac:dyDescent="0.35">
      <c r="A421" s="61" t="str">
        <f>Segments!$A$401</f>
        <v>Greek</v>
      </c>
      <c r="B421" s="61" t="str">
        <f>Segments!$B$401</f>
        <v>Off 6+mi</v>
      </c>
      <c r="C421" s="61" t="str">
        <f>Segments!$C$401</f>
        <v>No</v>
      </c>
      <c r="D421" s="61" t="str">
        <f>Segments!$D$401</f>
        <v>3.0+</v>
      </c>
      <c r="E421" s="61" t="str">
        <f>Segments!$E$401</f>
        <v>Sophomore</v>
      </c>
      <c r="F421" s="61">
        <f>Segments!$F$401</f>
        <v>1</v>
      </c>
      <c r="G421" s="61" t="str">
        <f>Segments!$G$401</f>
        <v>Sophomore</v>
      </c>
      <c r="H421" s="62">
        <f>Segments!$H$401</f>
        <v>1</v>
      </c>
      <c r="I421" s="63">
        <f>Segments!$Y$401</f>
        <v>4289.612852881115</v>
      </c>
      <c r="J421" s="42">
        <v>1</v>
      </c>
      <c r="K421" s="40">
        <f t="shared" si="234"/>
        <v>1426.2297754450396</v>
      </c>
      <c r="L421" s="40">
        <f t="shared" si="235"/>
        <v>4289.612852881115</v>
      </c>
      <c r="M421" s="40">
        <f t="shared" si="236"/>
        <v>7016.9115821741943</v>
      </c>
      <c r="N421" s="40">
        <f t="shared" si="237"/>
        <v>3163.4993646533262</v>
      </c>
      <c r="O421" s="40">
        <f t="shared" si="238"/>
        <v>1782.7872193062994</v>
      </c>
      <c r="P421" s="41">
        <f t="shared" si="239"/>
        <v>0.95</v>
      </c>
      <c r="Q421" s="41">
        <f t="shared" si="240"/>
        <v>0.02</v>
      </c>
      <c r="R421" s="64">
        <f t="shared" si="241"/>
        <v>2.8499999999999996</v>
      </c>
      <c r="S421" s="64">
        <f>APPLICANTS_PER_YEAR*($H421/Segments!$AH$2)*Q421</f>
        <v>2.4E-2</v>
      </c>
      <c r="T421" s="64">
        <f t="shared" si="242"/>
        <v>2.8739999999999997</v>
      </c>
      <c r="U421" s="40">
        <f t="shared" si="243"/>
        <v>1826.4959822530043</v>
      </c>
      <c r="V421" s="65">
        <f t="shared" si="244"/>
        <v>5249.349452995134</v>
      </c>
      <c r="W421" s="65">
        <f t="shared" si="245"/>
        <v>13807.749019881963</v>
      </c>
      <c r="X421" s="65">
        <f t="shared" si="246"/>
        <v>1056.1012523451066</v>
      </c>
      <c r="Y421" s="40">
        <f t="shared" si="247"/>
        <v>7088.6054259744042</v>
      </c>
      <c r="Z421" s="40">
        <f t="shared" si="248"/>
        <v>4418.3012384675485</v>
      </c>
      <c r="AA421" s="40">
        <f t="shared" si="249"/>
        <v>7226.1689296394197</v>
      </c>
      <c r="AB421" s="40">
        <f t="shared" si="250"/>
        <v>3258.1225588585485</v>
      </c>
      <c r="AC421" s="40">
        <f t="shared" si="251"/>
        <v>7226.1689296394197</v>
      </c>
      <c r="AD421" s="41">
        <f t="shared" si="252"/>
        <v>0.3</v>
      </c>
      <c r="AE421" s="41">
        <f t="shared" si="253"/>
        <v>0.02</v>
      </c>
      <c r="AF421" s="64">
        <f t="shared" si="254"/>
        <v>2.1599999999999998E-2</v>
      </c>
      <c r="AG421" s="64">
        <f>APPLICANTS_PER_YEAR*($H421/Segments!$AH$2)*AE421</f>
        <v>2.4E-2</v>
      </c>
      <c r="AH421" s="64">
        <f t="shared" si="255"/>
        <v>4.5600000000000002E-2</v>
      </c>
      <c r="AI421" s="40">
        <f t="shared" si="256"/>
        <v>7226.1689296394188</v>
      </c>
      <c r="AJ421" s="65">
        <f t="shared" si="257"/>
        <v>329.5133031915575</v>
      </c>
      <c r="AK421" s="65">
        <f t="shared" si="258"/>
        <v>225.65148085101467</v>
      </c>
      <c r="AL421" s="65">
        <f t="shared" si="259"/>
        <v>69.859996204101492</v>
      </c>
      <c r="AM421" s="40">
        <f t="shared" si="260"/>
        <v>7300.0135887536353</v>
      </c>
      <c r="AN421" s="40">
        <f t="shared" si="261"/>
        <v>4550.8502756215748</v>
      </c>
      <c r="AO421" s="40">
        <f t="shared" si="262"/>
        <v>7441.7039975286025</v>
      </c>
      <c r="AP421" s="40">
        <f t="shared" si="263"/>
        <v>3355.5844248718117</v>
      </c>
      <c r="AQ421" s="40">
        <f t="shared" si="264"/>
        <v>7441.7039975286025</v>
      </c>
      <c r="AR421" s="41">
        <f t="shared" si="265"/>
        <v>0.3</v>
      </c>
      <c r="AS421" s="41">
        <f t="shared" si="266"/>
        <v>0.02</v>
      </c>
      <c r="AT421" s="64">
        <f t="shared" si="267"/>
        <v>2.1599999999999998E-2</v>
      </c>
      <c r="AU421" s="64">
        <f>APPLICANTS_PER_YEAR*($H421/Segments!$AH$2)*AS421</f>
        <v>2.4E-2</v>
      </c>
      <c r="AV421" s="64">
        <f t="shared" si="268"/>
        <v>4.5600000000000002E-2</v>
      </c>
      <c r="AW421" s="40">
        <f t="shared" si="269"/>
        <v>7441.7039975286016</v>
      </c>
      <c r="AX421" s="65">
        <f t="shared" si="270"/>
        <v>339.34170228730426</v>
      </c>
      <c r="AY421" s="65">
        <f t="shared" si="271"/>
        <v>232.42102527654509</v>
      </c>
      <c r="AZ421" s="65">
        <f t="shared" si="272"/>
        <v>71.898613090224529</v>
      </c>
    </row>
    <row r="422" spans="1:52" ht="15" customHeight="1" x14ac:dyDescent="0.35">
      <c r="A422" s="61" t="str">
        <f>Segments!$A$402</f>
        <v>Greek</v>
      </c>
      <c r="B422" s="61" t="str">
        <f>Segments!$B$402</f>
        <v>Off 6+mi</v>
      </c>
      <c r="C422" s="61" t="str">
        <f>Segments!$C$402</f>
        <v>No</v>
      </c>
      <c r="D422" s="61" t="str">
        <f>Segments!$D$402</f>
        <v>3.0+</v>
      </c>
      <c r="E422" s="61" t="str">
        <f>Segments!$E$402</f>
        <v>Junior</v>
      </c>
      <c r="F422" s="61">
        <f>Segments!$F$402</f>
        <v>2</v>
      </c>
      <c r="G422" s="61" t="str">
        <f>Segments!$G$402</f>
        <v>Base</v>
      </c>
      <c r="H422" s="62">
        <f>Segments!$H$402</f>
        <v>1</v>
      </c>
      <c r="I422" s="63">
        <f>Segments!$Y$402</f>
        <v>5127.9131209225052</v>
      </c>
      <c r="J422" s="42">
        <v>2</v>
      </c>
      <c r="K422" s="40">
        <f t="shared" si="234"/>
        <v>1426.2297754450396</v>
      </c>
      <c r="L422" s="40">
        <f t="shared" si="235"/>
        <v>5127.9131209225052</v>
      </c>
      <c r="M422" s="40">
        <f t="shared" si="236"/>
        <v>8380.0531716061942</v>
      </c>
      <c r="N422" s="40">
        <f t="shared" si="237"/>
        <v>3457.1493102204008</v>
      </c>
      <c r="O422" s="40">
        <f t="shared" si="238"/>
        <v>1782.7872193062994</v>
      </c>
      <c r="P422" s="41">
        <f t="shared" si="239"/>
        <v>0.95</v>
      </c>
      <c r="Q422" s="41">
        <f t="shared" si="240"/>
        <v>0.02</v>
      </c>
      <c r="R422" s="64">
        <f t="shared" si="241"/>
        <v>0.95</v>
      </c>
      <c r="S422" s="64">
        <f>APPLICANTS_PER_YEAR*($H422/Segments!$AH$2)*Q422</f>
        <v>2.4E-2</v>
      </c>
      <c r="T422" s="64">
        <f t="shared" si="242"/>
        <v>0.97399999999999998</v>
      </c>
      <c r="U422" s="40">
        <f t="shared" si="243"/>
        <v>1945.3481873301162</v>
      </c>
      <c r="V422" s="65">
        <f t="shared" si="244"/>
        <v>1894.769134459533</v>
      </c>
      <c r="W422" s="65">
        <f t="shared" si="245"/>
        <v>5593.9378653519425</v>
      </c>
      <c r="X422" s="65">
        <f t="shared" si="246"/>
        <v>385.23061107700096</v>
      </c>
      <c r="Y422" s="40">
        <f t="shared" si="247"/>
        <v>1826.4959822530043</v>
      </c>
      <c r="Z422" s="40">
        <f t="shared" si="248"/>
        <v>5281.7505145501809</v>
      </c>
      <c r="AA422" s="40">
        <f t="shared" si="249"/>
        <v>8630.2047667543811</v>
      </c>
      <c r="AB422" s="40">
        <f t="shared" si="250"/>
        <v>3560.6059395457951</v>
      </c>
      <c r="AC422" s="40">
        <f t="shared" si="251"/>
        <v>2283.1199778162554</v>
      </c>
      <c r="AD422" s="41">
        <f t="shared" si="252"/>
        <v>0.95</v>
      </c>
      <c r="AE422" s="41">
        <f t="shared" si="253"/>
        <v>0.02</v>
      </c>
      <c r="AF422" s="64">
        <f t="shared" si="254"/>
        <v>2.7302999999999997</v>
      </c>
      <c r="AG422" s="64">
        <f>APPLICANTS_PER_YEAR*($H422/Segments!$AH$2)*AE422</f>
        <v>2.4E-2</v>
      </c>
      <c r="AH422" s="64">
        <f t="shared" si="255"/>
        <v>2.7542999999999997</v>
      </c>
      <c r="AI422" s="40">
        <f t="shared" si="256"/>
        <v>2338.4262389114574</v>
      </c>
      <c r="AJ422" s="65">
        <f t="shared" si="257"/>
        <v>6440.7273898338262</v>
      </c>
      <c r="AK422" s="65">
        <f t="shared" si="258"/>
        <v>16293.228495292631</v>
      </c>
      <c r="AL422" s="65">
        <f t="shared" si="259"/>
        <v>1280.2328486826668</v>
      </c>
      <c r="AM422" s="40">
        <f t="shared" si="260"/>
        <v>7226.1689296394188</v>
      </c>
      <c r="AN422" s="40">
        <f t="shared" si="261"/>
        <v>5440.2030299866856</v>
      </c>
      <c r="AO422" s="40">
        <f t="shared" si="262"/>
        <v>8887.8609097570115</v>
      </c>
      <c r="AP422" s="40">
        <f t="shared" si="263"/>
        <v>3667.1662493487552</v>
      </c>
      <c r="AQ422" s="40">
        <f t="shared" si="264"/>
        <v>8887.8609097570115</v>
      </c>
      <c r="AR422" s="41">
        <f t="shared" si="265"/>
        <v>0.3</v>
      </c>
      <c r="AS422" s="41">
        <f t="shared" si="266"/>
        <v>0.02</v>
      </c>
      <c r="AT422" s="64">
        <f t="shared" si="267"/>
        <v>1.3679999999999999E-2</v>
      </c>
      <c r="AU422" s="64">
        <f>APPLICANTS_PER_YEAR*($H422/Segments!$AH$2)*AS422</f>
        <v>2.4E-2</v>
      </c>
      <c r="AV422" s="64">
        <f t="shared" si="268"/>
        <v>3.7679999999999998E-2</v>
      </c>
      <c r="AW422" s="40">
        <f t="shared" si="269"/>
        <v>8887.8609097570115</v>
      </c>
      <c r="AX422" s="65">
        <f t="shared" si="270"/>
        <v>334.89459907964419</v>
      </c>
      <c r="AY422" s="65">
        <f t="shared" si="271"/>
        <v>229.58527219028613</v>
      </c>
      <c r="AZ422" s="65">
        <f t="shared" si="272"/>
        <v>72.114482390248639</v>
      </c>
    </row>
    <row r="423" spans="1:52" ht="15" customHeight="1" x14ac:dyDescent="0.35">
      <c r="A423" s="61" t="str">
        <f>Segments!$A$403</f>
        <v>Greek</v>
      </c>
      <c r="B423" s="61" t="str">
        <f>Segments!$B$403</f>
        <v>Off 6+mi</v>
      </c>
      <c r="C423" s="61" t="str">
        <f>Segments!$C$403</f>
        <v>No</v>
      </c>
      <c r="D423" s="61" t="str">
        <f>Segments!$D$403</f>
        <v>3.0+</v>
      </c>
      <c r="E423" s="61" t="str">
        <f>Segments!$E$403</f>
        <v>Senior</v>
      </c>
      <c r="F423" s="61">
        <f>Segments!$F$403</f>
        <v>3</v>
      </c>
      <c r="G423" s="61" t="str">
        <f>Segments!$G$403</f>
        <v>Base</v>
      </c>
      <c r="H423" s="62">
        <f>Segments!$H$403</f>
        <v>1</v>
      </c>
      <c r="I423" s="63">
        <f>Segments!$Y$403</f>
        <v>4792.9960718935063</v>
      </c>
      <c r="J423" s="42">
        <v>3</v>
      </c>
      <c r="K423" s="40">
        <f t="shared" si="234"/>
        <v>1426.2297754450396</v>
      </c>
      <c r="L423" s="40">
        <f t="shared" si="235"/>
        <v>4792.9960718935063</v>
      </c>
      <c r="M423" s="40">
        <f t="shared" si="236"/>
        <v>7835.451939868638</v>
      </c>
      <c r="N423" s="40">
        <f t="shared" si="237"/>
        <v>3342.9260926184484</v>
      </c>
      <c r="O423" s="40">
        <f t="shared" si="238"/>
        <v>1782.7872193062994</v>
      </c>
      <c r="P423" s="41">
        <f t="shared" si="239"/>
        <v>0.95</v>
      </c>
      <c r="Q423" s="41">
        <f t="shared" si="240"/>
        <v>0.02</v>
      </c>
      <c r="R423" s="64">
        <f t="shared" si="241"/>
        <v>0.95</v>
      </c>
      <c r="S423" s="64">
        <f>APPLICANTS_PER_YEAR*($H423/Segments!$AH$2)*Q423</f>
        <v>2.4E-2</v>
      </c>
      <c r="T423" s="64">
        <f t="shared" si="242"/>
        <v>0.97399999999999998</v>
      </c>
      <c r="U423" s="40">
        <f t="shared" si="243"/>
        <v>1931.9288551312441</v>
      </c>
      <c r="V423" s="65">
        <f t="shared" si="244"/>
        <v>1881.6987048978317</v>
      </c>
      <c r="W423" s="65">
        <f t="shared" si="245"/>
        <v>5228.583554907188</v>
      </c>
      <c r="X423" s="65">
        <f t="shared" si="246"/>
        <v>382.30283485517987</v>
      </c>
      <c r="Y423" s="40">
        <f t="shared" si="247"/>
        <v>1945.3481873301162</v>
      </c>
      <c r="Z423" s="40">
        <f t="shared" si="248"/>
        <v>4936.7859540503114</v>
      </c>
      <c r="AA423" s="40">
        <f t="shared" si="249"/>
        <v>8069.2654980646976</v>
      </c>
      <c r="AB423" s="40">
        <f t="shared" si="250"/>
        <v>3442.9472143630887</v>
      </c>
      <c r="AC423" s="40">
        <f t="shared" si="251"/>
        <v>2431.6852341626454</v>
      </c>
      <c r="AD423" s="41">
        <f t="shared" si="252"/>
        <v>0.92185993093093588</v>
      </c>
      <c r="AE423" s="41">
        <f t="shared" si="253"/>
        <v>0.02</v>
      </c>
      <c r="AF423" s="64">
        <f t="shared" si="254"/>
        <v>0.89789157272673148</v>
      </c>
      <c r="AG423" s="64">
        <f>APPLICANTS_PER_YEAR*($H423/Segments!$AH$2)*AE423</f>
        <v>2.4E-2</v>
      </c>
      <c r="AH423" s="64">
        <f t="shared" si="255"/>
        <v>0.9218915727267315</v>
      </c>
      <c r="AI423" s="40">
        <f t="shared" si="256"/>
        <v>2578.4507870068473</v>
      </c>
      <c r="AJ423" s="65">
        <f t="shared" si="257"/>
        <v>2377.0520512322209</v>
      </c>
      <c r="AK423" s="65">
        <f t="shared" si="258"/>
        <v>5097.3231314820414</v>
      </c>
      <c r="AL423" s="65">
        <f t="shared" si="259"/>
        <v>475.0788521557987</v>
      </c>
      <c r="AM423" s="40">
        <f t="shared" si="260"/>
        <v>2338.4262389114574</v>
      </c>
      <c r="AN423" s="40">
        <f t="shared" si="261"/>
        <v>5084.8895326718202</v>
      </c>
      <c r="AO423" s="40">
        <f t="shared" si="262"/>
        <v>8310.0934630066367</v>
      </c>
      <c r="AP423" s="40">
        <f t="shared" si="263"/>
        <v>3545.9689494060472</v>
      </c>
      <c r="AQ423" s="40">
        <f t="shared" si="264"/>
        <v>2923.0327986393218</v>
      </c>
      <c r="AR423" s="41">
        <f t="shared" si="265"/>
        <v>0.86283722582667677</v>
      </c>
      <c r="AS423" s="41">
        <f t="shared" si="266"/>
        <v>0.02</v>
      </c>
      <c r="AT423" s="64">
        <f t="shared" si="267"/>
        <v>2.3765125710944157</v>
      </c>
      <c r="AU423" s="64">
        <f>APPLICANTS_PER_YEAR*($H423/Segments!$AH$2)*AS423</f>
        <v>2.4E-2</v>
      </c>
      <c r="AV423" s="64">
        <f t="shared" si="268"/>
        <v>2.4005125710944157</v>
      </c>
      <c r="AW423" s="40">
        <f t="shared" si="269"/>
        <v>2976.8919025247351</v>
      </c>
      <c r="AX423" s="65">
        <f t="shared" si="270"/>
        <v>7146.066434799799</v>
      </c>
      <c r="AY423" s="65">
        <f t="shared" si="271"/>
        <v>13671.102195301728</v>
      </c>
      <c r="AZ423" s="65">
        <f t="shared" si="272"/>
        <v>1406.1972861079757</v>
      </c>
    </row>
    <row r="424" spans="1:52" ht="15" customHeight="1" x14ac:dyDescent="0.35">
      <c r="A424" s="61" t="str">
        <f>Segments!$A$404</f>
        <v>Greek</v>
      </c>
      <c r="B424" s="61" t="str">
        <f>Segments!$B$404</f>
        <v>Off 6+mi</v>
      </c>
      <c r="C424" s="61" t="str">
        <f>Segments!$C$404</f>
        <v>No</v>
      </c>
      <c r="D424" s="61" t="str">
        <f>Segments!$D$404</f>
        <v>3.0+</v>
      </c>
      <c r="E424" s="61" t="str">
        <f>Segments!$E$404</f>
        <v>Grad student</v>
      </c>
      <c r="F424" s="61">
        <f>Segments!$F$404</f>
        <v>3</v>
      </c>
      <c r="G424" s="61" t="str">
        <f>Segments!$G$404</f>
        <v>Grad</v>
      </c>
      <c r="H424" s="62">
        <f>Segments!$H$404</f>
        <v>0</v>
      </c>
      <c r="I424" s="63">
        <f>Segments!$Y$404</f>
        <v>5706.926609377505</v>
      </c>
      <c r="J424" s="42">
        <v>4</v>
      </c>
      <c r="K424" s="40">
        <f t="shared" si="234"/>
        <v>1426.2297754450396</v>
      </c>
      <c r="L424" s="40">
        <f t="shared" si="235"/>
        <v>5706.926609377505</v>
      </c>
      <c r="M424" s="40">
        <f t="shared" si="236"/>
        <v>9321.5742435237644</v>
      </c>
      <c r="N424" s="40">
        <f t="shared" si="237"/>
        <v>3646.1907163689566</v>
      </c>
      <c r="O424" s="40">
        <f t="shared" si="238"/>
        <v>1782.7872193062994</v>
      </c>
      <c r="P424" s="41">
        <f t="shared" si="239"/>
        <v>0.95</v>
      </c>
      <c r="Q424" s="41">
        <f t="shared" si="240"/>
        <v>0.02</v>
      </c>
      <c r="R424" s="64">
        <f t="shared" si="241"/>
        <v>0</v>
      </c>
      <c r="S424" s="64">
        <f>APPLICANTS_PER_YEAR*($H424/Segments!$AH$2)*Q424</f>
        <v>0</v>
      </c>
      <c r="T424" s="64">
        <f t="shared" si="242"/>
        <v>0</v>
      </c>
      <c r="U424" s="40">
        <f t="shared" si="243"/>
        <v>9321.5742435237644</v>
      </c>
      <c r="V424" s="65">
        <f t="shared" si="244"/>
        <v>0</v>
      </c>
      <c r="W424" s="65">
        <f t="shared" si="245"/>
        <v>0</v>
      </c>
      <c r="X424" s="65">
        <f t="shared" si="246"/>
        <v>0</v>
      </c>
      <c r="Y424" s="40">
        <f t="shared" si="247"/>
        <v>9321.5742435237644</v>
      </c>
      <c r="Z424" s="40">
        <f t="shared" si="248"/>
        <v>5878.1344076588302</v>
      </c>
      <c r="AA424" s="40">
        <f t="shared" si="249"/>
        <v>9599.9714708294778</v>
      </c>
      <c r="AB424" s="40">
        <f t="shared" si="250"/>
        <v>3755.3319573339331</v>
      </c>
      <c r="AC424" s="40">
        <f t="shared" si="251"/>
        <v>9599.9714708294778</v>
      </c>
      <c r="AD424" s="41">
        <f t="shared" si="252"/>
        <v>0.3</v>
      </c>
      <c r="AE424" s="41">
        <f t="shared" si="253"/>
        <v>0.02</v>
      </c>
      <c r="AF424" s="64">
        <f t="shared" si="254"/>
        <v>0</v>
      </c>
      <c r="AG424" s="64">
        <f>APPLICANTS_PER_YEAR*($H424/Segments!$AH$2)*AE424</f>
        <v>0</v>
      </c>
      <c r="AH424" s="64">
        <f t="shared" si="255"/>
        <v>0</v>
      </c>
      <c r="AI424" s="40">
        <f t="shared" si="256"/>
        <v>9599.9714708294778</v>
      </c>
      <c r="AJ424" s="65">
        <f t="shared" si="257"/>
        <v>0</v>
      </c>
      <c r="AK424" s="65">
        <f t="shared" si="258"/>
        <v>0</v>
      </c>
      <c r="AL424" s="65">
        <f t="shared" si="259"/>
        <v>0</v>
      </c>
      <c r="AM424" s="40">
        <f t="shared" si="260"/>
        <v>9599.9714708294778</v>
      </c>
      <c r="AN424" s="40">
        <f t="shared" si="261"/>
        <v>6054.4784398885949</v>
      </c>
      <c r="AO424" s="40">
        <f t="shared" si="262"/>
        <v>9886.7206149543617</v>
      </c>
      <c r="AP424" s="40">
        <f t="shared" si="263"/>
        <v>3867.7474198424275</v>
      </c>
      <c r="AQ424" s="40">
        <f t="shared" si="264"/>
        <v>9886.7206149543617</v>
      </c>
      <c r="AR424" s="41">
        <f t="shared" si="265"/>
        <v>0.3</v>
      </c>
      <c r="AS424" s="41">
        <f t="shared" si="266"/>
        <v>0.02</v>
      </c>
      <c r="AT424" s="64">
        <f t="shared" si="267"/>
        <v>0</v>
      </c>
      <c r="AU424" s="64">
        <f>APPLICANTS_PER_YEAR*($H424/Segments!$AH$2)*AS424</f>
        <v>0</v>
      </c>
      <c r="AV424" s="64">
        <f t="shared" si="268"/>
        <v>0</v>
      </c>
      <c r="AW424" s="40">
        <f t="shared" si="269"/>
        <v>9886.7206149543617</v>
      </c>
      <c r="AX424" s="65">
        <f t="shared" si="270"/>
        <v>0</v>
      </c>
      <c r="AY424" s="65">
        <f t="shared" si="271"/>
        <v>0</v>
      </c>
      <c r="AZ424" s="65">
        <f t="shared" si="27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Z424"/>
  <sheetViews>
    <sheetView showGridLines="0" zoomScaleNormal="100" workbookViewId="0">
      <pane ySplit="24" topLeftCell="A25" activePane="bottomLeft" state="frozen"/>
      <selection pane="bottomLeft" activeCell="B22" sqref="B22"/>
    </sheetView>
  </sheetViews>
  <sheetFormatPr defaultColWidth="8.6328125" defaultRowHeight="14.5" x14ac:dyDescent="0.35"/>
  <cols>
    <col min="1" max="52" width="12" customWidth="1"/>
  </cols>
  <sheetData>
    <row r="2" spans="2:6" ht="17.25" customHeight="1" x14ac:dyDescent="0.4">
      <c r="B2" s="1" t="s">
        <v>284</v>
      </c>
    </row>
    <row r="3" spans="2:6" ht="15" customHeight="1" x14ac:dyDescent="0.35">
      <c r="B3" s="2" t="s">
        <v>248</v>
      </c>
    </row>
    <row r="6" spans="2:6" ht="15" customHeight="1" x14ac:dyDescent="0.35">
      <c r="B6" s="6" t="s">
        <v>249</v>
      </c>
      <c r="C6" s="7"/>
      <c r="D6" s="7"/>
      <c r="E6" s="7"/>
      <c r="F6" s="7"/>
    </row>
    <row r="7" spans="2:6" ht="19.5" customHeight="1" x14ac:dyDescent="0.35">
      <c r="B7" s="17" t="s">
        <v>250</v>
      </c>
      <c r="C7" s="17" t="s">
        <v>251</v>
      </c>
      <c r="D7" s="17" t="s">
        <v>252</v>
      </c>
      <c r="E7" s="17" t="s">
        <v>253</v>
      </c>
      <c r="F7" s="17" t="s">
        <v>254</v>
      </c>
    </row>
    <row r="8" spans="2:6" ht="15" customHeight="1" x14ac:dyDescent="0.35">
      <c r="B8" s="3" t="s">
        <v>255</v>
      </c>
      <c r="C8" s="51">
        <f>SUM(T$25:T$424)</f>
        <v>11338.27043361751</v>
      </c>
      <c r="D8" s="51">
        <f>SUM(AH$25:AH$424)</f>
        <v>11746.136173322635</v>
      </c>
      <c r="E8" s="51">
        <f>SUM(AV$25:AV$424)</f>
        <v>11514.568711171731</v>
      </c>
      <c r="F8" s="52">
        <f>SUM(C8:E8)</f>
        <v>34598.975318111872</v>
      </c>
    </row>
    <row r="9" spans="2:6" ht="15" customHeight="1" x14ac:dyDescent="0.35">
      <c r="B9" s="3" t="s">
        <v>256</v>
      </c>
      <c r="C9" s="51">
        <f>SUM(S$25:S$424)</f>
        <v>4803.1177963111895</v>
      </c>
      <c r="D9" s="51">
        <f>SUM(AG$25:AG$424)</f>
        <v>4806.1718631517388</v>
      </c>
      <c r="E9" s="51">
        <f>SUM(AU$25:AU$424)</f>
        <v>4809.1394321510325</v>
      </c>
      <c r="F9" s="52">
        <f>SUM(C9:E9)</f>
        <v>14418.42909161396</v>
      </c>
    </row>
    <row r="10" spans="2:6" ht="15" customHeight="1" x14ac:dyDescent="0.35">
      <c r="B10" s="23" t="s">
        <v>257</v>
      </c>
      <c r="C10" s="44">
        <f>IFERROR(C11/C8,0)</f>
        <v>977.93259249041864</v>
      </c>
      <c r="D10" s="44">
        <f>IFERROR(D11/D8,0)</f>
        <v>987.97314993505825</v>
      </c>
      <c r="E10" s="44">
        <f>IFERROR(E11/E8,0)</f>
        <v>970.29856173387611</v>
      </c>
    </row>
    <row r="11" spans="2:6" ht="15" customHeight="1" x14ac:dyDescent="0.35">
      <c r="B11" s="3" t="s">
        <v>258</v>
      </c>
      <c r="C11" s="44">
        <f>SUM(V$25:V$424)</f>
        <v>11088064.199505035</v>
      </c>
      <c r="D11" s="44">
        <f>SUM(AJ$25:AJ$424)</f>
        <v>11604867.154723695</v>
      </c>
      <c r="E11" s="44">
        <f>SUM(AX$25:AX$424)</f>
        <v>11172569.459435822</v>
      </c>
      <c r="F11" s="53">
        <f>SUM(C11:E11)</f>
        <v>33865500.813664548</v>
      </c>
    </row>
    <row r="12" spans="2:6" ht="15" customHeight="1" x14ac:dyDescent="0.35">
      <c r="B12" s="3" t="s">
        <v>259</v>
      </c>
      <c r="C12" s="44">
        <f>SUM(W$25:W$424)</f>
        <v>9113137.3469731901</v>
      </c>
      <c r="D12" s="44">
        <f>SUM(AK$25:AK$424)</f>
        <v>8613908.7905487362</v>
      </c>
      <c r="E12" s="44">
        <f>SUM(AY$25:AY$424)</f>
        <v>7673027.8371445965</v>
      </c>
      <c r="F12" s="53">
        <f>SUM(C12:E12)</f>
        <v>25400073.974666521</v>
      </c>
    </row>
    <row r="13" spans="2:6" ht="15" customHeight="1" x14ac:dyDescent="0.35">
      <c r="B13" s="3" t="s">
        <v>260</v>
      </c>
      <c r="C13" s="44">
        <f>SUM(X$25:X$424)</f>
        <v>2595388.6367087886</v>
      </c>
      <c r="D13" s="44">
        <f>SUM(AL$25:AL$424)</f>
        <v>2705778.1226774622</v>
      </c>
      <c r="E13" s="44">
        <f>SUM(AZ$25:AZ$424)</f>
        <v>2624130.9634605744</v>
      </c>
      <c r="F13" s="53">
        <f>SUM(C13:E13)</f>
        <v>7925297.7228468247</v>
      </c>
    </row>
    <row r="14" spans="2:6" ht="15" customHeight="1" x14ac:dyDescent="0.35">
      <c r="B14" s="3" t="s">
        <v>261</v>
      </c>
      <c r="C14" s="54">
        <f>C11-C12-C13</f>
        <v>-620461.78417694382</v>
      </c>
      <c r="D14" s="54">
        <f>D11-D12-D13</f>
        <v>285180.24149749614</v>
      </c>
      <c r="E14" s="54">
        <f>E11-E12-E13</f>
        <v>875410.65883065155</v>
      </c>
      <c r="F14" s="55">
        <f>SUM(C14:E14)</f>
        <v>540129.11615120387</v>
      </c>
    </row>
    <row r="15" spans="2:6" ht="15" customHeight="1" x14ac:dyDescent="0.35">
      <c r="B15" s="23" t="s">
        <v>262</v>
      </c>
      <c r="C15" s="33">
        <f>IFERROR(C12/C11,0)</f>
        <v>0.82188713764662324</v>
      </c>
      <c r="D15" s="33">
        <f>IFERROR(D12/D11,0)</f>
        <v>0.74226690195608958</v>
      </c>
      <c r="E15" s="33">
        <f>IFERROR(E12/E11,0)</f>
        <v>0.68677378690756952</v>
      </c>
    </row>
    <row r="16" spans="2:6" ht="15" customHeight="1" x14ac:dyDescent="0.35">
      <c r="B16" s="23" t="s">
        <v>263</v>
      </c>
      <c r="C16" s="33">
        <f>IFERROR(C13/C11,0)</f>
        <v>0.23407049147719089</v>
      </c>
      <c r="D16" s="33">
        <f>IFERROR(D13/D11,0)</f>
        <v>0.23315890536291842</v>
      </c>
      <c r="E16" s="33">
        <f>IFERROR(E13/E11,0)</f>
        <v>0.23487264706547498</v>
      </c>
    </row>
    <row r="17" spans="1:52" ht="15" customHeight="1" x14ac:dyDescent="0.35">
      <c r="B17" s="82" t="s">
        <v>345</v>
      </c>
      <c r="C17" s="56">
        <f>IFERROR((C12+C13)/C11,0)</f>
        <v>1.0559576291238142</v>
      </c>
      <c r="D17" s="56">
        <f>IFERROR((D12+D13)/D11,0)</f>
        <v>0.97542580731900796</v>
      </c>
      <c r="E17" s="56">
        <f>IFERROR((E12+E13)/E11,0)</f>
        <v>0.92164643397304447</v>
      </c>
      <c r="F17" s="57">
        <f>IFERROR((SUM(C12:E12)+SUM(C13:E13))/SUM(C11:E11),0)</f>
        <v>0.98405075657604735</v>
      </c>
    </row>
    <row r="18" spans="1:52" ht="15" customHeight="1" x14ac:dyDescent="0.35">
      <c r="B18" s="23" t="s">
        <v>264</v>
      </c>
      <c r="C18" s="33">
        <f>IFERROR(SUMPRODUCT(T$25:T$424,--(L$25:L$424&gt;2*Segments!$AH$3))/SUM(T$25:T$424),0)</f>
        <v>6.6184109115843492E-2</v>
      </c>
      <c r="D18" s="33">
        <f>IFERROR(SUMPRODUCT(AH$25:AH$424,--(Z$25:Z$424&gt;2*Segments!$AH$3))/SUM(AH$25:AH$424),0)</f>
        <v>4.4063627983978414E-2</v>
      </c>
      <c r="E18" s="33">
        <f>IFERROR(SUMPRODUCT(AV$25:AV$424,--(AN$25:AN$424&gt;2*Segments!$AH$3))/SUM(AV$25:AV$424),0)</f>
        <v>2.3296730583540835E-2</v>
      </c>
    </row>
    <row r="20" spans="1:52" ht="15" customHeight="1" x14ac:dyDescent="0.35">
      <c r="B20" s="2" t="s">
        <v>265</v>
      </c>
    </row>
    <row r="21" spans="1:52" ht="15" customHeight="1" x14ac:dyDescent="0.35">
      <c r="B21" s="2"/>
    </row>
    <row r="23" spans="1:52" ht="15" customHeight="1" x14ac:dyDescent="0.35">
      <c r="K23" s="58" t="s">
        <v>266</v>
      </c>
      <c r="Y23" s="58" t="s">
        <v>267</v>
      </c>
      <c r="AM23" s="58" t="s">
        <v>268</v>
      </c>
    </row>
    <row r="24" spans="1:52" ht="30" customHeight="1" x14ac:dyDescent="0.35">
      <c r="A24" s="17" t="s">
        <v>109</v>
      </c>
      <c r="B24" s="17" t="s">
        <v>151</v>
      </c>
      <c r="C24" s="17" t="s">
        <v>152</v>
      </c>
      <c r="D24" s="17" t="s">
        <v>153</v>
      </c>
      <c r="E24" s="17" t="s">
        <v>149</v>
      </c>
      <c r="F24" s="17" t="s">
        <v>88</v>
      </c>
      <c r="G24" s="17" t="s">
        <v>184</v>
      </c>
      <c r="H24" s="17" t="s">
        <v>269</v>
      </c>
      <c r="I24" s="17" t="s">
        <v>270</v>
      </c>
      <c r="J24" s="17" t="s">
        <v>271</v>
      </c>
      <c r="K24" s="17" t="s">
        <v>272</v>
      </c>
      <c r="L24" s="17" t="s">
        <v>273</v>
      </c>
      <c r="M24" s="17" t="s">
        <v>203</v>
      </c>
      <c r="N24" s="17" t="s">
        <v>274</v>
      </c>
      <c r="O24" s="17" t="s">
        <v>275</v>
      </c>
      <c r="P24" s="17" t="s">
        <v>276</v>
      </c>
      <c r="Q24" s="17" t="s">
        <v>277</v>
      </c>
      <c r="R24" s="17" t="s">
        <v>278</v>
      </c>
      <c r="S24" s="17" t="s">
        <v>279</v>
      </c>
      <c r="T24" s="17" t="s">
        <v>280</v>
      </c>
      <c r="U24" s="17" t="s">
        <v>281</v>
      </c>
      <c r="V24" s="17" t="s">
        <v>258</v>
      </c>
      <c r="W24" s="17" t="s">
        <v>282</v>
      </c>
      <c r="X24" s="17" t="s">
        <v>260</v>
      </c>
      <c r="Y24" s="17" t="s">
        <v>272</v>
      </c>
      <c r="Z24" s="17" t="s">
        <v>273</v>
      </c>
      <c r="AA24" s="17" t="s">
        <v>203</v>
      </c>
      <c r="AB24" s="17" t="s">
        <v>274</v>
      </c>
      <c r="AC24" s="17" t="s">
        <v>275</v>
      </c>
      <c r="AD24" s="17" t="s">
        <v>276</v>
      </c>
      <c r="AE24" s="17" t="s">
        <v>277</v>
      </c>
      <c r="AF24" s="17" t="s">
        <v>278</v>
      </c>
      <c r="AG24" s="17" t="s">
        <v>279</v>
      </c>
      <c r="AH24" s="17" t="s">
        <v>280</v>
      </c>
      <c r="AI24" s="17" t="s">
        <v>281</v>
      </c>
      <c r="AJ24" s="17" t="s">
        <v>258</v>
      </c>
      <c r="AK24" s="17" t="s">
        <v>282</v>
      </c>
      <c r="AL24" s="17" t="s">
        <v>260</v>
      </c>
      <c r="AM24" s="17" t="s">
        <v>272</v>
      </c>
      <c r="AN24" s="17" t="s">
        <v>273</v>
      </c>
      <c r="AO24" s="17" t="s">
        <v>203</v>
      </c>
      <c r="AP24" s="17" t="s">
        <v>274</v>
      </c>
      <c r="AQ24" s="17" t="s">
        <v>275</v>
      </c>
      <c r="AR24" s="17" t="s">
        <v>276</v>
      </c>
      <c r="AS24" s="17" t="s">
        <v>277</v>
      </c>
      <c r="AT24" s="17" t="s">
        <v>278</v>
      </c>
      <c r="AU24" s="17" t="s">
        <v>279</v>
      </c>
      <c r="AV24" s="17" t="s">
        <v>280</v>
      </c>
      <c r="AW24" s="17" t="s">
        <v>281</v>
      </c>
      <c r="AX24" s="17" t="s">
        <v>258</v>
      </c>
      <c r="AY24" s="17" t="s">
        <v>282</v>
      </c>
      <c r="AZ24" s="17" t="s">
        <v>260</v>
      </c>
    </row>
    <row r="25" spans="1:52" ht="15" customHeight="1" x14ac:dyDescent="0.35">
      <c r="A25" s="59" t="str">
        <f>Segments!$A$5</f>
        <v>Non-greek</v>
      </c>
      <c r="B25" s="59" t="str">
        <f>Segments!$B$5</f>
        <v>On campus</v>
      </c>
      <c r="C25" s="59" t="str">
        <f>Segments!$C$5</f>
        <v>Yes</v>
      </c>
      <c r="D25" s="59" t="str">
        <f>Segments!$D$5</f>
        <v>&lt;1.0</v>
      </c>
      <c r="E25" s="59" t="str">
        <f>Segments!$E$5</f>
        <v>Freshman</v>
      </c>
      <c r="F25" s="59">
        <f>Segments!$F$5</f>
        <v>1</v>
      </c>
      <c r="G25" s="59" t="str">
        <f>Segments!$G$5</f>
        <v>Base</v>
      </c>
      <c r="H25" s="60">
        <f>Segments!$H$5</f>
        <v>61</v>
      </c>
      <c r="I25" s="26">
        <f>Segments!$Y$5</f>
        <v>321.9684036137204</v>
      </c>
      <c r="J25" s="29">
        <v>0</v>
      </c>
      <c r="K25" s="14">
        <f t="shared" ref="K25:K88" si="0">IF($J25=0,M25,CURRENT_FLAT)</f>
        <v>565.21239148709719</v>
      </c>
      <c r="L25" s="14">
        <f t="shared" ref="L25:L88" si="1">$I25*(1+LOSS_TREND)^0</f>
        <v>321.9684036137204</v>
      </c>
      <c r="M25" s="14">
        <f t="shared" ref="M25:M88" si="2">L25*GROSS_MULT+POLICY_FEE</f>
        <v>565.21239148709719</v>
      </c>
      <c r="N25" s="14">
        <f t="shared" ref="N25:N88" si="3">M25^MARKET_RISK_WEIGHT*(CURRENT_FLAT*(1+LOSS_TREND)^0)^(1-MARKET_RISK_WEIGHT)</f>
        <v>897.84338399823196</v>
      </c>
      <c r="O25" s="14">
        <f t="shared" ref="O25:O88" si="4">MIN(M25,K25*(1+CAP_UP))</f>
        <v>565.21239148709719</v>
      </c>
      <c r="P25" s="33">
        <f t="shared" ref="P25:P88" si="5">MEDIAN(RET_FLOOR,BASE_RETENTION-ELAST_MARKET*(O25/N25-1)-ELAST_INCREASE*MAX(O25/K25-1,0),RET_CEIL)</f>
        <v>0.95</v>
      </c>
      <c r="Q25" s="33">
        <f t="shared" ref="Q25:Q88" si="6">MEDIAN(CONV_FLOOR,BASE_CONVERSION-ELAST_MARKET*(M25/N25-1),CONV_CEIL)</f>
        <v>0.53523887263604863</v>
      </c>
      <c r="R25" s="51">
        <f t="shared" ref="R25:R88" si="7">IF($J25=0,0,IF($J25=4,$H25*GRAD_CONTINUE,$H24)*P25)</f>
        <v>0</v>
      </c>
      <c r="S25" s="51">
        <f>APPLICANTS_PER_YEAR*($H25/Segments!$AH$2)*Q25</f>
        <v>39.17948547695876</v>
      </c>
      <c r="T25" s="51">
        <f t="shared" ref="T25:T88" si="8">R25+S25</f>
        <v>39.17948547695876</v>
      </c>
      <c r="U25" s="14">
        <f t="shared" ref="U25:U88" si="9">IFERROR((R25*O25+S25*M25)/T25,M25)</f>
        <v>565.21239148709719</v>
      </c>
      <c r="V25" s="44">
        <f t="shared" ref="V25:V88" si="10">R25*O25+S25*M25</f>
        <v>22144.730683665854</v>
      </c>
      <c r="W25" s="44">
        <f t="shared" ref="W25:W88" si="11">T25*L25*(1+LAE_RATIO)</f>
        <v>14128.303160634157</v>
      </c>
      <c r="X25" s="44">
        <f t="shared" ref="X25:X88" si="12">R25*O25*(PREMIUM_TAX+OTHER_VARIABLE+COMMISSION_RN)+S25*M25*(PREMIUM_TAX+OTHER_VARIABLE+COMMISSION_NB)+T25*FIXED_PER_POLICY+S25*NB_ACQUISITION</f>
        <v>6723.4965196042949</v>
      </c>
      <c r="Y25" s="14">
        <f t="shared" ref="Y25:Y88" si="13">IF($J25=0,AA25,IF($J25=4,U25,U24))</f>
        <v>580.91876323171016</v>
      </c>
      <c r="Z25" s="14">
        <f t="shared" ref="Z25:Z88" si="14">$I25*(1+LOSS_TREND)^1</f>
        <v>331.62745572213203</v>
      </c>
      <c r="AA25" s="14">
        <f t="shared" ref="AA25:AA88" si="15">Z25*GROSS_MULT+POLICY_FEE</f>
        <v>580.91876323171016</v>
      </c>
      <c r="AB25" s="14">
        <f t="shared" ref="AB25:AB88" si="16">AA25^MARKET_RISK_WEIGHT*(CURRENT_FLAT*(1+LOSS_TREND)^1)^(1-MARKET_RISK_WEIGHT)</f>
        <v>923.78533564505403</v>
      </c>
      <c r="AC25" s="14">
        <f t="shared" ref="AC25:AC88" si="17">MIN(AA25,Y25*(1+CAP_UP))</f>
        <v>580.91876323171016</v>
      </c>
      <c r="AD25" s="33">
        <f t="shared" ref="AD25:AD88" si="18">MEDIAN(RET_FLOOR,BASE_RETENTION-ELAST_MARKET*(AC25/AB25-1)-ELAST_INCREASE*MAX(AC25/Y25-1,0),RET_CEIL)</f>
        <v>0.95</v>
      </c>
      <c r="AE25" s="33">
        <f t="shared" ref="AE25:AE88" si="19">MEDIAN(CONV_FLOOR,BASE_CONVERSION-ELAST_MARKET*(AA25/AB25-1),CONV_CEIL)</f>
        <v>0.53557697290893314</v>
      </c>
      <c r="AF25" s="51">
        <f t="shared" ref="AF25:AF88" si="20">IF($J25=0,0,IF($J25=4,T25*GRAD_CONTINUE,T24)*AD25)</f>
        <v>0</v>
      </c>
      <c r="AG25" s="51">
        <f>APPLICANTS_PER_YEAR*($H25/Segments!$AH$2)*AE25</f>
        <v>39.204234416933907</v>
      </c>
      <c r="AH25" s="51">
        <f t="shared" ref="AH25:AH88" si="21">AF25+AG25</f>
        <v>39.204234416933907</v>
      </c>
      <c r="AI25" s="14">
        <f t="shared" ref="AI25:AI88" si="22">IFERROR((AF25*AC25+AG25*AA25)/AH25,AA25)</f>
        <v>580.91876323171016</v>
      </c>
      <c r="AJ25" s="44">
        <f t="shared" ref="AJ25:AJ88" si="23">AF25*AC25+AG25*AA25</f>
        <v>22774.47537093129</v>
      </c>
      <c r="AK25" s="44">
        <f t="shared" ref="AK25:AK88" si="24">AH25*Z25*(1+LAE_RATIO)</f>
        <v>14561.344574808456</v>
      </c>
      <c r="AL25" s="44">
        <f t="shared" ref="AL25:AL88" si="25">AF25*AC25*(PREMIUM_TAX+OTHER_VARIABLE+COMMISSION_RN)+AG25*AA25*(PREMIUM_TAX+OTHER_VARIABLE+COMMISSION_NB)+AH25*FIXED_PER_POLICY+AG25*NB_ACQUISITION</f>
        <v>6865.6730318506352</v>
      </c>
      <c r="AM25" s="14">
        <f t="shared" ref="AM25:AM88" si="26">IF($J25=0,AO25,IF($J25=4,AI25,AI24))</f>
        <v>597.09632612866142</v>
      </c>
      <c r="AN25" s="14">
        <f t="shared" ref="AN25:AN88" si="27">$I25*(1+LOSS_TREND)^2</f>
        <v>341.57627939379597</v>
      </c>
      <c r="AO25" s="14">
        <f t="shared" ref="AO25:AO88" si="28">AN25*GROSS_MULT+POLICY_FEE</f>
        <v>597.09632612866142</v>
      </c>
      <c r="AP25" s="14">
        <f t="shared" ref="AP25:AP88" si="29">AO25^MARKET_RISK_WEIGHT*(CURRENT_FLAT*(1+LOSS_TREND)^2)^(1-MARKET_RISK_WEIGHT)</f>
        <v>950.50449214339403</v>
      </c>
      <c r="AQ25" s="14">
        <f t="shared" ref="AQ25:AQ88" si="30">MIN(AO25,AM25*(1+CAP_UP))</f>
        <v>597.09632612866142</v>
      </c>
      <c r="AR25" s="33">
        <f t="shared" ref="AR25:AR88" si="31">MEDIAN(RET_FLOOR,BASE_RETENTION-ELAST_MARKET*(AQ25/AP25-1)-ELAST_INCREASE*MAX(AQ25/AM25-1,0),RET_CEIL)</f>
        <v>0.95</v>
      </c>
      <c r="AS25" s="33">
        <f t="shared" ref="AS25:AS88" si="32">MEDIAN(CONV_FLOOR,BASE_CONVERSION-ELAST_MARKET*(AO25/AP25-1),CONV_CEIL)</f>
        <v>0.5359055737957612</v>
      </c>
      <c r="AT25" s="51">
        <f t="shared" ref="AT25:AT88" si="33">IF($J25=0,0,IF($J25=4,AH25*GRAD_CONTINUE,AH24)*AR25)</f>
        <v>0</v>
      </c>
      <c r="AU25" s="51">
        <f>APPLICANTS_PER_YEAR*($H25/Segments!$AH$2)*AS25</f>
        <v>39.22828800184972</v>
      </c>
      <c r="AV25" s="51">
        <f t="shared" ref="AV25:AV88" si="34">AT25+AU25</f>
        <v>39.22828800184972</v>
      </c>
      <c r="AW25" s="14">
        <f t="shared" ref="AW25:AW88" si="35">IFERROR((AT25*AQ25+AU25*AO25)/AV25,AO25)</f>
        <v>597.09632612866142</v>
      </c>
      <c r="AX25" s="44">
        <f t="shared" ref="AX25:AX88" si="36">AT25*AQ25+AU25*AO25</f>
        <v>23423.066646221516</v>
      </c>
      <c r="AY25" s="44">
        <f t="shared" ref="AY25:AY88" si="37">AV25*AN25*(1+LAE_RATIO)</f>
        <v>15007.386982179331</v>
      </c>
      <c r="AZ25" s="44">
        <f t="shared" ref="AZ25:AZ88" si="38">AT25*AQ25*(PREMIUM_TAX+OTHER_VARIABLE+COMMISSION_RN)+AU25*AO25*(PREMIUM_TAX+OTHER_VARIABLE+COMMISSION_NB)+AV25*FIXED_PER_POLICY+AU25*NB_ACQUISITION</f>
        <v>7012.0398888368572</v>
      </c>
    </row>
    <row r="26" spans="1:52" ht="15" customHeight="1" x14ac:dyDescent="0.35">
      <c r="A26" s="59" t="str">
        <f>Segments!$A$6</f>
        <v>Non-greek</v>
      </c>
      <c r="B26" s="59" t="str">
        <f>Segments!$B$6</f>
        <v>On campus</v>
      </c>
      <c r="C26" s="59" t="str">
        <f>Segments!$C$6</f>
        <v>Yes</v>
      </c>
      <c r="D26" s="59" t="str">
        <f>Segments!$D$6</f>
        <v>&lt;1.0</v>
      </c>
      <c r="E26" s="59" t="str">
        <f>Segments!$E$6</f>
        <v>Sophomore</v>
      </c>
      <c r="F26" s="59">
        <f>Segments!$F$6</f>
        <v>1</v>
      </c>
      <c r="G26" s="59" t="str">
        <f>Segments!$G$6</f>
        <v>Sophomore</v>
      </c>
      <c r="H26" s="60">
        <f>Segments!$H$6</f>
        <v>79</v>
      </c>
      <c r="I26" s="26">
        <f>Segments!$Y$6</f>
        <v>318.69277525569095</v>
      </c>
      <c r="J26" s="29">
        <v>1</v>
      </c>
      <c r="K26" s="14">
        <f t="shared" si="0"/>
        <v>1426.2297754450396</v>
      </c>
      <c r="L26" s="14">
        <f t="shared" si="1"/>
        <v>318.69277525569095</v>
      </c>
      <c r="M26" s="14">
        <f t="shared" si="2"/>
        <v>559.88596441009634</v>
      </c>
      <c r="N26" s="14">
        <f t="shared" si="3"/>
        <v>893.60283867915348</v>
      </c>
      <c r="O26" s="14">
        <f t="shared" si="4"/>
        <v>559.88596441009634</v>
      </c>
      <c r="P26" s="33">
        <f t="shared" si="5"/>
        <v>0.95</v>
      </c>
      <c r="Q26" s="33">
        <f t="shared" si="6"/>
        <v>0.53672550031417121</v>
      </c>
      <c r="R26" s="51">
        <f t="shared" si="7"/>
        <v>57.949999999999996</v>
      </c>
      <c r="S26" s="51">
        <f>APPLICANTS_PER_YEAR*($H26/Segments!$AH$2)*Q26</f>
        <v>50.881577429783434</v>
      </c>
      <c r="T26" s="51">
        <f t="shared" si="8"/>
        <v>108.83157742978344</v>
      </c>
      <c r="U26" s="14">
        <f t="shared" si="9"/>
        <v>559.88596441009634</v>
      </c>
      <c r="V26" s="44">
        <f t="shared" si="10"/>
        <v>60933.27268754637</v>
      </c>
      <c r="W26" s="44">
        <f t="shared" si="11"/>
        <v>38845.89794013858</v>
      </c>
      <c r="X26" s="44">
        <f t="shared" si="12"/>
        <v>15962.135359035865</v>
      </c>
      <c r="Y26" s="14">
        <f t="shared" si="13"/>
        <v>565.21239148709719</v>
      </c>
      <c r="Z26" s="14">
        <f t="shared" si="14"/>
        <v>328.25355851336167</v>
      </c>
      <c r="AA26" s="14">
        <f t="shared" si="15"/>
        <v>575.43254334239919</v>
      </c>
      <c r="AB26" s="14">
        <f t="shared" si="16"/>
        <v>919.41285497171941</v>
      </c>
      <c r="AC26" s="14">
        <f t="shared" si="17"/>
        <v>575.43254334239919</v>
      </c>
      <c r="AD26" s="33">
        <f t="shared" si="18"/>
        <v>0.95</v>
      </c>
      <c r="AE26" s="33">
        <f t="shared" si="19"/>
        <v>0.53706520676171143</v>
      </c>
      <c r="AF26" s="51">
        <f t="shared" si="20"/>
        <v>37.220511203110817</v>
      </c>
      <c r="AG26" s="51">
        <f>APPLICANTS_PER_YEAR*($H26/Segments!$AH$2)*AE26</f>
        <v>50.91378160101025</v>
      </c>
      <c r="AH26" s="51">
        <f t="shared" si="21"/>
        <v>88.13429280412106</v>
      </c>
      <c r="AI26" s="14">
        <f t="shared" si="22"/>
        <v>575.43254334239919</v>
      </c>
      <c r="AJ26" s="44">
        <f t="shared" si="23"/>
        <v>50715.340263959093</v>
      </c>
      <c r="AK26" s="44">
        <f t="shared" si="24"/>
        <v>32402.042668812661</v>
      </c>
      <c r="AL26" s="44">
        <f t="shared" si="25"/>
        <v>13646.140345320655</v>
      </c>
      <c r="AM26" s="14">
        <f t="shared" si="26"/>
        <v>580.91876323171016</v>
      </c>
      <c r="AN26" s="14">
        <f t="shared" si="27"/>
        <v>338.10116526876249</v>
      </c>
      <c r="AO26" s="14">
        <f t="shared" si="28"/>
        <v>591.44551964267112</v>
      </c>
      <c r="AP26" s="14">
        <f t="shared" si="29"/>
        <v>945.99610295054561</v>
      </c>
      <c r="AQ26" s="14">
        <f t="shared" si="30"/>
        <v>591.44551964267112</v>
      </c>
      <c r="AR26" s="33">
        <f t="shared" si="31"/>
        <v>0.95</v>
      </c>
      <c r="AS26" s="33">
        <f t="shared" si="32"/>
        <v>0.53739537203273735</v>
      </c>
      <c r="AT26" s="51">
        <f t="shared" si="33"/>
        <v>37.244022696087214</v>
      </c>
      <c r="AU26" s="51">
        <f>APPLICANTS_PER_YEAR*($H26/Segments!$AH$2)*AS26</f>
        <v>50.945081268703504</v>
      </c>
      <c r="AV26" s="51">
        <f t="shared" si="34"/>
        <v>88.189103964790718</v>
      </c>
      <c r="AW26" s="14">
        <f t="shared" si="35"/>
        <v>591.44551964267112</v>
      </c>
      <c r="AX26" s="44">
        <f t="shared" si="36"/>
        <v>52159.050421277192</v>
      </c>
      <c r="AY26" s="44">
        <f t="shared" si="37"/>
        <v>33394.859472244243</v>
      </c>
      <c r="AZ26" s="44">
        <f t="shared" si="38"/>
        <v>13950.063042882017</v>
      </c>
    </row>
    <row r="27" spans="1:52" ht="15" customHeight="1" x14ac:dyDescent="0.35">
      <c r="A27" s="59" t="str">
        <f>Segments!$A$7</f>
        <v>Non-greek</v>
      </c>
      <c r="B27" s="59" t="str">
        <f>Segments!$B$7</f>
        <v>On campus</v>
      </c>
      <c r="C27" s="59" t="str">
        <f>Segments!$C$7</f>
        <v>Yes</v>
      </c>
      <c r="D27" s="59" t="str">
        <f>Segments!$D$7</f>
        <v>&lt;1.0</v>
      </c>
      <c r="E27" s="59" t="str">
        <f>Segments!$E$7</f>
        <v>Junior</v>
      </c>
      <c r="F27" s="59">
        <f>Segments!$F$7</f>
        <v>2</v>
      </c>
      <c r="G27" s="59" t="str">
        <f>Segments!$G$7</f>
        <v>Base</v>
      </c>
      <c r="H27" s="60">
        <f>Segments!$H$7</f>
        <v>79</v>
      </c>
      <c r="I27" s="26">
        <f>Segments!$Y$7</f>
        <v>380.97350969079559</v>
      </c>
      <c r="J27" s="29">
        <v>2</v>
      </c>
      <c r="K27" s="14">
        <f t="shared" si="0"/>
        <v>1426.2297754450396</v>
      </c>
      <c r="L27" s="14">
        <f t="shared" si="1"/>
        <v>380.97350969079559</v>
      </c>
      <c r="M27" s="14">
        <f t="shared" si="2"/>
        <v>661.15929398592459</v>
      </c>
      <c r="N27" s="14">
        <f t="shared" si="3"/>
        <v>971.06388636121471</v>
      </c>
      <c r="O27" s="14">
        <f t="shared" si="4"/>
        <v>661.15929398592459</v>
      </c>
      <c r="P27" s="33">
        <f t="shared" si="5"/>
        <v>0.95</v>
      </c>
      <c r="Q27" s="33">
        <f t="shared" si="6"/>
        <v>0.50956962087045032</v>
      </c>
      <c r="R27" s="51">
        <f t="shared" si="7"/>
        <v>75.05</v>
      </c>
      <c r="S27" s="51">
        <f>APPLICANTS_PER_YEAR*($H27/Segments!$AH$2)*Q27</f>
        <v>48.307200058518696</v>
      </c>
      <c r="T27" s="51">
        <f t="shared" si="8"/>
        <v>123.35720005851869</v>
      </c>
      <c r="U27" s="14">
        <f t="shared" si="9"/>
        <v>661.15929398592459</v>
      </c>
      <c r="V27" s="44">
        <f t="shared" si="10"/>
        <v>81558.759298770674</v>
      </c>
      <c r="W27" s="44">
        <f t="shared" si="11"/>
        <v>52635.324506154298</v>
      </c>
      <c r="X27" s="44">
        <f t="shared" si="12"/>
        <v>20207.285910080445</v>
      </c>
      <c r="Y27" s="14">
        <f t="shared" si="13"/>
        <v>559.88596441009634</v>
      </c>
      <c r="Z27" s="14">
        <f t="shared" si="14"/>
        <v>392.40271498151947</v>
      </c>
      <c r="AA27" s="14">
        <f t="shared" si="15"/>
        <v>679.74407280550236</v>
      </c>
      <c r="AB27" s="14">
        <f t="shared" si="16"/>
        <v>999.27742564665834</v>
      </c>
      <c r="AC27" s="14">
        <f t="shared" si="17"/>
        <v>679.74407280550236</v>
      </c>
      <c r="AD27" s="33">
        <f t="shared" si="18"/>
        <v>0.94565942426962624</v>
      </c>
      <c r="AE27" s="33">
        <f t="shared" si="19"/>
        <v>0.5098822032001662</v>
      </c>
      <c r="AF27" s="51">
        <f t="shared" si="20"/>
        <v>102.91760685460426</v>
      </c>
      <c r="AG27" s="51">
        <f>APPLICANTS_PER_YEAR*($H27/Segments!$AH$2)*AE27</f>
        <v>48.336832863375761</v>
      </c>
      <c r="AH27" s="51">
        <f t="shared" si="21"/>
        <v>151.25443971798001</v>
      </c>
      <c r="AI27" s="14">
        <f t="shared" si="22"/>
        <v>679.74407280550247</v>
      </c>
      <c r="AJ27" s="44">
        <f t="shared" si="23"/>
        <v>102814.30888381408</v>
      </c>
      <c r="AK27" s="44">
        <f t="shared" si="24"/>
        <v>66474.971134145206</v>
      </c>
      <c r="AL27" s="44">
        <f t="shared" si="25"/>
        <v>24815.3976422823</v>
      </c>
      <c r="AM27" s="14">
        <f t="shared" si="26"/>
        <v>575.43254334239919</v>
      </c>
      <c r="AN27" s="14">
        <f t="shared" si="27"/>
        <v>404.17479643096505</v>
      </c>
      <c r="AO27" s="14">
        <f t="shared" si="28"/>
        <v>698.88639498966745</v>
      </c>
      <c r="AP27" s="14">
        <f t="shared" si="29"/>
        <v>1028.3365386324353</v>
      </c>
      <c r="AQ27" s="14">
        <f t="shared" si="30"/>
        <v>698.88639498966745</v>
      </c>
      <c r="AR27" s="33">
        <f t="shared" si="31"/>
        <v>0.94582366756159819</v>
      </c>
      <c r="AS27" s="33">
        <f t="shared" si="32"/>
        <v>0.51018595628280261</v>
      </c>
      <c r="AT27" s="51">
        <f t="shared" si="33"/>
        <v>83.35950005794156</v>
      </c>
      <c r="AU27" s="51">
        <f>APPLICANTS_PER_YEAR*($H27/Segments!$AH$2)*AS27</f>
        <v>48.36562865560969</v>
      </c>
      <c r="AV27" s="51">
        <f t="shared" si="34"/>
        <v>131.72512871355124</v>
      </c>
      <c r="AW27" s="14">
        <f t="shared" si="35"/>
        <v>698.88639498966745</v>
      </c>
      <c r="AX27" s="44">
        <f t="shared" si="36"/>
        <v>92060.900336163759</v>
      </c>
      <c r="AY27" s="44">
        <f t="shared" si="37"/>
        <v>59628.774332559311</v>
      </c>
      <c r="AZ27" s="44">
        <f t="shared" si="38"/>
        <v>22426.226249034698</v>
      </c>
    </row>
    <row r="28" spans="1:52" ht="15" customHeight="1" x14ac:dyDescent="0.35">
      <c r="A28" s="59" t="str">
        <f>Segments!$A$8</f>
        <v>Non-greek</v>
      </c>
      <c r="B28" s="59" t="str">
        <f>Segments!$B$8</f>
        <v>On campus</v>
      </c>
      <c r="C28" s="59" t="str">
        <f>Segments!$C$8</f>
        <v>Yes</v>
      </c>
      <c r="D28" s="59" t="str">
        <f>Segments!$D$8</f>
        <v>&lt;1.0</v>
      </c>
      <c r="E28" s="59" t="str">
        <f>Segments!$E$8</f>
        <v>Senior</v>
      </c>
      <c r="F28" s="59">
        <f>Segments!$F$8</f>
        <v>3</v>
      </c>
      <c r="G28" s="59" t="str">
        <f>Segments!$G$8</f>
        <v>Base</v>
      </c>
      <c r="H28" s="60">
        <f>Segments!$H$8</f>
        <v>58</v>
      </c>
      <c r="I28" s="26">
        <f>Segments!$Y$8</f>
        <v>356.09116074785794</v>
      </c>
      <c r="J28" s="29">
        <v>3</v>
      </c>
      <c r="K28" s="14">
        <f t="shared" si="0"/>
        <v>1426.2297754450396</v>
      </c>
      <c r="L28" s="14">
        <f t="shared" si="1"/>
        <v>356.09116074785794</v>
      </c>
      <c r="M28" s="14">
        <f t="shared" si="2"/>
        <v>620.69865478545728</v>
      </c>
      <c r="N28" s="14">
        <f t="shared" si="3"/>
        <v>940.8819814587273</v>
      </c>
      <c r="O28" s="14">
        <f t="shared" si="4"/>
        <v>620.69865478545728</v>
      </c>
      <c r="P28" s="33">
        <f t="shared" si="5"/>
        <v>0.95</v>
      </c>
      <c r="Q28" s="33">
        <f t="shared" si="6"/>
        <v>0.52015063152599827</v>
      </c>
      <c r="R28" s="51">
        <f t="shared" si="7"/>
        <v>75.05</v>
      </c>
      <c r="S28" s="51">
        <f>APPLICANTS_PER_YEAR*($H28/Segments!$AH$2)*Q28</f>
        <v>36.202483954209477</v>
      </c>
      <c r="T28" s="51">
        <f t="shared" si="8"/>
        <v>111.25248395420948</v>
      </c>
      <c r="U28" s="14">
        <f t="shared" si="9"/>
        <v>620.69865478545717</v>
      </c>
      <c r="V28" s="44">
        <f t="shared" si="10"/>
        <v>69054.267131918488</v>
      </c>
      <c r="W28" s="44">
        <f t="shared" si="11"/>
        <v>44369.949285017326</v>
      </c>
      <c r="X28" s="44">
        <f t="shared" si="12"/>
        <v>16967.847424031468</v>
      </c>
      <c r="Y28" s="14">
        <f t="shared" si="13"/>
        <v>661.15929398592459</v>
      </c>
      <c r="Z28" s="14">
        <f t="shared" si="14"/>
        <v>366.77389557029369</v>
      </c>
      <c r="AA28" s="14">
        <f t="shared" si="15"/>
        <v>638.06961442902104</v>
      </c>
      <c r="AB28" s="14">
        <f t="shared" si="16"/>
        <v>968.16057521083133</v>
      </c>
      <c r="AC28" s="14">
        <f t="shared" si="17"/>
        <v>638.06961442902104</v>
      </c>
      <c r="AD28" s="33">
        <f t="shared" si="18"/>
        <v>0.95</v>
      </c>
      <c r="AE28" s="33">
        <f t="shared" si="19"/>
        <v>0.52047325063299965</v>
      </c>
      <c r="AF28" s="51">
        <f t="shared" si="20"/>
        <v>117.18934005559275</v>
      </c>
      <c r="AG28" s="51">
        <f>APPLICANTS_PER_YEAR*($H28/Segments!$AH$2)*AE28</f>
        <v>36.224938244056773</v>
      </c>
      <c r="AH28" s="51">
        <f t="shared" si="21"/>
        <v>153.41427829964954</v>
      </c>
      <c r="AI28" s="14">
        <f t="shared" si="22"/>
        <v>638.06961442902093</v>
      </c>
      <c r="AJ28" s="44">
        <f t="shared" si="23"/>
        <v>97888.989402563893</v>
      </c>
      <c r="AK28" s="44">
        <f t="shared" si="24"/>
        <v>63020.554786635759</v>
      </c>
      <c r="AL28" s="44">
        <f t="shared" si="25"/>
        <v>23283.919152412505</v>
      </c>
      <c r="AM28" s="14">
        <f t="shared" si="26"/>
        <v>679.74407280550247</v>
      </c>
      <c r="AN28" s="14">
        <f t="shared" si="27"/>
        <v>377.77711243740248</v>
      </c>
      <c r="AO28" s="14">
        <f t="shared" si="28"/>
        <v>655.96170286189169</v>
      </c>
      <c r="AP28" s="14">
        <f t="shared" si="29"/>
        <v>996.25661142328852</v>
      </c>
      <c r="AQ28" s="14">
        <f t="shared" si="30"/>
        <v>655.96170286189169</v>
      </c>
      <c r="AR28" s="33">
        <f t="shared" si="31"/>
        <v>0.95</v>
      </c>
      <c r="AS28" s="33">
        <f t="shared" si="32"/>
        <v>0.52078677554532815</v>
      </c>
      <c r="AT28" s="51">
        <f t="shared" si="33"/>
        <v>143.691717732081</v>
      </c>
      <c r="AU28" s="51">
        <f>APPLICANTS_PER_YEAR*($H28/Segments!$AH$2)*AS28</f>
        <v>36.246759577954833</v>
      </c>
      <c r="AV28" s="51">
        <f t="shared" si="34"/>
        <v>179.93847731003584</v>
      </c>
      <c r="AW28" s="14">
        <f t="shared" si="35"/>
        <v>655.96170286189158</v>
      </c>
      <c r="AX28" s="44">
        <f t="shared" si="36"/>
        <v>118032.74998666695</v>
      </c>
      <c r="AY28" s="44">
        <f t="shared" si="37"/>
        <v>76133.834979516614</v>
      </c>
      <c r="AZ28" s="44">
        <f t="shared" si="38"/>
        <v>27645.305297888972</v>
      </c>
    </row>
    <row r="29" spans="1:52" ht="15" customHeight="1" x14ac:dyDescent="0.35">
      <c r="A29" s="59" t="str">
        <f>Segments!$A$9</f>
        <v>Non-greek</v>
      </c>
      <c r="B29" s="59" t="str">
        <f>Segments!$B$9</f>
        <v>On campus</v>
      </c>
      <c r="C29" s="59" t="str">
        <f>Segments!$C$9</f>
        <v>Yes</v>
      </c>
      <c r="D29" s="59" t="str">
        <f>Segments!$D$9</f>
        <v>&lt;1.0</v>
      </c>
      <c r="E29" s="59" t="str">
        <f>Segments!$E$9</f>
        <v>Grad student</v>
      </c>
      <c r="F29" s="59">
        <f>Segments!$F$9</f>
        <v>3</v>
      </c>
      <c r="G29" s="59" t="str">
        <f>Segments!$G$9</f>
        <v>Grad</v>
      </c>
      <c r="H29" s="60">
        <f>Segments!$H$9</f>
        <v>48</v>
      </c>
      <c r="I29" s="26">
        <f>Segments!$Y$9</f>
        <v>423.99077532171731</v>
      </c>
      <c r="J29" s="29">
        <v>4</v>
      </c>
      <c r="K29" s="14">
        <f t="shared" si="0"/>
        <v>1426.2297754450396</v>
      </c>
      <c r="L29" s="14">
        <f t="shared" si="1"/>
        <v>423.99077532171731</v>
      </c>
      <c r="M29" s="14">
        <f t="shared" si="2"/>
        <v>731.10872151283786</v>
      </c>
      <c r="N29" s="14">
        <f t="shared" si="3"/>
        <v>1021.1410420256179</v>
      </c>
      <c r="O29" s="14">
        <f t="shared" si="4"/>
        <v>731.10872151283786</v>
      </c>
      <c r="P29" s="33">
        <f t="shared" si="5"/>
        <v>0.95</v>
      </c>
      <c r="Q29" s="33">
        <f t="shared" si="6"/>
        <v>0.49201383970300933</v>
      </c>
      <c r="R29" s="51">
        <f t="shared" si="7"/>
        <v>22.799999999999997</v>
      </c>
      <c r="S29" s="51">
        <f>APPLICANTS_PER_YEAR*($H29/Segments!$AH$2)*Q29</f>
        <v>28.339997166893333</v>
      </c>
      <c r="T29" s="51">
        <f t="shared" si="8"/>
        <v>51.13999716689333</v>
      </c>
      <c r="U29" s="14">
        <f t="shared" si="9"/>
        <v>731.10872151283786</v>
      </c>
      <c r="V29" s="44">
        <f t="shared" si="10"/>
        <v>37388.897946857534</v>
      </c>
      <c r="W29" s="44">
        <f t="shared" si="11"/>
        <v>24284.833494590515</v>
      </c>
      <c r="X29" s="44">
        <f t="shared" si="12"/>
        <v>9522.9882528390426</v>
      </c>
      <c r="Y29" s="14">
        <f t="shared" si="13"/>
        <v>731.10872151283786</v>
      </c>
      <c r="Z29" s="14">
        <f t="shared" si="14"/>
        <v>436.71049858136882</v>
      </c>
      <c r="AA29" s="14">
        <f t="shared" si="15"/>
        <v>751.79198315822305</v>
      </c>
      <c r="AB29" s="14">
        <f t="shared" si="16"/>
        <v>1050.9019719558848</v>
      </c>
      <c r="AC29" s="14">
        <f t="shared" si="17"/>
        <v>751.79198315822305</v>
      </c>
      <c r="AD29" s="33">
        <f t="shared" si="18"/>
        <v>0.95</v>
      </c>
      <c r="AE29" s="33">
        <f t="shared" si="19"/>
        <v>0.49231107980555672</v>
      </c>
      <c r="AF29" s="51">
        <f t="shared" si="20"/>
        <v>24.291498654274331</v>
      </c>
      <c r="AG29" s="51">
        <f>APPLICANTS_PER_YEAR*($H29/Segments!$AH$2)*AE29</f>
        <v>28.357118196800066</v>
      </c>
      <c r="AH29" s="51">
        <f t="shared" si="21"/>
        <v>52.648616851074394</v>
      </c>
      <c r="AI29" s="14">
        <f t="shared" si="22"/>
        <v>751.79198315822305</v>
      </c>
      <c r="AJ29" s="44">
        <f t="shared" si="23"/>
        <v>39580.808073006658</v>
      </c>
      <c r="AK29" s="44">
        <f t="shared" si="24"/>
        <v>25751.268160410415</v>
      </c>
      <c r="AL29" s="44">
        <f t="shared" si="25"/>
        <v>9988.825912143604</v>
      </c>
      <c r="AM29" s="14">
        <f t="shared" si="26"/>
        <v>751.79198315822305</v>
      </c>
      <c r="AN29" s="14">
        <f t="shared" si="27"/>
        <v>449.81181353880987</v>
      </c>
      <c r="AO29" s="14">
        <f t="shared" si="28"/>
        <v>773.09574265296965</v>
      </c>
      <c r="AP29" s="14">
        <f t="shared" si="29"/>
        <v>1081.5550140601476</v>
      </c>
      <c r="AQ29" s="14">
        <f t="shared" si="30"/>
        <v>773.09574265296965</v>
      </c>
      <c r="AR29" s="33">
        <f t="shared" si="31"/>
        <v>0.95</v>
      </c>
      <c r="AS29" s="33">
        <f t="shared" si="32"/>
        <v>0.49259989894051931</v>
      </c>
      <c r="AT29" s="51">
        <f t="shared" si="33"/>
        <v>25.008093004260335</v>
      </c>
      <c r="AU29" s="51">
        <f>APPLICANTS_PER_YEAR*($H29/Segments!$AH$2)*AS29</f>
        <v>28.373754178973911</v>
      </c>
      <c r="AV29" s="51">
        <f t="shared" si="34"/>
        <v>53.381847183234242</v>
      </c>
      <c r="AW29" s="14">
        <f t="shared" si="35"/>
        <v>773.09574265296965</v>
      </c>
      <c r="AX29" s="44">
        <f t="shared" si="36"/>
        <v>41269.278792309815</v>
      </c>
      <c r="AY29" s="44">
        <f t="shared" si="37"/>
        <v>26893.19975052727</v>
      </c>
      <c r="AZ29" s="44">
        <f t="shared" si="38"/>
        <v>10344.621489445221</v>
      </c>
    </row>
    <row r="30" spans="1:52" ht="15" customHeight="1" x14ac:dyDescent="0.35">
      <c r="A30" s="61" t="str">
        <f>Segments!$A$10</f>
        <v>Non-greek</v>
      </c>
      <c r="B30" s="61" t="str">
        <f>Segments!$B$10</f>
        <v>On campus</v>
      </c>
      <c r="C30" s="61" t="str">
        <f>Segments!$C$10</f>
        <v>Yes</v>
      </c>
      <c r="D30" s="61" t="str">
        <f>Segments!$D$10</f>
        <v>1.0-2.0</v>
      </c>
      <c r="E30" s="61" t="str">
        <f>Segments!$E$10</f>
        <v>Freshman</v>
      </c>
      <c r="F30" s="61">
        <f>Segments!$F$10</f>
        <v>1</v>
      </c>
      <c r="G30" s="61" t="str">
        <f>Segments!$G$10</f>
        <v>Base</v>
      </c>
      <c r="H30" s="62">
        <f>Segments!$H$10</f>
        <v>188</v>
      </c>
      <c r="I30" s="63">
        <f>Segments!$Y$10</f>
        <v>292.16091738219143</v>
      </c>
      <c r="J30" s="42">
        <v>0</v>
      </c>
      <c r="K30" s="40">
        <f t="shared" si="0"/>
        <v>516.74309509339412</v>
      </c>
      <c r="L30" s="40">
        <f t="shared" si="1"/>
        <v>292.16091738219143</v>
      </c>
      <c r="M30" s="40">
        <f t="shared" si="2"/>
        <v>516.74309509339412</v>
      </c>
      <c r="N30" s="40">
        <f t="shared" si="3"/>
        <v>858.48377298457217</v>
      </c>
      <c r="O30" s="40">
        <f t="shared" si="4"/>
        <v>516.74309509339412</v>
      </c>
      <c r="P30" s="41">
        <f t="shared" si="5"/>
        <v>0.95</v>
      </c>
      <c r="Q30" s="41">
        <f t="shared" si="6"/>
        <v>0.54903735437135603</v>
      </c>
      <c r="R30" s="64">
        <f t="shared" si="7"/>
        <v>0</v>
      </c>
      <c r="S30" s="64">
        <f>APPLICANTS_PER_YEAR*($H30/Segments!$AH$2)*Q30</f>
        <v>123.86282714617793</v>
      </c>
      <c r="T30" s="64">
        <f t="shared" si="8"/>
        <v>123.86282714617793</v>
      </c>
      <c r="U30" s="40">
        <f t="shared" si="9"/>
        <v>516.74309509339412</v>
      </c>
      <c r="V30" s="65">
        <f t="shared" si="10"/>
        <v>64005.260666534065</v>
      </c>
      <c r="W30" s="65">
        <f t="shared" si="11"/>
        <v>40530.422473608654</v>
      </c>
      <c r="X30" s="65">
        <f t="shared" si="12"/>
        <v>19911.005610881635</v>
      </c>
      <c r="Y30" s="40">
        <f t="shared" si="13"/>
        <v>530.99538794619605</v>
      </c>
      <c r="Z30" s="40">
        <f t="shared" si="14"/>
        <v>300.92574490365718</v>
      </c>
      <c r="AA30" s="40">
        <f t="shared" si="15"/>
        <v>530.99538794619605</v>
      </c>
      <c r="AB30" s="40">
        <f t="shared" si="16"/>
        <v>883.19934097588657</v>
      </c>
      <c r="AC30" s="40">
        <f t="shared" si="17"/>
        <v>530.99538794619605</v>
      </c>
      <c r="AD30" s="41">
        <f t="shared" si="18"/>
        <v>0.95</v>
      </c>
      <c r="AE30" s="41">
        <f t="shared" si="19"/>
        <v>0.54939097363938505</v>
      </c>
      <c r="AF30" s="64">
        <f t="shared" si="20"/>
        <v>0</v>
      </c>
      <c r="AG30" s="64">
        <f>APPLICANTS_PER_YEAR*($H30/Segments!$AH$2)*AE30</f>
        <v>123.94260365304528</v>
      </c>
      <c r="AH30" s="64">
        <f t="shared" si="21"/>
        <v>123.94260365304528</v>
      </c>
      <c r="AI30" s="40">
        <f t="shared" si="22"/>
        <v>530.99538794619605</v>
      </c>
      <c r="AJ30" s="65">
        <f t="shared" si="23"/>
        <v>65812.950909810388</v>
      </c>
      <c r="AK30" s="65">
        <f t="shared" si="24"/>
        <v>41773.222769142361</v>
      </c>
      <c r="AL30" s="65">
        <f t="shared" si="25"/>
        <v>20319.518168184564</v>
      </c>
      <c r="AM30" s="40">
        <f t="shared" si="26"/>
        <v>545.67524958458182</v>
      </c>
      <c r="AN30" s="40">
        <f t="shared" si="27"/>
        <v>309.95351725076688</v>
      </c>
      <c r="AO30" s="40">
        <f t="shared" si="28"/>
        <v>545.67524958458182</v>
      </c>
      <c r="AP30" s="40">
        <f t="shared" si="29"/>
        <v>908.65517027176111</v>
      </c>
      <c r="AQ30" s="40">
        <f t="shared" si="30"/>
        <v>545.67524958458182</v>
      </c>
      <c r="AR30" s="41">
        <f t="shared" si="31"/>
        <v>0.95</v>
      </c>
      <c r="AS30" s="41">
        <f t="shared" si="32"/>
        <v>0.54973469175254852</v>
      </c>
      <c r="AT30" s="64">
        <f t="shared" si="33"/>
        <v>0</v>
      </c>
      <c r="AU30" s="64">
        <f>APPLICANTS_PER_YEAR*($H30/Segments!$AH$2)*AS30</f>
        <v>124.02014645937496</v>
      </c>
      <c r="AV30" s="64">
        <f t="shared" si="34"/>
        <v>124.02014645937496</v>
      </c>
      <c r="AW30" s="40">
        <f t="shared" si="35"/>
        <v>545.67524958458182</v>
      </c>
      <c r="AX30" s="65">
        <f t="shared" si="36"/>
        <v>67674.724372735815</v>
      </c>
      <c r="AY30" s="65">
        <f t="shared" si="37"/>
        <v>43053.338277643132</v>
      </c>
      <c r="AZ30" s="65">
        <f t="shared" si="38"/>
        <v>20740.044850164697</v>
      </c>
    </row>
    <row r="31" spans="1:52" ht="15" customHeight="1" x14ac:dyDescent="0.35">
      <c r="A31" s="61" t="str">
        <f>Segments!$A$11</f>
        <v>Non-greek</v>
      </c>
      <c r="B31" s="61" t="str">
        <f>Segments!$B$11</f>
        <v>On campus</v>
      </c>
      <c r="C31" s="61" t="str">
        <f>Segments!$C$11</f>
        <v>Yes</v>
      </c>
      <c r="D31" s="61" t="str">
        <f>Segments!$D$11</f>
        <v>1.0-2.0</v>
      </c>
      <c r="E31" s="61" t="str">
        <f>Segments!$E$11</f>
        <v>Sophomore</v>
      </c>
      <c r="F31" s="61">
        <f>Segments!$F$11</f>
        <v>1</v>
      </c>
      <c r="G31" s="61" t="str">
        <f>Segments!$G$11</f>
        <v>Sophomore</v>
      </c>
      <c r="H31" s="62">
        <f>Segments!$H$11</f>
        <v>216</v>
      </c>
      <c r="I31" s="63">
        <f>Segments!$Y$11</f>
        <v>289.18854315123065</v>
      </c>
      <c r="J31" s="42">
        <v>1</v>
      </c>
      <c r="K31" s="40">
        <f t="shared" si="0"/>
        <v>1426.2297754450396</v>
      </c>
      <c r="L31" s="40">
        <f t="shared" si="1"/>
        <v>289.18854315123065</v>
      </c>
      <c r="M31" s="40">
        <f t="shared" si="2"/>
        <v>511.90978286859297</v>
      </c>
      <c r="N31" s="40">
        <f t="shared" si="3"/>
        <v>854.45946344387357</v>
      </c>
      <c r="O31" s="40">
        <f t="shared" si="4"/>
        <v>511.90978286859297</v>
      </c>
      <c r="P31" s="41">
        <f t="shared" si="5"/>
        <v>0.95</v>
      </c>
      <c r="Q31" s="41">
        <f t="shared" si="6"/>
        <v>0.55044817526781453</v>
      </c>
      <c r="R31" s="64">
        <f t="shared" si="7"/>
        <v>178.6</v>
      </c>
      <c r="S31" s="64">
        <f>APPLICANTS_PER_YEAR*($H31/Segments!$AH$2)*Q31</f>
        <v>142.67616702941751</v>
      </c>
      <c r="T31" s="64">
        <f t="shared" si="8"/>
        <v>321.27616702941748</v>
      </c>
      <c r="U31" s="40">
        <f t="shared" si="9"/>
        <v>511.90978286859303</v>
      </c>
      <c r="V31" s="65">
        <f t="shared" si="10"/>
        <v>164464.41290488292</v>
      </c>
      <c r="W31" s="65">
        <f t="shared" si="11"/>
        <v>104058.51309554253</v>
      </c>
      <c r="X31" s="65">
        <f t="shared" si="12"/>
        <v>43632.507954305991</v>
      </c>
      <c r="Y31" s="40">
        <f t="shared" si="13"/>
        <v>516.74309509339412</v>
      </c>
      <c r="Z31" s="40">
        <f t="shared" si="14"/>
        <v>297.86419944576755</v>
      </c>
      <c r="AA31" s="40">
        <f t="shared" si="15"/>
        <v>526.01707635465073</v>
      </c>
      <c r="AB31" s="40">
        <f t="shared" si="16"/>
        <v>879.04940315674867</v>
      </c>
      <c r="AC31" s="40">
        <f t="shared" si="17"/>
        <v>526.01707635465073</v>
      </c>
      <c r="AD31" s="41">
        <f t="shared" si="18"/>
        <v>0.95</v>
      </c>
      <c r="AE31" s="41">
        <f t="shared" si="19"/>
        <v>0.5508034619751323</v>
      </c>
      <c r="AF31" s="64">
        <f t="shared" si="20"/>
        <v>117.66968578886903</v>
      </c>
      <c r="AG31" s="64">
        <f>APPLICANTS_PER_YEAR*($H31/Segments!$AH$2)*AE31</f>
        <v>142.76825734395428</v>
      </c>
      <c r="AH31" s="64">
        <f t="shared" si="21"/>
        <v>260.43794313282331</v>
      </c>
      <c r="AI31" s="40">
        <f t="shared" si="22"/>
        <v>526.01707635465061</v>
      </c>
      <c r="AJ31" s="65">
        <f t="shared" si="23"/>
        <v>136994.80541854649</v>
      </c>
      <c r="AK31" s="65">
        <f t="shared" si="24"/>
        <v>86884.156168948059</v>
      </c>
      <c r="AL31" s="65">
        <f t="shared" si="25"/>
        <v>37298.432466711638</v>
      </c>
      <c r="AM31" s="40">
        <f t="shared" si="26"/>
        <v>530.99538794619605</v>
      </c>
      <c r="AN31" s="40">
        <f t="shared" si="27"/>
        <v>306.80012542914056</v>
      </c>
      <c r="AO31" s="40">
        <f t="shared" si="28"/>
        <v>540.54758864529015</v>
      </c>
      <c r="AP31" s="40">
        <f t="shared" si="29"/>
        <v>904.37581816884051</v>
      </c>
      <c r="AQ31" s="40">
        <f t="shared" si="30"/>
        <v>540.54758864529015</v>
      </c>
      <c r="AR31" s="41">
        <f t="shared" si="31"/>
        <v>0.95</v>
      </c>
      <c r="AS31" s="41">
        <f t="shared" si="32"/>
        <v>0.55114880463092297</v>
      </c>
      <c r="AT31" s="64">
        <f t="shared" si="33"/>
        <v>117.74547347039301</v>
      </c>
      <c r="AU31" s="64">
        <f>APPLICANTS_PER_YEAR*($H31/Segments!$AH$2)*AS31</f>
        <v>142.85777016033524</v>
      </c>
      <c r="AV31" s="64">
        <f t="shared" si="34"/>
        <v>260.60324363072823</v>
      </c>
      <c r="AW31" s="40">
        <f t="shared" si="35"/>
        <v>540.54758864529015</v>
      </c>
      <c r="AX31" s="65">
        <f t="shared" si="36"/>
        <v>140868.45493773121</v>
      </c>
      <c r="AY31" s="65">
        <f t="shared" si="37"/>
        <v>89547.48077312611</v>
      </c>
      <c r="AZ31" s="65">
        <f t="shared" si="38"/>
        <v>38110.396921133579</v>
      </c>
    </row>
    <row r="32" spans="1:52" ht="15" customHeight="1" x14ac:dyDescent="0.35">
      <c r="A32" s="61" t="str">
        <f>Segments!$A$12</f>
        <v>Non-greek</v>
      </c>
      <c r="B32" s="61" t="str">
        <f>Segments!$B$12</f>
        <v>On campus</v>
      </c>
      <c r="C32" s="61" t="str">
        <f>Segments!$C$12</f>
        <v>Yes</v>
      </c>
      <c r="D32" s="61" t="str">
        <f>Segments!$D$12</f>
        <v>1.0-2.0</v>
      </c>
      <c r="E32" s="61" t="str">
        <f>Segments!$E$12</f>
        <v>Junior</v>
      </c>
      <c r="F32" s="61">
        <f>Segments!$F$12</f>
        <v>2</v>
      </c>
      <c r="G32" s="61" t="str">
        <f>Segments!$G$12</f>
        <v>Base</v>
      </c>
      <c r="H32" s="62">
        <f>Segments!$H$12</f>
        <v>194</v>
      </c>
      <c r="I32" s="63">
        <f>Segments!$Y$12</f>
        <v>345.70339461978443</v>
      </c>
      <c r="J32" s="42">
        <v>2</v>
      </c>
      <c r="K32" s="40">
        <f t="shared" si="0"/>
        <v>1426.2297754450396</v>
      </c>
      <c r="L32" s="40">
        <f t="shared" si="1"/>
        <v>345.70339461978443</v>
      </c>
      <c r="M32" s="40">
        <f t="shared" si="2"/>
        <v>603.8073372345832</v>
      </c>
      <c r="N32" s="40">
        <f t="shared" si="3"/>
        <v>927.99138088462166</v>
      </c>
      <c r="O32" s="40">
        <f t="shared" si="4"/>
        <v>603.8073372345832</v>
      </c>
      <c r="P32" s="41">
        <f t="shared" si="5"/>
        <v>0.95</v>
      </c>
      <c r="Q32" s="41">
        <f t="shared" si="6"/>
        <v>0.52466974927127286</v>
      </c>
      <c r="R32" s="64">
        <f t="shared" si="7"/>
        <v>205.2</v>
      </c>
      <c r="S32" s="64">
        <f>APPLICANTS_PER_YEAR*($H32/Segments!$AH$2)*Q32</f>
        <v>122.14311763035232</v>
      </c>
      <c r="T32" s="64">
        <f t="shared" si="8"/>
        <v>327.34311763035231</v>
      </c>
      <c r="U32" s="40">
        <f t="shared" si="9"/>
        <v>603.8073372345832</v>
      </c>
      <c r="V32" s="65">
        <f t="shared" si="10"/>
        <v>197652.17621844998</v>
      </c>
      <c r="W32" s="65">
        <f t="shared" si="11"/>
        <v>126743.26220666456</v>
      </c>
      <c r="X32" s="65">
        <f t="shared" si="12"/>
        <v>49537.983470279869</v>
      </c>
      <c r="Y32" s="40">
        <f t="shared" si="13"/>
        <v>511.90978286859303</v>
      </c>
      <c r="Z32" s="40">
        <f t="shared" si="14"/>
        <v>356.07449645837795</v>
      </c>
      <c r="AA32" s="40">
        <f t="shared" si="15"/>
        <v>620.67155735162066</v>
      </c>
      <c r="AB32" s="40">
        <f t="shared" si="16"/>
        <v>954.87007678674627</v>
      </c>
      <c r="AC32" s="40">
        <f t="shared" si="17"/>
        <v>620.67155735162066</v>
      </c>
      <c r="AD32" s="41">
        <f t="shared" si="18"/>
        <v>0.95</v>
      </c>
      <c r="AE32" s="41">
        <f t="shared" si="19"/>
        <v>0.52499685431537668</v>
      </c>
      <c r="AF32" s="64">
        <f t="shared" si="20"/>
        <v>305.21235867794661</v>
      </c>
      <c r="AG32" s="64">
        <f>APPLICANTS_PER_YEAR*($H32/Segments!$AH$2)*AE32</f>
        <v>122.21926768461969</v>
      </c>
      <c r="AH32" s="64">
        <f t="shared" si="21"/>
        <v>427.43162636256631</v>
      </c>
      <c r="AI32" s="40">
        <f t="shared" si="22"/>
        <v>620.67155735162066</v>
      </c>
      <c r="AJ32" s="65">
        <f t="shared" si="23"/>
        <v>265294.65319579007</v>
      </c>
      <c r="AK32" s="65">
        <f t="shared" si="24"/>
        <v>170461.20126272872</v>
      </c>
      <c r="AL32" s="65">
        <f t="shared" si="25"/>
        <v>64399.834485797706</v>
      </c>
      <c r="AM32" s="40">
        <f t="shared" si="26"/>
        <v>526.01707635465061</v>
      </c>
      <c r="AN32" s="40">
        <f t="shared" si="27"/>
        <v>366.75673135212929</v>
      </c>
      <c r="AO32" s="40">
        <f t="shared" si="28"/>
        <v>638.0417040721693</v>
      </c>
      <c r="AP32" s="40">
        <f t="shared" si="29"/>
        <v>982.55417945857664</v>
      </c>
      <c r="AQ32" s="40">
        <f t="shared" si="30"/>
        <v>638.0417040721693</v>
      </c>
      <c r="AR32" s="41">
        <f t="shared" si="31"/>
        <v>0.95</v>
      </c>
      <c r="AS32" s="41">
        <f t="shared" si="32"/>
        <v>0.5253147473130928</v>
      </c>
      <c r="AT32" s="64">
        <f t="shared" si="33"/>
        <v>247.41604597618212</v>
      </c>
      <c r="AU32" s="64">
        <f>APPLICANTS_PER_YEAR*($H32/Segments!$AH$2)*AS32</f>
        <v>122.29327317448801</v>
      </c>
      <c r="AV32" s="64">
        <f t="shared" si="34"/>
        <v>369.70931915067013</v>
      </c>
      <c r="AW32" s="40">
        <f t="shared" si="35"/>
        <v>638.0417040721693</v>
      </c>
      <c r="AX32" s="65">
        <f t="shared" si="36"/>
        <v>235889.96400225506</v>
      </c>
      <c r="AY32" s="65">
        <f t="shared" si="37"/>
        <v>151864.58721517547</v>
      </c>
      <c r="AZ32" s="65">
        <f t="shared" si="38"/>
        <v>57765.708703250282</v>
      </c>
    </row>
    <row r="33" spans="1:52" ht="15" customHeight="1" x14ac:dyDescent="0.35">
      <c r="A33" s="61" t="str">
        <f>Segments!$A$13</f>
        <v>Non-greek</v>
      </c>
      <c r="B33" s="61" t="str">
        <f>Segments!$B$13</f>
        <v>On campus</v>
      </c>
      <c r="C33" s="61" t="str">
        <f>Segments!$C$13</f>
        <v>Yes</v>
      </c>
      <c r="D33" s="61" t="str">
        <f>Segments!$D$13</f>
        <v>1.0-2.0</v>
      </c>
      <c r="E33" s="61" t="str">
        <f>Segments!$E$13</f>
        <v>Senior</v>
      </c>
      <c r="F33" s="61">
        <f>Segments!$F$13</f>
        <v>3</v>
      </c>
      <c r="G33" s="61" t="str">
        <f>Segments!$G$13</f>
        <v>Base</v>
      </c>
      <c r="H33" s="62">
        <f>Segments!$H$13</f>
        <v>209</v>
      </c>
      <c r="I33" s="63">
        <f>Segments!$Y$13</f>
        <v>323.12462660342288</v>
      </c>
      <c r="J33" s="42">
        <v>3</v>
      </c>
      <c r="K33" s="40">
        <f t="shared" si="0"/>
        <v>1426.2297754450396</v>
      </c>
      <c r="L33" s="40">
        <f t="shared" si="1"/>
        <v>323.12462660342288</v>
      </c>
      <c r="M33" s="40">
        <f t="shared" si="2"/>
        <v>567.09250020709476</v>
      </c>
      <c r="N33" s="40">
        <f t="shared" si="3"/>
        <v>899.33542642716509</v>
      </c>
      <c r="O33" s="40">
        <f t="shared" si="4"/>
        <v>567.09250020709476</v>
      </c>
      <c r="P33" s="41">
        <f t="shared" si="5"/>
        <v>0.95</v>
      </c>
      <c r="Q33" s="41">
        <f t="shared" si="6"/>
        <v>0.53471580038828692</v>
      </c>
      <c r="R33" s="64">
        <f t="shared" si="7"/>
        <v>184.29999999999998</v>
      </c>
      <c r="S33" s="64">
        <f>APPLICANTS_PER_YEAR*($H33/Segments!$AH$2)*Q33</f>
        <v>134.10672273738234</v>
      </c>
      <c r="T33" s="64">
        <f t="shared" si="8"/>
        <v>318.40672273738232</v>
      </c>
      <c r="U33" s="40">
        <f t="shared" si="9"/>
        <v>567.09250020709476</v>
      </c>
      <c r="V33" s="65">
        <f t="shared" si="10"/>
        <v>180566.06447988935</v>
      </c>
      <c r="W33" s="65">
        <f t="shared" si="11"/>
        <v>115231.25979964063</v>
      </c>
      <c r="X33" s="65">
        <f t="shared" si="12"/>
        <v>46509.570794091553</v>
      </c>
      <c r="Y33" s="40">
        <f t="shared" si="13"/>
        <v>603.8073372345832</v>
      </c>
      <c r="Z33" s="40">
        <f t="shared" si="14"/>
        <v>332.81836540152557</v>
      </c>
      <c r="AA33" s="40">
        <f t="shared" si="15"/>
        <v>582.85527521330755</v>
      </c>
      <c r="AB33" s="40">
        <f t="shared" si="16"/>
        <v>925.32378913165587</v>
      </c>
      <c r="AC33" s="40">
        <f t="shared" si="17"/>
        <v>582.85527521330755</v>
      </c>
      <c r="AD33" s="41">
        <f t="shared" si="18"/>
        <v>0.95</v>
      </c>
      <c r="AE33" s="41">
        <f t="shared" si="19"/>
        <v>0.5350533391342549</v>
      </c>
      <c r="AF33" s="64">
        <f t="shared" si="20"/>
        <v>310.97596174883466</v>
      </c>
      <c r="AG33" s="64">
        <f>APPLICANTS_PER_YEAR*($H33/Segments!$AH$2)*AE33</f>
        <v>134.19137745487112</v>
      </c>
      <c r="AH33" s="64">
        <f t="shared" si="21"/>
        <v>445.16733920370575</v>
      </c>
      <c r="AI33" s="40">
        <f t="shared" si="22"/>
        <v>582.85527521330755</v>
      </c>
      <c r="AJ33" s="65">
        <f t="shared" si="23"/>
        <v>259468.13200755176</v>
      </c>
      <c r="AK33" s="65">
        <f t="shared" si="24"/>
        <v>165939.05010359469</v>
      </c>
      <c r="AL33" s="65">
        <f t="shared" si="25"/>
        <v>64035.103498193086</v>
      </c>
      <c r="AM33" s="40">
        <f t="shared" si="26"/>
        <v>620.67155735162066</v>
      </c>
      <c r="AN33" s="40">
        <f t="shared" si="27"/>
        <v>342.80291636357134</v>
      </c>
      <c r="AO33" s="40">
        <f t="shared" si="28"/>
        <v>599.09093346970678</v>
      </c>
      <c r="AP33" s="40">
        <f t="shared" si="29"/>
        <v>952.09075426623122</v>
      </c>
      <c r="AQ33" s="40">
        <f t="shared" si="30"/>
        <v>599.09093346970678</v>
      </c>
      <c r="AR33" s="41">
        <f t="shared" si="31"/>
        <v>0.95</v>
      </c>
      <c r="AS33" s="41">
        <f t="shared" si="32"/>
        <v>0.53538139311550115</v>
      </c>
      <c r="AT33" s="64">
        <f t="shared" si="33"/>
        <v>406.06004504443797</v>
      </c>
      <c r="AU33" s="64">
        <f>APPLICANTS_PER_YEAR*($H33/Segments!$AH$2)*AS33</f>
        <v>134.27365339336768</v>
      </c>
      <c r="AV33" s="64">
        <f t="shared" si="34"/>
        <v>540.33369843780565</v>
      </c>
      <c r="AW33" s="40">
        <f t="shared" si="35"/>
        <v>599.09093346970678</v>
      </c>
      <c r="AX33" s="65">
        <f t="shared" si="36"/>
        <v>323709.01978224405</v>
      </c>
      <c r="AY33" s="65">
        <f t="shared" si="37"/>
        <v>207455.32375007358</v>
      </c>
      <c r="AZ33" s="65">
        <f t="shared" si="38"/>
        <v>78159.994534748155</v>
      </c>
    </row>
    <row r="34" spans="1:52" ht="15" customHeight="1" x14ac:dyDescent="0.35">
      <c r="A34" s="61" t="str">
        <f>Segments!$A$14</f>
        <v>Non-greek</v>
      </c>
      <c r="B34" s="61" t="str">
        <f>Segments!$B$14</f>
        <v>On campus</v>
      </c>
      <c r="C34" s="61" t="str">
        <f>Segments!$C$14</f>
        <v>Yes</v>
      </c>
      <c r="D34" s="61" t="str">
        <f>Segments!$D$14</f>
        <v>1.0-2.0</v>
      </c>
      <c r="E34" s="61" t="str">
        <f>Segments!$E$14</f>
        <v>Grad student</v>
      </c>
      <c r="F34" s="61">
        <f>Segments!$F$14</f>
        <v>3</v>
      </c>
      <c r="G34" s="61" t="str">
        <f>Segments!$G$14</f>
        <v>Grad</v>
      </c>
      <c r="H34" s="62">
        <f>Segments!$H$14</f>
        <v>113</v>
      </c>
      <c r="I34" s="63">
        <f>Segments!$Y$14</f>
        <v>384.73816837069523</v>
      </c>
      <c r="J34" s="42">
        <v>4</v>
      </c>
      <c r="K34" s="40">
        <f t="shared" si="0"/>
        <v>1426.2297754450396</v>
      </c>
      <c r="L34" s="40">
        <f t="shared" si="1"/>
        <v>384.73816837069523</v>
      </c>
      <c r="M34" s="40">
        <f t="shared" si="2"/>
        <v>667.28092249091992</v>
      </c>
      <c r="N34" s="40">
        <f t="shared" si="3"/>
        <v>975.54903528371335</v>
      </c>
      <c r="O34" s="40">
        <f t="shared" si="4"/>
        <v>667.28092249091992</v>
      </c>
      <c r="P34" s="41">
        <f t="shared" si="5"/>
        <v>0.95</v>
      </c>
      <c r="Q34" s="41">
        <f t="shared" si="6"/>
        <v>0.50799724137041535</v>
      </c>
      <c r="R34" s="64">
        <f t="shared" si="7"/>
        <v>53.674999999999997</v>
      </c>
      <c r="S34" s="64">
        <f>APPLICANTS_PER_YEAR*($H34/Segments!$AH$2)*Q34</f>
        <v>68.884425929828325</v>
      </c>
      <c r="T34" s="64">
        <f t="shared" si="8"/>
        <v>122.55942592982832</v>
      </c>
      <c r="U34" s="40">
        <f t="shared" si="9"/>
        <v>667.28092249091992</v>
      </c>
      <c r="V34" s="65">
        <f t="shared" si="10"/>
        <v>81781.566794413418</v>
      </c>
      <c r="W34" s="65">
        <f t="shared" si="11"/>
        <v>52811.683734662773</v>
      </c>
      <c r="X34" s="65">
        <f t="shared" si="12"/>
        <v>21238.799505776373</v>
      </c>
      <c r="Y34" s="40">
        <f t="shared" si="13"/>
        <v>667.28092249091992</v>
      </c>
      <c r="Z34" s="40">
        <f t="shared" si="14"/>
        <v>396.28031342181612</v>
      </c>
      <c r="AA34" s="40">
        <f t="shared" si="15"/>
        <v>686.04935016564752</v>
      </c>
      <c r="AB34" s="40">
        <f t="shared" si="16"/>
        <v>1003.9013551887933</v>
      </c>
      <c r="AC34" s="40">
        <f t="shared" si="17"/>
        <v>686.04935016564752</v>
      </c>
      <c r="AD34" s="41">
        <f t="shared" si="18"/>
        <v>0.95</v>
      </c>
      <c r="AE34" s="41">
        <f t="shared" si="19"/>
        <v>0.50830838527126532</v>
      </c>
      <c r="AF34" s="64">
        <f t="shared" si="20"/>
        <v>58.215727316668449</v>
      </c>
      <c r="AG34" s="64">
        <f>APPLICANTS_PER_YEAR*($H34/Segments!$AH$2)*AE34</f>
        <v>68.926617042783576</v>
      </c>
      <c r="AH34" s="64">
        <f t="shared" si="21"/>
        <v>127.14234435945203</v>
      </c>
      <c r="AI34" s="40">
        <f t="shared" si="22"/>
        <v>686.04935016564752</v>
      </c>
      <c r="AJ34" s="65">
        <f t="shared" si="23"/>
        <v>87225.922726339049</v>
      </c>
      <c r="AK34" s="65">
        <f t="shared" si="24"/>
        <v>56430.089040581908</v>
      </c>
      <c r="AL34" s="65">
        <f t="shared" si="25"/>
        <v>22406.758837632842</v>
      </c>
      <c r="AM34" s="40">
        <f t="shared" si="26"/>
        <v>686.04935016564752</v>
      </c>
      <c r="AN34" s="40">
        <f t="shared" si="27"/>
        <v>408.16872282447054</v>
      </c>
      <c r="AO34" s="40">
        <f t="shared" si="28"/>
        <v>705.38083067061689</v>
      </c>
      <c r="AP34" s="40">
        <f t="shared" si="29"/>
        <v>1033.103423662792</v>
      </c>
      <c r="AQ34" s="40">
        <f t="shared" si="30"/>
        <v>705.38083067061689</v>
      </c>
      <c r="AR34" s="41">
        <f t="shared" si="31"/>
        <v>0.95</v>
      </c>
      <c r="AS34" s="41">
        <f t="shared" si="32"/>
        <v>0.50861073803736834</v>
      </c>
      <c r="AT34" s="64">
        <f t="shared" si="33"/>
        <v>60.392613570739712</v>
      </c>
      <c r="AU34" s="64">
        <f>APPLICANTS_PER_YEAR*($H34/Segments!$AH$2)*AS34</f>
        <v>68.967616077867149</v>
      </c>
      <c r="AV34" s="64">
        <f t="shared" si="34"/>
        <v>129.36022964860686</v>
      </c>
      <c r="AW34" s="40">
        <f t="shared" si="35"/>
        <v>705.38083067061689</v>
      </c>
      <c r="AX34" s="65">
        <f t="shared" si="36"/>
        <v>91248.226245276077</v>
      </c>
      <c r="AY34" s="65">
        <f t="shared" si="37"/>
        <v>59136.895686346325</v>
      </c>
      <c r="AZ34" s="65">
        <f t="shared" si="38"/>
        <v>23260.004956419227</v>
      </c>
    </row>
    <row r="35" spans="1:52" ht="15" customHeight="1" x14ac:dyDescent="0.35">
      <c r="A35" s="59" t="str">
        <f>Segments!$A$15</f>
        <v>Non-greek</v>
      </c>
      <c r="B35" s="59" t="str">
        <f>Segments!$B$15</f>
        <v>On campus</v>
      </c>
      <c r="C35" s="59" t="str">
        <f>Segments!$C$15</f>
        <v>Yes</v>
      </c>
      <c r="D35" s="59" t="str">
        <f>Segments!$D$15</f>
        <v>2.0-3.0</v>
      </c>
      <c r="E35" s="59" t="str">
        <f>Segments!$E$15</f>
        <v>Freshman</v>
      </c>
      <c r="F35" s="59">
        <f>Segments!$F$15</f>
        <v>1</v>
      </c>
      <c r="G35" s="59" t="str">
        <f>Segments!$G$15</f>
        <v>Base</v>
      </c>
      <c r="H35" s="60">
        <f>Segments!$H$15</f>
        <v>348</v>
      </c>
      <c r="I35" s="26">
        <f>Segments!$Y$15</f>
        <v>287.10060835138182</v>
      </c>
      <c r="J35" s="29">
        <v>0</v>
      </c>
      <c r="K35" s="14">
        <f t="shared" si="0"/>
        <v>508.51463810936951</v>
      </c>
      <c r="L35" s="14">
        <f t="shared" si="1"/>
        <v>287.10060835138182</v>
      </c>
      <c r="M35" s="14">
        <f t="shared" si="2"/>
        <v>508.51463810936951</v>
      </c>
      <c r="N35" s="14">
        <f t="shared" si="3"/>
        <v>851.62122925702226</v>
      </c>
      <c r="O35" s="14">
        <f t="shared" si="4"/>
        <v>508.51463810936951</v>
      </c>
      <c r="P35" s="33">
        <f t="shared" si="5"/>
        <v>0.95</v>
      </c>
      <c r="Q35" s="33">
        <f t="shared" si="6"/>
        <v>0.55144318821583882</v>
      </c>
      <c r="R35" s="51">
        <f t="shared" si="7"/>
        <v>0</v>
      </c>
      <c r="S35" s="51">
        <f>APPLICANTS_PER_YEAR*($H35/Segments!$AH$2)*Q35</f>
        <v>230.28267539893426</v>
      </c>
      <c r="T35" s="51">
        <f t="shared" si="8"/>
        <v>230.28267539893426</v>
      </c>
      <c r="U35" s="14">
        <f t="shared" si="9"/>
        <v>508.51463810936951</v>
      </c>
      <c r="V35" s="44">
        <f t="shared" si="10"/>
        <v>117102.11134334646</v>
      </c>
      <c r="W35" s="44">
        <f t="shared" si="11"/>
        <v>74048.011743795971</v>
      </c>
      <c r="X35" s="44">
        <f t="shared" si="12"/>
        <v>36593.593333861652</v>
      </c>
      <c r="Y35" s="14">
        <f t="shared" si="13"/>
        <v>522.52007725265059</v>
      </c>
      <c r="Z35" s="14">
        <f t="shared" si="14"/>
        <v>295.71362660192329</v>
      </c>
      <c r="AA35" s="14">
        <f t="shared" si="15"/>
        <v>522.52007725265059</v>
      </c>
      <c r="AB35" s="14">
        <f t="shared" si="16"/>
        <v>876.122538928739</v>
      </c>
      <c r="AC35" s="14">
        <f t="shared" si="17"/>
        <v>522.52007725265059</v>
      </c>
      <c r="AD35" s="33">
        <f t="shared" si="18"/>
        <v>0.95</v>
      </c>
      <c r="AE35" s="33">
        <f t="shared" si="19"/>
        <v>0.55179966041533901</v>
      </c>
      <c r="AF35" s="51">
        <f t="shared" si="20"/>
        <v>0</v>
      </c>
      <c r="AG35" s="51">
        <f>APPLICANTS_PER_YEAR*($H35/Segments!$AH$2)*AE35</f>
        <v>230.43153818944555</v>
      </c>
      <c r="AH35" s="51">
        <f t="shared" si="21"/>
        <v>230.43153818944555</v>
      </c>
      <c r="AI35" s="14">
        <f t="shared" si="22"/>
        <v>522.52007725265059</v>
      </c>
      <c r="AJ35" s="44">
        <f t="shared" si="23"/>
        <v>120405.10513619619</v>
      </c>
      <c r="AK35" s="44">
        <f t="shared" si="24"/>
        <v>76318.755342435805</v>
      </c>
      <c r="AL35" s="44">
        <f t="shared" si="25"/>
        <v>37340.162769032991</v>
      </c>
      <c r="AM35" s="14">
        <f t="shared" si="26"/>
        <v>536.94567957023003</v>
      </c>
      <c r="AN35" s="14">
        <f t="shared" si="27"/>
        <v>304.58503539998094</v>
      </c>
      <c r="AO35" s="14">
        <f t="shared" si="28"/>
        <v>536.94567957023003</v>
      </c>
      <c r="AP35" s="14">
        <f t="shared" si="29"/>
        <v>901.35765270175136</v>
      </c>
      <c r="AQ35" s="14">
        <f t="shared" si="30"/>
        <v>536.94567957023003</v>
      </c>
      <c r="AR35" s="33">
        <f t="shared" si="31"/>
        <v>0.95</v>
      </c>
      <c r="AS35" s="33">
        <f t="shared" si="32"/>
        <v>0.55214615809785605</v>
      </c>
      <c r="AT35" s="51">
        <f t="shared" si="33"/>
        <v>0</v>
      </c>
      <c r="AU35" s="51">
        <f>APPLICANTS_PER_YEAR*($H35/Segments!$AH$2)*AS35</f>
        <v>230.57623562166467</v>
      </c>
      <c r="AV35" s="51">
        <f t="shared" si="34"/>
        <v>230.57623562166467</v>
      </c>
      <c r="AW35" s="14">
        <f t="shared" si="35"/>
        <v>536.94567957023003</v>
      </c>
      <c r="AX35" s="44">
        <f t="shared" si="36"/>
        <v>123806.91352862021</v>
      </c>
      <c r="AY35" s="44">
        <f t="shared" si="37"/>
        <v>78657.67939592537</v>
      </c>
      <c r="AZ35" s="44">
        <f t="shared" si="38"/>
        <v>38108.679233385832</v>
      </c>
    </row>
    <row r="36" spans="1:52" ht="15" customHeight="1" x14ac:dyDescent="0.35">
      <c r="A36" s="59" t="str">
        <f>Segments!$A$16</f>
        <v>Non-greek</v>
      </c>
      <c r="B36" s="59" t="str">
        <f>Segments!$B$16</f>
        <v>On campus</v>
      </c>
      <c r="C36" s="59" t="str">
        <f>Segments!$C$16</f>
        <v>Yes</v>
      </c>
      <c r="D36" s="59" t="str">
        <f>Segments!$D$16</f>
        <v>2.0-3.0</v>
      </c>
      <c r="E36" s="59" t="str">
        <f>Segments!$E$16</f>
        <v>Sophomore</v>
      </c>
      <c r="F36" s="59">
        <f>Segments!$F$16</f>
        <v>1</v>
      </c>
      <c r="G36" s="59" t="str">
        <f>Segments!$G$16</f>
        <v>Sophomore</v>
      </c>
      <c r="H36" s="60">
        <f>Segments!$H$16</f>
        <v>328</v>
      </c>
      <c r="I36" s="26">
        <f>Segments!$Y$16</f>
        <v>284.17971647575672</v>
      </c>
      <c r="J36" s="29">
        <v>1</v>
      </c>
      <c r="K36" s="14">
        <f t="shared" si="0"/>
        <v>1426.2297754450396</v>
      </c>
      <c r="L36" s="14">
        <f t="shared" si="1"/>
        <v>284.17971647575672</v>
      </c>
      <c r="M36" s="14">
        <f t="shared" si="2"/>
        <v>503.76504020789059</v>
      </c>
      <c r="N36" s="14">
        <f t="shared" si="3"/>
        <v>847.63476814767409</v>
      </c>
      <c r="O36" s="14">
        <f t="shared" si="4"/>
        <v>503.76504020789059</v>
      </c>
      <c r="P36" s="33">
        <f t="shared" si="5"/>
        <v>0.95</v>
      </c>
      <c r="Q36" s="33">
        <f t="shared" si="6"/>
        <v>0.55284074041183906</v>
      </c>
      <c r="R36" s="51">
        <f t="shared" si="7"/>
        <v>330.59999999999997</v>
      </c>
      <c r="S36" s="51">
        <f>APPLICANTS_PER_YEAR*($H36/Segments!$AH$2)*Q36</f>
        <v>217.59811542609987</v>
      </c>
      <c r="T36" s="51">
        <f t="shared" si="8"/>
        <v>548.19811542609978</v>
      </c>
      <c r="U36" s="14">
        <f t="shared" si="9"/>
        <v>503.76504020789065</v>
      </c>
      <c r="V36" s="44">
        <f t="shared" si="10"/>
        <v>276163.04565951903</v>
      </c>
      <c r="W36" s="44">
        <f t="shared" si="11"/>
        <v>174481.19921605321</v>
      </c>
      <c r="X36" s="44">
        <f t="shared" si="12"/>
        <v>72435.372141661253</v>
      </c>
      <c r="Y36" s="14">
        <f t="shared" si="13"/>
        <v>508.51463810936951</v>
      </c>
      <c r="Z36" s="14">
        <f t="shared" si="14"/>
        <v>292.70510797002942</v>
      </c>
      <c r="AA36" s="14">
        <f t="shared" si="15"/>
        <v>517.62799141412734</v>
      </c>
      <c r="AB36" s="14">
        <f t="shared" si="16"/>
        <v>872.01155243345079</v>
      </c>
      <c r="AC36" s="14">
        <f t="shared" si="17"/>
        <v>517.62799141412734</v>
      </c>
      <c r="AD36" s="33">
        <f t="shared" si="18"/>
        <v>0.95</v>
      </c>
      <c r="AE36" s="33">
        <f t="shared" si="19"/>
        <v>0.55319889113302134</v>
      </c>
      <c r="AF36" s="51">
        <f t="shared" si="20"/>
        <v>218.76854162898755</v>
      </c>
      <c r="AG36" s="51">
        <f>APPLICANTS_PER_YEAR*($H36/Segments!$AH$2)*AE36</f>
        <v>217.7390835499572</v>
      </c>
      <c r="AH36" s="51">
        <f t="shared" si="21"/>
        <v>436.50762517894475</v>
      </c>
      <c r="AI36" s="14">
        <f t="shared" si="22"/>
        <v>517.62799141412734</v>
      </c>
      <c r="AJ36" s="44">
        <f t="shared" si="23"/>
        <v>225948.56525832793</v>
      </c>
      <c r="AK36" s="44">
        <f t="shared" si="24"/>
        <v>143100.17294467348</v>
      </c>
      <c r="AL36" s="44">
        <f t="shared" si="25"/>
        <v>60822.682982612911</v>
      </c>
      <c r="AM36" s="14">
        <f t="shared" si="26"/>
        <v>522.52007725265059</v>
      </c>
      <c r="AN36" s="14">
        <f t="shared" si="27"/>
        <v>301.4862612091303</v>
      </c>
      <c r="AO36" s="14">
        <f t="shared" si="28"/>
        <v>531.90683115655111</v>
      </c>
      <c r="AP36" s="14">
        <f t="shared" si="29"/>
        <v>897.11838750741151</v>
      </c>
      <c r="AQ36" s="14">
        <f t="shared" si="30"/>
        <v>531.90683115655111</v>
      </c>
      <c r="AR36" s="33">
        <f t="shared" si="31"/>
        <v>0.95</v>
      </c>
      <c r="AS36" s="33">
        <f t="shared" si="32"/>
        <v>0.55354702424814761</v>
      </c>
      <c r="AT36" s="51">
        <f t="shared" si="33"/>
        <v>218.90996127997326</v>
      </c>
      <c r="AU36" s="51">
        <f>APPLICANTS_PER_YEAR*($H36/Segments!$AH$2)*AS36</f>
        <v>217.8761087440709</v>
      </c>
      <c r="AV36" s="51">
        <f t="shared" si="34"/>
        <v>436.78607002404419</v>
      </c>
      <c r="AW36" s="14">
        <f t="shared" si="35"/>
        <v>531.90683115655111</v>
      </c>
      <c r="AX36" s="44">
        <f t="shared" si="36"/>
        <v>232329.49439981277</v>
      </c>
      <c r="AY36" s="44">
        <f t="shared" si="37"/>
        <v>147487.19910375192</v>
      </c>
      <c r="AZ36" s="44">
        <f t="shared" si="38"/>
        <v>62149.041231184528</v>
      </c>
    </row>
    <row r="37" spans="1:52" ht="15" customHeight="1" x14ac:dyDescent="0.35">
      <c r="A37" s="59" t="str">
        <f>Segments!$A$17</f>
        <v>Non-greek</v>
      </c>
      <c r="B37" s="59" t="str">
        <f>Segments!$B$17</f>
        <v>On campus</v>
      </c>
      <c r="C37" s="59" t="str">
        <f>Segments!$C$17</f>
        <v>Yes</v>
      </c>
      <c r="D37" s="59" t="str">
        <f>Segments!$D$17</f>
        <v>2.0-3.0</v>
      </c>
      <c r="E37" s="59" t="str">
        <f>Segments!$E$17</f>
        <v>Junior</v>
      </c>
      <c r="F37" s="59">
        <f>Segments!$F$17</f>
        <v>2</v>
      </c>
      <c r="G37" s="59" t="str">
        <f>Segments!$G$17</f>
        <v>Base</v>
      </c>
      <c r="H37" s="60">
        <f>Segments!$H$17</f>
        <v>358</v>
      </c>
      <c r="I37" s="26">
        <f>Segments!$Y$17</f>
        <v>339.71571486627516</v>
      </c>
      <c r="J37" s="29">
        <v>2</v>
      </c>
      <c r="K37" s="14">
        <f t="shared" si="0"/>
        <v>1426.2297754450396</v>
      </c>
      <c r="L37" s="14">
        <f t="shared" si="1"/>
        <v>339.71571486627516</v>
      </c>
      <c r="M37" s="14">
        <f t="shared" si="2"/>
        <v>594.07090315795062</v>
      </c>
      <c r="N37" s="14">
        <f t="shared" si="3"/>
        <v>920.47901160721528</v>
      </c>
      <c r="O37" s="14">
        <f t="shared" si="4"/>
        <v>594.07090315795062</v>
      </c>
      <c r="P37" s="33">
        <f t="shared" si="5"/>
        <v>0.95</v>
      </c>
      <c r="Q37" s="33">
        <f t="shared" si="6"/>
        <v>0.5273033954784776</v>
      </c>
      <c r="R37" s="51">
        <f t="shared" si="7"/>
        <v>311.59999999999997</v>
      </c>
      <c r="S37" s="51">
        <f>APPLICANTS_PER_YEAR*($H37/Segments!$AH$2)*Q37</f>
        <v>226.52953869755396</v>
      </c>
      <c r="T37" s="51">
        <f t="shared" si="8"/>
        <v>538.12953869755393</v>
      </c>
      <c r="U37" s="14">
        <f t="shared" si="9"/>
        <v>594.07090315795062</v>
      </c>
      <c r="V37" s="44">
        <f t="shared" si="10"/>
        <v>319687.10107002722</v>
      </c>
      <c r="W37" s="44">
        <f t="shared" si="11"/>
        <v>204748.38824081427</v>
      </c>
      <c r="X37" s="44">
        <f t="shared" si="12"/>
        <v>81556.802611235398</v>
      </c>
      <c r="Y37" s="14">
        <f t="shared" si="13"/>
        <v>503.76504020789065</v>
      </c>
      <c r="Z37" s="14">
        <f t="shared" si="14"/>
        <v>349.90718631226343</v>
      </c>
      <c r="AA37" s="14">
        <f t="shared" si="15"/>
        <v>610.64303025268907</v>
      </c>
      <c r="AB37" s="14">
        <f t="shared" si="16"/>
        <v>947.12448499223285</v>
      </c>
      <c r="AC37" s="14">
        <f t="shared" si="17"/>
        <v>610.64303025268907</v>
      </c>
      <c r="AD37" s="33">
        <f t="shared" si="18"/>
        <v>0.95</v>
      </c>
      <c r="AE37" s="33">
        <f t="shared" si="19"/>
        <v>0.52763317286761047</v>
      </c>
      <c r="AF37" s="51">
        <f t="shared" si="20"/>
        <v>520.78820965479474</v>
      </c>
      <c r="AG37" s="51">
        <f>APPLICANTS_PER_YEAR*($H37/Segments!$AH$2)*AE37</f>
        <v>226.67121106392543</v>
      </c>
      <c r="AH37" s="51">
        <f t="shared" si="21"/>
        <v>747.45942071872014</v>
      </c>
      <c r="AI37" s="14">
        <f t="shared" si="22"/>
        <v>610.64303025268907</v>
      </c>
      <c r="AJ37" s="44">
        <f t="shared" si="23"/>
        <v>456430.88565859885</v>
      </c>
      <c r="AK37" s="44">
        <f t="shared" si="24"/>
        <v>292926.39352063555</v>
      </c>
      <c r="AL37" s="44">
        <f t="shared" si="25"/>
        <v>111725.93791227699</v>
      </c>
      <c r="AM37" s="14">
        <f t="shared" si="26"/>
        <v>517.62799141412734</v>
      </c>
      <c r="AN37" s="14">
        <f t="shared" si="27"/>
        <v>360.40440190163133</v>
      </c>
      <c r="AO37" s="14">
        <f t="shared" si="28"/>
        <v>627.71232116026977</v>
      </c>
      <c r="AP37" s="14">
        <f t="shared" si="29"/>
        <v>974.56834487182743</v>
      </c>
      <c r="AQ37" s="14">
        <f t="shared" si="30"/>
        <v>627.71232116026977</v>
      </c>
      <c r="AR37" s="33">
        <f t="shared" si="31"/>
        <v>0.95</v>
      </c>
      <c r="AS37" s="33">
        <f t="shared" si="32"/>
        <v>0.52795366817356215</v>
      </c>
      <c r="AT37" s="51">
        <f t="shared" si="33"/>
        <v>414.68224391999752</v>
      </c>
      <c r="AU37" s="51">
        <f>APPLICANTS_PER_YEAR*($H37/Segments!$AH$2)*AS37</f>
        <v>226.80889584736229</v>
      </c>
      <c r="AV37" s="51">
        <f t="shared" si="34"/>
        <v>641.49113976735975</v>
      </c>
      <c r="AW37" s="14">
        <f t="shared" si="35"/>
        <v>627.71232116026988</v>
      </c>
      <c r="AX37" s="44">
        <f t="shared" si="36"/>
        <v>402671.89234711649</v>
      </c>
      <c r="AY37" s="44">
        <f t="shared" si="37"/>
        <v>258939.77821941723</v>
      </c>
      <c r="AZ37" s="44">
        <f t="shared" si="38"/>
        <v>99588.008691661351</v>
      </c>
    </row>
    <row r="38" spans="1:52" ht="15" customHeight="1" x14ac:dyDescent="0.35">
      <c r="A38" s="59" t="str">
        <f>Segments!$A$18</f>
        <v>Non-greek</v>
      </c>
      <c r="B38" s="59" t="str">
        <f>Segments!$B$18</f>
        <v>On campus</v>
      </c>
      <c r="C38" s="59" t="str">
        <f>Segments!$C$18</f>
        <v>Yes</v>
      </c>
      <c r="D38" s="59" t="str">
        <f>Segments!$D$18</f>
        <v>2.0-3.0</v>
      </c>
      <c r="E38" s="59" t="str">
        <f>Segments!$E$18</f>
        <v>Senior</v>
      </c>
      <c r="F38" s="59">
        <f>Segments!$F$18</f>
        <v>3</v>
      </c>
      <c r="G38" s="59" t="str">
        <f>Segments!$G$18</f>
        <v>Base</v>
      </c>
      <c r="H38" s="60">
        <f>Segments!$H$18</f>
        <v>343</v>
      </c>
      <c r="I38" s="26">
        <f>Segments!$Y$18</f>
        <v>317.52801744457599</v>
      </c>
      <c r="J38" s="29">
        <v>3</v>
      </c>
      <c r="K38" s="14">
        <f t="shared" si="0"/>
        <v>1426.2297754450396</v>
      </c>
      <c r="L38" s="14">
        <f t="shared" si="1"/>
        <v>317.52801744457599</v>
      </c>
      <c r="M38" s="14">
        <f t="shared" si="2"/>
        <v>557.99197740511045</v>
      </c>
      <c r="N38" s="14">
        <f t="shared" si="3"/>
        <v>892.09011463787908</v>
      </c>
      <c r="O38" s="14">
        <f t="shared" si="4"/>
        <v>557.99197740511045</v>
      </c>
      <c r="P38" s="33">
        <f t="shared" si="5"/>
        <v>0.95</v>
      </c>
      <c r="Q38" s="33">
        <f t="shared" si="6"/>
        <v>0.53725582301087771</v>
      </c>
      <c r="R38" s="51">
        <f t="shared" si="7"/>
        <v>340.09999999999997</v>
      </c>
      <c r="S38" s="51">
        <f>APPLICANTS_PER_YEAR*($H38/Segments!$AH$2)*Q38</f>
        <v>221.13449675127725</v>
      </c>
      <c r="T38" s="51">
        <f t="shared" si="8"/>
        <v>561.23449675127722</v>
      </c>
      <c r="U38" s="14">
        <f t="shared" si="9"/>
        <v>557.99197740511045</v>
      </c>
      <c r="V38" s="44">
        <f t="shared" si="10"/>
        <v>313164.3466302072</v>
      </c>
      <c r="W38" s="44">
        <f t="shared" si="11"/>
        <v>199592.59832392988</v>
      </c>
      <c r="X38" s="44">
        <f t="shared" si="12"/>
        <v>80259.808495932171</v>
      </c>
      <c r="Y38" s="14">
        <f t="shared" si="13"/>
        <v>594.07090315795062</v>
      </c>
      <c r="Z38" s="14">
        <f t="shared" si="14"/>
        <v>327.0538579679133</v>
      </c>
      <c r="AA38" s="14">
        <f t="shared" si="15"/>
        <v>573.48173672726375</v>
      </c>
      <c r="AB38" s="14">
        <f t="shared" si="16"/>
        <v>917.85305493427836</v>
      </c>
      <c r="AC38" s="14">
        <f t="shared" si="17"/>
        <v>573.48173672726375</v>
      </c>
      <c r="AD38" s="33">
        <f t="shared" si="18"/>
        <v>0.95</v>
      </c>
      <c r="AE38" s="33">
        <f t="shared" si="19"/>
        <v>0.53759610612816056</v>
      </c>
      <c r="AF38" s="51">
        <f t="shared" si="20"/>
        <v>511.2230617626762</v>
      </c>
      <c r="AG38" s="51">
        <f>APPLICANTS_PER_YEAR*($H38/Segments!$AH$2)*AE38</f>
        <v>221.27455728235086</v>
      </c>
      <c r="AH38" s="51">
        <f t="shared" si="21"/>
        <v>732.49761904502702</v>
      </c>
      <c r="AI38" s="14">
        <f t="shared" si="22"/>
        <v>573.48173672726375</v>
      </c>
      <c r="AJ38" s="44">
        <f t="shared" si="23"/>
        <v>420074.00671852776</v>
      </c>
      <c r="AK38" s="44">
        <f t="shared" si="24"/>
        <v>268314.11293230538</v>
      </c>
      <c r="AL38" s="44">
        <f t="shared" si="25"/>
        <v>104017.19569189541</v>
      </c>
      <c r="AM38" s="14">
        <f t="shared" si="26"/>
        <v>610.64303025268907</v>
      </c>
      <c r="AN38" s="14">
        <f t="shared" si="27"/>
        <v>336.86547370695064</v>
      </c>
      <c r="AO38" s="14">
        <f t="shared" si="28"/>
        <v>589.43618882908163</v>
      </c>
      <c r="AP38" s="14">
        <f t="shared" si="29"/>
        <v>944.38780917892177</v>
      </c>
      <c r="AQ38" s="14">
        <f t="shared" si="30"/>
        <v>589.43618882908163</v>
      </c>
      <c r="AR38" s="33">
        <f t="shared" si="31"/>
        <v>0.95</v>
      </c>
      <c r="AS38" s="33">
        <f t="shared" si="32"/>
        <v>0.53792683307636369</v>
      </c>
      <c r="AT38" s="51">
        <f t="shared" si="33"/>
        <v>710.08644968278406</v>
      </c>
      <c r="AU38" s="51">
        <f>APPLICANTS_PER_YEAR*($H38/Segments!$AH$2)*AS38</f>
        <v>221.41068449423128</v>
      </c>
      <c r="AV38" s="51">
        <f t="shared" si="34"/>
        <v>931.49713417701537</v>
      </c>
      <c r="AW38" s="14">
        <f t="shared" si="35"/>
        <v>589.43618882908163</v>
      </c>
      <c r="AX38" s="44">
        <f t="shared" si="36"/>
        <v>549058.12067451165</v>
      </c>
      <c r="AY38" s="44">
        <f t="shared" si="37"/>
        <v>351443.93016455212</v>
      </c>
      <c r="AZ38" s="44">
        <f t="shared" si="38"/>
        <v>132504.9560545799</v>
      </c>
    </row>
    <row r="39" spans="1:52" ht="15" customHeight="1" x14ac:dyDescent="0.35">
      <c r="A39" s="59" t="str">
        <f>Segments!$A$19</f>
        <v>Non-greek</v>
      </c>
      <c r="B39" s="59" t="str">
        <f>Segments!$B$19</f>
        <v>On campus</v>
      </c>
      <c r="C39" s="59" t="str">
        <f>Segments!$C$19</f>
        <v>Yes</v>
      </c>
      <c r="D39" s="59" t="str">
        <f>Segments!$D$19</f>
        <v>2.0-3.0</v>
      </c>
      <c r="E39" s="59" t="str">
        <f>Segments!$E$19</f>
        <v>Grad student</v>
      </c>
      <c r="F39" s="59">
        <f>Segments!$F$19</f>
        <v>3</v>
      </c>
      <c r="G39" s="59" t="str">
        <f>Segments!$G$19</f>
        <v>Grad</v>
      </c>
      <c r="H39" s="60">
        <f>Segments!$H$19</f>
        <v>146</v>
      </c>
      <c r="I39" s="26">
        <f>Segments!$Y$19</f>
        <v>378.0743953878204</v>
      </c>
      <c r="J39" s="29">
        <v>4</v>
      </c>
      <c r="K39" s="14">
        <f t="shared" si="0"/>
        <v>1426.2297754450396</v>
      </c>
      <c r="L39" s="14">
        <f t="shared" si="1"/>
        <v>378.0743953878204</v>
      </c>
      <c r="M39" s="14">
        <f t="shared" si="2"/>
        <v>656.44510811534633</v>
      </c>
      <c r="N39" s="14">
        <f t="shared" si="3"/>
        <v>967.5957622578477</v>
      </c>
      <c r="O39" s="14">
        <f t="shared" si="4"/>
        <v>656.44510811534633</v>
      </c>
      <c r="P39" s="33">
        <f t="shared" si="5"/>
        <v>0.95</v>
      </c>
      <c r="Q39" s="33">
        <f t="shared" si="6"/>
        <v>0.51078545725357616</v>
      </c>
      <c r="R39" s="51">
        <f t="shared" si="7"/>
        <v>69.349999999999994</v>
      </c>
      <c r="S39" s="51">
        <f>APPLICANTS_PER_YEAR*($H39/Segments!$AH$2)*Q39</f>
        <v>89.489612110826542</v>
      </c>
      <c r="T39" s="51">
        <f t="shared" si="8"/>
        <v>158.83961211082652</v>
      </c>
      <c r="U39" s="14">
        <f t="shared" si="9"/>
        <v>656.44510811534633</v>
      </c>
      <c r="V39" s="44">
        <f t="shared" si="10"/>
        <v>104269.48634509119</v>
      </c>
      <c r="W39" s="44">
        <f t="shared" si="11"/>
        <v>67259.573149929056</v>
      </c>
      <c r="X39" s="44">
        <f t="shared" si="12"/>
        <v>27177.041097614649</v>
      </c>
      <c r="Y39" s="14">
        <f t="shared" si="13"/>
        <v>656.44510811534633</v>
      </c>
      <c r="Z39" s="14">
        <f t="shared" si="14"/>
        <v>389.41662724945502</v>
      </c>
      <c r="AA39" s="14">
        <f t="shared" si="15"/>
        <v>674.88846135880681</v>
      </c>
      <c r="AB39" s="14">
        <f t="shared" si="16"/>
        <v>995.70196306678326</v>
      </c>
      <c r="AC39" s="14">
        <f t="shared" si="17"/>
        <v>674.88846135880681</v>
      </c>
      <c r="AD39" s="33">
        <f t="shared" si="18"/>
        <v>0.95</v>
      </c>
      <c r="AE39" s="33">
        <f t="shared" si="19"/>
        <v>0.51109916099786723</v>
      </c>
      <c r="AF39" s="51">
        <f t="shared" si="20"/>
        <v>75.448815752642588</v>
      </c>
      <c r="AG39" s="51">
        <f>APPLICANTS_PER_YEAR*($H39/Segments!$AH$2)*AE39</f>
        <v>89.544573006826326</v>
      </c>
      <c r="AH39" s="51">
        <f t="shared" si="21"/>
        <v>164.99338875946893</v>
      </c>
      <c r="AI39" s="14">
        <f t="shared" si="22"/>
        <v>674.88846135880669</v>
      </c>
      <c r="AJ39" s="44">
        <f t="shared" si="23"/>
        <v>111352.13427425342</v>
      </c>
      <c r="AK39" s="44">
        <f t="shared" si="24"/>
        <v>71961.309245470999</v>
      </c>
      <c r="AL39" s="44">
        <f t="shared" si="25"/>
        <v>28699.176446680227</v>
      </c>
      <c r="AM39" s="14">
        <f t="shared" si="26"/>
        <v>674.88846135880669</v>
      </c>
      <c r="AN39" s="14">
        <f t="shared" si="27"/>
        <v>401.09912606693865</v>
      </c>
      <c r="AO39" s="14">
        <f t="shared" si="28"/>
        <v>693.88511519957092</v>
      </c>
      <c r="AP39" s="14">
        <f t="shared" si="29"/>
        <v>1024.6505084216355</v>
      </c>
      <c r="AQ39" s="14">
        <f t="shared" si="30"/>
        <v>693.88511519957092</v>
      </c>
      <c r="AR39" s="33">
        <f t="shared" si="31"/>
        <v>0.95</v>
      </c>
      <c r="AS39" s="33">
        <f t="shared" si="32"/>
        <v>0.51140400580661072</v>
      </c>
      <c r="AT39" s="51">
        <f t="shared" si="33"/>
        <v>78.371859660747731</v>
      </c>
      <c r="AU39" s="51">
        <f>APPLICANTS_PER_YEAR*($H39/Segments!$AH$2)*AS39</f>
        <v>89.597981817318185</v>
      </c>
      <c r="AV39" s="51">
        <f t="shared" si="34"/>
        <v>167.96984147806592</v>
      </c>
      <c r="AW39" s="14">
        <f t="shared" si="35"/>
        <v>693.88511519957092</v>
      </c>
      <c r="AX39" s="44">
        <f t="shared" si="36"/>
        <v>116551.77280406143</v>
      </c>
      <c r="AY39" s="44">
        <f t="shared" si="37"/>
        <v>75457.263417149006</v>
      </c>
      <c r="AZ39" s="44">
        <f t="shared" si="38"/>
        <v>29803.606142685447</v>
      </c>
    </row>
    <row r="40" spans="1:52" ht="15" customHeight="1" x14ac:dyDescent="0.35">
      <c r="A40" s="61" t="str">
        <f>Segments!$A$20</f>
        <v>Non-greek</v>
      </c>
      <c r="B40" s="61" t="str">
        <f>Segments!$B$20</f>
        <v>On campus</v>
      </c>
      <c r="C40" s="61" t="str">
        <f>Segments!$C$20</f>
        <v>Yes</v>
      </c>
      <c r="D40" s="61" t="str">
        <f>Segments!$D$20</f>
        <v>3.0+</v>
      </c>
      <c r="E40" s="61" t="str">
        <f>Segments!$E$20</f>
        <v>Freshman</v>
      </c>
      <c r="F40" s="61">
        <f>Segments!$F$20</f>
        <v>1</v>
      </c>
      <c r="G40" s="61" t="str">
        <f>Segments!$G$20</f>
        <v>Base</v>
      </c>
      <c r="H40" s="62">
        <f>Segments!$H$20</f>
        <v>217</v>
      </c>
      <c r="I40" s="63">
        <f>Segments!$Y$20</f>
        <v>251.65735427974647</v>
      </c>
      <c r="J40" s="42">
        <v>0</v>
      </c>
      <c r="K40" s="40">
        <f t="shared" si="0"/>
        <v>450.88114384515706</v>
      </c>
      <c r="L40" s="40">
        <f t="shared" si="1"/>
        <v>251.65735427974647</v>
      </c>
      <c r="M40" s="40">
        <f t="shared" si="2"/>
        <v>450.88114384515706</v>
      </c>
      <c r="N40" s="40">
        <f t="shared" si="3"/>
        <v>801.91028958274444</v>
      </c>
      <c r="O40" s="40">
        <f t="shared" si="4"/>
        <v>450.88114384515706</v>
      </c>
      <c r="P40" s="41">
        <f t="shared" si="5"/>
        <v>0.95</v>
      </c>
      <c r="Q40" s="41">
        <f t="shared" si="6"/>
        <v>0.56887058334183327</v>
      </c>
      <c r="R40" s="64">
        <f t="shared" si="7"/>
        <v>0</v>
      </c>
      <c r="S40" s="64">
        <f>APPLICANTS_PER_YEAR*($H40/Segments!$AH$2)*Q40</f>
        <v>148.13389990221341</v>
      </c>
      <c r="T40" s="64">
        <f t="shared" si="8"/>
        <v>148.13389990221341</v>
      </c>
      <c r="U40" s="40">
        <f t="shared" si="9"/>
        <v>450.88114384515706</v>
      </c>
      <c r="V40" s="65">
        <f t="shared" si="10"/>
        <v>66790.782230153985</v>
      </c>
      <c r="W40" s="65">
        <f t="shared" si="11"/>
        <v>41752.463567955645</v>
      </c>
      <c r="X40" s="65">
        <f t="shared" si="12"/>
        <v>21627.160715154099</v>
      </c>
      <c r="Y40" s="40">
        <f t="shared" si="13"/>
        <v>463.15757816051172</v>
      </c>
      <c r="Z40" s="40">
        <f t="shared" si="14"/>
        <v>259.20707490813885</v>
      </c>
      <c r="AA40" s="40">
        <f t="shared" si="15"/>
        <v>463.15757816051172</v>
      </c>
      <c r="AB40" s="40">
        <f t="shared" si="16"/>
        <v>824.85526158011567</v>
      </c>
      <c r="AC40" s="40">
        <f t="shared" si="17"/>
        <v>463.15757816051172</v>
      </c>
      <c r="AD40" s="41">
        <f t="shared" si="18"/>
        <v>0.95</v>
      </c>
      <c r="AE40" s="41">
        <f t="shared" si="19"/>
        <v>0.56924918241215172</v>
      </c>
      <c r="AF40" s="64">
        <f t="shared" si="20"/>
        <v>0</v>
      </c>
      <c r="AG40" s="64">
        <f>APPLICANTS_PER_YEAR*($H40/Segments!$AH$2)*AE40</f>
        <v>148.23248710012433</v>
      </c>
      <c r="AH40" s="64">
        <f t="shared" si="21"/>
        <v>148.23248710012433</v>
      </c>
      <c r="AI40" s="40">
        <f t="shared" si="22"/>
        <v>463.15757816051172</v>
      </c>
      <c r="AJ40" s="65">
        <f t="shared" si="23"/>
        <v>68654.999730002877</v>
      </c>
      <c r="AK40" s="65">
        <f t="shared" si="24"/>
        <v>43033.658514091454</v>
      </c>
      <c r="AL40" s="65">
        <f t="shared" si="25"/>
        <v>22049.181859026237</v>
      </c>
      <c r="AM40" s="40">
        <f t="shared" si="26"/>
        <v>475.80230550532713</v>
      </c>
      <c r="AN40" s="40">
        <f t="shared" si="27"/>
        <v>266.98328715538304</v>
      </c>
      <c r="AO40" s="40">
        <f t="shared" si="28"/>
        <v>475.80230550532713</v>
      </c>
      <c r="AP40" s="40">
        <f t="shared" si="29"/>
        <v>848.48710263098519</v>
      </c>
      <c r="AQ40" s="40">
        <f t="shared" si="30"/>
        <v>475.80230550532713</v>
      </c>
      <c r="AR40" s="41">
        <f t="shared" si="31"/>
        <v>0.95</v>
      </c>
      <c r="AS40" s="41">
        <f t="shared" si="32"/>
        <v>0.56961724342658748</v>
      </c>
      <c r="AT40" s="64">
        <f t="shared" si="33"/>
        <v>0</v>
      </c>
      <c r="AU40" s="64">
        <f>APPLICANTS_PER_YEAR*($H40/Segments!$AH$2)*AS40</f>
        <v>148.32833018828339</v>
      </c>
      <c r="AV40" s="64">
        <f t="shared" si="34"/>
        <v>148.32833018828339</v>
      </c>
      <c r="AW40" s="40">
        <f t="shared" si="35"/>
        <v>475.80230550532713</v>
      </c>
      <c r="AX40" s="65">
        <f t="shared" si="36"/>
        <v>70574.961475340649</v>
      </c>
      <c r="AY40" s="65">
        <f t="shared" si="37"/>
        <v>44353.327392569372</v>
      </c>
      <c r="AZ40" s="65">
        <f t="shared" si="38"/>
        <v>22483.566228949057</v>
      </c>
    </row>
    <row r="41" spans="1:52" ht="15" customHeight="1" x14ac:dyDescent="0.35">
      <c r="A41" s="61" t="str">
        <f>Segments!$A$21</f>
        <v>Non-greek</v>
      </c>
      <c r="B41" s="61" t="str">
        <f>Segments!$B$21</f>
        <v>On campus</v>
      </c>
      <c r="C41" s="61" t="str">
        <f>Segments!$C$21</f>
        <v>Yes</v>
      </c>
      <c r="D41" s="61" t="str">
        <f>Segments!$D$21</f>
        <v>3.0+</v>
      </c>
      <c r="E41" s="61" t="str">
        <f>Segments!$E$21</f>
        <v>Sophomore</v>
      </c>
      <c r="F41" s="61">
        <f>Segments!$F$21</f>
        <v>1</v>
      </c>
      <c r="G41" s="61" t="str">
        <f>Segments!$G$21</f>
        <v>Sophomore</v>
      </c>
      <c r="H41" s="62">
        <f>Segments!$H$21</f>
        <v>216</v>
      </c>
      <c r="I41" s="63">
        <f>Segments!$Y$21</f>
        <v>249.0970534647187</v>
      </c>
      <c r="J41" s="42">
        <v>1</v>
      </c>
      <c r="K41" s="40">
        <f t="shared" si="0"/>
        <v>1426.2297754450396</v>
      </c>
      <c r="L41" s="40">
        <f t="shared" si="1"/>
        <v>249.0970534647187</v>
      </c>
      <c r="M41" s="40">
        <f t="shared" si="2"/>
        <v>446.71789511976277</v>
      </c>
      <c r="N41" s="40">
        <f t="shared" si="3"/>
        <v>798.19945079155502</v>
      </c>
      <c r="O41" s="40">
        <f t="shared" si="4"/>
        <v>446.71789511976277</v>
      </c>
      <c r="P41" s="41">
        <f t="shared" si="5"/>
        <v>0.95</v>
      </c>
      <c r="Q41" s="41">
        <f t="shared" si="6"/>
        <v>0.57017150934095262</v>
      </c>
      <c r="R41" s="64">
        <f t="shared" si="7"/>
        <v>206.14999999999998</v>
      </c>
      <c r="S41" s="64">
        <f>APPLICANTS_PER_YEAR*($H41/Segments!$AH$2)*Q41</f>
        <v>147.7884552211749</v>
      </c>
      <c r="T41" s="64">
        <f t="shared" si="8"/>
        <v>353.93845522117488</v>
      </c>
      <c r="U41" s="40">
        <f t="shared" si="9"/>
        <v>446.71789511976277</v>
      </c>
      <c r="V41" s="65">
        <f t="shared" si="10"/>
        <v>158110.64171834366</v>
      </c>
      <c r="W41" s="65">
        <f t="shared" si="11"/>
        <v>98744.829459862827</v>
      </c>
      <c r="X41" s="65">
        <f t="shared" si="12"/>
        <v>42967.082937098981</v>
      </c>
      <c r="Y41" s="40">
        <f t="shared" si="13"/>
        <v>450.88114384515706</v>
      </c>
      <c r="Z41" s="40">
        <f t="shared" si="14"/>
        <v>256.56996506866028</v>
      </c>
      <c r="AA41" s="40">
        <f t="shared" si="15"/>
        <v>458.86943197335569</v>
      </c>
      <c r="AB41" s="40">
        <f t="shared" si="16"/>
        <v>821.02791933624917</v>
      </c>
      <c r="AC41" s="40">
        <f t="shared" si="17"/>
        <v>458.86943197335569</v>
      </c>
      <c r="AD41" s="41">
        <f t="shared" si="18"/>
        <v>0.95</v>
      </c>
      <c r="AE41" s="41">
        <f t="shared" si="19"/>
        <v>0.57055187091303572</v>
      </c>
      <c r="AF41" s="64">
        <f t="shared" si="20"/>
        <v>140.72720490710273</v>
      </c>
      <c r="AG41" s="64">
        <f>APPLICANTS_PER_YEAR*($H41/Segments!$AH$2)*AE41</f>
        <v>147.88704494065885</v>
      </c>
      <c r="AH41" s="64">
        <f t="shared" si="21"/>
        <v>288.61424984776158</v>
      </c>
      <c r="AI41" s="40">
        <f t="shared" si="22"/>
        <v>458.86943197335569</v>
      </c>
      <c r="AJ41" s="65">
        <f t="shared" si="23"/>
        <v>132436.25688705852</v>
      </c>
      <c r="AK41" s="65">
        <f t="shared" si="24"/>
        <v>82935.717761968714</v>
      </c>
      <c r="AL41" s="65">
        <f t="shared" si="25"/>
        <v>36875.043222910608</v>
      </c>
      <c r="AM41" s="40">
        <f t="shared" si="26"/>
        <v>463.15757816051172</v>
      </c>
      <c r="AN41" s="40">
        <f t="shared" si="27"/>
        <v>264.26706402072006</v>
      </c>
      <c r="AO41" s="40">
        <f t="shared" si="28"/>
        <v>471.3855149325563</v>
      </c>
      <c r="AP41" s="40">
        <f t="shared" si="29"/>
        <v>844.53974103550729</v>
      </c>
      <c r="AQ41" s="40">
        <f t="shared" si="30"/>
        <v>471.3855149325563</v>
      </c>
      <c r="AR41" s="41">
        <f t="shared" si="31"/>
        <v>0.95</v>
      </c>
      <c r="AS41" s="41">
        <f t="shared" si="32"/>
        <v>0.57092164996606254</v>
      </c>
      <c r="AT41" s="64">
        <f t="shared" si="33"/>
        <v>140.82086274511812</v>
      </c>
      <c r="AU41" s="64">
        <f>APPLICANTS_PER_YEAR*($H41/Segments!$AH$2)*AS41</f>
        <v>147.98289167120339</v>
      </c>
      <c r="AV41" s="64">
        <f t="shared" si="34"/>
        <v>288.80375441632151</v>
      </c>
      <c r="AW41" s="40">
        <f t="shared" si="35"/>
        <v>471.38551493255636</v>
      </c>
      <c r="AX41" s="65">
        <f t="shared" si="36"/>
        <v>136137.90648999327</v>
      </c>
      <c r="AY41" s="65">
        <f t="shared" si="37"/>
        <v>85479.878688693832</v>
      </c>
      <c r="AZ41" s="65">
        <f t="shared" si="38"/>
        <v>37647.206412422602</v>
      </c>
    </row>
    <row r="42" spans="1:52" ht="15" customHeight="1" x14ac:dyDescent="0.35">
      <c r="A42" s="61" t="str">
        <f>Segments!$A$22</f>
        <v>Non-greek</v>
      </c>
      <c r="B42" s="61" t="str">
        <f>Segments!$B$22</f>
        <v>On campus</v>
      </c>
      <c r="C42" s="61" t="str">
        <f>Segments!$C$22</f>
        <v>Yes</v>
      </c>
      <c r="D42" s="61" t="str">
        <f>Segments!$D$22</f>
        <v>3.0+</v>
      </c>
      <c r="E42" s="61" t="str">
        <f>Segments!$E$22</f>
        <v>Junior</v>
      </c>
      <c r="F42" s="61">
        <f>Segments!$F$22</f>
        <v>2</v>
      </c>
      <c r="G42" s="61" t="str">
        <f>Segments!$G$22</f>
        <v>Base</v>
      </c>
      <c r="H42" s="62">
        <f>Segments!$H$22</f>
        <v>207</v>
      </c>
      <c r="I42" s="63">
        <f>Segments!$Y$22</f>
        <v>297.77700054841449</v>
      </c>
      <c r="J42" s="42">
        <v>2</v>
      </c>
      <c r="K42" s="40">
        <f t="shared" si="0"/>
        <v>1426.2297754450396</v>
      </c>
      <c r="L42" s="40">
        <f t="shared" si="1"/>
        <v>297.77700054841449</v>
      </c>
      <c r="M42" s="40">
        <f t="shared" si="2"/>
        <v>525.87528414955898</v>
      </c>
      <c r="N42" s="40">
        <f t="shared" si="3"/>
        <v>866.03636668717445</v>
      </c>
      <c r="O42" s="40">
        <f t="shared" si="4"/>
        <v>525.87528414955898</v>
      </c>
      <c r="P42" s="41">
        <f t="shared" si="5"/>
        <v>0.95</v>
      </c>
      <c r="Q42" s="41">
        <f t="shared" si="6"/>
        <v>0.5463896065004894</v>
      </c>
      <c r="R42" s="64">
        <f t="shared" si="7"/>
        <v>205.2</v>
      </c>
      <c r="S42" s="64">
        <f>APPLICANTS_PER_YEAR*($H42/Segments!$AH$2)*Q42</f>
        <v>135.72317825472157</v>
      </c>
      <c r="T42" s="64">
        <f t="shared" si="8"/>
        <v>340.92317825472156</v>
      </c>
      <c r="U42" s="40">
        <f t="shared" si="9"/>
        <v>525.87528414955898</v>
      </c>
      <c r="V42" s="65">
        <f t="shared" si="10"/>
        <v>179283.07323787245</v>
      </c>
      <c r="W42" s="65">
        <f t="shared" si="11"/>
        <v>113701.37121069826</v>
      </c>
      <c r="X42" s="65">
        <f t="shared" si="12"/>
        <v>46594.115135983768</v>
      </c>
      <c r="Y42" s="40">
        <f t="shared" si="13"/>
        <v>446.71789511976277</v>
      </c>
      <c r="Z42" s="40">
        <f t="shared" si="14"/>
        <v>306.71031056486692</v>
      </c>
      <c r="AA42" s="40">
        <f t="shared" si="15"/>
        <v>540.40154267404569</v>
      </c>
      <c r="AB42" s="40">
        <f t="shared" si="16"/>
        <v>890.98758351836852</v>
      </c>
      <c r="AC42" s="40">
        <f t="shared" si="17"/>
        <v>540.40154267404569</v>
      </c>
      <c r="AD42" s="41">
        <f t="shared" si="18"/>
        <v>0.95</v>
      </c>
      <c r="AE42" s="41">
        <f t="shared" si="19"/>
        <v>0.54674013831927604</v>
      </c>
      <c r="AF42" s="64">
        <f t="shared" si="20"/>
        <v>336.2415324601161</v>
      </c>
      <c r="AG42" s="64">
        <f>APPLICANTS_PER_YEAR*($H42/Segments!$AH$2)*AE42</f>
        <v>135.81025035850817</v>
      </c>
      <c r="AH42" s="64">
        <f t="shared" si="21"/>
        <v>472.05178281862425</v>
      </c>
      <c r="AI42" s="40">
        <f t="shared" si="22"/>
        <v>540.40154267404569</v>
      </c>
      <c r="AJ42" s="65">
        <f t="shared" si="23"/>
        <v>255097.5116572181</v>
      </c>
      <c r="AK42" s="65">
        <f t="shared" si="24"/>
        <v>162157.12678031929</v>
      </c>
      <c r="AL42" s="65">
        <f t="shared" si="25"/>
        <v>63618.444026713427</v>
      </c>
      <c r="AM42" s="40">
        <f t="shared" si="26"/>
        <v>458.86943197335569</v>
      </c>
      <c r="AN42" s="40">
        <f t="shared" si="27"/>
        <v>315.9116198818129</v>
      </c>
      <c r="AO42" s="40">
        <f t="shared" si="28"/>
        <v>555.36358895426702</v>
      </c>
      <c r="AP42" s="40">
        <f t="shared" si="29"/>
        <v>916.68616246159161</v>
      </c>
      <c r="AQ42" s="40">
        <f t="shared" si="30"/>
        <v>555.36358895426702</v>
      </c>
      <c r="AR42" s="41">
        <f t="shared" si="31"/>
        <v>0.95</v>
      </c>
      <c r="AS42" s="41">
        <f t="shared" si="32"/>
        <v>0.54708084855184214</v>
      </c>
      <c r="AT42" s="64">
        <f t="shared" si="33"/>
        <v>274.18353735537352</v>
      </c>
      <c r="AU42" s="64">
        <f>APPLICANTS_PER_YEAR*($H42/Segments!$AH$2)*AS42</f>
        <v>135.89488278027758</v>
      </c>
      <c r="AV42" s="64">
        <f t="shared" si="34"/>
        <v>410.07842013565107</v>
      </c>
      <c r="AW42" s="40">
        <f t="shared" si="35"/>
        <v>555.36358895426702</v>
      </c>
      <c r="AX42" s="65">
        <f t="shared" si="36"/>
        <v>227742.62315923095</v>
      </c>
      <c r="AY42" s="65">
        <f t="shared" si="37"/>
        <v>145094.36254166355</v>
      </c>
      <c r="AZ42" s="65">
        <f t="shared" si="38"/>
        <v>57283.783693062716</v>
      </c>
    </row>
    <row r="43" spans="1:52" ht="15" customHeight="1" x14ac:dyDescent="0.35">
      <c r="A43" s="61" t="str">
        <f>Segments!$A$23</f>
        <v>Non-greek</v>
      </c>
      <c r="B43" s="61" t="str">
        <f>Segments!$B$23</f>
        <v>On campus</v>
      </c>
      <c r="C43" s="61" t="str">
        <f>Segments!$C$23</f>
        <v>Yes</v>
      </c>
      <c r="D43" s="61" t="str">
        <f>Segments!$D$23</f>
        <v>3.0+</v>
      </c>
      <c r="E43" s="61" t="str">
        <f>Segments!$E$23</f>
        <v>Senior</v>
      </c>
      <c r="F43" s="61">
        <f>Segments!$F$23</f>
        <v>3</v>
      </c>
      <c r="G43" s="61" t="str">
        <f>Segments!$G$23</f>
        <v>Base</v>
      </c>
      <c r="H43" s="62">
        <f>Segments!$H$23</f>
        <v>197</v>
      </c>
      <c r="I43" s="63">
        <f>Segments!$Y$23</f>
        <v>278.32842723201634</v>
      </c>
      <c r="J43" s="42">
        <v>3</v>
      </c>
      <c r="K43" s="40">
        <f t="shared" si="0"/>
        <v>1426.2297754450396</v>
      </c>
      <c r="L43" s="40">
        <f t="shared" si="1"/>
        <v>278.32842723201634</v>
      </c>
      <c r="M43" s="40">
        <f t="shared" si="2"/>
        <v>494.25038773309882</v>
      </c>
      <c r="N43" s="40">
        <f t="shared" si="3"/>
        <v>839.59193630608513</v>
      </c>
      <c r="O43" s="40">
        <f t="shared" si="4"/>
        <v>494.25038773309882</v>
      </c>
      <c r="P43" s="41">
        <f t="shared" si="5"/>
        <v>0.95</v>
      </c>
      <c r="Q43" s="41">
        <f t="shared" si="6"/>
        <v>0.55566035334520358</v>
      </c>
      <c r="R43" s="64">
        <f t="shared" si="7"/>
        <v>196.64999999999998</v>
      </c>
      <c r="S43" s="64">
        <f>APPLICANTS_PER_YEAR*($H43/Segments!$AH$2)*Q43</f>
        <v>131.35810753080611</v>
      </c>
      <c r="T43" s="64">
        <f t="shared" si="8"/>
        <v>328.00810753080611</v>
      </c>
      <c r="U43" s="40">
        <f t="shared" si="9"/>
        <v>494.25038773309876</v>
      </c>
      <c r="V43" s="65">
        <f t="shared" si="10"/>
        <v>162118.13432670088</v>
      </c>
      <c r="W43" s="65">
        <f t="shared" si="11"/>
        <v>102249.25837100729</v>
      </c>
      <c r="X43" s="65">
        <f t="shared" si="12"/>
        <v>42756.775071897297</v>
      </c>
      <c r="Y43" s="40">
        <f t="shared" si="13"/>
        <v>525.87528414955898</v>
      </c>
      <c r="Z43" s="40">
        <f t="shared" si="14"/>
        <v>286.67828004897683</v>
      </c>
      <c r="AA43" s="40">
        <f t="shared" si="15"/>
        <v>507.82789936509175</v>
      </c>
      <c r="AB43" s="40">
        <f t="shared" si="16"/>
        <v>863.7173432335876</v>
      </c>
      <c r="AC43" s="40">
        <f t="shared" si="17"/>
        <v>507.82789936509175</v>
      </c>
      <c r="AD43" s="41">
        <f t="shared" si="18"/>
        <v>0.95</v>
      </c>
      <c r="AE43" s="41">
        <f t="shared" si="19"/>
        <v>0.55602193915437415</v>
      </c>
      <c r="AF43" s="64">
        <f t="shared" si="20"/>
        <v>323.87701934198549</v>
      </c>
      <c r="AG43" s="64">
        <f>APPLICANTS_PER_YEAR*($H43/Segments!$AH$2)*AE43</f>
        <v>131.44358641609404</v>
      </c>
      <c r="AH43" s="64">
        <f t="shared" si="21"/>
        <v>455.32060575807952</v>
      </c>
      <c r="AI43" s="40">
        <f t="shared" si="22"/>
        <v>507.8278993650917</v>
      </c>
      <c r="AJ43" s="65">
        <f t="shared" si="23"/>
        <v>231224.50675976661</v>
      </c>
      <c r="AK43" s="65">
        <f t="shared" si="24"/>
        <v>146194.19150513463</v>
      </c>
      <c r="AL43" s="65">
        <f t="shared" si="25"/>
        <v>58430.2087662743</v>
      </c>
      <c r="AM43" s="40">
        <f t="shared" si="26"/>
        <v>540.40154267404569</v>
      </c>
      <c r="AN43" s="40">
        <f t="shared" si="27"/>
        <v>295.27862845044609</v>
      </c>
      <c r="AO43" s="40">
        <f t="shared" si="28"/>
        <v>521.8127363460444</v>
      </c>
      <c r="AP43" s="40">
        <f t="shared" si="29"/>
        <v>888.56522319173405</v>
      </c>
      <c r="AQ43" s="40">
        <f t="shared" si="30"/>
        <v>521.8127363460444</v>
      </c>
      <c r="AR43" s="41">
        <f t="shared" si="31"/>
        <v>0.95</v>
      </c>
      <c r="AS43" s="41">
        <f t="shared" si="32"/>
        <v>0.55637341934692852</v>
      </c>
      <c r="AT43" s="64">
        <f t="shared" si="33"/>
        <v>448.44919367769302</v>
      </c>
      <c r="AU43" s="64">
        <f>APPLICANTS_PER_YEAR*($H43/Segments!$AH$2)*AS43</f>
        <v>131.52667633361389</v>
      </c>
      <c r="AV43" s="64">
        <f t="shared" si="34"/>
        <v>579.97587001130694</v>
      </c>
      <c r="AW43" s="40">
        <f t="shared" si="35"/>
        <v>521.8127363460444</v>
      </c>
      <c r="AX43" s="65">
        <f t="shared" si="36"/>
        <v>302638.79574527784</v>
      </c>
      <c r="AY43" s="65">
        <f t="shared" si="37"/>
        <v>191805.01696304808</v>
      </c>
      <c r="AZ43" s="65">
        <f t="shared" si="38"/>
        <v>74488.547025229025</v>
      </c>
    </row>
    <row r="44" spans="1:52" ht="15" customHeight="1" x14ac:dyDescent="0.35">
      <c r="A44" s="61" t="str">
        <f>Segments!$A$24</f>
        <v>Non-greek</v>
      </c>
      <c r="B44" s="61" t="str">
        <f>Segments!$B$24</f>
        <v>On campus</v>
      </c>
      <c r="C44" s="61" t="str">
        <f>Segments!$C$24</f>
        <v>Yes</v>
      </c>
      <c r="D44" s="61" t="str">
        <f>Segments!$D$24</f>
        <v>3.0+</v>
      </c>
      <c r="E44" s="61" t="str">
        <f>Segments!$E$24</f>
        <v>Grad student</v>
      </c>
      <c r="F44" s="61">
        <f>Segments!$F$24</f>
        <v>3</v>
      </c>
      <c r="G44" s="61" t="str">
        <f>Segments!$G$24</f>
        <v>Grad</v>
      </c>
      <c r="H44" s="62">
        <f>Segments!$H$24</f>
        <v>86</v>
      </c>
      <c r="I44" s="63">
        <f>Segments!$Y$24</f>
        <v>331.40021057623693</v>
      </c>
      <c r="J44" s="42">
        <v>4</v>
      </c>
      <c r="K44" s="40">
        <f t="shared" si="0"/>
        <v>1426.2297754450396</v>
      </c>
      <c r="L44" s="40">
        <f t="shared" si="1"/>
        <v>331.40021057623693</v>
      </c>
      <c r="M44" s="40">
        <f t="shared" si="2"/>
        <v>580.54924490853239</v>
      </c>
      <c r="N44" s="40">
        <f t="shared" si="3"/>
        <v>909.94319559007829</v>
      </c>
      <c r="O44" s="40">
        <f t="shared" si="4"/>
        <v>580.54924490853239</v>
      </c>
      <c r="P44" s="41">
        <f t="shared" si="5"/>
        <v>0.95</v>
      </c>
      <c r="Q44" s="41">
        <f t="shared" si="6"/>
        <v>0.5309969854590435</v>
      </c>
      <c r="R44" s="64">
        <f t="shared" si="7"/>
        <v>40.85</v>
      </c>
      <c r="S44" s="64">
        <f>APPLICANTS_PER_YEAR*($H44/Segments!$AH$2)*Q44</f>
        <v>54.798888899373289</v>
      </c>
      <c r="T44" s="64">
        <f t="shared" si="8"/>
        <v>95.64888889937329</v>
      </c>
      <c r="U44" s="40">
        <f t="shared" si="9"/>
        <v>580.54924490853239</v>
      </c>
      <c r="V44" s="65">
        <f t="shared" si="10"/>
        <v>55528.89022687127</v>
      </c>
      <c r="W44" s="65">
        <f t="shared" si="11"/>
        <v>35501.829353351648</v>
      </c>
      <c r="X44" s="65">
        <f t="shared" si="12"/>
        <v>14891.381128382987</v>
      </c>
      <c r="Y44" s="40">
        <f t="shared" si="13"/>
        <v>580.54924490853239</v>
      </c>
      <c r="Z44" s="40">
        <f t="shared" si="14"/>
        <v>341.34221689352404</v>
      </c>
      <c r="AA44" s="40">
        <f t="shared" si="15"/>
        <v>596.71572225578836</v>
      </c>
      <c r="AB44" s="40">
        <f t="shared" si="16"/>
        <v>936.26136440318817</v>
      </c>
      <c r="AC44" s="40">
        <f t="shared" si="17"/>
        <v>596.71572225578836</v>
      </c>
      <c r="AD44" s="41">
        <f t="shared" si="18"/>
        <v>0.95</v>
      </c>
      <c r="AE44" s="41">
        <f t="shared" si="19"/>
        <v>0.53133058516402643</v>
      </c>
      <c r="AF44" s="64">
        <f t="shared" si="20"/>
        <v>45.433222227202307</v>
      </c>
      <c r="AG44" s="64">
        <f>APPLICANTS_PER_YEAR*($H44/Segments!$AH$2)*AE44</f>
        <v>54.833316388927528</v>
      </c>
      <c r="AH44" s="64">
        <f t="shared" si="21"/>
        <v>100.26653861612984</v>
      </c>
      <c r="AI44" s="40">
        <f t="shared" si="22"/>
        <v>596.71572225578836</v>
      </c>
      <c r="AJ44" s="65">
        <f t="shared" si="23"/>
        <v>59830.62000841181</v>
      </c>
      <c r="AK44" s="65">
        <f t="shared" si="24"/>
        <v>38332.226880046292</v>
      </c>
      <c r="AL44" s="65">
        <f t="shared" si="25"/>
        <v>15829.347433380084</v>
      </c>
      <c r="AM44" s="40">
        <f t="shared" si="26"/>
        <v>596.71572225578836</v>
      </c>
      <c r="AN44" s="40">
        <f t="shared" si="27"/>
        <v>351.58248340032975</v>
      </c>
      <c r="AO44" s="40">
        <f t="shared" si="28"/>
        <v>613.36719392346197</v>
      </c>
      <c r="AP44" s="40">
        <f t="shared" si="29"/>
        <v>963.36806614597276</v>
      </c>
      <c r="AQ44" s="40">
        <f t="shared" si="30"/>
        <v>613.36719392346197</v>
      </c>
      <c r="AR44" s="41">
        <f t="shared" si="31"/>
        <v>0.95</v>
      </c>
      <c r="AS44" s="41">
        <f t="shared" si="32"/>
        <v>0.53165480283289646</v>
      </c>
      <c r="AT44" s="64">
        <f t="shared" si="33"/>
        <v>47.626605842661668</v>
      </c>
      <c r="AU44" s="64">
        <f>APPLICANTS_PER_YEAR*($H44/Segments!$AH$2)*AS44</f>
        <v>54.866775652354917</v>
      </c>
      <c r="AV44" s="64">
        <f t="shared" si="34"/>
        <v>102.49338149501659</v>
      </c>
      <c r="AW44" s="40">
        <f t="shared" si="35"/>
        <v>613.36719392346197</v>
      </c>
      <c r="AX44" s="65">
        <f t="shared" si="36"/>
        <v>62866.077803325214</v>
      </c>
      <c r="AY44" s="65">
        <f t="shared" si="37"/>
        <v>40359.06290988918</v>
      </c>
      <c r="AZ44" s="65">
        <f t="shared" si="38"/>
        <v>16481.097533790627</v>
      </c>
    </row>
    <row r="45" spans="1:52" ht="15" customHeight="1" x14ac:dyDescent="0.35">
      <c r="A45" s="59" t="str">
        <f>Segments!$A$25</f>
        <v>Non-greek</v>
      </c>
      <c r="B45" s="59" t="str">
        <f>Segments!$B$25</f>
        <v>On campus</v>
      </c>
      <c r="C45" s="59" t="str">
        <f>Segments!$C$25</f>
        <v>No</v>
      </c>
      <c r="D45" s="59" t="str">
        <f>Segments!$D$25</f>
        <v>&lt;1.0</v>
      </c>
      <c r="E45" s="59" t="str">
        <f>Segments!$E$25</f>
        <v>Freshman</v>
      </c>
      <c r="F45" s="59">
        <f>Segments!$F$25</f>
        <v>1</v>
      </c>
      <c r="G45" s="59" t="str">
        <f>Segments!$G$25</f>
        <v>Base</v>
      </c>
      <c r="H45" s="60">
        <f>Segments!$H$25</f>
        <v>24</v>
      </c>
      <c r="I45" s="26">
        <f>Segments!$Y$25</f>
        <v>495.85541037793126</v>
      </c>
      <c r="J45" s="29">
        <v>0</v>
      </c>
      <c r="K45" s="14">
        <f t="shared" si="0"/>
        <v>847.96622065614179</v>
      </c>
      <c r="L45" s="14">
        <f t="shared" si="1"/>
        <v>495.85541037793126</v>
      </c>
      <c r="M45" s="14">
        <f t="shared" si="2"/>
        <v>847.96622065614179</v>
      </c>
      <c r="N45" s="14">
        <f t="shared" si="3"/>
        <v>1099.7248167025186</v>
      </c>
      <c r="O45" s="14">
        <f t="shared" si="4"/>
        <v>847.96622065614179</v>
      </c>
      <c r="P45" s="33">
        <f t="shared" si="5"/>
        <v>0.95</v>
      </c>
      <c r="Q45" s="33">
        <f t="shared" si="6"/>
        <v>0.4644643606394484</v>
      </c>
      <c r="R45" s="51">
        <f t="shared" si="7"/>
        <v>0</v>
      </c>
      <c r="S45" s="51">
        <f>APPLICANTS_PER_YEAR*($H45/Segments!$AH$2)*Q45</f>
        <v>13.376573586416113</v>
      </c>
      <c r="T45" s="51">
        <f t="shared" si="8"/>
        <v>13.376573586416113</v>
      </c>
      <c r="U45" s="14">
        <f t="shared" si="9"/>
        <v>847.96622065614179</v>
      </c>
      <c r="V45" s="44">
        <f t="shared" si="10"/>
        <v>11342.882549402044</v>
      </c>
      <c r="W45" s="44">
        <f t="shared" si="11"/>
        <v>7428.7879513601129</v>
      </c>
      <c r="X45" s="44">
        <f t="shared" si="12"/>
        <v>3142.7515024547829</v>
      </c>
      <c r="Y45" s="14">
        <f t="shared" si="13"/>
        <v>872.15520727582611</v>
      </c>
      <c r="Z45" s="14">
        <f t="shared" si="14"/>
        <v>510.73107268926924</v>
      </c>
      <c r="AA45" s="14">
        <f t="shared" si="15"/>
        <v>872.15520727582611</v>
      </c>
      <c r="AB45" s="14">
        <f t="shared" si="16"/>
        <v>1131.9057103791861</v>
      </c>
      <c r="AC45" s="14">
        <f t="shared" si="17"/>
        <v>872.15520727582611</v>
      </c>
      <c r="AD45" s="33">
        <f t="shared" si="18"/>
        <v>0.95</v>
      </c>
      <c r="AE45" s="33">
        <f t="shared" si="19"/>
        <v>0.464740344854495</v>
      </c>
      <c r="AF45" s="51">
        <f t="shared" si="20"/>
        <v>0</v>
      </c>
      <c r="AG45" s="51">
        <f>APPLICANTS_PER_YEAR*($H45/Segments!$AH$2)*AE45</f>
        <v>13.384521931809454</v>
      </c>
      <c r="AH45" s="51">
        <f t="shared" si="21"/>
        <v>13.384521931809454</v>
      </c>
      <c r="AI45" s="14">
        <f t="shared" si="22"/>
        <v>872.15520727582611</v>
      </c>
      <c r="AJ45" s="44">
        <f t="shared" si="23"/>
        <v>11673.380499725115</v>
      </c>
      <c r="AK45" s="44">
        <f t="shared" si="24"/>
        <v>7656.1981929060239</v>
      </c>
      <c r="AL45" s="44">
        <f t="shared" si="25"/>
        <v>3217.1407188698508</v>
      </c>
      <c r="AM45" s="14">
        <f t="shared" si="26"/>
        <v>897.06986349410079</v>
      </c>
      <c r="AN45" s="14">
        <f t="shared" si="27"/>
        <v>526.05300486994724</v>
      </c>
      <c r="AO45" s="14">
        <f t="shared" si="28"/>
        <v>897.06986349410079</v>
      </c>
      <c r="AP45" s="14">
        <f t="shared" si="29"/>
        <v>1165.0514580664919</v>
      </c>
      <c r="AQ45" s="14">
        <f t="shared" si="30"/>
        <v>897.06986349410079</v>
      </c>
      <c r="AR45" s="33">
        <f t="shared" si="31"/>
        <v>0.95</v>
      </c>
      <c r="AS45" s="33">
        <f t="shared" si="32"/>
        <v>0.46500847997612516</v>
      </c>
      <c r="AT45" s="51">
        <f t="shared" si="33"/>
        <v>0</v>
      </c>
      <c r="AU45" s="51">
        <f>APPLICANTS_PER_YEAR*($H45/Segments!$AH$2)*AS45</f>
        <v>13.392244223312403</v>
      </c>
      <c r="AV45" s="51">
        <f t="shared" si="34"/>
        <v>13.392244223312403</v>
      </c>
      <c r="AW45" s="14">
        <f t="shared" si="35"/>
        <v>897.06986349410079</v>
      </c>
      <c r="AX45" s="44">
        <f t="shared" si="36"/>
        <v>12013.778697286518</v>
      </c>
      <c r="AY45" s="44">
        <f t="shared" si="37"/>
        <v>7890.4339535007648</v>
      </c>
      <c r="AZ45" s="44">
        <f t="shared" si="38"/>
        <v>3293.7374182412382</v>
      </c>
    </row>
    <row r="46" spans="1:52" ht="15" customHeight="1" x14ac:dyDescent="0.35">
      <c r="A46" s="59" t="str">
        <f>Segments!$A$26</f>
        <v>Non-greek</v>
      </c>
      <c r="B46" s="59" t="str">
        <f>Segments!$B$26</f>
        <v>On campus</v>
      </c>
      <c r="C46" s="59" t="str">
        <f>Segments!$C$26</f>
        <v>No</v>
      </c>
      <c r="D46" s="59" t="str">
        <f>Segments!$D$26</f>
        <v>&lt;1.0</v>
      </c>
      <c r="E46" s="59" t="str">
        <f>Segments!$E$26</f>
        <v>Sophomore</v>
      </c>
      <c r="F46" s="59">
        <f>Segments!$F$26</f>
        <v>1</v>
      </c>
      <c r="G46" s="59" t="str">
        <f>Segments!$G$26</f>
        <v>Sophomore</v>
      </c>
      <c r="H46" s="60">
        <f>Segments!$H$26</f>
        <v>19</v>
      </c>
      <c r="I46" s="26">
        <f>Segments!$Y$26</f>
        <v>490.81069783630886</v>
      </c>
      <c r="J46" s="29">
        <v>1</v>
      </c>
      <c r="K46" s="14">
        <f t="shared" si="0"/>
        <v>1426.2297754450396</v>
      </c>
      <c r="L46" s="14">
        <f t="shared" si="1"/>
        <v>490.81069783630886</v>
      </c>
      <c r="M46" s="14">
        <f t="shared" si="2"/>
        <v>839.76312477943247</v>
      </c>
      <c r="N46" s="14">
        <f t="shared" si="3"/>
        <v>1094.3926045442718</v>
      </c>
      <c r="O46" s="14">
        <f t="shared" si="4"/>
        <v>839.76312477943247</v>
      </c>
      <c r="P46" s="33">
        <f t="shared" si="5"/>
        <v>0.95</v>
      </c>
      <c r="Q46" s="33">
        <f t="shared" si="6"/>
        <v>0.46633369903430238</v>
      </c>
      <c r="R46" s="51">
        <f t="shared" si="7"/>
        <v>22.799999999999997</v>
      </c>
      <c r="S46" s="51">
        <f>APPLICANTS_PER_YEAR*($H46/Segments!$AH$2)*Q46</f>
        <v>10.632408337982096</v>
      </c>
      <c r="T46" s="51">
        <f t="shared" si="8"/>
        <v>33.432408337982096</v>
      </c>
      <c r="U46" s="14">
        <f t="shared" si="9"/>
        <v>839.76312477943236</v>
      </c>
      <c r="V46" s="44">
        <f t="shared" si="10"/>
        <v>28075.303694805792</v>
      </c>
      <c r="W46" s="44">
        <f t="shared" si="11"/>
        <v>18378.061706719036</v>
      </c>
      <c r="X46" s="44">
        <f t="shared" si="12"/>
        <v>6553.1954292717046</v>
      </c>
      <c r="Y46" s="14">
        <f t="shared" si="13"/>
        <v>847.96622065614179</v>
      </c>
      <c r="Z46" s="14">
        <f t="shared" si="14"/>
        <v>505.53501877139814</v>
      </c>
      <c r="AA46" s="14">
        <f t="shared" si="15"/>
        <v>863.70601852281538</v>
      </c>
      <c r="AB46" s="14">
        <f t="shared" si="16"/>
        <v>1126.4095782945801</v>
      </c>
      <c r="AC46" s="14">
        <f t="shared" si="17"/>
        <v>863.70601852281538</v>
      </c>
      <c r="AD46" s="33">
        <f t="shared" si="18"/>
        <v>0.95</v>
      </c>
      <c r="AE46" s="33">
        <f t="shared" si="19"/>
        <v>0.46661102889834538</v>
      </c>
      <c r="AF46" s="51">
        <f t="shared" si="20"/>
        <v>12.707744907095307</v>
      </c>
      <c r="AG46" s="51">
        <f>APPLICANTS_PER_YEAR*($H46/Segments!$AH$2)*AE46</f>
        <v>10.638731458882274</v>
      </c>
      <c r="AH46" s="51">
        <f t="shared" si="21"/>
        <v>23.34647636597758</v>
      </c>
      <c r="AI46" s="14">
        <f t="shared" si="22"/>
        <v>863.7060185228155</v>
      </c>
      <c r="AJ46" s="44">
        <f t="shared" si="23"/>
        <v>20164.492148595506</v>
      </c>
      <c r="AK46" s="44">
        <f t="shared" si="24"/>
        <v>13218.756732070939</v>
      </c>
      <c r="AL46" s="44">
        <f t="shared" si="25"/>
        <v>4865.5926035431212</v>
      </c>
      <c r="AM46" s="14">
        <f t="shared" si="26"/>
        <v>872.15520727582611</v>
      </c>
      <c r="AN46" s="14">
        <f t="shared" si="27"/>
        <v>520.70106933454008</v>
      </c>
      <c r="AO46" s="14">
        <f t="shared" si="28"/>
        <v>888.36719907849988</v>
      </c>
      <c r="AP46" s="14">
        <f t="shared" si="29"/>
        <v>1159.3864800322215</v>
      </c>
      <c r="AQ46" s="14">
        <f t="shared" si="30"/>
        <v>888.36719907849988</v>
      </c>
      <c r="AR46" s="33">
        <f t="shared" si="31"/>
        <v>0.95</v>
      </c>
      <c r="AS46" s="33">
        <f t="shared" si="32"/>
        <v>0.46688047325952492</v>
      </c>
      <c r="AT46" s="51">
        <f t="shared" si="33"/>
        <v>12.715295835218981</v>
      </c>
      <c r="AU46" s="51">
        <f>APPLICANTS_PER_YEAR*($H46/Segments!$AH$2)*AS46</f>
        <v>10.644874790317168</v>
      </c>
      <c r="AV46" s="51">
        <f t="shared" si="34"/>
        <v>23.360170625536149</v>
      </c>
      <c r="AW46" s="14">
        <f t="shared" si="35"/>
        <v>888.36719907849988</v>
      </c>
      <c r="AX46" s="44">
        <f t="shared" si="36"/>
        <v>20752.409348603396</v>
      </c>
      <c r="AY46" s="44">
        <f t="shared" si="37"/>
        <v>13623.305723500465</v>
      </c>
      <c r="AZ46" s="44">
        <f t="shared" si="38"/>
        <v>4986.5101652252324</v>
      </c>
    </row>
    <row r="47" spans="1:52" ht="15" customHeight="1" x14ac:dyDescent="0.35">
      <c r="A47" s="59" t="str">
        <f>Segments!$A$27</f>
        <v>Non-greek</v>
      </c>
      <c r="B47" s="59" t="str">
        <f>Segments!$B$27</f>
        <v>On campus</v>
      </c>
      <c r="C47" s="59" t="str">
        <f>Segments!$C$27</f>
        <v>No</v>
      </c>
      <c r="D47" s="59" t="str">
        <f>Segments!$D$27</f>
        <v>&lt;1.0</v>
      </c>
      <c r="E47" s="59" t="str">
        <f>Segments!$E$27</f>
        <v>Junior</v>
      </c>
      <c r="F47" s="59">
        <f>Segments!$F$27</f>
        <v>2</v>
      </c>
      <c r="G47" s="59" t="str">
        <f>Segments!$G$27</f>
        <v>Base</v>
      </c>
      <c r="H47" s="60">
        <f>Segments!$H$27</f>
        <v>31</v>
      </c>
      <c r="I47" s="26">
        <f>Segments!$Y$27</f>
        <v>586.72768467520541</v>
      </c>
      <c r="J47" s="29">
        <v>2</v>
      </c>
      <c r="K47" s="14">
        <f t="shared" si="0"/>
        <v>1426.2297754450396</v>
      </c>
      <c r="L47" s="14">
        <f t="shared" si="1"/>
        <v>586.72768467520541</v>
      </c>
      <c r="M47" s="14">
        <f t="shared" si="2"/>
        <v>995.73162303433958</v>
      </c>
      <c r="N47" s="14">
        <f t="shared" si="3"/>
        <v>1191.6971465619069</v>
      </c>
      <c r="O47" s="14">
        <f t="shared" si="4"/>
        <v>995.73162303433958</v>
      </c>
      <c r="P47" s="33">
        <f t="shared" si="5"/>
        <v>0.93222119356958077</v>
      </c>
      <c r="Q47" s="33">
        <f t="shared" si="6"/>
        <v>0.43222119356958083</v>
      </c>
      <c r="R47" s="51">
        <f t="shared" si="7"/>
        <v>17.712202677822035</v>
      </c>
      <c r="S47" s="51">
        <f>APPLICANTS_PER_YEAR*($H47/Segments!$AH$2)*Q47</f>
        <v>16.078628400788403</v>
      </c>
      <c r="T47" s="51">
        <f t="shared" si="8"/>
        <v>33.790831078610438</v>
      </c>
      <c r="U47" s="14">
        <f t="shared" si="9"/>
        <v>995.73162303433958</v>
      </c>
      <c r="V47" s="44">
        <f t="shared" si="10"/>
        <v>33646.599073583973</v>
      </c>
      <c r="W47" s="44">
        <f t="shared" si="11"/>
        <v>22205.138011844567</v>
      </c>
      <c r="X47" s="44">
        <f t="shared" si="12"/>
        <v>7997.3395128781967</v>
      </c>
      <c r="Y47" s="14">
        <f t="shared" si="13"/>
        <v>839.76312477943236</v>
      </c>
      <c r="Z47" s="14">
        <f t="shared" si="14"/>
        <v>604.32951521546158</v>
      </c>
      <c r="AA47" s="14">
        <f t="shared" si="15"/>
        <v>1024.3535717253699</v>
      </c>
      <c r="AB47" s="14">
        <f t="shared" si="16"/>
        <v>1226.6998294267203</v>
      </c>
      <c r="AC47" s="14">
        <f t="shared" si="17"/>
        <v>1024.3535717253699</v>
      </c>
      <c r="AD47" s="33">
        <f t="shared" si="18"/>
        <v>0.86653210906103972</v>
      </c>
      <c r="AE47" s="33">
        <f t="shared" si="19"/>
        <v>0.4324758644484013</v>
      </c>
      <c r="AF47" s="51">
        <f t="shared" si="20"/>
        <v>28.970255308101514</v>
      </c>
      <c r="AG47" s="51">
        <f>APPLICANTS_PER_YEAR*($H47/Segments!$AH$2)*AE47</f>
        <v>16.088102157480527</v>
      </c>
      <c r="AH47" s="51">
        <f t="shared" si="21"/>
        <v>45.058357465582041</v>
      </c>
      <c r="AI47" s="14">
        <f t="shared" si="22"/>
        <v>1024.3535717253699</v>
      </c>
      <c r="AJ47" s="44">
        <f t="shared" si="23"/>
        <v>46155.689405947451</v>
      </c>
      <c r="AK47" s="44">
        <f t="shared" si="24"/>
        <v>30497.706762409791</v>
      </c>
      <c r="AL47" s="44">
        <f t="shared" si="25"/>
        <v>10603.591672728146</v>
      </c>
      <c r="AM47" s="14">
        <f t="shared" si="26"/>
        <v>863.7060185228155</v>
      </c>
      <c r="AN47" s="14">
        <f t="shared" si="27"/>
        <v>622.45940067192544</v>
      </c>
      <c r="AO47" s="14">
        <f t="shared" si="28"/>
        <v>1053.8341788771309</v>
      </c>
      <c r="AP47" s="14">
        <f t="shared" si="29"/>
        <v>1262.7521427698623</v>
      </c>
      <c r="AQ47" s="14">
        <f t="shared" si="30"/>
        <v>1053.8341788771309</v>
      </c>
      <c r="AR47" s="33">
        <f t="shared" si="31"/>
        <v>0.86668407383475399</v>
      </c>
      <c r="AS47" s="33">
        <f t="shared" si="32"/>
        <v>0.43272326643392872</v>
      </c>
      <c r="AT47" s="51">
        <f t="shared" si="33"/>
        <v>20.234019246552251</v>
      </c>
      <c r="AU47" s="51">
        <f>APPLICANTS_PER_YEAR*($H47/Segments!$AH$2)*AS47</f>
        <v>16.097305511342146</v>
      </c>
      <c r="AV47" s="51">
        <f t="shared" si="34"/>
        <v>36.331324757894393</v>
      </c>
      <c r="AW47" s="14">
        <f t="shared" si="35"/>
        <v>1053.8341788771309</v>
      </c>
      <c r="AX47" s="44">
        <f t="shared" si="36"/>
        <v>38287.191793754013</v>
      </c>
      <c r="AY47" s="44">
        <f t="shared" si="37"/>
        <v>25328.547590545957</v>
      </c>
      <c r="AZ47" s="44">
        <f t="shared" si="38"/>
        <v>8959.0745577097332</v>
      </c>
    </row>
    <row r="48" spans="1:52" ht="15" customHeight="1" x14ac:dyDescent="0.35">
      <c r="A48" s="59" t="str">
        <f>Segments!$A$28</f>
        <v>Non-greek</v>
      </c>
      <c r="B48" s="59" t="str">
        <f>Segments!$B$28</f>
        <v>On campus</v>
      </c>
      <c r="C48" s="59" t="str">
        <f>Segments!$C$28</f>
        <v>No</v>
      </c>
      <c r="D48" s="59" t="str">
        <f>Segments!$D$28</f>
        <v>&lt;1.0</v>
      </c>
      <c r="E48" s="59" t="str">
        <f>Segments!$E$28</f>
        <v>Senior</v>
      </c>
      <c r="F48" s="59">
        <f>Segments!$F$28</f>
        <v>3</v>
      </c>
      <c r="G48" s="59" t="str">
        <f>Segments!$G$28</f>
        <v>Base</v>
      </c>
      <c r="H48" s="60">
        <f>Segments!$H$28</f>
        <v>29</v>
      </c>
      <c r="I48" s="26">
        <f>Segments!$Y$28</f>
        <v>548.40700721807923</v>
      </c>
      <c r="J48" s="29">
        <v>3</v>
      </c>
      <c r="K48" s="14">
        <f t="shared" si="0"/>
        <v>1426.2297754450396</v>
      </c>
      <c r="L48" s="14">
        <f t="shared" si="1"/>
        <v>548.40700721807923</v>
      </c>
      <c r="M48" s="14">
        <f t="shared" si="2"/>
        <v>933.41921402239484</v>
      </c>
      <c r="N48" s="14">
        <f t="shared" si="3"/>
        <v>1153.8068625256333</v>
      </c>
      <c r="O48" s="14">
        <f t="shared" si="4"/>
        <v>933.41921402239484</v>
      </c>
      <c r="P48" s="33">
        <f t="shared" si="5"/>
        <v>0.94550456651853299</v>
      </c>
      <c r="Q48" s="33">
        <f t="shared" si="6"/>
        <v>0.44550456651853299</v>
      </c>
      <c r="R48" s="51">
        <f t="shared" si="7"/>
        <v>29.310641562074522</v>
      </c>
      <c r="S48" s="51">
        <f>APPLICANTS_PER_YEAR*($H48/Segments!$AH$2)*Q48</f>
        <v>15.503558914844946</v>
      </c>
      <c r="T48" s="51">
        <f t="shared" si="8"/>
        <v>44.814200476919467</v>
      </c>
      <c r="U48" s="14">
        <f t="shared" si="9"/>
        <v>933.41921402239484</v>
      </c>
      <c r="V48" s="44">
        <f t="shared" si="10"/>
        <v>41830.435786208203</v>
      </c>
      <c r="W48" s="44">
        <f t="shared" si="11"/>
        <v>27525.592152148634</v>
      </c>
      <c r="X48" s="44">
        <f t="shared" si="12"/>
        <v>9696.3215381924201</v>
      </c>
      <c r="Y48" s="14">
        <f t="shared" si="13"/>
        <v>995.73162303433958</v>
      </c>
      <c r="Z48" s="14">
        <f t="shared" si="14"/>
        <v>564.85921743462166</v>
      </c>
      <c r="AA48" s="14">
        <f t="shared" si="15"/>
        <v>960.1717904430667</v>
      </c>
      <c r="AB48" s="14">
        <f t="shared" si="16"/>
        <v>1187.6482496869369</v>
      </c>
      <c r="AC48" s="14">
        <f t="shared" si="17"/>
        <v>960.1717904430667</v>
      </c>
      <c r="AD48" s="33">
        <f t="shared" si="18"/>
        <v>0.94576760598259324</v>
      </c>
      <c r="AE48" s="33">
        <f t="shared" si="19"/>
        <v>0.44576760598259324</v>
      </c>
      <c r="AF48" s="51">
        <f t="shared" si="20"/>
        <v>31.958273413379604</v>
      </c>
      <c r="AG48" s="51">
        <f>APPLICANTS_PER_YEAR*($H48/Segments!$AH$2)*AE48</f>
        <v>15.512712688194243</v>
      </c>
      <c r="AH48" s="51">
        <f t="shared" si="21"/>
        <v>47.47098610157385</v>
      </c>
      <c r="AI48" s="14">
        <f t="shared" si="22"/>
        <v>960.1717904430667</v>
      </c>
      <c r="AJ48" s="44">
        <f t="shared" si="23"/>
        <v>45580.301719246097</v>
      </c>
      <c r="AK48" s="44">
        <f t="shared" si="24"/>
        <v>30032.154947406987</v>
      </c>
      <c r="AL48" s="44">
        <f t="shared" si="25"/>
        <v>10473.234983249677</v>
      </c>
      <c r="AM48" s="14">
        <f t="shared" si="26"/>
        <v>1024.3535717253699</v>
      </c>
      <c r="AN48" s="14">
        <f t="shared" si="27"/>
        <v>581.80499395766026</v>
      </c>
      <c r="AO48" s="14">
        <f t="shared" si="28"/>
        <v>987.72694415635863</v>
      </c>
      <c r="AP48" s="14">
        <f t="shared" si="29"/>
        <v>1222.5043825897048</v>
      </c>
      <c r="AQ48" s="14">
        <f t="shared" si="30"/>
        <v>987.72694415635863</v>
      </c>
      <c r="AR48" s="33">
        <f t="shared" si="31"/>
        <v>0.94602314796450993</v>
      </c>
      <c r="AS48" s="33">
        <f t="shared" si="32"/>
        <v>0.44602314796450993</v>
      </c>
      <c r="AT48" s="51">
        <f t="shared" si="33"/>
        <v>42.626249171700103</v>
      </c>
      <c r="AU48" s="51">
        <f>APPLICANTS_PER_YEAR*($H48/Segments!$AH$2)*AS48</f>
        <v>15.521605549164944</v>
      </c>
      <c r="AV48" s="51">
        <f t="shared" si="34"/>
        <v>58.147854720865048</v>
      </c>
      <c r="AW48" s="14">
        <f t="shared" si="35"/>
        <v>987.72694415635851</v>
      </c>
      <c r="AX48" s="44">
        <f t="shared" si="36"/>
        <v>57434.202852687922</v>
      </c>
      <c r="AY48" s="44">
        <f t="shared" si="37"/>
        <v>37890.397736266656</v>
      </c>
      <c r="AZ48" s="44">
        <f t="shared" si="38"/>
        <v>12942.65035291614</v>
      </c>
    </row>
    <row r="49" spans="1:52" ht="15" customHeight="1" x14ac:dyDescent="0.35">
      <c r="A49" s="59" t="str">
        <f>Segments!$A$29</f>
        <v>Non-greek</v>
      </c>
      <c r="B49" s="59" t="str">
        <f>Segments!$B$29</f>
        <v>On campus</v>
      </c>
      <c r="C49" s="59" t="str">
        <f>Segments!$C$29</f>
        <v>No</v>
      </c>
      <c r="D49" s="59" t="str">
        <f>Segments!$D$29</f>
        <v>&lt;1.0</v>
      </c>
      <c r="E49" s="59" t="str">
        <f>Segments!$E$29</f>
        <v>Grad student</v>
      </c>
      <c r="F49" s="59">
        <f>Segments!$F$29</f>
        <v>3</v>
      </c>
      <c r="G49" s="59" t="str">
        <f>Segments!$G$29</f>
        <v>Grad</v>
      </c>
      <c r="H49" s="60">
        <f>Segments!$H$29</f>
        <v>17</v>
      </c>
      <c r="I49" s="26">
        <f>Segments!$Y$29</f>
        <v>652.97748951117342</v>
      </c>
      <c r="J49" s="29">
        <v>4</v>
      </c>
      <c r="K49" s="14">
        <f t="shared" si="0"/>
        <v>1426.2297754450396</v>
      </c>
      <c r="L49" s="14">
        <f t="shared" si="1"/>
        <v>652.97748951117342</v>
      </c>
      <c r="M49" s="14">
        <f t="shared" si="2"/>
        <v>1103.4589705093167</v>
      </c>
      <c r="N49" s="14">
        <f t="shared" si="3"/>
        <v>1254.5062932175022</v>
      </c>
      <c r="O49" s="14">
        <f t="shared" si="4"/>
        <v>1103.4589705093167</v>
      </c>
      <c r="P49" s="33">
        <f t="shared" si="5"/>
        <v>0.9102018991553984</v>
      </c>
      <c r="Q49" s="33">
        <f t="shared" si="6"/>
        <v>0.4102018991553984</v>
      </c>
      <c r="R49" s="51">
        <f t="shared" si="7"/>
        <v>7.7367161428208862</v>
      </c>
      <c r="S49" s="51">
        <f>APPLICANTS_PER_YEAR*($H49/Segments!$AH$2)*Q49</f>
        <v>8.3681187427701271</v>
      </c>
      <c r="T49" s="51">
        <f t="shared" si="8"/>
        <v>16.104834885591014</v>
      </c>
      <c r="U49" s="14">
        <f t="shared" si="9"/>
        <v>1103.4589705093167</v>
      </c>
      <c r="V49" s="44">
        <f t="shared" si="10"/>
        <v>17771.024523076791</v>
      </c>
      <c r="W49" s="44">
        <f t="shared" si="11"/>
        <v>11778.02601089541</v>
      </c>
      <c r="X49" s="44">
        <f t="shared" si="12"/>
        <v>4213.2089503974767</v>
      </c>
      <c r="Y49" s="14">
        <f t="shared" si="13"/>
        <v>1103.4589705093167</v>
      </c>
      <c r="Z49" s="14">
        <f t="shared" si="14"/>
        <v>672.56681419650863</v>
      </c>
      <c r="AA49" s="14">
        <f t="shared" si="15"/>
        <v>1135.3127396245964</v>
      </c>
      <c r="AB49" s="14">
        <f t="shared" si="16"/>
        <v>1291.4307332201449</v>
      </c>
      <c r="AC49" s="14">
        <f t="shared" si="17"/>
        <v>1135.3127396245964</v>
      </c>
      <c r="AD49" s="33">
        <f t="shared" si="18"/>
        <v>0.90178365272572181</v>
      </c>
      <c r="AE49" s="33">
        <f t="shared" si="19"/>
        <v>0.41044381226946369</v>
      </c>
      <c r="AF49" s="51">
        <f t="shared" si="20"/>
        <v>7.2615384148364486</v>
      </c>
      <c r="AG49" s="51">
        <f>APPLICANTS_PER_YEAR*($H49/Segments!$AH$2)*AE49</f>
        <v>8.3730537702970587</v>
      </c>
      <c r="AH49" s="51">
        <f t="shared" si="21"/>
        <v>15.634592185133506</v>
      </c>
      <c r="AI49" s="14">
        <f t="shared" si="22"/>
        <v>1135.3127396245966</v>
      </c>
      <c r="AJ49" s="44">
        <f t="shared" si="23"/>
        <v>17750.151686617228</v>
      </c>
      <c r="AK49" s="44">
        <f t="shared" si="24"/>
        <v>11777.144800082899</v>
      </c>
      <c r="AL49" s="44">
        <f t="shared" si="25"/>
        <v>4209.5080682550533</v>
      </c>
      <c r="AM49" s="14">
        <f t="shared" si="26"/>
        <v>1135.3127396245966</v>
      </c>
      <c r="AN49" s="14">
        <f t="shared" si="27"/>
        <v>692.74381862240386</v>
      </c>
      <c r="AO49" s="14">
        <f t="shared" si="28"/>
        <v>1168.1221218133342</v>
      </c>
      <c r="AP49" s="14">
        <f t="shared" si="29"/>
        <v>1329.4625207472852</v>
      </c>
      <c r="AQ49" s="14">
        <f t="shared" si="30"/>
        <v>1168.1221218133342</v>
      </c>
      <c r="AR49" s="33">
        <f t="shared" si="31"/>
        <v>0.90200911227998404</v>
      </c>
      <c r="AS49" s="33">
        <f t="shared" si="32"/>
        <v>0.41067880681708208</v>
      </c>
      <c r="AT49" s="51">
        <f t="shared" si="33"/>
        <v>7.0512723088859248</v>
      </c>
      <c r="AU49" s="51">
        <f>APPLICANTS_PER_YEAR*($H49/Segments!$AH$2)*AS49</f>
        <v>8.3778476590684736</v>
      </c>
      <c r="AV49" s="51">
        <f t="shared" si="34"/>
        <v>15.429119967954399</v>
      </c>
      <c r="AW49" s="14">
        <f t="shared" si="35"/>
        <v>1168.1221218133339</v>
      </c>
      <c r="AX49" s="44">
        <f t="shared" si="36"/>
        <v>18023.096354679372</v>
      </c>
      <c r="AY49" s="44">
        <f t="shared" si="37"/>
        <v>11971.038782733982</v>
      </c>
      <c r="AZ49" s="44">
        <f t="shared" si="38"/>
        <v>4266.9160233010998</v>
      </c>
    </row>
    <row r="50" spans="1:52" ht="15" customHeight="1" x14ac:dyDescent="0.35">
      <c r="A50" s="61" t="str">
        <f>Segments!$A$30</f>
        <v>Non-greek</v>
      </c>
      <c r="B50" s="61" t="str">
        <f>Segments!$B$30</f>
        <v>On campus</v>
      </c>
      <c r="C50" s="61" t="str">
        <f>Segments!$C$30</f>
        <v>No</v>
      </c>
      <c r="D50" s="61" t="str">
        <f>Segments!$D$30</f>
        <v>1.0-2.0</v>
      </c>
      <c r="E50" s="61" t="str">
        <f>Segments!$E$30</f>
        <v>Freshman</v>
      </c>
      <c r="F50" s="61">
        <f>Segments!$F$30</f>
        <v>1</v>
      </c>
      <c r="G50" s="61" t="str">
        <f>Segments!$G$30</f>
        <v>Base</v>
      </c>
      <c r="H50" s="62">
        <f>Segments!$H$30</f>
        <v>80</v>
      </c>
      <c r="I50" s="63">
        <f>Segments!$Y$30</f>
        <v>449.94965331674518</v>
      </c>
      <c r="J50" s="42">
        <v>0</v>
      </c>
      <c r="K50" s="40">
        <f t="shared" si="0"/>
        <v>773.31988087783361</v>
      </c>
      <c r="L50" s="40">
        <f t="shared" si="1"/>
        <v>449.94965331674518</v>
      </c>
      <c r="M50" s="40">
        <f t="shared" si="2"/>
        <v>773.31988087783361</v>
      </c>
      <c r="N50" s="40">
        <f t="shared" si="3"/>
        <v>1050.2056179870576</v>
      </c>
      <c r="O50" s="40">
        <f t="shared" si="4"/>
        <v>773.31988087783361</v>
      </c>
      <c r="P50" s="41">
        <f t="shared" si="5"/>
        <v>0.95</v>
      </c>
      <c r="Q50" s="41">
        <f t="shared" si="6"/>
        <v>0.48182453624649924</v>
      </c>
      <c r="R50" s="64">
        <f t="shared" si="7"/>
        <v>0</v>
      </c>
      <c r="S50" s="64">
        <f>APPLICANTS_PER_YEAR*($H50/Segments!$AH$2)*Q50</f>
        <v>46.255155479663927</v>
      </c>
      <c r="T50" s="64">
        <f t="shared" si="8"/>
        <v>46.255155479663927</v>
      </c>
      <c r="U50" s="40">
        <f t="shared" si="9"/>
        <v>773.31988087783373</v>
      </c>
      <c r="V50" s="65">
        <f t="shared" si="10"/>
        <v>35770.031325519383</v>
      </c>
      <c r="W50" s="65">
        <f t="shared" si="11"/>
        <v>23309.990112849362</v>
      </c>
      <c r="X50" s="65">
        <f t="shared" si="12"/>
        <v>10093.969013501221</v>
      </c>
      <c r="Y50" s="40">
        <f t="shared" si="13"/>
        <v>795.26947730416862</v>
      </c>
      <c r="Z50" s="40">
        <f t="shared" si="14"/>
        <v>463.44814291624755</v>
      </c>
      <c r="AA50" s="40">
        <f t="shared" si="15"/>
        <v>795.26947730416862</v>
      </c>
      <c r="AB50" s="40">
        <f t="shared" si="16"/>
        <v>1080.8626731804707</v>
      </c>
      <c r="AC50" s="40">
        <f t="shared" si="17"/>
        <v>795.26947730416862</v>
      </c>
      <c r="AD50" s="41">
        <f t="shared" si="18"/>
        <v>0.95</v>
      </c>
      <c r="AE50" s="41">
        <f t="shared" si="19"/>
        <v>0.48211354363636943</v>
      </c>
      <c r="AF50" s="64">
        <f t="shared" si="20"/>
        <v>0</v>
      </c>
      <c r="AG50" s="64">
        <f>APPLICANTS_PER_YEAR*($H50/Segments!$AH$2)*AE50</f>
        <v>46.282900189091464</v>
      </c>
      <c r="AH50" s="64">
        <f t="shared" si="21"/>
        <v>46.282900189091464</v>
      </c>
      <c r="AI50" s="40">
        <f t="shared" si="22"/>
        <v>795.2694773041685</v>
      </c>
      <c r="AJ50" s="65">
        <f t="shared" si="23"/>
        <v>36807.377841499772</v>
      </c>
      <c r="AK50" s="65">
        <f t="shared" si="24"/>
        <v>24023.691038381981</v>
      </c>
      <c r="AL50" s="65">
        <f t="shared" si="25"/>
        <v>10327.583145005065</v>
      </c>
      <c r="AM50" s="40">
        <f t="shared" si="26"/>
        <v>817.87756162329356</v>
      </c>
      <c r="AN50" s="40">
        <f t="shared" si="27"/>
        <v>477.35158720373494</v>
      </c>
      <c r="AO50" s="40">
        <f t="shared" si="28"/>
        <v>817.87756162329356</v>
      </c>
      <c r="AP50" s="40">
        <f t="shared" si="29"/>
        <v>1112.438782188399</v>
      </c>
      <c r="AQ50" s="40">
        <f t="shared" si="30"/>
        <v>817.87756162329356</v>
      </c>
      <c r="AR50" s="41">
        <f t="shared" si="31"/>
        <v>0.95</v>
      </c>
      <c r="AS50" s="41">
        <f t="shared" si="32"/>
        <v>0.48239435071907599</v>
      </c>
      <c r="AT50" s="64">
        <f t="shared" si="33"/>
        <v>0</v>
      </c>
      <c r="AU50" s="64">
        <f>APPLICANTS_PER_YEAR*($H50/Segments!$AH$2)*AS50</f>
        <v>46.309857669031295</v>
      </c>
      <c r="AV50" s="64">
        <f t="shared" si="34"/>
        <v>46.309857669031295</v>
      </c>
      <c r="AW50" s="40">
        <f t="shared" si="35"/>
        <v>817.87756162329356</v>
      </c>
      <c r="AX50" s="65">
        <f t="shared" si="36"/>
        <v>37875.793469469099</v>
      </c>
      <c r="AY50" s="65">
        <f t="shared" si="37"/>
        <v>24758.814148870086</v>
      </c>
      <c r="AZ50" s="65">
        <f t="shared" si="38"/>
        <v>10568.121332267488</v>
      </c>
    </row>
    <row r="51" spans="1:52" ht="15" customHeight="1" x14ac:dyDescent="0.35">
      <c r="A51" s="61" t="str">
        <f>Segments!$A$31</f>
        <v>Non-greek</v>
      </c>
      <c r="B51" s="61" t="str">
        <f>Segments!$B$31</f>
        <v>On campus</v>
      </c>
      <c r="C51" s="61" t="str">
        <f>Segments!$C$31</f>
        <v>No</v>
      </c>
      <c r="D51" s="61" t="str">
        <f>Segments!$D$31</f>
        <v>1.0-2.0</v>
      </c>
      <c r="E51" s="61" t="str">
        <f>Segments!$E$31</f>
        <v>Sophomore</v>
      </c>
      <c r="F51" s="61">
        <f>Segments!$F$31</f>
        <v>1</v>
      </c>
      <c r="G51" s="61" t="str">
        <f>Segments!$G$31</f>
        <v>Sophomore</v>
      </c>
      <c r="H51" s="62">
        <f>Segments!$H$31</f>
        <v>84</v>
      </c>
      <c r="I51" s="63">
        <f>Segments!$Y$31</f>
        <v>445.37197480063179</v>
      </c>
      <c r="J51" s="42">
        <v>1</v>
      </c>
      <c r="K51" s="40">
        <f t="shared" si="0"/>
        <v>1426.2297754450396</v>
      </c>
      <c r="L51" s="40">
        <f t="shared" si="1"/>
        <v>445.37197480063179</v>
      </c>
      <c r="M51" s="40">
        <f t="shared" si="2"/>
        <v>765.8762187364116</v>
      </c>
      <c r="N51" s="40">
        <f t="shared" si="3"/>
        <v>1045.1389704087817</v>
      </c>
      <c r="O51" s="40">
        <f t="shared" si="4"/>
        <v>765.8762187364116</v>
      </c>
      <c r="P51" s="41">
        <f t="shared" si="5"/>
        <v>0.95</v>
      </c>
      <c r="Q51" s="41">
        <f t="shared" si="6"/>
        <v>0.48360077443248667</v>
      </c>
      <c r="R51" s="64">
        <f t="shared" si="7"/>
        <v>76</v>
      </c>
      <c r="S51" s="64">
        <f>APPLICANTS_PER_YEAR*($H51/Segments!$AH$2)*Q51</f>
        <v>48.746958062794654</v>
      </c>
      <c r="T51" s="64">
        <f t="shared" si="8"/>
        <v>124.74695806279465</v>
      </c>
      <c r="U51" s="40">
        <f t="shared" si="9"/>
        <v>765.87621873641172</v>
      </c>
      <c r="V51" s="65">
        <f t="shared" si="10"/>
        <v>95540.728540002892</v>
      </c>
      <c r="W51" s="65">
        <f t="shared" si="11"/>
        <v>62225.854950334266</v>
      </c>
      <c r="X51" s="65">
        <f t="shared" si="12"/>
        <v>23077.505563947554</v>
      </c>
      <c r="Y51" s="40">
        <f t="shared" si="13"/>
        <v>773.31988087783373</v>
      </c>
      <c r="Z51" s="40">
        <f t="shared" si="14"/>
        <v>458.73313404465074</v>
      </c>
      <c r="AA51" s="40">
        <f t="shared" si="15"/>
        <v>787.60250529850396</v>
      </c>
      <c r="AB51" s="40">
        <f t="shared" si="16"/>
        <v>1075.6399065672447</v>
      </c>
      <c r="AC51" s="40">
        <f t="shared" si="17"/>
        <v>787.60250529850396</v>
      </c>
      <c r="AD51" s="41">
        <f t="shared" si="18"/>
        <v>0.95</v>
      </c>
      <c r="AE51" s="41">
        <f t="shared" si="19"/>
        <v>0.48389118398738662</v>
      </c>
      <c r="AF51" s="64">
        <f t="shared" si="20"/>
        <v>43.942397705680726</v>
      </c>
      <c r="AG51" s="64">
        <f>APPLICANTS_PER_YEAR*($H51/Segments!$AH$2)*AE51</f>
        <v>48.776231345928572</v>
      </c>
      <c r="AH51" s="64">
        <f t="shared" si="21"/>
        <v>92.718629051609298</v>
      </c>
      <c r="AI51" s="40">
        <f t="shared" si="22"/>
        <v>787.60250529850407</v>
      </c>
      <c r="AJ51" s="65">
        <f t="shared" si="23"/>
        <v>73025.424528890144</v>
      </c>
      <c r="AK51" s="65">
        <f t="shared" si="24"/>
        <v>47637.080163868319</v>
      </c>
      <c r="AL51" s="65">
        <f t="shared" si="25"/>
        <v>18220.153470888181</v>
      </c>
      <c r="AM51" s="40">
        <f t="shared" si="26"/>
        <v>795.2694773041685</v>
      </c>
      <c r="AN51" s="40">
        <f t="shared" si="27"/>
        <v>472.49512806599023</v>
      </c>
      <c r="AO51" s="40">
        <f t="shared" si="28"/>
        <v>809.98058045745904</v>
      </c>
      <c r="AP51" s="40">
        <f t="shared" si="29"/>
        <v>1107.0552033402707</v>
      </c>
      <c r="AQ51" s="40">
        <f t="shared" si="30"/>
        <v>809.98058045745904</v>
      </c>
      <c r="AR51" s="41">
        <f t="shared" si="31"/>
        <v>0.95</v>
      </c>
      <c r="AS51" s="41">
        <f t="shared" si="32"/>
        <v>0.48417335557723812</v>
      </c>
      <c r="AT51" s="64">
        <f t="shared" si="33"/>
        <v>43.968755179636887</v>
      </c>
      <c r="AU51" s="64">
        <f>APPLICANTS_PER_YEAR*($H51/Segments!$AH$2)*AS51</f>
        <v>48.804674242185598</v>
      </c>
      <c r="AV51" s="64">
        <f t="shared" si="34"/>
        <v>92.773429421822485</v>
      </c>
      <c r="AW51" s="40">
        <f t="shared" si="35"/>
        <v>809.98058045745904</v>
      </c>
      <c r="AX51" s="65">
        <f t="shared" si="36"/>
        <v>75144.676214116887</v>
      </c>
      <c r="AY51" s="65">
        <f t="shared" si="37"/>
        <v>49095.192625679345</v>
      </c>
      <c r="AZ51" s="65">
        <f t="shared" si="38"/>
        <v>18661.508591969476</v>
      </c>
    </row>
    <row r="52" spans="1:52" ht="15" customHeight="1" x14ac:dyDescent="0.35">
      <c r="A52" s="61" t="str">
        <f>Segments!$A$32</f>
        <v>Non-greek</v>
      </c>
      <c r="B52" s="61" t="str">
        <f>Segments!$B$32</f>
        <v>On campus</v>
      </c>
      <c r="C52" s="61" t="str">
        <f>Segments!$C$32</f>
        <v>No</v>
      </c>
      <c r="D52" s="61" t="str">
        <f>Segments!$D$32</f>
        <v>1.0-2.0</v>
      </c>
      <c r="E52" s="61" t="str">
        <f>Segments!$E$32</f>
        <v>Junior</v>
      </c>
      <c r="F52" s="61">
        <f>Segments!$F$32</f>
        <v>2</v>
      </c>
      <c r="G52" s="61" t="str">
        <f>Segments!$G$32</f>
        <v>Base</v>
      </c>
      <c r="H52" s="62">
        <f>Segments!$H$32</f>
        <v>76</v>
      </c>
      <c r="I52" s="63">
        <f>Segments!$Y$32</f>
        <v>532.40907084129879</v>
      </c>
      <c r="J52" s="42">
        <v>2</v>
      </c>
      <c r="K52" s="40">
        <f t="shared" si="0"/>
        <v>1426.2297754450396</v>
      </c>
      <c r="L52" s="40">
        <f t="shared" si="1"/>
        <v>532.40907084129879</v>
      </c>
      <c r="M52" s="40">
        <f t="shared" si="2"/>
        <v>907.40532228020606</v>
      </c>
      <c r="N52" s="40">
        <f t="shared" si="3"/>
        <v>1137.6152640648472</v>
      </c>
      <c r="O52" s="40">
        <f t="shared" si="4"/>
        <v>907.40532228020606</v>
      </c>
      <c r="P52" s="41">
        <f t="shared" si="5"/>
        <v>0.95</v>
      </c>
      <c r="Q52" s="41">
        <f t="shared" si="6"/>
        <v>0.45118093043252211</v>
      </c>
      <c r="R52" s="64">
        <f t="shared" si="7"/>
        <v>79.8</v>
      </c>
      <c r="S52" s="64">
        <f>APPLICANTS_PER_YEAR*($H52/Segments!$AH$2)*Q52</f>
        <v>41.147700855446018</v>
      </c>
      <c r="T52" s="64">
        <f t="shared" si="8"/>
        <v>120.94770085544602</v>
      </c>
      <c r="U52" s="40">
        <f t="shared" si="9"/>
        <v>907.40532228020606</v>
      </c>
      <c r="V52" s="65">
        <f t="shared" si="10"/>
        <v>109748.58747378594</v>
      </c>
      <c r="W52" s="65">
        <f t="shared" si="11"/>
        <v>72120.891396780105</v>
      </c>
      <c r="X52" s="65">
        <f t="shared" si="12"/>
        <v>25496.947067494511</v>
      </c>
      <c r="Y52" s="40">
        <f t="shared" si="13"/>
        <v>765.87621873641172</v>
      </c>
      <c r="Z52" s="40">
        <f t="shared" si="14"/>
        <v>548.38134296653777</v>
      </c>
      <c r="AA52" s="40">
        <f t="shared" si="15"/>
        <v>933.37748194861229</v>
      </c>
      <c r="AB52" s="40">
        <f t="shared" si="16"/>
        <v>1170.9598964864581</v>
      </c>
      <c r="AC52" s="40">
        <f t="shared" si="17"/>
        <v>933.37748194861229</v>
      </c>
      <c r="AD52" s="41">
        <f t="shared" si="18"/>
        <v>0.88583609681723308</v>
      </c>
      <c r="AE52" s="41">
        <f t="shared" si="19"/>
        <v>0.45144771620733015</v>
      </c>
      <c r="AF52" s="64">
        <f t="shared" si="20"/>
        <v>110.50535842016907</v>
      </c>
      <c r="AG52" s="64">
        <f>APPLICANTS_PER_YEAR*($H52/Segments!$AH$2)*AE52</f>
        <v>41.172031718108514</v>
      </c>
      <c r="AH52" s="64">
        <f t="shared" si="21"/>
        <v>151.67739013827759</v>
      </c>
      <c r="AI52" s="40">
        <f t="shared" si="22"/>
        <v>933.37748194861229</v>
      </c>
      <c r="AJ52" s="65">
        <f t="shared" si="23"/>
        <v>141572.26047580282</v>
      </c>
      <c r="AK52" s="65">
        <f t="shared" si="24"/>
        <v>93158.297009890739</v>
      </c>
      <c r="AL52" s="65">
        <f t="shared" si="25"/>
        <v>32165.022480856474</v>
      </c>
      <c r="AM52" s="40">
        <f t="shared" si="26"/>
        <v>787.60250529850407</v>
      </c>
      <c r="AN52" s="40">
        <f t="shared" si="27"/>
        <v>564.83278325553385</v>
      </c>
      <c r="AO52" s="40">
        <f t="shared" si="28"/>
        <v>960.12880640707056</v>
      </c>
      <c r="AP52" s="40">
        <f t="shared" si="29"/>
        <v>1205.3043505026649</v>
      </c>
      <c r="AQ52" s="40">
        <f t="shared" si="30"/>
        <v>960.12880640707056</v>
      </c>
      <c r="AR52" s="41">
        <f t="shared" si="31"/>
        <v>0.88599115122704597</v>
      </c>
      <c r="AS52" s="41">
        <f t="shared" si="32"/>
        <v>0.45170690249037321</v>
      </c>
      <c r="AT52" s="64">
        <f t="shared" si="33"/>
        <v>82.147884893628756</v>
      </c>
      <c r="AU52" s="64">
        <f>APPLICANTS_PER_YEAR*($H52/Segments!$AH$2)*AS52</f>
        <v>41.195669507122041</v>
      </c>
      <c r="AV52" s="64">
        <f t="shared" si="34"/>
        <v>123.3435544007508</v>
      </c>
      <c r="AW52" s="40">
        <f t="shared" si="35"/>
        <v>960.12880640707044</v>
      </c>
      <c r="AX52" s="65">
        <f t="shared" si="36"/>
        <v>118425.69966479843</v>
      </c>
      <c r="AY52" s="65">
        <f t="shared" si="37"/>
        <v>78028.701104263208</v>
      </c>
      <c r="AZ52" s="65">
        <f t="shared" si="38"/>
        <v>27263.58027709544</v>
      </c>
    </row>
    <row r="53" spans="1:52" ht="15" customHeight="1" x14ac:dyDescent="0.35">
      <c r="A53" s="61" t="str">
        <f>Segments!$A$33</f>
        <v>Non-greek</v>
      </c>
      <c r="B53" s="61" t="str">
        <f>Segments!$B$33</f>
        <v>On campus</v>
      </c>
      <c r="C53" s="61" t="str">
        <f>Segments!$C$33</f>
        <v>No</v>
      </c>
      <c r="D53" s="61" t="str">
        <f>Segments!$D$33</f>
        <v>1.0-2.0</v>
      </c>
      <c r="E53" s="61" t="str">
        <f>Segments!$E$33</f>
        <v>Senior</v>
      </c>
      <c r="F53" s="61">
        <f>Segments!$F$33</f>
        <v>3</v>
      </c>
      <c r="G53" s="61" t="str">
        <f>Segments!$G$33</f>
        <v>Base</v>
      </c>
      <c r="H53" s="62">
        <f>Segments!$H$33</f>
        <v>90</v>
      </c>
      <c r="I53" s="63">
        <f>Segments!$Y$33</f>
        <v>497.63608021575544</v>
      </c>
      <c r="J53" s="42">
        <v>3</v>
      </c>
      <c r="K53" s="40">
        <f t="shared" si="0"/>
        <v>1426.2297754450396</v>
      </c>
      <c r="L53" s="40">
        <f t="shared" si="1"/>
        <v>497.63608021575544</v>
      </c>
      <c r="M53" s="40">
        <f t="shared" si="2"/>
        <v>850.86172863284378</v>
      </c>
      <c r="N53" s="40">
        <f t="shared" si="3"/>
        <v>1101.6008043582754</v>
      </c>
      <c r="O53" s="40">
        <f t="shared" si="4"/>
        <v>850.86172863284378</v>
      </c>
      <c r="P53" s="41">
        <f t="shared" si="5"/>
        <v>0.95</v>
      </c>
      <c r="Q53" s="41">
        <f t="shared" si="6"/>
        <v>0.46380668692934401</v>
      </c>
      <c r="R53" s="64">
        <f t="shared" si="7"/>
        <v>72.2</v>
      </c>
      <c r="S53" s="64">
        <f>APPLICANTS_PER_YEAR*($H53/Segments!$AH$2)*Q53</f>
        <v>50.091122188369148</v>
      </c>
      <c r="T53" s="64">
        <f t="shared" si="8"/>
        <v>122.29112218836914</v>
      </c>
      <c r="U53" s="40">
        <f t="shared" si="9"/>
        <v>850.86172863284389</v>
      </c>
      <c r="V53" s="65">
        <f t="shared" si="10"/>
        <v>104052.8356216461</v>
      </c>
      <c r="W53" s="65">
        <f t="shared" si="11"/>
        <v>68159.251653926753</v>
      </c>
      <c r="X53" s="65">
        <f t="shared" si="12"/>
        <v>24855.808089470142</v>
      </c>
      <c r="Y53" s="40">
        <f t="shared" si="13"/>
        <v>907.40532228020606</v>
      </c>
      <c r="Z53" s="40">
        <f t="shared" si="14"/>
        <v>512.56516262222817</v>
      </c>
      <c r="AA53" s="40">
        <f t="shared" si="15"/>
        <v>875.13758049182923</v>
      </c>
      <c r="AB53" s="40">
        <f t="shared" si="16"/>
        <v>1133.8393595018777</v>
      </c>
      <c r="AC53" s="40">
        <f t="shared" si="17"/>
        <v>875.13758049182923</v>
      </c>
      <c r="AD53" s="41">
        <f t="shared" si="18"/>
        <v>0.95</v>
      </c>
      <c r="AE53" s="41">
        <f t="shared" si="19"/>
        <v>0.46408220081709906</v>
      </c>
      <c r="AF53" s="64">
        <f t="shared" si="20"/>
        <v>114.90031581267371</v>
      </c>
      <c r="AG53" s="64">
        <f>APPLICANTS_PER_YEAR*($H53/Segments!$AH$2)*AE53</f>
        <v>50.120877688246694</v>
      </c>
      <c r="AH53" s="64">
        <f t="shared" si="21"/>
        <v>165.02119350092039</v>
      </c>
      <c r="AI53" s="40">
        <f t="shared" si="22"/>
        <v>875.13758049182934</v>
      </c>
      <c r="AJ53" s="65">
        <f t="shared" si="23"/>
        <v>144416.24801026945</v>
      </c>
      <c r="AK53" s="65">
        <f t="shared" si="24"/>
        <v>94734.208668863066</v>
      </c>
      <c r="AL53" s="65">
        <f t="shared" si="25"/>
        <v>33383.309913293167</v>
      </c>
      <c r="AM53" s="40">
        <f t="shared" si="26"/>
        <v>933.37748194861229</v>
      </c>
      <c r="AN53" s="40">
        <f t="shared" si="27"/>
        <v>527.94211750089494</v>
      </c>
      <c r="AO53" s="40">
        <f t="shared" si="28"/>
        <v>900.14170790658397</v>
      </c>
      <c r="AP53" s="40">
        <f t="shared" si="29"/>
        <v>1167.04450142565</v>
      </c>
      <c r="AQ53" s="40">
        <f t="shared" si="30"/>
        <v>900.14170790658397</v>
      </c>
      <c r="AR53" s="41">
        <f t="shared" si="31"/>
        <v>0.95</v>
      </c>
      <c r="AS53" s="41">
        <f t="shared" si="32"/>
        <v>0.46434987834355079</v>
      </c>
      <c r="AT53" s="64">
        <f t="shared" si="33"/>
        <v>144.0935206313637</v>
      </c>
      <c r="AU53" s="64">
        <f>APPLICANTS_PER_YEAR*($H53/Segments!$AH$2)*AS53</f>
        <v>50.149786861103479</v>
      </c>
      <c r="AV53" s="64">
        <f t="shared" si="34"/>
        <v>194.24330749246718</v>
      </c>
      <c r="AW53" s="40">
        <f t="shared" si="35"/>
        <v>900.14170790658409</v>
      </c>
      <c r="AX53" s="65">
        <f t="shared" si="36"/>
        <v>174846.50255569318</v>
      </c>
      <c r="AY53" s="65">
        <f t="shared" si="37"/>
        <v>114855.12983610465</v>
      </c>
      <c r="AZ53" s="65">
        <f t="shared" si="38"/>
        <v>39764.566822273613</v>
      </c>
    </row>
    <row r="54" spans="1:52" ht="15" customHeight="1" x14ac:dyDescent="0.35">
      <c r="A54" s="61" t="str">
        <f>Segments!$A$34</f>
        <v>Non-greek</v>
      </c>
      <c r="B54" s="61" t="str">
        <f>Segments!$B$34</f>
        <v>On campus</v>
      </c>
      <c r="C54" s="61" t="str">
        <f>Segments!$C$34</f>
        <v>No</v>
      </c>
      <c r="D54" s="61" t="str">
        <f>Segments!$D$34</f>
        <v>1.0-2.0</v>
      </c>
      <c r="E54" s="61" t="str">
        <f>Segments!$E$34</f>
        <v>Grad student</v>
      </c>
      <c r="F54" s="61">
        <f>Segments!$F$34</f>
        <v>3</v>
      </c>
      <c r="G54" s="61" t="str">
        <f>Segments!$G$34</f>
        <v>Grad</v>
      </c>
      <c r="H54" s="62">
        <f>Segments!$H$34</f>
        <v>40</v>
      </c>
      <c r="I54" s="63">
        <f>Segments!$Y$34</f>
        <v>592.52554047006799</v>
      </c>
      <c r="J54" s="42">
        <v>4</v>
      </c>
      <c r="K54" s="40">
        <f t="shared" si="0"/>
        <v>1426.2297754450396</v>
      </c>
      <c r="L54" s="40">
        <f t="shared" si="1"/>
        <v>592.52554047006799</v>
      </c>
      <c r="M54" s="40">
        <f t="shared" si="2"/>
        <v>1005.1593885556031</v>
      </c>
      <c r="N54" s="40">
        <f t="shared" si="3"/>
        <v>1197.3254566015587</v>
      </c>
      <c r="O54" s="40">
        <f t="shared" si="4"/>
        <v>1005.1593885556031</v>
      </c>
      <c r="P54" s="41">
        <f t="shared" si="5"/>
        <v>0.9302480507644898</v>
      </c>
      <c r="Q54" s="41">
        <f t="shared" si="6"/>
        <v>0.4302480507644898</v>
      </c>
      <c r="R54" s="64">
        <f t="shared" si="7"/>
        <v>18.604961015289796</v>
      </c>
      <c r="S54" s="64">
        <f>APPLICANTS_PER_YEAR*($H54/Segments!$AH$2)*Q54</f>
        <v>20.651906436695512</v>
      </c>
      <c r="T54" s="64">
        <f t="shared" si="8"/>
        <v>39.256867451985308</v>
      </c>
      <c r="U54" s="40">
        <f t="shared" si="9"/>
        <v>1005.1593885556031</v>
      </c>
      <c r="V54" s="65">
        <f t="shared" si="10"/>
        <v>39459.408884645905</v>
      </c>
      <c r="W54" s="65">
        <f t="shared" si="11"/>
        <v>26051.98019664735</v>
      </c>
      <c r="X54" s="65">
        <f t="shared" si="12"/>
        <v>9485.8093067797436</v>
      </c>
      <c r="Y54" s="40">
        <f t="shared" si="13"/>
        <v>1005.1593885556031</v>
      </c>
      <c r="Z54" s="40">
        <f t="shared" si="14"/>
        <v>610.30130668417007</v>
      </c>
      <c r="AA54" s="40">
        <f t="shared" si="15"/>
        <v>1034.0641702122712</v>
      </c>
      <c r="AB54" s="40">
        <f t="shared" si="16"/>
        <v>1232.500508136178</v>
      </c>
      <c r="AC54" s="40">
        <f t="shared" si="17"/>
        <v>1034.0641702122712</v>
      </c>
      <c r="AD54" s="41">
        <f t="shared" si="18"/>
        <v>0.92187459893815116</v>
      </c>
      <c r="AE54" s="41">
        <f t="shared" si="19"/>
        <v>0.43050152377786355</v>
      </c>
      <c r="AF54" s="64">
        <f t="shared" si="20"/>
        <v>18.094954468933558</v>
      </c>
      <c r="AG54" s="64">
        <f>APPLICANTS_PER_YEAR*($H54/Segments!$AH$2)*AE54</f>
        <v>20.66407314133745</v>
      </c>
      <c r="AH54" s="64">
        <f t="shared" si="21"/>
        <v>38.759027610271005</v>
      </c>
      <c r="AI54" s="40">
        <f t="shared" si="22"/>
        <v>1034.0641702122712</v>
      </c>
      <c r="AJ54" s="65">
        <f t="shared" si="23"/>
        <v>40079.321724049398</v>
      </c>
      <c r="AK54" s="65">
        <f t="shared" si="24"/>
        <v>26493.247419918967</v>
      </c>
      <c r="AL54" s="65">
        <f t="shared" si="25"/>
        <v>9614.6534041977902</v>
      </c>
      <c r="AM54" s="40">
        <f t="shared" si="26"/>
        <v>1034.0641702122712</v>
      </c>
      <c r="AN54" s="40">
        <f t="shared" si="27"/>
        <v>628.61034588469511</v>
      </c>
      <c r="AO54" s="40">
        <f t="shared" si="28"/>
        <v>1063.8360953186393</v>
      </c>
      <c r="AP54" s="40">
        <f t="shared" si="29"/>
        <v>1268.7303675330829</v>
      </c>
      <c r="AQ54" s="40">
        <f t="shared" si="30"/>
        <v>1063.8360953186393</v>
      </c>
      <c r="AR54" s="41">
        <f t="shared" si="31"/>
        <v>0.92211040743723804</v>
      </c>
      <c r="AS54" s="41">
        <f t="shared" si="32"/>
        <v>0.43074776069750725</v>
      </c>
      <c r="AT54" s="64">
        <f t="shared" si="33"/>
        <v>17.870051370789078</v>
      </c>
      <c r="AU54" s="64">
        <f>APPLICANTS_PER_YEAR*($H54/Segments!$AH$2)*AS54</f>
        <v>20.675892513480349</v>
      </c>
      <c r="AV54" s="64">
        <f t="shared" si="34"/>
        <v>38.545943884269427</v>
      </c>
      <c r="AW54" s="40">
        <f t="shared" si="35"/>
        <v>1063.8360953186391</v>
      </c>
      <c r="AX54" s="65">
        <f t="shared" si="36"/>
        <v>41006.566432212567</v>
      </c>
      <c r="AY54" s="65">
        <f t="shared" si="37"/>
        <v>27138.024611647772</v>
      </c>
      <c r="AZ54" s="65">
        <f t="shared" si="38"/>
        <v>9807.9088727674807</v>
      </c>
    </row>
    <row r="55" spans="1:52" ht="15" customHeight="1" x14ac:dyDescent="0.35">
      <c r="A55" s="59" t="str">
        <f>Segments!$A$35</f>
        <v>Non-greek</v>
      </c>
      <c r="B55" s="59" t="str">
        <f>Segments!$B$35</f>
        <v>On campus</v>
      </c>
      <c r="C55" s="59" t="str">
        <f>Segments!$C$35</f>
        <v>No</v>
      </c>
      <c r="D55" s="59" t="str">
        <f>Segments!$D$35</f>
        <v>2.0-3.0</v>
      </c>
      <c r="E55" s="59" t="str">
        <f>Segments!$E$35</f>
        <v>Freshman</v>
      </c>
      <c r="F55" s="59">
        <f>Segments!$F$35</f>
        <v>1</v>
      </c>
      <c r="G55" s="59" t="str">
        <f>Segments!$G$35</f>
        <v>Base</v>
      </c>
      <c r="H55" s="60">
        <f>Segments!$H$35</f>
        <v>143</v>
      </c>
      <c r="I55" s="26">
        <f>Segments!$Y$35</f>
        <v>442.15639912487848</v>
      </c>
      <c r="J55" s="29">
        <v>0</v>
      </c>
      <c r="K55" s="14">
        <f t="shared" si="0"/>
        <v>760.64744200247787</v>
      </c>
      <c r="L55" s="14">
        <f t="shared" si="1"/>
        <v>442.15639912487848</v>
      </c>
      <c r="M55" s="14">
        <f t="shared" si="2"/>
        <v>760.64744200247787</v>
      </c>
      <c r="N55" s="14">
        <f t="shared" si="3"/>
        <v>1041.565182981861</v>
      </c>
      <c r="O55" s="14">
        <f t="shared" si="4"/>
        <v>760.64744200247787</v>
      </c>
      <c r="P55" s="33">
        <f t="shared" si="5"/>
        <v>0.95</v>
      </c>
      <c r="Q55" s="33">
        <f t="shared" si="6"/>
        <v>0.48485365369796318</v>
      </c>
      <c r="R55" s="51">
        <f t="shared" si="7"/>
        <v>0</v>
      </c>
      <c r="S55" s="51">
        <f>APPLICANTS_PER_YEAR*($H55/Segments!$AH$2)*Q55</f>
        <v>83.20088697457048</v>
      </c>
      <c r="T55" s="51">
        <f t="shared" si="8"/>
        <v>83.20088697457048</v>
      </c>
      <c r="U55" s="14">
        <f t="shared" si="9"/>
        <v>760.64744200247787</v>
      </c>
      <c r="V55" s="44">
        <f t="shared" si="10"/>
        <v>63286.541849544315</v>
      </c>
      <c r="W55" s="44">
        <f t="shared" si="11"/>
        <v>41202.341139312739</v>
      </c>
      <c r="X55" s="44">
        <f t="shared" si="12"/>
        <v>17920.225288153601</v>
      </c>
      <c r="Y55" s="14">
        <f t="shared" si="13"/>
        <v>782.21686526255223</v>
      </c>
      <c r="Z55" s="14">
        <f t="shared" si="14"/>
        <v>455.42109109862486</v>
      </c>
      <c r="AA55" s="14">
        <f t="shared" si="15"/>
        <v>782.21686526255223</v>
      </c>
      <c r="AB55" s="14">
        <f t="shared" si="16"/>
        <v>1071.9559755957864</v>
      </c>
      <c r="AC55" s="14">
        <f t="shared" si="17"/>
        <v>782.21686526255223</v>
      </c>
      <c r="AD55" s="33">
        <f t="shared" si="18"/>
        <v>0.95</v>
      </c>
      <c r="AE55" s="33">
        <f t="shared" si="19"/>
        <v>0.4851450604919661</v>
      </c>
      <c r="AF55" s="51">
        <f t="shared" si="20"/>
        <v>0</v>
      </c>
      <c r="AG55" s="51">
        <f>APPLICANTS_PER_YEAR*($H55/Segments!$AH$2)*AE55</f>
        <v>83.250892380421377</v>
      </c>
      <c r="AH55" s="51">
        <f t="shared" si="21"/>
        <v>83.250892380421377</v>
      </c>
      <c r="AI55" s="14">
        <f t="shared" si="22"/>
        <v>782.21686526255223</v>
      </c>
      <c r="AJ55" s="44">
        <f t="shared" si="23"/>
        <v>65120.252068123307</v>
      </c>
      <c r="AK55" s="44">
        <f t="shared" si="24"/>
        <v>42463.917711964787</v>
      </c>
      <c r="AL55" s="44">
        <f t="shared" si="25"/>
        <v>18333.226620378584</v>
      </c>
      <c r="AM55" s="14">
        <f t="shared" si="26"/>
        <v>804.43337122042874</v>
      </c>
      <c r="AN55" s="14">
        <f t="shared" si="27"/>
        <v>469.08372383158354</v>
      </c>
      <c r="AO55" s="14">
        <f t="shared" si="28"/>
        <v>804.43337122042874</v>
      </c>
      <c r="AP55" s="14">
        <f t="shared" si="29"/>
        <v>1103.2578176127906</v>
      </c>
      <c r="AQ55" s="14">
        <f t="shared" si="30"/>
        <v>804.43337122042874</v>
      </c>
      <c r="AR55" s="33">
        <f t="shared" si="31"/>
        <v>0.95</v>
      </c>
      <c r="AS55" s="33">
        <f t="shared" si="32"/>
        <v>0.48542820255692942</v>
      </c>
      <c r="AT55" s="51">
        <f t="shared" si="33"/>
        <v>0</v>
      </c>
      <c r="AU55" s="51">
        <f>APPLICANTS_PER_YEAR*($H55/Segments!$AH$2)*AS55</f>
        <v>83.299479558769093</v>
      </c>
      <c r="AV55" s="51">
        <f t="shared" si="34"/>
        <v>83.299479558769093</v>
      </c>
      <c r="AW55" s="14">
        <f t="shared" si="35"/>
        <v>804.43337122042885</v>
      </c>
      <c r="AX55" s="44">
        <f t="shared" si="36"/>
        <v>67008.881162367819</v>
      </c>
      <c r="AY55" s="44">
        <f t="shared" si="37"/>
        <v>43763.361672419516</v>
      </c>
      <c r="AZ55" s="44">
        <f t="shared" si="38"/>
        <v>18758.465960515001</v>
      </c>
    </row>
    <row r="56" spans="1:52" ht="15" customHeight="1" x14ac:dyDescent="0.35">
      <c r="A56" s="59" t="str">
        <f>Segments!$A$36</f>
        <v>Non-greek</v>
      </c>
      <c r="B56" s="59" t="str">
        <f>Segments!$B$36</f>
        <v>On campus</v>
      </c>
      <c r="C56" s="59" t="str">
        <f>Segments!$C$36</f>
        <v>No</v>
      </c>
      <c r="D56" s="59" t="str">
        <f>Segments!$D$36</f>
        <v>2.0-3.0</v>
      </c>
      <c r="E56" s="59" t="str">
        <f>Segments!$E$36</f>
        <v>Sophomore</v>
      </c>
      <c r="F56" s="59">
        <f>Segments!$F$36</f>
        <v>1</v>
      </c>
      <c r="G56" s="59" t="str">
        <f>Segments!$G$36</f>
        <v>Sophomore</v>
      </c>
      <c r="H56" s="60">
        <f>Segments!$H$36</f>
        <v>131</v>
      </c>
      <c r="I56" s="26">
        <f>Segments!$Y$36</f>
        <v>437.65800728455594</v>
      </c>
      <c r="J56" s="29">
        <v>1</v>
      </c>
      <c r="K56" s="14">
        <f t="shared" si="0"/>
        <v>1426.2297754450396</v>
      </c>
      <c r="L56" s="14">
        <f t="shared" si="1"/>
        <v>437.65800728455594</v>
      </c>
      <c r="M56" s="14">
        <f t="shared" si="2"/>
        <v>753.33270617705352</v>
      </c>
      <c r="N56" s="14">
        <f t="shared" si="3"/>
        <v>1036.5449996822633</v>
      </c>
      <c r="O56" s="14">
        <f t="shared" si="4"/>
        <v>753.33270617705352</v>
      </c>
      <c r="P56" s="33">
        <f t="shared" si="5"/>
        <v>0.95</v>
      </c>
      <c r="Q56" s="33">
        <f t="shared" si="6"/>
        <v>0.48661360268585735</v>
      </c>
      <c r="R56" s="51">
        <f t="shared" si="7"/>
        <v>135.85</v>
      </c>
      <c r="S56" s="51">
        <f>APPLICANTS_PER_YEAR*($H56/Segments!$AH$2)*Q56</f>
        <v>76.495658342216785</v>
      </c>
      <c r="T56" s="51">
        <f t="shared" si="8"/>
        <v>212.34565834221678</v>
      </c>
      <c r="U56" s="14">
        <f t="shared" si="9"/>
        <v>753.33270617705341</v>
      </c>
      <c r="V56" s="44">
        <f t="shared" si="10"/>
        <v>159966.92944389017</v>
      </c>
      <c r="W56" s="44">
        <f t="shared" si="11"/>
        <v>104086.95100785156</v>
      </c>
      <c r="X56" s="44">
        <f t="shared" si="12"/>
        <v>38409.98813613582</v>
      </c>
      <c r="Y56" s="14">
        <f t="shared" si="13"/>
        <v>760.64744200247787</v>
      </c>
      <c r="Z56" s="14">
        <f t="shared" si="14"/>
        <v>450.78774750309265</v>
      </c>
      <c r="AA56" s="14">
        <f t="shared" si="15"/>
        <v>774.68268736236519</v>
      </c>
      <c r="AB56" s="14">
        <f t="shared" si="16"/>
        <v>1066.7810369026652</v>
      </c>
      <c r="AC56" s="14">
        <f t="shared" si="17"/>
        <v>774.68268736236519</v>
      </c>
      <c r="AD56" s="33">
        <f t="shared" si="18"/>
        <v>0.95</v>
      </c>
      <c r="AE56" s="33">
        <f t="shared" si="19"/>
        <v>0.48690642195346384</v>
      </c>
      <c r="AF56" s="51">
        <f t="shared" si="20"/>
        <v>79.040842625841947</v>
      </c>
      <c r="AG56" s="51">
        <f>APPLICANTS_PER_YEAR*($H56/Segments!$AH$2)*AE56</f>
        <v>76.541689531084529</v>
      </c>
      <c r="AH56" s="51">
        <f t="shared" si="21"/>
        <v>155.58253215692648</v>
      </c>
      <c r="AI56" s="14">
        <f t="shared" si="22"/>
        <v>774.68268736236507</v>
      </c>
      <c r="AJ56" s="44">
        <f t="shared" si="23"/>
        <v>120527.09411796939</v>
      </c>
      <c r="AK56" s="44">
        <f t="shared" si="24"/>
        <v>78550.86312847017</v>
      </c>
      <c r="AL56" s="44">
        <f t="shared" si="25"/>
        <v>29880.156930653735</v>
      </c>
      <c r="AM56" s="14">
        <f t="shared" si="26"/>
        <v>782.21686526255223</v>
      </c>
      <c r="AN56" s="14">
        <f t="shared" si="27"/>
        <v>464.31137992818537</v>
      </c>
      <c r="AO56" s="14">
        <f t="shared" si="28"/>
        <v>796.673167983236</v>
      </c>
      <c r="AP56" s="14">
        <f t="shared" si="29"/>
        <v>1097.9234710026453</v>
      </c>
      <c r="AQ56" s="14">
        <f t="shared" si="30"/>
        <v>796.673167983236</v>
      </c>
      <c r="AR56" s="33">
        <f t="shared" si="31"/>
        <v>0.95</v>
      </c>
      <c r="AS56" s="33">
        <f t="shared" si="32"/>
        <v>0.48719093861082213</v>
      </c>
      <c r="AT56" s="51">
        <f t="shared" si="33"/>
        <v>79.0883477614003</v>
      </c>
      <c r="AU56" s="51">
        <f>APPLICANTS_PER_YEAR*($H56/Segments!$AH$2)*AS56</f>
        <v>76.58641554962125</v>
      </c>
      <c r="AV56" s="51">
        <f t="shared" si="34"/>
        <v>155.67476331102154</v>
      </c>
      <c r="AW56" s="14">
        <f t="shared" si="35"/>
        <v>796.67316798323611</v>
      </c>
      <c r="AX56" s="44">
        <f t="shared" si="36"/>
        <v>124021.90686203197</v>
      </c>
      <c r="AY56" s="44">
        <f t="shared" si="37"/>
        <v>80955.351873686144</v>
      </c>
      <c r="AZ56" s="44">
        <f t="shared" si="38"/>
        <v>30603.798032398914</v>
      </c>
    </row>
    <row r="57" spans="1:52" ht="15" customHeight="1" x14ac:dyDescent="0.35">
      <c r="A57" s="59" t="str">
        <f>Segments!$A$37</f>
        <v>Non-greek</v>
      </c>
      <c r="B57" s="59" t="str">
        <f>Segments!$B$37</f>
        <v>On campus</v>
      </c>
      <c r="C57" s="59" t="str">
        <f>Segments!$C$37</f>
        <v>No</v>
      </c>
      <c r="D57" s="59" t="str">
        <f>Segments!$D$37</f>
        <v>2.0-3.0</v>
      </c>
      <c r="E57" s="59" t="str">
        <f>Segments!$E$37</f>
        <v>Junior</v>
      </c>
      <c r="F57" s="59">
        <f>Segments!$F$37</f>
        <v>2</v>
      </c>
      <c r="G57" s="59" t="str">
        <f>Segments!$G$37</f>
        <v>Base</v>
      </c>
      <c r="H57" s="60">
        <f>Segments!$H$37</f>
        <v>129</v>
      </c>
      <c r="I57" s="26">
        <f>Segments!$Y$37</f>
        <v>523.18759641068971</v>
      </c>
      <c r="J57" s="29">
        <v>2</v>
      </c>
      <c r="K57" s="14">
        <f t="shared" si="0"/>
        <v>1426.2297754450396</v>
      </c>
      <c r="L57" s="14">
        <f t="shared" si="1"/>
        <v>523.18759641068971</v>
      </c>
      <c r="M57" s="14">
        <f t="shared" si="2"/>
        <v>892.41048595310338</v>
      </c>
      <c r="N57" s="14">
        <f t="shared" si="3"/>
        <v>1128.1765850192483</v>
      </c>
      <c r="O57" s="14">
        <f t="shared" si="4"/>
        <v>892.41048595310338</v>
      </c>
      <c r="P57" s="33">
        <f t="shared" si="5"/>
        <v>0.95</v>
      </c>
      <c r="Q57" s="33">
        <f t="shared" si="6"/>
        <v>0.45448989200663226</v>
      </c>
      <c r="R57" s="51">
        <f t="shared" si="7"/>
        <v>124.44999999999999</v>
      </c>
      <c r="S57" s="51">
        <f>APPLICANTS_PER_YEAR*($H57/Segments!$AH$2)*Q57</f>
        <v>70.355035282626673</v>
      </c>
      <c r="T57" s="51">
        <f t="shared" si="8"/>
        <v>194.80503528262665</v>
      </c>
      <c r="U57" s="14">
        <f t="shared" si="9"/>
        <v>892.41048595310349</v>
      </c>
      <c r="V57" s="44">
        <f t="shared" si="10"/>
        <v>173846.05620268031</v>
      </c>
      <c r="W57" s="44">
        <f t="shared" si="11"/>
        <v>114149.92755960309</v>
      </c>
      <c r="X57" s="44">
        <f t="shared" si="12"/>
        <v>40709.376202928361</v>
      </c>
      <c r="Y57" s="14">
        <f t="shared" si="13"/>
        <v>753.33270617705341</v>
      </c>
      <c r="Z57" s="14">
        <f t="shared" si="14"/>
        <v>538.88322430301037</v>
      </c>
      <c r="AA57" s="14">
        <f t="shared" si="15"/>
        <v>917.93280053169633</v>
      </c>
      <c r="AB57" s="14">
        <f t="shared" si="16"/>
        <v>1161.2314948946382</v>
      </c>
      <c r="AC57" s="14">
        <f t="shared" si="17"/>
        <v>917.93280053169633</v>
      </c>
      <c r="AD57" s="33">
        <f t="shared" si="18"/>
        <v>0.88921014659665987</v>
      </c>
      <c r="AE57" s="33">
        <f t="shared" si="19"/>
        <v>0.45475891130778234</v>
      </c>
      <c r="AF57" s="51">
        <f t="shared" si="20"/>
        <v>188.81991398364684</v>
      </c>
      <c r="AG57" s="51">
        <f>APPLICANTS_PER_YEAR*($H57/Segments!$AH$2)*AE57</f>
        <v>70.39667947044471</v>
      </c>
      <c r="AH57" s="51">
        <f t="shared" si="21"/>
        <v>259.21659345409154</v>
      </c>
      <c r="AI57" s="14">
        <f t="shared" si="22"/>
        <v>917.93280053169633</v>
      </c>
      <c r="AJ57" s="44">
        <f t="shared" si="23"/>
        <v>237943.41357360044</v>
      </c>
      <c r="AK57" s="44">
        <f t="shared" si="24"/>
        <v>156449.97051418951</v>
      </c>
      <c r="AL57" s="44">
        <f t="shared" si="25"/>
        <v>54177.233760958741</v>
      </c>
      <c r="AM57" s="14">
        <f t="shared" si="26"/>
        <v>774.68268736236507</v>
      </c>
      <c r="AN57" s="14">
        <f t="shared" si="27"/>
        <v>555.04972103210071</v>
      </c>
      <c r="AO57" s="14">
        <f t="shared" si="28"/>
        <v>944.22078454764733</v>
      </c>
      <c r="AP57" s="14">
        <f t="shared" si="29"/>
        <v>1195.2775215759102</v>
      </c>
      <c r="AQ57" s="14">
        <f t="shared" si="30"/>
        <v>944.22078454764733</v>
      </c>
      <c r="AR57" s="33">
        <f t="shared" si="31"/>
        <v>0.88936573856597079</v>
      </c>
      <c r="AS57" s="33">
        <f t="shared" si="32"/>
        <v>0.45502027039597376</v>
      </c>
      <c r="AT57" s="51">
        <f t="shared" si="33"/>
        <v>138.36977361970881</v>
      </c>
      <c r="AU57" s="51">
        <f>APPLICANTS_PER_YEAR*($H57/Segments!$AH$2)*AS57</f>
        <v>70.437137857296747</v>
      </c>
      <c r="AV57" s="51">
        <f t="shared" si="34"/>
        <v>208.80691147700554</v>
      </c>
      <c r="AW57" s="14">
        <f t="shared" si="35"/>
        <v>944.22078454764733</v>
      </c>
      <c r="AX57" s="44">
        <f t="shared" si="36"/>
        <v>197159.82577378931</v>
      </c>
      <c r="AY57" s="44">
        <f t="shared" si="37"/>
        <v>129806.00412067286</v>
      </c>
      <c r="AZ57" s="44">
        <f t="shared" si="38"/>
        <v>45528.061082130473</v>
      </c>
    </row>
    <row r="58" spans="1:52" ht="15" customHeight="1" x14ac:dyDescent="0.35">
      <c r="A58" s="59" t="str">
        <f>Segments!$A$38</f>
        <v>Non-greek</v>
      </c>
      <c r="B58" s="59" t="str">
        <f>Segments!$B$38</f>
        <v>On campus</v>
      </c>
      <c r="C58" s="59" t="str">
        <f>Segments!$C$38</f>
        <v>No</v>
      </c>
      <c r="D58" s="59" t="str">
        <f>Segments!$D$38</f>
        <v>2.0-3.0</v>
      </c>
      <c r="E58" s="59" t="str">
        <f>Segments!$E$38</f>
        <v>Senior</v>
      </c>
      <c r="F58" s="59">
        <f>Segments!$F$38</f>
        <v>3</v>
      </c>
      <c r="G58" s="59" t="str">
        <f>Segments!$G$38</f>
        <v>Base</v>
      </c>
      <c r="H58" s="60">
        <f>Segments!$H$38</f>
        <v>152</v>
      </c>
      <c r="I58" s="26">
        <f>Segments!$Y$38</f>
        <v>489.01688373548728</v>
      </c>
      <c r="J58" s="29">
        <v>3</v>
      </c>
      <c r="K58" s="14">
        <f t="shared" si="0"/>
        <v>1426.2297754450396</v>
      </c>
      <c r="L58" s="14">
        <f t="shared" si="1"/>
        <v>489.01688373548728</v>
      </c>
      <c r="M58" s="14">
        <f t="shared" si="2"/>
        <v>836.84624320637454</v>
      </c>
      <c r="N58" s="14">
        <f t="shared" si="3"/>
        <v>1092.4902880713644</v>
      </c>
      <c r="O58" s="14">
        <f t="shared" si="4"/>
        <v>836.84624320637454</v>
      </c>
      <c r="P58" s="33">
        <f t="shared" si="5"/>
        <v>0.95</v>
      </c>
      <c r="Q58" s="33">
        <f t="shared" si="6"/>
        <v>0.46700060296018414</v>
      </c>
      <c r="R58" s="51">
        <f t="shared" si="7"/>
        <v>122.55</v>
      </c>
      <c r="S58" s="51">
        <f>APPLICANTS_PER_YEAR*($H58/Segments!$AH$2)*Q58</f>
        <v>85.180909979937596</v>
      </c>
      <c r="T58" s="51">
        <f t="shared" si="8"/>
        <v>207.73090997993759</v>
      </c>
      <c r="U58" s="14">
        <f t="shared" si="9"/>
        <v>836.84624320637454</v>
      </c>
      <c r="V58" s="44">
        <f t="shared" si="10"/>
        <v>173838.83161455236</v>
      </c>
      <c r="W58" s="44">
        <f t="shared" si="11"/>
        <v>113773.99292439726</v>
      </c>
      <c r="X58" s="44">
        <f t="shared" si="12"/>
        <v>41634.59648208398</v>
      </c>
      <c r="Y58" s="14">
        <f t="shared" si="13"/>
        <v>892.41048595310349</v>
      </c>
      <c r="Z58" s="14">
        <f t="shared" si="14"/>
        <v>503.68739024755189</v>
      </c>
      <c r="AA58" s="14">
        <f t="shared" si="15"/>
        <v>860.70163050256565</v>
      </c>
      <c r="AB58" s="14">
        <f t="shared" si="16"/>
        <v>1124.4487725071156</v>
      </c>
      <c r="AC58" s="14">
        <f t="shared" si="17"/>
        <v>860.70163050256565</v>
      </c>
      <c r="AD58" s="33">
        <f t="shared" si="18"/>
        <v>0.95</v>
      </c>
      <c r="AE58" s="33">
        <f t="shared" si="19"/>
        <v>0.46727841607959109</v>
      </c>
      <c r="AF58" s="51">
        <f t="shared" si="20"/>
        <v>185.06478351849532</v>
      </c>
      <c r="AG58" s="51">
        <f>APPLICANTS_PER_YEAR*($H58/Segments!$AH$2)*AE58</f>
        <v>85.231583092917418</v>
      </c>
      <c r="AH58" s="51">
        <f t="shared" si="21"/>
        <v>270.29636661141274</v>
      </c>
      <c r="AI58" s="14">
        <f t="shared" si="22"/>
        <v>860.70163050256565</v>
      </c>
      <c r="AJ58" s="44">
        <f t="shared" si="23"/>
        <v>232644.5234613622</v>
      </c>
      <c r="AK58" s="44">
        <f t="shared" si="24"/>
        <v>152482.25607092577</v>
      </c>
      <c r="AL58" s="44">
        <f t="shared" si="25"/>
        <v>54074.095532592255</v>
      </c>
      <c r="AM58" s="14">
        <f t="shared" si="26"/>
        <v>917.93280053169633</v>
      </c>
      <c r="AN58" s="14">
        <f t="shared" si="27"/>
        <v>518.79801195497839</v>
      </c>
      <c r="AO58" s="14">
        <f t="shared" si="28"/>
        <v>885.27267941764262</v>
      </c>
      <c r="AP58" s="14">
        <f t="shared" si="29"/>
        <v>1157.3654272048896</v>
      </c>
      <c r="AQ58" s="14">
        <f t="shared" si="30"/>
        <v>885.27267941764262</v>
      </c>
      <c r="AR58" s="33">
        <f t="shared" si="31"/>
        <v>0.95</v>
      </c>
      <c r="AS58" s="33">
        <f t="shared" si="32"/>
        <v>0.46754833062724538</v>
      </c>
      <c r="AT58" s="51">
        <f t="shared" si="33"/>
        <v>246.25576378138695</v>
      </c>
      <c r="AU58" s="51">
        <f>APPLICANTS_PER_YEAR*($H58/Segments!$AH$2)*AS58</f>
        <v>85.280815506409553</v>
      </c>
      <c r="AV58" s="51">
        <f t="shared" si="34"/>
        <v>331.53657928779649</v>
      </c>
      <c r="AW58" s="14">
        <f t="shared" si="35"/>
        <v>885.27267941764262</v>
      </c>
      <c r="AX58" s="44">
        <f t="shared" si="36"/>
        <v>293500.27587106731</v>
      </c>
      <c r="AY58" s="44">
        <f t="shared" si="37"/>
        <v>192640.58041184643</v>
      </c>
      <c r="AZ58" s="44">
        <f t="shared" si="38"/>
        <v>66876.691274667726</v>
      </c>
    </row>
    <row r="59" spans="1:52" ht="15" customHeight="1" x14ac:dyDescent="0.35">
      <c r="A59" s="59" t="str">
        <f>Segments!$A$39</f>
        <v>Non-greek</v>
      </c>
      <c r="B59" s="59" t="str">
        <f>Segments!$B$39</f>
        <v>On campus</v>
      </c>
      <c r="C59" s="59" t="str">
        <f>Segments!$C$39</f>
        <v>No</v>
      </c>
      <c r="D59" s="59" t="str">
        <f>Segments!$D$39</f>
        <v>2.0-3.0</v>
      </c>
      <c r="E59" s="59" t="str">
        <f>Segments!$E$39</f>
        <v>Grad student</v>
      </c>
      <c r="F59" s="59">
        <f>Segments!$F$39</f>
        <v>3</v>
      </c>
      <c r="G59" s="59" t="str">
        <f>Segments!$G$39</f>
        <v>Grad</v>
      </c>
      <c r="H59" s="60">
        <f>Segments!$H$39</f>
        <v>61</v>
      </c>
      <c r="I59" s="26">
        <f>Segments!$Y$39</f>
        <v>582.26283192475046</v>
      </c>
      <c r="J59" s="29">
        <v>4</v>
      </c>
      <c r="K59" s="14">
        <f t="shared" si="0"/>
        <v>1426.2297754450396</v>
      </c>
      <c r="L59" s="14">
        <f t="shared" si="1"/>
        <v>582.26283192475046</v>
      </c>
      <c r="M59" s="14">
        <f t="shared" si="2"/>
        <v>988.47142438373567</v>
      </c>
      <c r="N59" s="14">
        <f t="shared" si="3"/>
        <v>1187.3446751607783</v>
      </c>
      <c r="O59" s="14">
        <f t="shared" si="4"/>
        <v>988.47142438373567</v>
      </c>
      <c r="P59" s="33">
        <f t="shared" si="5"/>
        <v>0.93374705969440308</v>
      </c>
      <c r="Q59" s="33">
        <f t="shared" si="6"/>
        <v>0.43374705969440303</v>
      </c>
      <c r="R59" s="51">
        <f t="shared" si="7"/>
        <v>28.479285320679296</v>
      </c>
      <c r="S59" s="51">
        <f>APPLICANTS_PER_YEAR*($H59/Segments!$AH$2)*Q59</f>
        <v>31.750284769630301</v>
      </c>
      <c r="T59" s="51">
        <f t="shared" si="8"/>
        <v>60.229570090309593</v>
      </c>
      <c r="U59" s="14">
        <f t="shared" si="9"/>
        <v>988.47142438373578</v>
      </c>
      <c r="V59" s="44">
        <f t="shared" si="10"/>
        <v>59535.20893718837</v>
      </c>
      <c r="W59" s="44">
        <f t="shared" si="11"/>
        <v>39277.772851961185</v>
      </c>
      <c r="X59" s="44">
        <f t="shared" si="12"/>
        <v>14348.951732554453</v>
      </c>
      <c r="Y59" s="14">
        <f t="shared" si="13"/>
        <v>988.47142438373578</v>
      </c>
      <c r="Z59" s="14">
        <f t="shared" si="14"/>
        <v>599.73071688249297</v>
      </c>
      <c r="AA59" s="14">
        <f t="shared" si="15"/>
        <v>1016.8755671152477</v>
      </c>
      <c r="AB59" s="14">
        <f t="shared" si="16"/>
        <v>1222.2140393951449</v>
      </c>
      <c r="AC59" s="14">
        <f t="shared" si="17"/>
        <v>1016.8755671152477</v>
      </c>
      <c r="AD59" s="33">
        <f t="shared" si="18"/>
        <v>0.92538203833521882</v>
      </c>
      <c r="AE59" s="33">
        <f t="shared" si="19"/>
        <v>0.43400266469755006</v>
      </c>
      <c r="AF59" s="51">
        <f t="shared" si="20"/>
        <v>27.867681169112309</v>
      </c>
      <c r="AG59" s="51">
        <f>APPLICANTS_PER_YEAR*($H59/Segments!$AH$2)*AE59</f>
        <v>31.768995055860664</v>
      </c>
      <c r="AH59" s="51">
        <f t="shared" si="21"/>
        <v>59.636676224972973</v>
      </c>
      <c r="AI59" s="14">
        <f t="shared" si="22"/>
        <v>1016.8755671152476</v>
      </c>
      <c r="AJ59" s="44">
        <f t="shared" si="23"/>
        <v>60643.078957137797</v>
      </c>
      <c r="AK59" s="44">
        <f t="shared" si="24"/>
        <v>40057.86017507923</v>
      </c>
      <c r="AL59" s="44">
        <f t="shared" si="25"/>
        <v>14579.179344038863</v>
      </c>
      <c r="AM59" s="14">
        <f t="shared" si="26"/>
        <v>1016.8755671152476</v>
      </c>
      <c r="AN59" s="14">
        <f t="shared" si="27"/>
        <v>617.72263838896777</v>
      </c>
      <c r="AO59" s="14">
        <f t="shared" si="28"/>
        <v>1046.1318341287053</v>
      </c>
      <c r="AP59" s="14">
        <f t="shared" si="29"/>
        <v>1258.1290295758999</v>
      </c>
      <c r="AQ59" s="14">
        <f t="shared" si="30"/>
        <v>1046.1318341287053</v>
      </c>
      <c r="AR59" s="33">
        <f t="shared" si="31"/>
        <v>0.92561975192755053</v>
      </c>
      <c r="AS59" s="33">
        <f t="shared" si="32"/>
        <v>0.43425097524323725</v>
      </c>
      <c r="AT59" s="51">
        <f t="shared" si="33"/>
        <v>27.600442726571568</v>
      </c>
      <c r="AU59" s="51">
        <f>APPLICANTS_PER_YEAR*($H59/Segments!$AH$2)*AS59</f>
        <v>31.787171387804968</v>
      </c>
      <c r="AV59" s="51">
        <f t="shared" si="34"/>
        <v>59.387614114376532</v>
      </c>
      <c r="AW59" s="14">
        <f t="shared" si="35"/>
        <v>1046.1318341287056</v>
      </c>
      <c r="AX59" s="44">
        <f t="shared" si="36"/>
        <v>62127.273678000522</v>
      </c>
      <c r="AY59" s="44">
        <f t="shared" si="37"/>
        <v>41087.282519761604</v>
      </c>
      <c r="AZ59" s="44">
        <f t="shared" si="38"/>
        <v>14888.361308823831</v>
      </c>
    </row>
    <row r="60" spans="1:52" ht="15" customHeight="1" x14ac:dyDescent="0.35">
      <c r="A60" s="61" t="str">
        <f>Segments!$A$40</f>
        <v>Non-greek</v>
      </c>
      <c r="B60" s="61" t="str">
        <f>Segments!$B$40</f>
        <v>On campus</v>
      </c>
      <c r="C60" s="61" t="str">
        <f>Segments!$C$40</f>
        <v>No</v>
      </c>
      <c r="D60" s="61" t="str">
        <f>Segments!$D$40</f>
        <v>3.0+</v>
      </c>
      <c r="E60" s="61" t="str">
        <f>Segments!$E$40</f>
        <v>Freshman</v>
      </c>
      <c r="F60" s="61">
        <f>Segments!$F$40</f>
        <v>1</v>
      </c>
      <c r="G60" s="61" t="str">
        <f>Segments!$G$40</f>
        <v>Base</v>
      </c>
      <c r="H60" s="62">
        <f>Segments!$H$40</f>
        <v>85</v>
      </c>
      <c r="I60" s="63">
        <f>Segments!$Y$40</f>
        <v>387.57113828696976</v>
      </c>
      <c r="J60" s="42">
        <v>0</v>
      </c>
      <c r="K60" s="40">
        <f t="shared" si="0"/>
        <v>671.8875524321295</v>
      </c>
      <c r="L60" s="40">
        <f t="shared" si="1"/>
        <v>387.57113828696976</v>
      </c>
      <c r="M60" s="40">
        <f t="shared" si="2"/>
        <v>671.8875524321295</v>
      </c>
      <c r="N60" s="40">
        <f t="shared" si="3"/>
        <v>978.91063587520262</v>
      </c>
      <c r="O60" s="40">
        <f t="shared" si="4"/>
        <v>671.8875524321295</v>
      </c>
      <c r="P60" s="41">
        <f t="shared" si="5"/>
        <v>0.95</v>
      </c>
      <c r="Q60" s="41">
        <f t="shared" si="6"/>
        <v>0.50681874942985816</v>
      </c>
      <c r="R60" s="64">
        <f t="shared" si="7"/>
        <v>0</v>
      </c>
      <c r="S60" s="64">
        <f>APPLICANTS_PER_YEAR*($H60/Segments!$AH$2)*Q60</f>
        <v>51.695512441845537</v>
      </c>
      <c r="T60" s="64">
        <f t="shared" si="8"/>
        <v>51.695512441845537</v>
      </c>
      <c r="U60" s="40">
        <f t="shared" si="9"/>
        <v>671.8875524321295</v>
      </c>
      <c r="V60" s="65">
        <f t="shared" si="10"/>
        <v>34733.571326276295</v>
      </c>
      <c r="W60" s="65">
        <f t="shared" si="11"/>
        <v>22439.971233584001</v>
      </c>
      <c r="X60" s="65">
        <f t="shared" si="12"/>
        <v>10106.618036968941</v>
      </c>
      <c r="Y60" s="40">
        <f t="shared" si="13"/>
        <v>690.79417900509338</v>
      </c>
      <c r="Z60" s="40">
        <f t="shared" si="14"/>
        <v>399.19827243557887</v>
      </c>
      <c r="AA60" s="40">
        <f t="shared" si="15"/>
        <v>690.79417900509338</v>
      </c>
      <c r="AB60" s="40">
        <f t="shared" si="16"/>
        <v>1007.3669458569752</v>
      </c>
      <c r="AC60" s="40">
        <f t="shared" si="17"/>
        <v>690.79417900509338</v>
      </c>
      <c r="AD60" s="41">
        <f t="shared" si="18"/>
        <v>0.95</v>
      </c>
      <c r="AE60" s="41">
        <f t="shared" si="19"/>
        <v>0.50712882388778935</v>
      </c>
      <c r="AF60" s="64">
        <f t="shared" si="20"/>
        <v>0</v>
      </c>
      <c r="AG60" s="64">
        <f>APPLICANTS_PER_YEAR*($H60/Segments!$AH$2)*AE60</f>
        <v>51.727140036554523</v>
      </c>
      <c r="AH60" s="64">
        <f t="shared" si="21"/>
        <v>51.727140036554523</v>
      </c>
      <c r="AI60" s="40">
        <f t="shared" si="22"/>
        <v>690.79417900509338</v>
      </c>
      <c r="AJ60" s="65">
        <f t="shared" si="23"/>
        <v>35732.807233833177</v>
      </c>
      <c r="AK60" s="65">
        <f t="shared" si="24"/>
        <v>23127.311133500931</v>
      </c>
      <c r="AL60" s="65">
        <f t="shared" si="25"/>
        <v>10331.870122023585</v>
      </c>
      <c r="AM60" s="40">
        <f t="shared" si="26"/>
        <v>710.26800437524616</v>
      </c>
      <c r="AN60" s="40">
        <f t="shared" si="27"/>
        <v>411.17422060864618</v>
      </c>
      <c r="AO60" s="40">
        <f t="shared" si="28"/>
        <v>710.26800437524616</v>
      </c>
      <c r="AP60" s="40">
        <f t="shared" si="29"/>
        <v>1036.6761325543312</v>
      </c>
      <c r="AQ60" s="40">
        <f t="shared" si="30"/>
        <v>710.26800437524616</v>
      </c>
      <c r="AR60" s="41">
        <f t="shared" si="31"/>
        <v>0.95</v>
      </c>
      <c r="AS60" s="41">
        <f t="shared" si="32"/>
        <v>0.50743013556935446</v>
      </c>
      <c r="AT60" s="64">
        <f t="shared" si="33"/>
        <v>0</v>
      </c>
      <c r="AU60" s="64">
        <f>APPLICANTS_PER_YEAR*($H60/Segments!$AH$2)*AS60</f>
        <v>51.75787382807416</v>
      </c>
      <c r="AV60" s="64">
        <f t="shared" si="34"/>
        <v>51.75787382807416</v>
      </c>
      <c r="AW60" s="40">
        <f t="shared" si="35"/>
        <v>710.26800437524616</v>
      </c>
      <c r="AX60" s="65">
        <f t="shared" si="36"/>
        <v>36761.961754572018</v>
      </c>
      <c r="AY60" s="65">
        <f t="shared" si="37"/>
        <v>23835.283843413326</v>
      </c>
      <c r="AZ60" s="65">
        <f t="shared" si="38"/>
        <v>10563.783755287468</v>
      </c>
    </row>
    <row r="61" spans="1:52" ht="15" customHeight="1" x14ac:dyDescent="0.35">
      <c r="A61" s="61" t="str">
        <f>Segments!$A$41</f>
        <v>Non-greek</v>
      </c>
      <c r="B61" s="61" t="str">
        <f>Segments!$B$41</f>
        <v>On campus</v>
      </c>
      <c r="C61" s="61" t="str">
        <f>Segments!$C$41</f>
        <v>No</v>
      </c>
      <c r="D61" s="61" t="str">
        <f>Segments!$D$41</f>
        <v>3.0+</v>
      </c>
      <c r="E61" s="61" t="str">
        <f>Segments!$E$41</f>
        <v>Sophomore</v>
      </c>
      <c r="F61" s="61">
        <f>Segments!$F$41</f>
        <v>1</v>
      </c>
      <c r="G61" s="61" t="str">
        <f>Segments!$G$41</f>
        <v>Sophomore</v>
      </c>
      <c r="H61" s="62">
        <f>Segments!$H$41</f>
        <v>93</v>
      </c>
      <c r="I61" s="63">
        <f>Segments!$Y$41</f>
        <v>383.62808363602431</v>
      </c>
      <c r="J61" s="42">
        <v>1</v>
      </c>
      <c r="K61" s="40">
        <f t="shared" si="0"/>
        <v>1426.2297754450396</v>
      </c>
      <c r="L61" s="40">
        <f t="shared" si="1"/>
        <v>383.62808363602431</v>
      </c>
      <c r="M61" s="40">
        <f t="shared" si="2"/>
        <v>665.475838170526</v>
      </c>
      <c r="N61" s="40">
        <f t="shared" si="3"/>
        <v>974.22864628281638</v>
      </c>
      <c r="O61" s="40">
        <f t="shared" si="4"/>
        <v>665.475838170526</v>
      </c>
      <c r="P61" s="41">
        <f t="shared" si="5"/>
        <v>0.95</v>
      </c>
      <c r="Q61" s="41">
        <f t="shared" si="6"/>
        <v>0.50846013627824493</v>
      </c>
      <c r="R61" s="64">
        <f t="shared" si="7"/>
        <v>80.75</v>
      </c>
      <c r="S61" s="64">
        <f>APPLICANTS_PER_YEAR*($H61/Segments!$AH$2)*Q61</f>
        <v>56.744151208652134</v>
      </c>
      <c r="T61" s="64">
        <f t="shared" si="8"/>
        <v>137.49415120865214</v>
      </c>
      <c r="U61" s="40">
        <f t="shared" si="9"/>
        <v>665.47583817052589</v>
      </c>
      <c r="V61" s="65">
        <f t="shared" si="10"/>
        <v>91499.035519122815</v>
      </c>
      <c r="W61" s="65">
        <f t="shared" si="11"/>
        <v>59076.21186805742</v>
      </c>
      <c r="X61" s="65">
        <f t="shared" si="12"/>
        <v>22783.469673043412</v>
      </c>
      <c r="Y61" s="40">
        <f t="shared" si="13"/>
        <v>671.8875524321295</v>
      </c>
      <c r="Z61" s="40">
        <f t="shared" si="14"/>
        <v>395.13692614510506</v>
      </c>
      <c r="AA61" s="40">
        <f t="shared" si="15"/>
        <v>684.19011331564184</v>
      </c>
      <c r="AB61" s="40">
        <f t="shared" si="16"/>
        <v>1002.5401144224408</v>
      </c>
      <c r="AC61" s="40">
        <f t="shared" si="17"/>
        <v>684.19011331564184</v>
      </c>
      <c r="AD61" s="41">
        <f t="shared" si="18"/>
        <v>0.95</v>
      </c>
      <c r="AE61" s="41">
        <f t="shared" si="19"/>
        <v>0.50877170226260671</v>
      </c>
      <c r="AF61" s="64">
        <f t="shared" si="20"/>
        <v>49.110736819753257</v>
      </c>
      <c r="AG61" s="64">
        <f>APPLICANTS_PER_YEAR*($H61/Segments!$AH$2)*AE61</f>
        <v>56.778921972506907</v>
      </c>
      <c r="AH61" s="64">
        <f t="shared" si="21"/>
        <v>105.88965879226016</v>
      </c>
      <c r="AI61" s="40">
        <f t="shared" si="22"/>
        <v>684.19011331564184</v>
      </c>
      <c r="AJ61" s="65">
        <f t="shared" si="23"/>
        <v>72448.657648031134</v>
      </c>
      <c r="AK61" s="65">
        <f t="shared" si="24"/>
        <v>46861.824000015011</v>
      </c>
      <c r="AL61" s="65">
        <f t="shared" si="25"/>
        <v>18589.727717676593</v>
      </c>
      <c r="AM61" s="40">
        <f t="shared" si="26"/>
        <v>690.79417900509338</v>
      </c>
      <c r="AN61" s="40">
        <f t="shared" si="27"/>
        <v>406.99103392945818</v>
      </c>
      <c r="AO61" s="40">
        <f t="shared" si="28"/>
        <v>703.46581671511103</v>
      </c>
      <c r="AP61" s="40">
        <f t="shared" si="29"/>
        <v>1031.7001022291756</v>
      </c>
      <c r="AQ61" s="40">
        <f t="shared" si="30"/>
        <v>703.46581671511103</v>
      </c>
      <c r="AR61" s="41">
        <f t="shared" si="31"/>
        <v>0.95</v>
      </c>
      <c r="AS61" s="41">
        <f t="shared" si="32"/>
        <v>0.50907446592515337</v>
      </c>
      <c r="AT61" s="64">
        <f t="shared" si="33"/>
        <v>49.140783034726795</v>
      </c>
      <c r="AU61" s="64">
        <f>APPLICANTS_PER_YEAR*($H61/Segments!$AH$2)*AS61</f>
        <v>56.812710397247116</v>
      </c>
      <c r="AV61" s="64">
        <f t="shared" si="34"/>
        <v>105.95349343197391</v>
      </c>
      <c r="AW61" s="40">
        <f t="shared" si="35"/>
        <v>703.46581671511092</v>
      </c>
      <c r="AX61" s="65">
        <f t="shared" si="36"/>
        <v>74534.660790942668</v>
      </c>
      <c r="AY61" s="65">
        <f t="shared" si="37"/>
        <v>48296.776461155176</v>
      </c>
      <c r="AZ61" s="65">
        <f t="shared" si="38"/>
        <v>19025.24150823777</v>
      </c>
    </row>
    <row r="62" spans="1:52" ht="15" customHeight="1" x14ac:dyDescent="0.35">
      <c r="A62" s="61" t="str">
        <f>Segments!$A$42</f>
        <v>Non-greek</v>
      </c>
      <c r="B62" s="61" t="str">
        <f>Segments!$B$42</f>
        <v>On campus</v>
      </c>
      <c r="C62" s="61" t="str">
        <f>Segments!$C$42</f>
        <v>No</v>
      </c>
      <c r="D62" s="61" t="str">
        <f>Segments!$D$42</f>
        <v>3.0+</v>
      </c>
      <c r="E62" s="61" t="str">
        <f>Segments!$E$42</f>
        <v>Junior</v>
      </c>
      <c r="F62" s="61">
        <f>Segments!$F$42</f>
        <v>2</v>
      </c>
      <c r="G62" s="61" t="str">
        <f>Segments!$G$42</f>
        <v>Base</v>
      </c>
      <c r="H62" s="62">
        <f>Segments!$H$42</f>
        <v>90</v>
      </c>
      <c r="I62" s="63">
        <f>Segments!$Y$42</f>
        <v>458.59884122415599</v>
      </c>
      <c r="J62" s="42">
        <v>2</v>
      </c>
      <c r="K62" s="40">
        <f t="shared" si="0"/>
        <v>1426.2297754450396</v>
      </c>
      <c r="L62" s="40">
        <f t="shared" si="1"/>
        <v>458.59884122415599</v>
      </c>
      <c r="M62" s="40">
        <f t="shared" si="2"/>
        <v>787.38413470295802</v>
      </c>
      <c r="N62" s="40">
        <f t="shared" si="3"/>
        <v>1059.712554245908</v>
      </c>
      <c r="O62" s="40">
        <f t="shared" si="4"/>
        <v>787.38413470295802</v>
      </c>
      <c r="P62" s="41">
        <f t="shared" si="5"/>
        <v>0.95</v>
      </c>
      <c r="Q62" s="41">
        <f t="shared" si="6"/>
        <v>0.47849164542395128</v>
      </c>
      <c r="R62" s="64">
        <f t="shared" si="7"/>
        <v>88.35</v>
      </c>
      <c r="S62" s="64">
        <f>APPLICANTS_PER_YEAR*($H62/Segments!$AH$2)*Q62</f>
        <v>51.677097705786728</v>
      </c>
      <c r="T62" s="64">
        <f t="shared" si="8"/>
        <v>140.02709770578673</v>
      </c>
      <c r="U62" s="40">
        <f t="shared" si="9"/>
        <v>787.38413470295802</v>
      </c>
      <c r="V62" s="65">
        <f t="shared" si="10"/>
        <v>110255.11516203744</v>
      </c>
      <c r="W62" s="65">
        <f t="shared" si="11"/>
        <v>71922.216517598121</v>
      </c>
      <c r="X62" s="65">
        <f t="shared" si="12"/>
        <v>26354.826602521571</v>
      </c>
      <c r="Y62" s="40">
        <f t="shared" si="13"/>
        <v>665.47583817052589</v>
      </c>
      <c r="Z62" s="40">
        <f t="shared" si="14"/>
        <v>472.3568064608807</v>
      </c>
      <c r="AA62" s="40">
        <f t="shared" si="15"/>
        <v>809.75565874404685</v>
      </c>
      <c r="AB62" s="40">
        <f t="shared" si="16"/>
        <v>1090.662441031114</v>
      </c>
      <c r="AC62" s="40">
        <f t="shared" si="17"/>
        <v>809.75565874404685</v>
      </c>
      <c r="AD62" s="41">
        <f t="shared" si="18"/>
        <v>0.91373595781181549</v>
      </c>
      <c r="AE62" s="41">
        <f t="shared" si="19"/>
        <v>0.47877805804951779</v>
      </c>
      <c r="AF62" s="64">
        <f t="shared" si="20"/>
        <v>125.63334994816036</v>
      </c>
      <c r="AG62" s="64">
        <f>APPLICANTS_PER_YEAR*($H62/Segments!$AH$2)*AE62</f>
        <v>51.708030269347915</v>
      </c>
      <c r="AH62" s="64">
        <f t="shared" si="21"/>
        <v>177.34138021750829</v>
      </c>
      <c r="AI62" s="40">
        <f t="shared" si="22"/>
        <v>809.75565874404674</v>
      </c>
      <c r="AJ62" s="65">
        <f t="shared" si="23"/>
        <v>143603.18616060689</v>
      </c>
      <c r="AK62" s="65">
        <f t="shared" si="24"/>
        <v>93820.616974455872</v>
      </c>
      <c r="AL62" s="65">
        <f t="shared" si="25"/>
        <v>33446.010999397513</v>
      </c>
      <c r="AM62" s="40">
        <f t="shared" si="26"/>
        <v>684.19011331564184</v>
      </c>
      <c r="AN62" s="40">
        <f t="shared" si="27"/>
        <v>486.52751065470704</v>
      </c>
      <c r="AO62" s="40">
        <f t="shared" si="28"/>
        <v>832.79832850636808</v>
      </c>
      <c r="AP62" s="40">
        <f t="shared" si="29"/>
        <v>1122.5401841519042</v>
      </c>
      <c r="AQ62" s="40">
        <f t="shared" si="30"/>
        <v>832.79832850636808</v>
      </c>
      <c r="AR62" s="41">
        <f t="shared" si="31"/>
        <v>0.9138954094396422</v>
      </c>
      <c r="AS62" s="41">
        <f t="shared" si="32"/>
        <v>0.47905634013647375</v>
      </c>
      <c r="AT62" s="64">
        <f t="shared" si="33"/>
        <v>96.772073077376618</v>
      </c>
      <c r="AU62" s="64">
        <f>APPLICANTS_PER_YEAR*($H62/Segments!$AH$2)*AS62</f>
        <v>51.738084734739161</v>
      </c>
      <c r="AV62" s="64">
        <f t="shared" si="34"/>
        <v>148.51015781211578</v>
      </c>
      <c r="AW62" s="40">
        <f t="shared" si="35"/>
        <v>832.79832850636808</v>
      </c>
      <c r="AX62" s="65">
        <f t="shared" si="36"/>
        <v>123679.01119214697</v>
      </c>
      <c r="AY62" s="65">
        <f t="shared" si="37"/>
        <v>80924.79067373836</v>
      </c>
      <c r="AZ62" s="65">
        <f t="shared" si="38"/>
        <v>29147.047056978976</v>
      </c>
    </row>
    <row r="63" spans="1:52" ht="15" customHeight="1" x14ac:dyDescent="0.35">
      <c r="A63" s="61" t="str">
        <f>Segments!$A$43</f>
        <v>Non-greek</v>
      </c>
      <c r="B63" s="61" t="str">
        <f>Segments!$B$43</f>
        <v>On campus</v>
      </c>
      <c r="C63" s="61" t="str">
        <f>Segments!$C$43</f>
        <v>No</v>
      </c>
      <c r="D63" s="61" t="str">
        <f>Segments!$D$43</f>
        <v>3.0+</v>
      </c>
      <c r="E63" s="61" t="str">
        <f>Segments!$E$43</f>
        <v>Senior</v>
      </c>
      <c r="F63" s="61">
        <f>Segments!$F$43</f>
        <v>3</v>
      </c>
      <c r="G63" s="61" t="str">
        <f>Segments!$G$43</f>
        <v>Base</v>
      </c>
      <c r="H63" s="62">
        <f>Segments!$H$43</f>
        <v>93</v>
      </c>
      <c r="I63" s="63">
        <f>Segments!$Y$43</f>
        <v>428.64658443489083</v>
      </c>
      <c r="J63" s="42">
        <v>3</v>
      </c>
      <c r="K63" s="40">
        <f t="shared" si="0"/>
        <v>1426.2297754450396</v>
      </c>
      <c r="L63" s="40">
        <f t="shared" si="1"/>
        <v>428.64658443489083</v>
      </c>
      <c r="M63" s="40">
        <f t="shared" si="2"/>
        <v>738.67943009611372</v>
      </c>
      <c r="N63" s="40">
        <f t="shared" si="3"/>
        <v>1026.414437599087</v>
      </c>
      <c r="O63" s="40">
        <f t="shared" si="4"/>
        <v>738.67943009611372</v>
      </c>
      <c r="P63" s="41">
        <f t="shared" si="5"/>
        <v>0.95</v>
      </c>
      <c r="Q63" s="41">
        <f t="shared" si="6"/>
        <v>0.4901651209115987</v>
      </c>
      <c r="R63" s="64">
        <f t="shared" si="7"/>
        <v>85.5</v>
      </c>
      <c r="S63" s="64">
        <f>APPLICANTS_PER_YEAR*($H63/Segments!$AH$2)*Q63</f>
        <v>54.702427493734412</v>
      </c>
      <c r="T63" s="64">
        <f t="shared" si="8"/>
        <v>140.2024274937344</v>
      </c>
      <c r="U63" s="40">
        <f t="shared" si="9"/>
        <v>738.67943009611372</v>
      </c>
      <c r="V63" s="65">
        <f t="shared" si="10"/>
        <v>103564.64923916344</v>
      </c>
      <c r="W63" s="65">
        <f t="shared" si="11"/>
        <v>67308.966675630058</v>
      </c>
      <c r="X63" s="65">
        <f t="shared" si="12"/>
        <v>25159.59247222804</v>
      </c>
      <c r="Y63" s="40">
        <f t="shared" si="13"/>
        <v>787.38413470295802</v>
      </c>
      <c r="Z63" s="40">
        <f t="shared" si="14"/>
        <v>441.50598196793754</v>
      </c>
      <c r="AA63" s="40">
        <f t="shared" si="15"/>
        <v>759.5898129989971</v>
      </c>
      <c r="AB63" s="40">
        <f t="shared" si="16"/>
        <v>1056.3380598447716</v>
      </c>
      <c r="AC63" s="40">
        <f t="shared" si="17"/>
        <v>759.5898129989971</v>
      </c>
      <c r="AD63" s="41">
        <f t="shared" si="18"/>
        <v>0.95</v>
      </c>
      <c r="AE63" s="41">
        <f t="shared" si="19"/>
        <v>0.49046083262842077</v>
      </c>
      <c r="AF63" s="64">
        <f t="shared" si="20"/>
        <v>133.02574282049738</v>
      </c>
      <c r="AG63" s="64">
        <f>APPLICANTS_PER_YEAR*($H63/Segments!$AH$2)*AE63</f>
        <v>54.735428921331753</v>
      </c>
      <c r="AH63" s="64">
        <f t="shared" si="21"/>
        <v>187.76117174182914</v>
      </c>
      <c r="AI63" s="40">
        <f t="shared" si="22"/>
        <v>759.58981299899699</v>
      </c>
      <c r="AJ63" s="65">
        <f t="shared" si="23"/>
        <v>142621.47333184857</v>
      </c>
      <c r="AK63" s="65">
        <f t="shared" si="24"/>
        <v>92845.402165966079</v>
      </c>
      <c r="AL63" s="65">
        <f t="shared" si="25"/>
        <v>33534.244215246355</v>
      </c>
      <c r="AM63" s="40">
        <f t="shared" si="26"/>
        <v>809.75565874404674</v>
      </c>
      <c r="AN63" s="40">
        <f t="shared" si="27"/>
        <v>454.75116142697567</v>
      </c>
      <c r="AO63" s="40">
        <f t="shared" si="28"/>
        <v>781.12750738896705</v>
      </c>
      <c r="AP63" s="40">
        <f t="shared" si="29"/>
        <v>1087.1586860266814</v>
      </c>
      <c r="AQ63" s="40">
        <f t="shared" si="30"/>
        <v>781.12750738896705</v>
      </c>
      <c r="AR63" s="41">
        <f t="shared" si="31"/>
        <v>0.95</v>
      </c>
      <c r="AS63" s="41">
        <f t="shared" si="32"/>
        <v>0.49074816426118478</v>
      </c>
      <c r="AT63" s="64">
        <f t="shared" si="33"/>
        <v>168.47431120663288</v>
      </c>
      <c r="AU63" s="64">
        <f>APPLICANTS_PER_YEAR*($H63/Segments!$AH$2)*AS63</f>
        <v>54.767495131548216</v>
      </c>
      <c r="AV63" s="64">
        <f t="shared" si="34"/>
        <v>223.24180633818111</v>
      </c>
      <c r="AW63" s="40">
        <f t="shared" si="35"/>
        <v>781.12750738896705</v>
      </c>
      <c r="AX63" s="65">
        <f t="shared" si="36"/>
        <v>174380.3157299539</v>
      </c>
      <c r="AY63" s="65">
        <f t="shared" si="37"/>
        <v>113701.80719670511</v>
      </c>
      <c r="AZ63" s="65">
        <f t="shared" si="38"/>
        <v>40289.217071545143</v>
      </c>
    </row>
    <row r="64" spans="1:52" ht="15" customHeight="1" x14ac:dyDescent="0.35">
      <c r="A64" s="61" t="str">
        <f>Segments!$A$44</f>
        <v>Non-greek</v>
      </c>
      <c r="B64" s="61" t="str">
        <f>Segments!$B$44</f>
        <v>On campus</v>
      </c>
      <c r="C64" s="61" t="str">
        <f>Segments!$C$44</f>
        <v>No</v>
      </c>
      <c r="D64" s="61" t="str">
        <f>Segments!$D$44</f>
        <v>3.0+</v>
      </c>
      <c r="E64" s="61" t="str">
        <f>Segments!$E$44</f>
        <v>Grad student</v>
      </c>
      <c r="F64" s="61">
        <f>Segments!$F$44</f>
        <v>3</v>
      </c>
      <c r="G64" s="61" t="str">
        <f>Segments!$G$44</f>
        <v>Grad</v>
      </c>
      <c r="H64" s="62">
        <f>Segments!$H$44</f>
        <v>38</v>
      </c>
      <c r="I64" s="63">
        <f>Segments!$Y$44</f>
        <v>510.38109817683414</v>
      </c>
      <c r="J64" s="42">
        <v>4</v>
      </c>
      <c r="K64" s="40">
        <f t="shared" si="0"/>
        <v>1426.2297754450396</v>
      </c>
      <c r="L64" s="40">
        <f t="shared" si="1"/>
        <v>510.38109817683414</v>
      </c>
      <c r="M64" s="40">
        <f t="shared" si="2"/>
        <v>871.58612143471566</v>
      </c>
      <c r="N64" s="40">
        <f t="shared" si="3"/>
        <v>1114.9359076892481</v>
      </c>
      <c r="O64" s="40">
        <f t="shared" si="4"/>
        <v>871.58612143471566</v>
      </c>
      <c r="P64" s="41">
        <f t="shared" si="5"/>
        <v>0.95</v>
      </c>
      <c r="Q64" s="41">
        <f t="shared" si="6"/>
        <v>0.45913173778701105</v>
      </c>
      <c r="R64" s="64">
        <f t="shared" si="7"/>
        <v>18.05</v>
      </c>
      <c r="S64" s="64">
        <f>APPLICANTS_PER_YEAR*($H64/Segments!$AH$2)*Q64</f>
        <v>20.936407243087704</v>
      </c>
      <c r="T64" s="64">
        <f t="shared" si="8"/>
        <v>38.986407243087704</v>
      </c>
      <c r="U64" s="40">
        <f t="shared" si="9"/>
        <v>871.58612143471555</v>
      </c>
      <c r="V64" s="65">
        <f t="shared" si="10"/>
        <v>33980.011477677115</v>
      </c>
      <c r="W64" s="65">
        <f t="shared" si="11"/>
        <v>22285.676383819951</v>
      </c>
      <c r="X64" s="65">
        <f t="shared" si="12"/>
        <v>8364.0363647222403</v>
      </c>
      <c r="Y64" s="40">
        <f t="shared" si="13"/>
        <v>871.58612143471555</v>
      </c>
      <c r="Z64" s="40">
        <f t="shared" si="14"/>
        <v>525.69253112213914</v>
      </c>
      <c r="AA64" s="40">
        <f t="shared" si="15"/>
        <v>896.48370507775712</v>
      </c>
      <c r="AB64" s="40">
        <f t="shared" si="16"/>
        <v>1147.5842043112489</v>
      </c>
      <c r="AC64" s="40">
        <f t="shared" si="17"/>
        <v>896.48370507775712</v>
      </c>
      <c r="AD64" s="41">
        <f t="shared" si="18"/>
        <v>0.95</v>
      </c>
      <c r="AE64" s="41">
        <f t="shared" si="19"/>
        <v>0.45940395410208523</v>
      </c>
      <c r="AF64" s="64">
        <f t="shared" si="20"/>
        <v>18.518543440466658</v>
      </c>
      <c r="AG64" s="64">
        <f>APPLICANTS_PER_YEAR*($H64/Segments!$AH$2)*AE64</f>
        <v>20.948820307055087</v>
      </c>
      <c r="AH64" s="64">
        <f t="shared" si="21"/>
        <v>39.467363747521745</v>
      </c>
      <c r="AI64" s="40">
        <f t="shared" si="22"/>
        <v>896.48370507775712</v>
      </c>
      <c r="AJ64" s="65">
        <f t="shared" si="23"/>
        <v>35381.848482029847</v>
      </c>
      <c r="AK64" s="65">
        <f t="shared" si="24"/>
        <v>23237.422146571207</v>
      </c>
      <c r="AL64" s="65">
        <f t="shared" si="25"/>
        <v>8657.5468073361444</v>
      </c>
      <c r="AM64" s="40">
        <f t="shared" si="26"/>
        <v>896.48370507775712</v>
      </c>
      <c r="AN64" s="40">
        <f t="shared" si="27"/>
        <v>541.46330705580328</v>
      </c>
      <c r="AO64" s="40">
        <f t="shared" si="28"/>
        <v>922.12821623008972</v>
      </c>
      <c r="AP64" s="40">
        <f t="shared" si="29"/>
        <v>1181.2114001897321</v>
      </c>
      <c r="AQ64" s="40">
        <f t="shared" si="30"/>
        <v>922.12821623008972</v>
      </c>
      <c r="AR64" s="41">
        <f t="shared" si="31"/>
        <v>0.95</v>
      </c>
      <c r="AS64" s="41">
        <f t="shared" si="32"/>
        <v>0.45966842341600628</v>
      </c>
      <c r="AT64" s="64">
        <f t="shared" si="33"/>
        <v>18.746997780072828</v>
      </c>
      <c r="AU64" s="64">
        <f>APPLICANTS_PER_YEAR*($H64/Segments!$AH$2)*AS64</f>
        <v>20.960880107769889</v>
      </c>
      <c r="AV64" s="64">
        <f t="shared" si="34"/>
        <v>39.707877887842713</v>
      </c>
      <c r="AW64" s="40">
        <f t="shared" si="35"/>
        <v>922.12821623008983</v>
      </c>
      <c r="AX64" s="65">
        <f t="shared" si="36"/>
        <v>36615.754606998627</v>
      </c>
      <c r="AY64" s="65">
        <f t="shared" si="37"/>
        <v>24080.40194259764</v>
      </c>
      <c r="AZ64" s="65">
        <f t="shared" si="38"/>
        <v>8915.0588456275145</v>
      </c>
    </row>
    <row r="65" spans="1:52" ht="15" customHeight="1" x14ac:dyDescent="0.35">
      <c r="A65" s="59" t="str">
        <f>Segments!$A$45</f>
        <v>Non-greek</v>
      </c>
      <c r="B65" s="59" t="str">
        <f>Segments!$B$45</f>
        <v>Off 0-1mi</v>
      </c>
      <c r="C65" s="59" t="str">
        <f>Segments!$C$45</f>
        <v>Yes</v>
      </c>
      <c r="D65" s="59" t="str">
        <f>Segments!$D$45</f>
        <v>&lt;1.0</v>
      </c>
      <c r="E65" s="59" t="str">
        <f>Segments!$E$45</f>
        <v>Freshman</v>
      </c>
      <c r="F65" s="59">
        <f>Segments!$F$45</f>
        <v>1</v>
      </c>
      <c r="G65" s="59" t="str">
        <f>Segments!$G$45</f>
        <v>Base</v>
      </c>
      <c r="H65" s="60">
        <f>Segments!$H$45</f>
        <v>8</v>
      </c>
      <c r="I65" s="26">
        <f>Segments!$Y$45</f>
        <v>734.72809969405421</v>
      </c>
      <c r="J65" s="29">
        <v>0</v>
      </c>
      <c r="K65" s="14">
        <f t="shared" si="0"/>
        <v>1236.391835915756</v>
      </c>
      <c r="L65" s="14">
        <f t="shared" si="1"/>
        <v>734.72809969405421</v>
      </c>
      <c r="M65" s="14">
        <f t="shared" si="2"/>
        <v>1236.391835915756</v>
      </c>
      <c r="N65" s="14">
        <f t="shared" si="3"/>
        <v>1327.9227577311149</v>
      </c>
      <c r="O65" s="14">
        <f t="shared" si="4"/>
        <v>1236.391835915756</v>
      </c>
      <c r="P65" s="33">
        <f t="shared" si="5"/>
        <v>0.88446394802802697</v>
      </c>
      <c r="Q65" s="33">
        <f t="shared" si="6"/>
        <v>0.38446394802802697</v>
      </c>
      <c r="R65" s="51">
        <f t="shared" si="7"/>
        <v>0</v>
      </c>
      <c r="S65" s="51">
        <f>APPLICANTS_PER_YEAR*($H65/Segments!$AH$2)*Q65</f>
        <v>3.6908539010690586</v>
      </c>
      <c r="T65" s="51">
        <f t="shared" si="8"/>
        <v>3.6908539010690586</v>
      </c>
      <c r="U65" s="14">
        <f t="shared" si="9"/>
        <v>1236.391835915756</v>
      </c>
      <c r="V65" s="44">
        <f t="shared" si="10"/>
        <v>4563.3416308396036</v>
      </c>
      <c r="W65" s="44">
        <f t="shared" si="11"/>
        <v>3037.1869617385591</v>
      </c>
      <c r="X65" s="44">
        <f t="shared" si="12"/>
        <v>1188.2769508561789</v>
      </c>
      <c r="Y65" s="14">
        <f t="shared" si="13"/>
        <v>1272.2335909932287</v>
      </c>
      <c r="Z65" s="14">
        <f t="shared" si="14"/>
        <v>756.7699426848759</v>
      </c>
      <c r="AA65" s="14">
        <f t="shared" si="15"/>
        <v>1272.2335909932287</v>
      </c>
      <c r="AB65" s="14">
        <f t="shared" si="16"/>
        <v>1367.0890064877949</v>
      </c>
      <c r="AC65" s="14">
        <f t="shared" si="17"/>
        <v>1272.2335909932287</v>
      </c>
      <c r="AD65" s="33">
        <f t="shared" si="18"/>
        <v>0.88469247980358656</v>
      </c>
      <c r="AE65" s="33">
        <f t="shared" si="19"/>
        <v>0.38469247980358656</v>
      </c>
      <c r="AF65" s="51">
        <f t="shared" si="20"/>
        <v>0</v>
      </c>
      <c r="AG65" s="51">
        <f>APPLICANTS_PER_YEAR*($H65/Segments!$AH$2)*AE65</f>
        <v>3.6930478061144307</v>
      </c>
      <c r="AH65" s="51">
        <f t="shared" si="21"/>
        <v>3.6930478061144307</v>
      </c>
      <c r="AI65" s="14">
        <f t="shared" si="22"/>
        <v>1272.2335909932287</v>
      </c>
      <c r="AJ65" s="44">
        <f t="shared" si="23"/>
        <v>4698.4194720826272</v>
      </c>
      <c r="AK65" s="44">
        <f t="shared" si="24"/>
        <v>3130.1620857536118</v>
      </c>
      <c r="AL65" s="44">
        <f t="shared" si="25"/>
        <v>1218.6331130216579</v>
      </c>
      <c r="AM65" s="14">
        <f t="shared" si="26"/>
        <v>1309.1505987230257</v>
      </c>
      <c r="AN65" s="14">
        <f t="shared" si="27"/>
        <v>779.47304096542211</v>
      </c>
      <c r="AO65" s="14">
        <f t="shared" si="28"/>
        <v>1309.1505987230257</v>
      </c>
      <c r="AP65" s="14">
        <f t="shared" si="29"/>
        <v>1407.4299175855633</v>
      </c>
      <c r="AQ65" s="14">
        <f t="shared" si="30"/>
        <v>1309.1505987230257</v>
      </c>
      <c r="AR65" s="33">
        <f t="shared" si="31"/>
        <v>0.88491446275034957</v>
      </c>
      <c r="AS65" s="33">
        <f t="shared" si="32"/>
        <v>0.38491446275034963</v>
      </c>
      <c r="AT65" s="51">
        <f t="shared" si="33"/>
        <v>0</v>
      </c>
      <c r="AU65" s="51">
        <f>APPLICANTS_PER_YEAR*($H65/Segments!$AH$2)*AS65</f>
        <v>3.6951788424033563</v>
      </c>
      <c r="AV65" s="51">
        <f t="shared" si="34"/>
        <v>3.6951788424033563</v>
      </c>
      <c r="AW65" s="14">
        <f t="shared" si="35"/>
        <v>1309.1505987230257</v>
      </c>
      <c r="AX65" s="44">
        <f t="shared" si="36"/>
        <v>4837.5455939210105</v>
      </c>
      <c r="AY65" s="44">
        <f t="shared" si="37"/>
        <v>3225.9273639031408</v>
      </c>
      <c r="AZ65" s="44">
        <f t="shared" si="38"/>
        <v>1249.8932609464575</v>
      </c>
    </row>
    <row r="66" spans="1:52" ht="15" customHeight="1" x14ac:dyDescent="0.35">
      <c r="A66" s="59" t="str">
        <f>Segments!$A$46</f>
        <v>Non-greek</v>
      </c>
      <c r="B66" s="59" t="str">
        <f>Segments!$B$46</f>
        <v>Off 0-1mi</v>
      </c>
      <c r="C66" s="59" t="str">
        <f>Segments!$C$46</f>
        <v>Yes</v>
      </c>
      <c r="D66" s="59" t="str">
        <f>Segments!$D$46</f>
        <v>&lt;1.0</v>
      </c>
      <c r="E66" s="59" t="str">
        <f>Segments!$E$46</f>
        <v>Sophomore</v>
      </c>
      <c r="F66" s="59">
        <f>Segments!$F$46</f>
        <v>1</v>
      </c>
      <c r="G66" s="59" t="str">
        <f>Segments!$G$46</f>
        <v>Sophomore</v>
      </c>
      <c r="H66" s="60">
        <f>Segments!$H$46</f>
        <v>3</v>
      </c>
      <c r="I66" s="26">
        <f>Segments!$Y$46</f>
        <v>727.2531544143726</v>
      </c>
      <c r="J66" s="29">
        <v>1</v>
      </c>
      <c r="K66" s="14">
        <f t="shared" si="0"/>
        <v>1426.2297754450396</v>
      </c>
      <c r="L66" s="14">
        <f t="shared" si="1"/>
        <v>727.2531544143726</v>
      </c>
      <c r="M66" s="14">
        <f t="shared" si="2"/>
        <v>1224.2369921468653</v>
      </c>
      <c r="N66" s="14">
        <f t="shared" si="3"/>
        <v>1321.3792984609431</v>
      </c>
      <c r="O66" s="14">
        <f t="shared" si="4"/>
        <v>1224.2369921468653</v>
      </c>
      <c r="P66" s="33">
        <f t="shared" si="5"/>
        <v>0.88675791895151634</v>
      </c>
      <c r="Q66" s="33">
        <f t="shared" si="6"/>
        <v>0.38675791895151634</v>
      </c>
      <c r="R66" s="51">
        <f t="shared" si="7"/>
        <v>7.0940633516121308</v>
      </c>
      <c r="S66" s="51">
        <f>APPLICANTS_PER_YEAR*($H66/Segments!$AH$2)*Q66</f>
        <v>1.3923285082254586</v>
      </c>
      <c r="T66" s="51">
        <f t="shared" si="8"/>
        <v>8.4863918598375889</v>
      </c>
      <c r="U66" s="14">
        <f t="shared" si="9"/>
        <v>1224.2369921468653</v>
      </c>
      <c r="V66" s="44">
        <f t="shared" si="10"/>
        <v>10389.354844667212</v>
      </c>
      <c r="W66" s="44">
        <f t="shared" si="11"/>
        <v>6912.365879622942</v>
      </c>
      <c r="X66" s="44">
        <f t="shared" si="12"/>
        <v>2227.7830178191507</v>
      </c>
      <c r="Y66" s="14">
        <f t="shared" si="13"/>
        <v>1236.391835915756</v>
      </c>
      <c r="Z66" s="14">
        <f t="shared" si="14"/>
        <v>749.07074904680383</v>
      </c>
      <c r="AA66" s="14">
        <f t="shared" si="15"/>
        <v>1259.7141019112712</v>
      </c>
      <c r="AB66" s="14">
        <f t="shared" si="16"/>
        <v>1360.3459168588986</v>
      </c>
      <c r="AC66" s="14">
        <f t="shared" si="17"/>
        <v>1259.7141019112712</v>
      </c>
      <c r="AD66" s="33">
        <f t="shared" si="18"/>
        <v>0.88132863279751417</v>
      </c>
      <c r="AE66" s="33">
        <f t="shared" si="19"/>
        <v>0.38698758297448005</v>
      </c>
      <c r="AF66" s="51">
        <f t="shared" si="20"/>
        <v>3.2528552224845653</v>
      </c>
      <c r="AG66" s="51">
        <f>APPLICANTS_PER_YEAR*($H66/Segments!$AH$2)*AE66</f>
        <v>1.3931552987081279</v>
      </c>
      <c r="AH66" s="51">
        <f t="shared" si="21"/>
        <v>4.646010521192693</v>
      </c>
      <c r="AI66" s="14">
        <f t="shared" si="22"/>
        <v>1259.7141019112714</v>
      </c>
      <c r="AJ66" s="44">
        <f t="shared" si="23"/>
        <v>5852.6449711745709</v>
      </c>
      <c r="AK66" s="44">
        <f t="shared" si="24"/>
        <v>3897.8134509318393</v>
      </c>
      <c r="AL66" s="44">
        <f t="shared" si="25"/>
        <v>1295.3232006012772</v>
      </c>
      <c r="AM66" s="14">
        <f t="shared" si="26"/>
        <v>1272.2335909932287</v>
      </c>
      <c r="AN66" s="14">
        <f t="shared" si="27"/>
        <v>771.5428715182079</v>
      </c>
      <c r="AO66" s="14">
        <f t="shared" si="28"/>
        <v>1296.2555249686093</v>
      </c>
      <c r="AP66" s="14">
        <f t="shared" si="29"/>
        <v>1400.4812038284413</v>
      </c>
      <c r="AQ66" s="14">
        <f t="shared" si="30"/>
        <v>1296.2555249686093</v>
      </c>
      <c r="AR66" s="33">
        <f t="shared" si="31"/>
        <v>0.88154615656497315</v>
      </c>
      <c r="AS66" s="33">
        <f t="shared" si="32"/>
        <v>0.38721066679613914</v>
      </c>
      <c r="AT66" s="51">
        <f t="shared" si="33"/>
        <v>3.2555920994908827</v>
      </c>
      <c r="AU66" s="51">
        <f>APPLICANTS_PER_YEAR*($H66/Segments!$AH$2)*AS66</f>
        <v>1.3939584004661008</v>
      </c>
      <c r="AV66" s="51">
        <f t="shared" si="34"/>
        <v>4.6495504999569839</v>
      </c>
      <c r="AW66" s="14">
        <f t="shared" si="35"/>
        <v>1296.2555249686091</v>
      </c>
      <c r="AX66" s="44">
        <f t="shared" si="36"/>
        <v>6027.005524189799</v>
      </c>
      <c r="AY66" s="44">
        <f t="shared" si="37"/>
        <v>4017.8068492864186</v>
      </c>
      <c r="AZ66" s="44">
        <f t="shared" si="38"/>
        <v>1330.1864338189848</v>
      </c>
    </row>
    <row r="67" spans="1:52" ht="15" customHeight="1" x14ac:dyDescent="0.35">
      <c r="A67" s="59" t="str">
        <f>Segments!$A$47</f>
        <v>Non-greek</v>
      </c>
      <c r="B67" s="59" t="str">
        <f>Segments!$B$47</f>
        <v>Off 0-1mi</v>
      </c>
      <c r="C67" s="59" t="str">
        <f>Segments!$C$47</f>
        <v>Yes</v>
      </c>
      <c r="D67" s="59" t="str">
        <f>Segments!$D$47</f>
        <v>&lt;1.0</v>
      </c>
      <c r="E67" s="59" t="str">
        <f>Segments!$E$47</f>
        <v>Junior</v>
      </c>
      <c r="F67" s="59">
        <f>Segments!$F$47</f>
        <v>2</v>
      </c>
      <c r="G67" s="59" t="str">
        <f>Segments!$G$47</f>
        <v>Base</v>
      </c>
      <c r="H67" s="60">
        <f>Segments!$H$47</f>
        <v>8</v>
      </c>
      <c r="I67" s="26">
        <f>Segments!$Y$47</f>
        <v>869.37705584525372</v>
      </c>
      <c r="J67" s="29">
        <v>2</v>
      </c>
      <c r="K67" s="14">
        <f t="shared" si="0"/>
        <v>1426.2297754450396</v>
      </c>
      <c r="L67" s="14">
        <f t="shared" si="1"/>
        <v>869.37705584525372</v>
      </c>
      <c r="M67" s="14">
        <f t="shared" si="2"/>
        <v>1455.3415358032951</v>
      </c>
      <c r="N67" s="14">
        <f t="shared" si="3"/>
        <v>1440.7121266250842</v>
      </c>
      <c r="O67" s="14">
        <f t="shared" si="4"/>
        <v>1455.3415358032951</v>
      </c>
      <c r="P67" s="33">
        <f t="shared" si="5"/>
        <v>0.83879934778215226</v>
      </c>
      <c r="Q67" s="33">
        <f t="shared" si="6"/>
        <v>0.34492285484801155</v>
      </c>
      <c r="R67" s="51">
        <f t="shared" si="7"/>
        <v>2.5163980433464568</v>
      </c>
      <c r="S67" s="51">
        <f>APPLICANTS_PER_YEAR*($H67/Segments!$AH$2)*Q67</f>
        <v>3.3112594065409109</v>
      </c>
      <c r="T67" s="51">
        <f t="shared" si="8"/>
        <v>5.8276574498873677</v>
      </c>
      <c r="U67" s="14">
        <f t="shared" si="9"/>
        <v>1455.3415358032951</v>
      </c>
      <c r="V67" s="44">
        <f t="shared" si="10"/>
        <v>8481.2319432545955</v>
      </c>
      <c r="W67" s="44">
        <f t="shared" si="11"/>
        <v>5674.4034774086686</v>
      </c>
      <c r="X67" s="44">
        <f t="shared" si="12"/>
        <v>1970.9529386919312</v>
      </c>
      <c r="Y67" s="14">
        <f t="shared" si="13"/>
        <v>1224.2369921468653</v>
      </c>
      <c r="Z67" s="14">
        <f t="shared" si="14"/>
        <v>895.45836752061132</v>
      </c>
      <c r="AA67" s="14">
        <f t="shared" si="15"/>
        <v>1497.751781877394</v>
      </c>
      <c r="AB67" s="14">
        <f t="shared" si="16"/>
        <v>1483.3146440204739</v>
      </c>
      <c r="AC67" s="14">
        <f t="shared" si="17"/>
        <v>1497.751781877394</v>
      </c>
      <c r="AD67" s="33">
        <f t="shared" si="18"/>
        <v>0.77810852650411266</v>
      </c>
      <c r="AE67" s="33">
        <f t="shared" si="19"/>
        <v>0.3451334877211929</v>
      </c>
      <c r="AF67" s="51">
        <f t="shared" si="20"/>
        <v>6.6033338653947222</v>
      </c>
      <c r="AG67" s="51">
        <f>APPLICANTS_PER_YEAR*($H67/Segments!$AH$2)*AE67</f>
        <v>3.3132814821234517</v>
      </c>
      <c r="AH67" s="51">
        <f t="shared" si="21"/>
        <v>9.9166153475181744</v>
      </c>
      <c r="AI67" s="14">
        <f t="shared" si="22"/>
        <v>1497.7517818773938</v>
      </c>
      <c r="AJ67" s="44">
        <f t="shared" si="23"/>
        <v>14852.628306938057</v>
      </c>
      <c r="AK67" s="44">
        <f t="shared" si="24"/>
        <v>9945.5061332686801</v>
      </c>
      <c r="AL67" s="44">
        <f t="shared" si="25"/>
        <v>3261.9976575446549</v>
      </c>
      <c r="AM67" s="14">
        <f t="shared" si="26"/>
        <v>1259.7141019112714</v>
      </c>
      <c r="AN67" s="14">
        <f t="shared" si="27"/>
        <v>922.3221185462296</v>
      </c>
      <c r="AO67" s="14">
        <f t="shared" si="28"/>
        <v>1541.4343353337156</v>
      </c>
      <c r="AP67" s="14">
        <f t="shared" si="29"/>
        <v>1527.1949824087321</v>
      </c>
      <c r="AQ67" s="14">
        <f t="shared" si="30"/>
        <v>1541.4343353337156</v>
      </c>
      <c r="AR67" s="33">
        <f t="shared" si="31"/>
        <v>0.77824660044041838</v>
      </c>
      <c r="AS67" s="33">
        <f t="shared" si="32"/>
        <v>0.34533806976548442</v>
      </c>
      <c r="AT67" s="51">
        <f t="shared" si="33"/>
        <v>3.6157418937286296</v>
      </c>
      <c r="AU67" s="51">
        <f>APPLICANTS_PER_YEAR*($H67/Segments!$AH$2)*AS67</f>
        <v>3.3152454697486502</v>
      </c>
      <c r="AV67" s="51">
        <f t="shared" si="34"/>
        <v>6.9309873634772803</v>
      </c>
      <c r="AW67" s="14">
        <f t="shared" si="35"/>
        <v>1541.4343353337154</v>
      </c>
      <c r="AX67" s="44">
        <f t="shared" si="36"/>
        <v>10683.661899827981</v>
      </c>
      <c r="AY67" s="44">
        <f t="shared" si="37"/>
        <v>7159.7153025434536</v>
      </c>
      <c r="AZ67" s="44">
        <f t="shared" si="38"/>
        <v>2419.5711449803048</v>
      </c>
    </row>
    <row r="68" spans="1:52" ht="15" customHeight="1" x14ac:dyDescent="0.35">
      <c r="A68" s="59" t="str">
        <f>Segments!$A$48</f>
        <v>Non-greek</v>
      </c>
      <c r="B68" s="59" t="str">
        <f>Segments!$B$48</f>
        <v>Off 0-1mi</v>
      </c>
      <c r="C68" s="59" t="str">
        <f>Segments!$C$48</f>
        <v>Yes</v>
      </c>
      <c r="D68" s="59" t="str">
        <f>Segments!$D$48</f>
        <v>&lt;1.0</v>
      </c>
      <c r="E68" s="59" t="str">
        <f>Segments!$E$48</f>
        <v>Senior</v>
      </c>
      <c r="F68" s="59">
        <f>Segments!$F$48</f>
        <v>3</v>
      </c>
      <c r="G68" s="59" t="str">
        <f>Segments!$G$48</f>
        <v>Base</v>
      </c>
      <c r="H68" s="60">
        <f>Segments!$H$48</f>
        <v>6</v>
      </c>
      <c r="I68" s="26">
        <f>Segments!$Y$48</f>
        <v>812.59582902430645</v>
      </c>
      <c r="J68" s="29">
        <v>3</v>
      </c>
      <c r="K68" s="14">
        <f t="shared" si="0"/>
        <v>1426.2297754450396</v>
      </c>
      <c r="L68" s="14">
        <f t="shared" si="1"/>
        <v>812.59582902430645</v>
      </c>
      <c r="M68" s="14">
        <f t="shared" si="2"/>
        <v>1363.0108343477834</v>
      </c>
      <c r="N68" s="14">
        <f t="shared" si="3"/>
        <v>1394.2620400057497</v>
      </c>
      <c r="O68" s="14">
        <f t="shared" si="4"/>
        <v>1363.0108343477834</v>
      </c>
      <c r="P68" s="33">
        <f t="shared" si="5"/>
        <v>0.86120707756550452</v>
      </c>
      <c r="Q68" s="33">
        <f t="shared" si="6"/>
        <v>0.36120707756550458</v>
      </c>
      <c r="R68" s="51">
        <f t="shared" si="7"/>
        <v>6.8896566205240362</v>
      </c>
      <c r="S68" s="51">
        <f>APPLICANTS_PER_YEAR*($H68/Segments!$AH$2)*Q68</f>
        <v>2.6006909584716329</v>
      </c>
      <c r="T68" s="51">
        <f t="shared" si="8"/>
        <v>9.4903475789956691</v>
      </c>
      <c r="U68" s="14">
        <f t="shared" si="9"/>
        <v>1363.0108343477834</v>
      </c>
      <c r="V68" s="44">
        <f t="shared" si="10"/>
        <v>12935.446571897353</v>
      </c>
      <c r="W68" s="44">
        <f t="shared" si="11"/>
        <v>8637.2348817247421</v>
      </c>
      <c r="X68" s="44">
        <f t="shared" si="12"/>
        <v>2823.6905759918545</v>
      </c>
      <c r="Y68" s="14">
        <f t="shared" si="13"/>
        <v>1455.3415358032951</v>
      </c>
      <c r="Z68" s="14">
        <f t="shared" si="14"/>
        <v>836.97370389503567</v>
      </c>
      <c r="AA68" s="14">
        <f t="shared" si="15"/>
        <v>1402.651159378217</v>
      </c>
      <c r="AB68" s="14">
        <f t="shared" si="16"/>
        <v>1435.4504287887305</v>
      </c>
      <c r="AC68" s="14">
        <f t="shared" si="17"/>
        <v>1402.651159378217</v>
      </c>
      <c r="AD68" s="33">
        <f t="shared" si="18"/>
        <v>0.86142473078578907</v>
      </c>
      <c r="AE68" s="33">
        <f t="shared" si="19"/>
        <v>0.36142473078578907</v>
      </c>
      <c r="AF68" s="51">
        <f t="shared" si="20"/>
        <v>5.0200882498810238</v>
      </c>
      <c r="AG68" s="51">
        <f>APPLICANTS_PER_YEAR*($H68/Segments!$AH$2)*AE68</f>
        <v>2.6022580616576811</v>
      </c>
      <c r="AH68" s="51">
        <f t="shared" si="21"/>
        <v>7.6223463115387045</v>
      </c>
      <c r="AI68" s="14">
        <f t="shared" si="22"/>
        <v>1402.651159378217</v>
      </c>
      <c r="AJ68" s="44">
        <f t="shared" si="23"/>
        <v>10691.49289106204</v>
      </c>
      <c r="AK68" s="44">
        <f t="shared" si="24"/>
        <v>7145.2678357079194</v>
      </c>
      <c r="AL68" s="44">
        <f t="shared" si="25"/>
        <v>2365.9476442344326</v>
      </c>
      <c r="AM68" s="14">
        <f t="shared" si="26"/>
        <v>1497.7517818773938</v>
      </c>
      <c r="AN68" s="14">
        <f t="shared" si="27"/>
        <v>862.08291501188671</v>
      </c>
      <c r="AO68" s="14">
        <f t="shared" si="28"/>
        <v>1443.4806941595634</v>
      </c>
      <c r="AP68" s="14">
        <f t="shared" si="29"/>
        <v>1477.8741883866612</v>
      </c>
      <c r="AQ68" s="14">
        <f t="shared" si="30"/>
        <v>1443.4806941595634</v>
      </c>
      <c r="AR68" s="33">
        <f t="shared" si="31"/>
        <v>0.86163613739835454</v>
      </c>
      <c r="AS68" s="33">
        <f t="shared" si="32"/>
        <v>0.36163613739835454</v>
      </c>
      <c r="AT68" s="51">
        <f t="shared" si="33"/>
        <v>8.5445141441008019</v>
      </c>
      <c r="AU68" s="51">
        <f>APPLICANTS_PER_YEAR*($H68/Segments!$AH$2)*AS68</f>
        <v>2.6037801892681522</v>
      </c>
      <c r="AV68" s="51">
        <f t="shared" si="34"/>
        <v>11.148294333368954</v>
      </c>
      <c r="AW68" s="14">
        <f t="shared" si="35"/>
        <v>1443.4806941595634</v>
      </c>
      <c r="AX68" s="44">
        <f t="shared" si="36"/>
        <v>16092.347643026545</v>
      </c>
      <c r="AY68" s="44">
        <f t="shared" si="37"/>
        <v>10764.044565479751</v>
      </c>
      <c r="AZ68" s="44">
        <f t="shared" si="38"/>
        <v>3461.0618211576298</v>
      </c>
    </row>
    <row r="69" spans="1:52" ht="15" customHeight="1" x14ac:dyDescent="0.35">
      <c r="A69" s="59" t="str">
        <f>Segments!$A$49</f>
        <v>Non-greek</v>
      </c>
      <c r="B69" s="59" t="str">
        <f>Segments!$B$49</f>
        <v>Off 0-1mi</v>
      </c>
      <c r="C69" s="59" t="str">
        <f>Segments!$C$49</f>
        <v>Yes</v>
      </c>
      <c r="D69" s="59" t="str">
        <f>Segments!$D$49</f>
        <v>&lt;1.0</v>
      </c>
      <c r="E69" s="59" t="str">
        <f>Segments!$E$49</f>
        <v>Grad student</v>
      </c>
      <c r="F69" s="59">
        <f>Segments!$F$49</f>
        <v>3</v>
      </c>
      <c r="G69" s="59" t="str">
        <f>Segments!$G$49</f>
        <v>Grad</v>
      </c>
      <c r="H69" s="60">
        <f>Segments!$H$49</f>
        <v>1</v>
      </c>
      <c r="I69" s="26">
        <f>Segments!$Y$49</f>
        <v>967.54194866175658</v>
      </c>
      <c r="J69" s="29">
        <v>4</v>
      </c>
      <c r="K69" s="14">
        <f t="shared" si="0"/>
        <v>1426.2297754450396</v>
      </c>
      <c r="L69" s="14">
        <f t="shared" si="1"/>
        <v>967.54194866175658</v>
      </c>
      <c r="M69" s="14">
        <f t="shared" si="2"/>
        <v>1614.9653044237566</v>
      </c>
      <c r="N69" s="14">
        <f t="shared" si="3"/>
        <v>1517.6664994259525</v>
      </c>
      <c r="O69" s="14">
        <f t="shared" si="4"/>
        <v>1614.9653044237566</v>
      </c>
      <c r="P69" s="33">
        <f t="shared" si="5"/>
        <v>0.77824506790840364</v>
      </c>
      <c r="Q69" s="33">
        <f t="shared" si="6"/>
        <v>0.31794460277188474</v>
      </c>
      <c r="R69" s="51">
        <f t="shared" si="7"/>
        <v>0.38912253395420182</v>
      </c>
      <c r="S69" s="51">
        <f>APPLICANTS_PER_YEAR*($H69/Segments!$AH$2)*Q69</f>
        <v>0.38153352332626167</v>
      </c>
      <c r="T69" s="51">
        <f t="shared" si="8"/>
        <v>0.77065605728046349</v>
      </c>
      <c r="U69" s="14">
        <f t="shared" si="9"/>
        <v>1614.9653044237566</v>
      </c>
      <c r="V69" s="44">
        <f t="shared" si="10"/>
        <v>1244.5827941519558</v>
      </c>
      <c r="W69" s="44">
        <f t="shared" si="11"/>
        <v>835.11911101822113</v>
      </c>
      <c r="X69" s="44">
        <f t="shared" si="12"/>
        <v>281.74332641611176</v>
      </c>
      <c r="Y69" s="14">
        <f t="shared" si="13"/>
        <v>1614.9653044237566</v>
      </c>
      <c r="Z69" s="14">
        <f t="shared" si="14"/>
        <v>996.56820712160925</v>
      </c>
      <c r="AA69" s="14">
        <f t="shared" si="15"/>
        <v>1662.1642635564692</v>
      </c>
      <c r="AB69" s="14">
        <f t="shared" si="16"/>
        <v>1562.6090391700222</v>
      </c>
      <c r="AC69" s="14">
        <f t="shared" si="17"/>
        <v>1662.1642635564692</v>
      </c>
      <c r="AD69" s="33">
        <f t="shared" si="18"/>
        <v>0.80937675436193246</v>
      </c>
      <c r="AE69" s="33">
        <f t="shared" si="19"/>
        <v>0.31814455123102137</v>
      </c>
      <c r="AF69" s="51">
        <f t="shared" si="20"/>
        <v>0.31187554918551252</v>
      </c>
      <c r="AG69" s="51">
        <f>APPLICANTS_PER_YEAR*($H69/Segments!$AH$2)*AE69</f>
        <v>0.38177346147722563</v>
      </c>
      <c r="AH69" s="51">
        <f t="shared" si="21"/>
        <v>0.69364901066273821</v>
      </c>
      <c r="AI69" s="14">
        <f t="shared" si="22"/>
        <v>1662.1642635564692</v>
      </c>
      <c r="AJ69" s="44">
        <f t="shared" si="23"/>
        <v>1152.9585969749037</v>
      </c>
      <c r="AK69" s="44">
        <f t="shared" si="24"/>
        <v>774.22077703918433</v>
      </c>
      <c r="AL69" s="44">
        <f t="shared" si="25"/>
        <v>263.53644873390158</v>
      </c>
      <c r="AM69" s="14">
        <f t="shared" si="26"/>
        <v>1662.1642635564692</v>
      </c>
      <c r="AN69" s="14">
        <f t="shared" si="27"/>
        <v>1026.4652533352576</v>
      </c>
      <c r="AO69" s="14">
        <f t="shared" si="28"/>
        <v>1710.7791914631634</v>
      </c>
      <c r="AP69" s="14">
        <f t="shared" si="29"/>
        <v>1608.8996373922821</v>
      </c>
      <c r="AQ69" s="14">
        <f t="shared" si="30"/>
        <v>1710.7791914631634</v>
      </c>
      <c r="AR69" s="33">
        <f t="shared" si="31"/>
        <v>0.80956435736318455</v>
      </c>
      <c r="AS69" s="33">
        <f t="shared" si="32"/>
        <v>0.31833874789231453</v>
      </c>
      <c r="AT69" s="51">
        <f t="shared" si="33"/>
        <v>0.28077675777639421</v>
      </c>
      <c r="AU69" s="51">
        <f>APPLICANTS_PER_YEAR*($H69/Segments!$AH$2)*AS69</f>
        <v>0.38200649747077742</v>
      </c>
      <c r="AV69" s="51">
        <f t="shared" si="34"/>
        <v>0.66278325524717163</v>
      </c>
      <c r="AW69" s="14">
        <f t="shared" si="35"/>
        <v>1710.7791914631632</v>
      </c>
      <c r="AX69" s="44">
        <f t="shared" si="36"/>
        <v>1133.8758015270796</v>
      </c>
      <c r="AY69" s="44">
        <f t="shared" si="37"/>
        <v>761.96285984409337</v>
      </c>
      <c r="AZ69" s="44">
        <f t="shared" si="38"/>
        <v>259.98186087101652</v>
      </c>
    </row>
    <row r="70" spans="1:52" ht="15" customHeight="1" x14ac:dyDescent="0.35">
      <c r="A70" s="61" t="str">
        <f>Segments!$A$50</f>
        <v>Non-greek</v>
      </c>
      <c r="B70" s="61" t="str">
        <f>Segments!$B$50</f>
        <v>Off 0-1mi</v>
      </c>
      <c r="C70" s="61" t="str">
        <f>Segments!$C$50</f>
        <v>Yes</v>
      </c>
      <c r="D70" s="61" t="str">
        <f>Segments!$D$50</f>
        <v>1.0-2.0</v>
      </c>
      <c r="E70" s="61" t="str">
        <f>Segments!$E$50</f>
        <v>Freshman</v>
      </c>
      <c r="F70" s="61">
        <f>Segments!$F$50</f>
        <v>1</v>
      </c>
      <c r="G70" s="61" t="str">
        <f>Segments!$G$50</f>
        <v>Base</v>
      </c>
      <c r="H70" s="62">
        <f>Segments!$H$50</f>
        <v>28</v>
      </c>
      <c r="I70" s="63">
        <f>Segments!$Y$50</f>
        <v>666.70776766848417</v>
      </c>
      <c r="J70" s="42">
        <v>0</v>
      </c>
      <c r="K70" s="40">
        <f t="shared" si="0"/>
        <v>1125.7854732008034</v>
      </c>
      <c r="L70" s="40">
        <f t="shared" si="1"/>
        <v>666.70776766848417</v>
      </c>
      <c r="M70" s="40">
        <f t="shared" si="2"/>
        <v>1125.7854732008034</v>
      </c>
      <c r="N70" s="40">
        <f t="shared" si="3"/>
        <v>1267.1340744540294</v>
      </c>
      <c r="O70" s="40">
        <f t="shared" si="4"/>
        <v>1125.7854732008034</v>
      </c>
      <c r="P70" s="41">
        <f t="shared" si="5"/>
        <v>0.90577491920660758</v>
      </c>
      <c r="Q70" s="41">
        <f t="shared" si="6"/>
        <v>0.40577491920660758</v>
      </c>
      <c r="R70" s="64">
        <f t="shared" si="7"/>
        <v>0</v>
      </c>
      <c r="S70" s="64">
        <f>APPLICANTS_PER_YEAR*($H70/Segments!$AH$2)*Q70</f>
        <v>13.634037285342016</v>
      </c>
      <c r="T70" s="64">
        <f t="shared" si="8"/>
        <v>13.634037285342016</v>
      </c>
      <c r="U70" s="40">
        <f t="shared" si="9"/>
        <v>1125.7854732008034</v>
      </c>
      <c r="V70" s="65">
        <f t="shared" si="10"/>
        <v>15349.001116916159</v>
      </c>
      <c r="W70" s="65">
        <f t="shared" si="11"/>
        <v>10180.708790357567</v>
      </c>
      <c r="X70" s="65">
        <f t="shared" si="12"/>
        <v>4051.7079280296107</v>
      </c>
      <c r="Y70" s="40">
        <f t="shared" si="13"/>
        <v>1158.3090373968275</v>
      </c>
      <c r="Z70" s="40">
        <f t="shared" si="14"/>
        <v>686.70900069853872</v>
      </c>
      <c r="AA70" s="40">
        <f t="shared" si="15"/>
        <v>1158.3090373968275</v>
      </c>
      <c r="AB70" s="40">
        <f t="shared" si="16"/>
        <v>1304.4444347888145</v>
      </c>
      <c r="AC70" s="40">
        <f t="shared" si="17"/>
        <v>1158.3090373968275</v>
      </c>
      <c r="AD70" s="41">
        <f t="shared" si="18"/>
        <v>0.90601442019860579</v>
      </c>
      <c r="AE70" s="41">
        <f t="shared" si="19"/>
        <v>0.40601442019860579</v>
      </c>
      <c r="AF70" s="64">
        <f t="shared" si="20"/>
        <v>0</v>
      </c>
      <c r="AG70" s="64">
        <f>APPLICANTS_PER_YEAR*($H70/Segments!$AH$2)*AE70</f>
        <v>13.642084518673155</v>
      </c>
      <c r="AH70" s="64">
        <f t="shared" si="21"/>
        <v>13.642084518673155</v>
      </c>
      <c r="AI70" s="40">
        <f t="shared" si="22"/>
        <v>1158.3090373968275</v>
      </c>
      <c r="AJ70" s="65">
        <f t="shared" si="23"/>
        <v>15801.749786910465</v>
      </c>
      <c r="AK70" s="65">
        <f t="shared" si="24"/>
        <v>10492.319294534615</v>
      </c>
      <c r="AL70" s="65">
        <f t="shared" si="25"/>
        <v>4153.4857556082361</v>
      </c>
      <c r="AM70" s="40">
        <f t="shared" si="26"/>
        <v>1191.8083085187325</v>
      </c>
      <c r="AN70" s="40">
        <f t="shared" si="27"/>
        <v>707.31027071949484</v>
      </c>
      <c r="AO70" s="40">
        <f t="shared" si="28"/>
        <v>1191.8083085187325</v>
      </c>
      <c r="AP70" s="40">
        <f t="shared" si="29"/>
        <v>1342.8737316861723</v>
      </c>
      <c r="AQ70" s="40">
        <f t="shared" si="30"/>
        <v>1191.8083085187325</v>
      </c>
      <c r="AR70" s="41">
        <f t="shared" si="31"/>
        <v>0.90624706910371811</v>
      </c>
      <c r="AS70" s="41">
        <f t="shared" si="32"/>
        <v>0.40624706910371805</v>
      </c>
      <c r="AT70" s="64">
        <f t="shared" si="33"/>
        <v>0</v>
      </c>
      <c r="AU70" s="64">
        <f>APPLICANTS_PER_YEAR*($H70/Segments!$AH$2)*AS70</f>
        <v>13.649901521884926</v>
      </c>
      <c r="AV70" s="64">
        <f t="shared" si="34"/>
        <v>13.649901521884926</v>
      </c>
      <c r="AW70" s="40">
        <f t="shared" si="35"/>
        <v>1191.8083085187325</v>
      </c>
      <c r="AX70" s="65">
        <f t="shared" si="36"/>
        <v>16268.066044244946</v>
      </c>
      <c r="AY70" s="65">
        <f t="shared" si="37"/>
        <v>10813.281405627537</v>
      </c>
      <c r="AZ70" s="65">
        <f t="shared" si="38"/>
        <v>4258.2923623956895</v>
      </c>
    </row>
    <row r="71" spans="1:52" ht="15" customHeight="1" x14ac:dyDescent="0.35">
      <c r="A71" s="61" t="str">
        <f>Segments!$A$51</f>
        <v>Non-greek</v>
      </c>
      <c r="B71" s="61" t="str">
        <f>Segments!$B$51</f>
        <v>Off 0-1mi</v>
      </c>
      <c r="C71" s="61" t="str">
        <f>Segments!$C$51</f>
        <v>Yes</v>
      </c>
      <c r="D71" s="61" t="str">
        <f>Segments!$D$51</f>
        <v>1.0-2.0</v>
      </c>
      <c r="E71" s="61" t="str">
        <f>Segments!$E$51</f>
        <v>Sophomore</v>
      </c>
      <c r="F71" s="61">
        <f>Segments!$F$51</f>
        <v>1</v>
      </c>
      <c r="G71" s="61" t="str">
        <f>Segments!$G$51</f>
        <v>Sophomore</v>
      </c>
      <c r="H71" s="62">
        <f>Segments!$H$51</f>
        <v>26</v>
      </c>
      <c r="I71" s="63">
        <f>Segments!$Y$51</f>
        <v>659.92484473014042</v>
      </c>
      <c r="J71" s="42">
        <v>1</v>
      </c>
      <c r="K71" s="40">
        <f t="shared" si="0"/>
        <v>1426.2297754450396</v>
      </c>
      <c r="L71" s="40">
        <f t="shared" si="1"/>
        <v>659.92484473014042</v>
      </c>
      <c r="M71" s="40">
        <f t="shared" si="2"/>
        <v>1114.7559117087485</v>
      </c>
      <c r="N71" s="40">
        <f t="shared" si="3"/>
        <v>1260.9116042103819</v>
      </c>
      <c r="O71" s="40">
        <f t="shared" si="4"/>
        <v>1114.7559117087485</v>
      </c>
      <c r="P71" s="41">
        <f t="shared" si="5"/>
        <v>0.90795635951544762</v>
      </c>
      <c r="Q71" s="41">
        <f t="shared" si="6"/>
        <v>0.40795635951544762</v>
      </c>
      <c r="R71" s="64">
        <f t="shared" si="7"/>
        <v>25.422778066432535</v>
      </c>
      <c r="S71" s="64">
        <f>APPLICANTS_PER_YEAR*($H71/Segments!$AH$2)*Q71</f>
        <v>12.728238416881965</v>
      </c>
      <c r="T71" s="64">
        <f t="shared" si="8"/>
        <v>38.1510164833145</v>
      </c>
      <c r="U71" s="40">
        <f t="shared" si="9"/>
        <v>1114.7559117087485</v>
      </c>
      <c r="V71" s="65">
        <f t="shared" si="10"/>
        <v>42529.071162472748</v>
      </c>
      <c r="W71" s="65">
        <f t="shared" si="11"/>
        <v>28198.020064534154</v>
      </c>
      <c r="X71" s="65">
        <f t="shared" si="12"/>
        <v>9615.8315055257026</v>
      </c>
      <c r="Y71" s="40">
        <f t="shared" si="13"/>
        <v>1125.7854732008034</v>
      </c>
      <c r="Z71" s="40">
        <f t="shared" si="14"/>
        <v>679.72259007204468</v>
      </c>
      <c r="AA71" s="40">
        <f t="shared" si="15"/>
        <v>1146.948589060011</v>
      </c>
      <c r="AB71" s="40">
        <f t="shared" si="16"/>
        <v>1298.0318160510267</v>
      </c>
      <c r="AC71" s="40">
        <f t="shared" si="17"/>
        <v>1146.948589060011</v>
      </c>
      <c r="AD71" s="41">
        <f t="shared" si="18"/>
        <v>0.90255748303206296</v>
      </c>
      <c r="AE71" s="41">
        <f t="shared" si="19"/>
        <v>0.40819704306272425</v>
      </c>
      <c r="AF71" s="64">
        <f t="shared" si="20"/>
        <v>12.30550237582359</v>
      </c>
      <c r="AG71" s="64">
        <f>APPLICANTS_PER_YEAR*($H71/Segments!$AH$2)*AE71</f>
        <v>12.735747743556997</v>
      </c>
      <c r="AH71" s="64">
        <f t="shared" si="21"/>
        <v>25.041250119380585</v>
      </c>
      <c r="AI71" s="40">
        <f t="shared" si="22"/>
        <v>1146.948589060011</v>
      </c>
      <c r="AJ71" s="65">
        <f t="shared" si="23"/>
        <v>28721.026492722398</v>
      </c>
      <c r="AK71" s="65">
        <f t="shared" si="24"/>
        <v>19063.635796561743</v>
      </c>
      <c r="AL71" s="65">
        <f t="shared" si="25"/>
        <v>6758.7463797794626</v>
      </c>
      <c r="AM71" s="40">
        <f t="shared" si="26"/>
        <v>1158.3090373968275</v>
      </c>
      <c r="AN71" s="40">
        <f t="shared" si="27"/>
        <v>700.11426777420593</v>
      </c>
      <c r="AO71" s="40">
        <f t="shared" si="28"/>
        <v>1180.1070467318111</v>
      </c>
      <c r="AP71" s="40">
        <f t="shared" si="29"/>
        <v>1336.2652544253856</v>
      </c>
      <c r="AQ71" s="40">
        <f t="shared" si="30"/>
        <v>1180.1070467318111</v>
      </c>
      <c r="AR71" s="41">
        <f t="shared" si="31"/>
        <v>0.9027851959072356</v>
      </c>
      <c r="AS71" s="41">
        <f t="shared" si="32"/>
        <v>0.40843084192169793</v>
      </c>
      <c r="AT71" s="64">
        <f t="shared" si="33"/>
        <v>12.315871944773409</v>
      </c>
      <c r="AU71" s="64">
        <f>APPLICANTS_PER_YEAR*($H71/Segments!$AH$2)*AS71</f>
        <v>12.743042267956975</v>
      </c>
      <c r="AV71" s="64">
        <f t="shared" si="34"/>
        <v>25.058914212730386</v>
      </c>
      <c r="AW71" s="40">
        <f t="shared" si="35"/>
        <v>1180.1070467318111</v>
      </c>
      <c r="AX71" s="65">
        <f t="shared" si="36"/>
        <v>29572.201245891061</v>
      </c>
      <c r="AY71" s="65">
        <f t="shared" si="37"/>
        <v>19649.395780293864</v>
      </c>
      <c r="AZ71" s="65">
        <f t="shared" si="38"/>
        <v>6935.2357656295508</v>
      </c>
    </row>
    <row r="72" spans="1:52" ht="15" customHeight="1" x14ac:dyDescent="0.35">
      <c r="A72" s="61" t="str">
        <f>Segments!$A$52</f>
        <v>Non-greek</v>
      </c>
      <c r="B72" s="61" t="str">
        <f>Segments!$B$52</f>
        <v>Off 0-1mi</v>
      </c>
      <c r="C72" s="61" t="str">
        <f>Segments!$C$52</f>
        <v>Yes</v>
      </c>
      <c r="D72" s="61" t="str">
        <f>Segments!$D$52</f>
        <v>1.0-2.0</v>
      </c>
      <c r="E72" s="61" t="str">
        <f>Segments!$E$52</f>
        <v>Junior</v>
      </c>
      <c r="F72" s="61">
        <f>Segments!$F$52</f>
        <v>2</v>
      </c>
      <c r="G72" s="61" t="str">
        <f>Segments!$G$52</f>
        <v>Base</v>
      </c>
      <c r="H72" s="62">
        <f>Segments!$H$52</f>
        <v>30</v>
      </c>
      <c r="I72" s="63">
        <f>Segments!$Y$52</f>
        <v>788.89106923519876</v>
      </c>
      <c r="J72" s="42">
        <v>2</v>
      </c>
      <c r="K72" s="40">
        <f t="shared" si="0"/>
        <v>1426.2297754450396</v>
      </c>
      <c r="L72" s="40">
        <f t="shared" si="1"/>
        <v>788.89106923519876</v>
      </c>
      <c r="M72" s="40">
        <f t="shared" si="2"/>
        <v>1324.4650469158837</v>
      </c>
      <c r="N72" s="40">
        <f t="shared" si="3"/>
        <v>1374.4058667102834</v>
      </c>
      <c r="O72" s="40">
        <f t="shared" si="4"/>
        <v>1324.4650469158837</v>
      </c>
      <c r="P72" s="41">
        <f t="shared" si="5"/>
        <v>0.86816814850839363</v>
      </c>
      <c r="Q72" s="41">
        <f t="shared" si="6"/>
        <v>0.36816814850839358</v>
      </c>
      <c r="R72" s="64">
        <f t="shared" si="7"/>
        <v>22.572371861218233</v>
      </c>
      <c r="S72" s="64">
        <f>APPLICANTS_PER_YEAR*($H72/Segments!$AH$2)*Q72</f>
        <v>13.254053346302168</v>
      </c>
      <c r="T72" s="64">
        <f t="shared" si="8"/>
        <v>35.826425207520401</v>
      </c>
      <c r="U72" s="40">
        <f t="shared" si="9"/>
        <v>1324.4650469158837</v>
      </c>
      <c r="V72" s="65">
        <f t="shared" si="10"/>
        <v>47450.847943306908</v>
      </c>
      <c r="W72" s="65">
        <f t="shared" si="11"/>
        <v>31654.724515495927</v>
      </c>
      <c r="X72" s="65">
        <f t="shared" si="12"/>
        <v>10630.498662642718</v>
      </c>
      <c r="Y72" s="40">
        <f t="shared" si="13"/>
        <v>1114.7559117087485</v>
      </c>
      <c r="Z72" s="40">
        <f t="shared" si="14"/>
        <v>812.5578013122547</v>
      </c>
      <c r="AA72" s="40">
        <f t="shared" si="15"/>
        <v>1362.94899832336</v>
      </c>
      <c r="AB72" s="40">
        <f t="shared" si="16"/>
        <v>1414.9893275697948</v>
      </c>
      <c r="AC72" s="40">
        <f t="shared" si="17"/>
        <v>1362.94899832336</v>
      </c>
      <c r="AD72" s="41">
        <f t="shared" si="18"/>
        <v>0.80159591678183517</v>
      </c>
      <c r="AE72" s="41">
        <f t="shared" si="19"/>
        <v>0.36838894761694513</v>
      </c>
      <c r="AF72" s="64">
        <f t="shared" si="20"/>
        <v>30.581699034101391</v>
      </c>
      <c r="AG72" s="64">
        <f>APPLICANTS_PER_YEAR*($H72/Segments!$AH$2)*AE72</f>
        <v>13.262002114210025</v>
      </c>
      <c r="AH72" s="64">
        <f t="shared" si="21"/>
        <v>43.843701148311418</v>
      </c>
      <c r="AI72" s="40">
        <f t="shared" si="22"/>
        <v>1362.94899832336</v>
      </c>
      <c r="AJ72" s="65">
        <f t="shared" si="23"/>
        <v>59756.728562879791</v>
      </c>
      <c r="AK72" s="65">
        <f t="shared" si="24"/>
        <v>39900.606375239127</v>
      </c>
      <c r="AL72" s="65">
        <f t="shared" si="25"/>
        <v>13135.08591161213</v>
      </c>
      <c r="AM72" s="40">
        <f t="shared" si="26"/>
        <v>1146.948589060011</v>
      </c>
      <c r="AN72" s="40">
        <f t="shared" si="27"/>
        <v>836.93453535162234</v>
      </c>
      <c r="AO72" s="40">
        <f t="shared" si="28"/>
        <v>1402.5874682730609</v>
      </c>
      <c r="AP72" s="40">
        <f t="shared" si="29"/>
        <v>1456.7899990462136</v>
      </c>
      <c r="AQ72" s="40">
        <f t="shared" si="30"/>
        <v>1402.5874682730609</v>
      </c>
      <c r="AR72" s="41">
        <f t="shared" si="31"/>
        <v>0.80173758746647517</v>
      </c>
      <c r="AS72" s="41">
        <f t="shared" si="32"/>
        <v>0.36860341257444101</v>
      </c>
      <c r="AT72" s="64">
        <f t="shared" si="33"/>
        <v>20.076511457856775</v>
      </c>
      <c r="AU72" s="64">
        <f>APPLICANTS_PER_YEAR*($H72/Segments!$AH$2)*AS72</f>
        <v>13.269722852679877</v>
      </c>
      <c r="AV72" s="64">
        <f t="shared" si="34"/>
        <v>33.346234310536651</v>
      </c>
      <c r="AW72" s="40">
        <f t="shared" si="35"/>
        <v>1402.5874682730609</v>
      </c>
      <c r="AX72" s="65">
        <f t="shared" si="36"/>
        <v>46771.010358055879</v>
      </c>
      <c r="AY72" s="65">
        <f t="shared" si="37"/>
        <v>31257.648932625161</v>
      </c>
      <c r="AZ72" s="65">
        <f t="shared" si="38"/>
        <v>10489.806859522183</v>
      </c>
    </row>
    <row r="73" spans="1:52" ht="15" customHeight="1" x14ac:dyDescent="0.35">
      <c r="A73" s="61" t="str">
        <f>Segments!$A$53</f>
        <v>Non-greek</v>
      </c>
      <c r="B73" s="61" t="str">
        <f>Segments!$B$53</f>
        <v>Off 0-1mi</v>
      </c>
      <c r="C73" s="61" t="str">
        <f>Segments!$C$53</f>
        <v>Yes</v>
      </c>
      <c r="D73" s="61" t="str">
        <f>Segments!$D$53</f>
        <v>1.0-2.0</v>
      </c>
      <c r="E73" s="61" t="str">
        <f>Segments!$E$53</f>
        <v>Senior</v>
      </c>
      <c r="F73" s="61">
        <f>Segments!$F$53</f>
        <v>3</v>
      </c>
      <c r="G73" s="61" t="str">
        <f>Segments!$G$53</f>
        <v>Base</v>
      </c>
      <c r="H73" s="62">
        <f>Segments!$H$53</f>
        <v>32</v>
      </c>
      <c r="I73" s="63">
        <f>Segments!$Y$53</f>
        <v>737.36658691985622</v>
      </c>
      <c r="J73" s="42">
        <v>3</v>
      </c>
      <c r="K73" s="40">
        <f t="shared" si="0"/>
        <v>1426.2297754450396</v>
      </c>
      <c r="L73" s="40">
        <f t="shared" si="1"/>
        <v>737.36658691985622</v>
      </c>
      <c r="M73" s="40">
        <f t="shared" si="2"/>
        <v>1240.6822218404545</v>
      </c>
      <c r="N73" s="40">
        <f t="shared" si="3"/>
        <v>1330.2247654641542</v>
      </c>
      <c r="O73" s="40">
        <f t="shared" si="4"/>
        <v>1240.6822218404545</v>
      </c>
      <c r="P73" s="41">
        <f t="shared" si="5"/>
        <v>0.88365692247973437</v>
      </c>
      <c r="Q73" s="41">
        <f t="shared" si="6"/>
        <v>0.38365692247973432</v>
      </c>
      <c r="R73" s="64">
        <f t="shared" si="7"/>
        <v>26.509707674392033</v>
      </c>
      <c r="S73" s="64">
        <f>APPLICANTS_PER_YEAR*($H73/Segments!$AH$2)*Q73</f>
        <v>14.732425823221798</v>
      </c>
      <c r="T73" s="64">
        <f t="shared" si="8"/>
        <v>41.242133497613828</v>
      </c>
      <c r="U73" s="40">
        <f t="shared" si="9"/>
        <v>1240.6822218404545</v>
      </c>
      <c r="V73" s="65">
        <f t="shared" si="10"/>
        <v>51168.381821260162</v>
      </c>
      <c r="W73" s="65">
        <f t="shared" si="11"/>
        <v>34059.839760160008</v>
      </c>
      <c r="X73" s="65">
        <f t="shared" si="12"/>
        <v>11503.7165378719</v>
      </c>
      <c r="Y73" s="40">
        <f t="shared" si="13"/>
        <v>1324.4650469158837</v>
      </c>
      <c r="Z73" s="40">
        <f t="shared" si="14"/>
        <v>759.48758452745187</v>
      </c>
      <c r="AA73" s="40">
        <f t="shared" si="15"/>
        <v>1276.6526884956681</v>
      </c>
      <c r="AB73" s="40">
        <f t="shared" si="16"/>
        <v>1369.4612369656606</v>
      </c>
      <c r="AC73" s="40">
        <f t="shared" si="17"/>
        <v>1276.6526884956681</v>
      </c>
      <c r="AD73" s="41">
        <f t="shared" si="18"/>
        <v>0.88388505857808353</v>
      </c>
      <c r="AE73" s="41">
        <f t="shared" si="19"/>
        <v>0.38388505857808358</v>
      </c>
      <c r="AF73" s="64">
        <f t="shared" si="20"/>
        <v>31.666441943192499</v>
      </c>
      <c r="AG73" s="64">
        <f>APPLICANTS_PER_YEAR*($H73/Segments!$AH$2)*AE73</f>
        <v>14.741186249398408</v>
      </c>
      <c r="AH73" s="64">
        <f t="shared" si="21"/>
        <v>46.407628192590906</v>
      </c>
      <c r="AI73" s="40">
        <f t="shared" si="22"/>
        <v>1276.6526884956684</v>
      </c>
      <c r="AJ73" s="65">
        <f t="shared" si="23"/>
        <v>59246.423298778551</v>
      </c>
      <c r="AK73" s="65">
        <f t="shared" si="24"/>
        <v>39475.539532395618</v>
      </c>
      <c r="AL73" s="65">
        <f t="shared" si="25"/>
        <v>13152.934350547768</v>
      </c>
      <c r="AM73" s="40">
        <f t="shared" si="26"/>
        <v>1362.94899832336</v>
      </c>
      <c r="AN73" s="40">
        <f t="shared" si="27"/>
        <v>782.27221206327545</v>
      </c>
      <c r="AO73" s="40">
        <f t="shared" si="28"/>
        <v>1313.7022691505383</v>
      </c>
      <c r="AP73" s="40">
        <f t="shared" si="29"/>
        <v>1409.8744791772219</v>
      </c>
      <c r="AQ73" s="40">
        <f t="shared" si="30"/>
        <v>1313.7022691505383</v>
      </c>
      <c r="AR73" s="41">
        <f t="shared" si="31"/>
        <v>0.88410665681487055</v>
      </c>
      <c r="AS73" s="41">
        <f t="shared" si="32"/>
        <v>0.3841066568148705</v>
      </c>
      <c r="AT73" s="64">
        <f t="shared" si="33"/>
        <v>38.762508044623907</v>
      </c>
      <c r="AU73" s="64">
        <f>APPLICANTS_PER_YEAR*($H73/Segments!$AH$2)*AS73</f>
        <v>14.749695621691027</v>
      </c>
      <c r="AV73" s="64">
        <f t="shared" si="34"/>
        <v>53.512203666314932</v>
      </c>
      <c r="AW73" s="40">
        <f t="shared" si="35"/>
        <v>1313.7022691505383</v>
      </c>
      <c r="AX73" s="65">
        <f t="shared" si="36"/>
        <v>70299.103383683687</v>
      </c>
      <c r="AY73" s="65">
        <f t="shared" si="37"/>
        <v>46884.443126560145</v>
      </c>
      <c r="AZ73" s="65">
        <f t="shared" si="38"/>
        <v>15403.701804647124</v>
      </c>
    </row>
    <row r="74" spans="1:52" ht="15" customHeight="1" x14ac:dyDescent="0.35">
      <c r="A74" s="61" t="str">
        <f>Segments!$A$54</f>
        <v>Non-greek</v>
      </c>
      <c r="B74" s="61" t="str">
        <f>Segments!$B$54</f>
        <v>Off 0-1mi</v>
      </c>
      <c r="C74" s="61" t="str">
        <f>Segments!$C$54</f>
        <v>Yes</v>
      </c>
      <c r="D74" s="61" t="str">
        <f>Segments!$D$54</f>
        <v>1.0-2.0</v>
      </c>
      <c r="E74" s="61" t="str">
        <f>Segments!$E$54</f>
        <v>Grad student</v>
      </c>
      <c r="F74" s="61">
        <f>Segments!$F$54</f>
        <v>3</v>
      </c>
      <c r="G74" s="61" t="str">
        <f>Segments!$G$54</f>
        <v>Grad</v>
      </c>
      <c r="H74" s="62">
        <f>Segments!$H$54</f>
        <v>8</v>
      </c>
      <c r="I74" s="63">
        <f>Segments!$Y$54</f>
        <v>877.9679625517324</v>
      </c>
      <c r="J74" s="42">
        <v>4</v>
      </c>
      <c r="K74" s="40">
        <f t="shared" si="0"/>
        <v>1426.2297754450396</v>
      </c>
      <c r="L74" s="40">
        <f t="shared" si="1"/>
        <v>877.9679625517324</v>
      </c>
      <c r="M74" s="40">
        <f t="shared" si="2"/>
        <v>1469.3110198521219</v>
      </c>
      <c r="N74" s="40">
        <f t="shared" si="3"/>
        <v>1447.6101429261312</v>
      </c>
      <c r="O74" s="40">
        <f t="shared" si="4"/>
        <v>1469.3110198521219</v>
      </c>
      <c r="P74" s="41">
        <f t="shared" si="5"/>
        <v>0.83344266998962213</v>
      </c>
      <c r="Q74" s="41">
        <f t="shared" si="6"/>
        <v>0.34250458521859839</v>
      </c>
      <c r="R74" s="64">
        <f t="shared" si="7"/>
        <v>3.3337706799584885</v>
      </c>
      <c r="S74" s="64">
        <f>APPLICANTS_PER_YEAR*($H74/Segments!$AH$2)*Q74</f>
        <v>3.2880440180985446</v>
      </c>
      <c r="T74" s="64">
        <f t="shared" si="8"/>
        <v>6.6218146980570332</v>
      </c>
      <c r="U74" s="40">
        <f t="shared" si="9"/>
        <v>1469.3110198521219</v>
      </c>
      <c r="V74" s="65">
        <f t="shared" si="10"/>
        <v>9729.5053072739502</v>
      </c>
      <c r="W74" s="65">
        <f t="shared" si="11"/>
        <v>6511.390097910039</v>
      </c>
      <c r="X74" s="65">
        <f t="shared" si="12"/>
        <v>2222.6044733226672</v>
      </c>
      <c r="Y74" s="40">
        <f t="shared" si="13"/>
        <v>1469.3110198521219</v>
      </c>
      <c r="Z74" s="40">
        <f t="shared" si="14"/>
        <v>904.30700142828437</v>
      </c>
      <c r="AA74" s="40">
        <f t="shared" si="15"/>
        <v>1512.1403504476855</v>
      </c>
      <c r="AB74" s="40">
        <f t="shared" si="16"/>
        <v>1490.4225509009843</v>
      </c>
      <c r="AC74" s="40">
        <f t="shared" si="17"/>
        <v>1512.1403504476855</v>
      </c>
      <c r="AD74" s="41">
        <f t="shared" si="18"/>
        <v>0.8339694356496542</v>
      </c>
      <c r="AE74" s="41">
        <f t="shared" si="19"/>
        <v>0.34271421398798196</v>
      </c>
      <c r="AF74" s="64">
        <f t="shared" si="20"/>
        <v>2.7611955333576046</v>
      </c>
      <c r="AG74" s="64">
        <f>APPLICANTS_PER_YEAR*($H74/Segments!$AH$2)*AE74</f>
        <v>3.2900564542846267</v>
      </c>
      <c r="AH74" s="64">
        <f t="shared" si="21"/>
        <v>6.0512519876422317</v>
      </c>
      <c r="AI74" s="40">
        <f t="shared" si="22"/>
        <v>1512.1403504476853</v>
      </c>
      <c r="AJ74" s="65">
        <f t="shared" si="23"/>
        <v>9150.3423012405765</v>
      </c>
      <c r="AK74" s="65">
        <f t="shared" si="24"/>
        <v>6128.8522846114956</v>
      </c>
      <c r="AL74" s="65">
        <f t="shared" si="25"/>
        <v>2106.8170952365413</v>
      </c>
      <c r="AM74" s="40">
        <f t="shared" si="26"/>
        <v>1512.1403504476853</v>
      </c>
      <c r="AN74" s="40">
        <f t="shared" si="27"/>
        <v>931.43621147113288</v>
      </c>
      <c r="AO74" s="40">
        <f t="shared" si="28"/>
        <v>1556.2545609611161</v>
      </c>
      <c r="AP74" s="40">
        <f t="shared" si="29"/>
        <v>1534.5190802103109</v>
      </c>
      <c r="AQ74" s="40">
        <f t="shared" si="30"/>
        <v>1556.2545609611161</v>
      </c>
      <c r="AR74" s="41">
        <f t="shared" si="31"/>
        <v>0.83416581282982816</v>
      </c>
      <c r="AS74" s="41">
        <f t="shared" si="32"/>
        <v>0.34291781997659276</v>
      </c>
      <c r="AT74" s="64">
        <f t="shared" si="33"/>
        <v>2.5238737664548476</v>
      </c>
      <c r="AU74" s="64">
        <f>APPLICANTS_PER_YEAR*($H74/Segments!$AH$2)*AS74</f>
        <v>3.2920110717752906</v>
      </c>
      <c r="AV74" s="64">
        <f t="shared" si="34"/>
        <v>5.8158848382301382</v>
      </c>
      <c r="AW74" s="40">
        <f t="shared" si="35"/>
        <v>1556.2545609611161</v>
      </c>
      <c r="AX74" s="65">
        <f t="shared" si="36"/>
        <v>9050.9973055202554</v>
      </c>
      <c r="AY74" s="65">
        <f t="shared" si="37"/>
        <v>6067.1808288823004</v>
      </c>
      <c r="AZ74" s="65">
        <f t="shared" si="38"/>
        <v>2088.5687178837807</v>
      </c>
    </row>
    <row r="75" spans="1:52" ht="15" customHeight="1" x14ac:dyDescent="0.35">
      <c r="A75" s="59" t="str">
        <f>Segments!$A$55</f>
        <v>Non-greek</v>
      </c>
      <c r="B75" s="59" t="str">
        <f>Segments!$B$55</f>
        <v>Off 0-1mi</v>
      </c>
      <c r="C75" s="59" t="str">
        <f>Segments!$C$55</f>
        <v>Yes</v>
      </c>
      <c r="D75" s="59" t="str">
        <f>Segments!$D$55</f>
        <v>2.0-3.0</v>
      </c>
      <c r="E75" s="59" t="str">
        <f>Segments!$E$55</f>
        <v>Freshman</v>
      </c>
      <c r="F75" s="59">
        <f>Segments!$F$55</f>
        <v>1</v>
      </c>
      <c r="G75" s="59" t="str">
        <f>Segments!$G$55</f>
        <v>Base</v>
      </c>
      <c r="H75" s="60">
        <f>Segments!$H$55</f>
        <v>39</v>
      </c>
      <c r="I75" s="26">
        <f>Segments!$Y$55</f>
        <v>655.1602021423588</v>
      </c>
      <c r="J75" s="29">
        <v>0</v>
      </c>
      <c r="K75" s="14">
        <f t="shared" si="0"/>
        <v>1107.0082314111403</v>
      </c>
      <c r="L75" s="14">
        <f t="shared" si="1"/>
        <v>655.1602021423588</v>
      </c>
      <c r="M75" s="14">
        <f t="shared" si="2"/>
        <v>1107.0082314111403</v>
      </c>
      <c r="N75" s="14">
        <f t="shared" si="3"/>
        <v>1256.5222247542306</v>
      </c>
      <c r="O75" s="14">
        <f t="shared" si="4"/>
        <v>1107.0082314111403</v>
      </c>
      <c r="P75" s="33">
        <f t="shared" si="5"/>
        <v>0.90949516466862912</v>
      </c>
      <c r="Q75" s="33">
        <f t="shared" si="6"/>
        <v>0.40949516466862912</v>
      </c>
      <c r="R75" s="51">
        <f t="shared" si="7"/>
        <v>0</v>
      </c>
      <c r="S75" s="51">
        <f>APPLICANTS_PER_YEAR*($H75/Segments!$AH$2)*Q75</f>
        <v>19.16437370649184</v>
      </c>
      <c r="T75" s="51">
        <f t="shared" si="8"/>
        <v>19.16437370649184</v>
      </c>
      <c r="U75" s="14">
        <f t="shared" si="9"/>
        <v>1107.0082314111403</v>
      </c>
      <c r="V75" s="44">
        <f t="shared" si="10"/>
        <v>21215.11944292569</v>
      </c>
      <c r="W75" s="44">
        <f t="shared" si="11"/>
        <v>14062.423145654129</v>
      </c>
      <c r="X75" s="44">
        <f t="shared" si="12"/>
        <v>5614.5835720074865</v>
      </c>
      <c r="Y75" s="14">
        <f t="shared" si="13"/>
        <v>1138.9684783534744</v>
      </c>
      <c r="Z75" s="14">
        <f t="shared" si="14"/>
        <v>674.81500820662961</v>
      </c>
      <c r="AA75" s="14">
        <f t="shared" si="15"/>
        <v>1138.9684783534744</v>
      </c>
      <c r="AB75" s="14">
        <f t="shared" si="16"/>
        <v>1293.5082836358977</v>
      </c>
      <c r="AC75" s="14">
        <f t="shared" si="17"/>
        <v>1138.9684783534744</v>
      </c>
      <c r="AD75" s="33">
        <f t="shared" si="18"/>
        <v>0.90973668945050368</v>
      </c>
      <c r="AE75" s="33">
        <f t="shared" si="19"/>
        <v>0.40973668945050362</v>
      </c>
      <c r="AF75" s="51">
        <f t="shared" si="20"/>
        <v>0</v>
      </c>
      <c r="AG75" s="51">
        <f>APPLICANTS_PER_YEAR*($H75/Segments!$AH$2)*AE75</f>
        <v>19.175677066283569</v>
      </c>
      <c r="AH75" s="51">
        <f t="shared" si="21"/>
        <v>19.175677066283569</v>
      </c>
      <c r="AI75" s="14">
        <f t="shared" si="22"/>
        <v>1138.9684783534744</v>
      </c>
      <c r="AJ75" s="44">
        <f t="shared" si="23"/>
        <v>21840.491729582613</v>
      </c>
      <c r="AK75" s="44">
        <f t="shared" si="24"/>
        <v>14492.838838074047</v>
      </c>
      <c r="AL75" s="44">
        <f t="shared" si="25"/>
        <v>5755.1756154092654</v>
      </c>
      <c r="AM75" s="14">
        <f t="shared" si="26"/>
        <v>1171.8875327040785</v>
      </c>
      <c r="AN75" s="14">
        <f t="shared" si="27"/>
        <v>695.05945845282838</v>
      </c>
      <c r="AO75" s="14">
        <f t="shared" si="28"/>
        <v>1171.8875327040785</v>
      </c>
      <c r="AP75" s="14">
        <f t="shared" si="29"/>
        <v>1331.6035404637732</v>
      </c>
      <c r="AQ75" s="14">
        <f t="shared" si="30"/>
        <v>1171.8875327040785</v>
      </c>
      <c r="AR75" s="33">
        <f t="shared" si="31"/>
        <v>0.90997130636347978</v>
      </c>
      <c r="AS75" s="33">
        <f t="shared" si="32"/>
        <v>0.40997130636347984</v>
      </c>
      <c r="AT75" s="51">
        <f t="shared" si="33"/>
        <v>0</v>
      </c>
      <c r="AU75" s="51">
        <f>APPLICANTS_PER_YEAR*($H75/Segments!$AH$2)*AS75</f>
        <v>19.186657137810855</v>
      </c>
      <c r="AV75" s="51">
        <f t="shared" si="34"/>
        <v>19.186657137810855</v>
      </c>
      <c r="AW75" s="14">
        <f t="shared" si="35"/>
        <v>1171.8875327040785</v>
      </c>
      <c r="AX75" s="44">
        <f t="shared" si="36"/>
        <v>22484.60429406826</v>
      </c>
      <c r="AY75" s="44">
        <f t="shared" si="37"/>
        <v>14936.171622094138</v>
      </c>
      <c r="AZ75" s="44">
        <f t="shared" si="38"/>
        <v>5899.9509330727788</v>
      </c>
    </row>
    <row r="76" spans="1:52" ht="15" customHeight="1" x14ac:dyDescent="0.35">
      <c r="A76" s="59" t="str">
        <f>Segments!$A$56</f>
        <v>Non-greek</v>
      </c>
      <c r="B76" s="59" t="str">
        <f>Segments!$B$56</f>
        <v>Off 0-1mi</v>
      </c>
      <c r="C76" s="59" t="str">
        <f>Segments!$C$56</f>
        <v>Yes</v>
      </c>
      <c r="D76" s="59" t="str">
        <f>Segments!$D$56</f>
        <v>2.0-3.0</v>
      </c>
      <c r="E76" s="59" t="str">
        <f>Segments!$E$56</f>
        <v>Sophomore</v>
      </c>
      <c r="F76" s="59">
        <f>Segments!$F$56</f>
        <v>1</v>
      </c>
      <c r="G76" s="59" t="str">
        <f>Segments!$G$56</f>
        <v>Sophomore</v>
      </c>
      <c r="H76" s="60">
        <f>Segments!$H$56</f>
        <v>42</v>
      </c>
      <c r="I76" s="26">
        <f>Segments!$Y$56</f>
        <v>648.49476133169901</v>
      </c>
      <c r="J76" s="29">
        <v>1</v>
      </c>
      <c r="K76" s="14">
        <f t="shared" si="0"/>
        <v>1426.2297754450396</v>
      </c>
      <c r="L76" s="14">
        <f t="shared" si="1"/>
        <v>648.49476133169901</v>
      </c>
      <c r="M76" s="14">
        <f t="shared" si="2"/>
        <v>1096.1697050175651</v>
      </c>
      <c r="N76" s="14">
        <f t="shared" si="3"/>
        <v>1250.3558982293232</v>
      </c>
      <c r="O76" s="14">
        <f t="shared" si="4"/>
        <v>1096.1697050175651</v>
      </c>
      <c r="P76" s="33">
        <f t="shared" si="5"/>
        <v>0.91165692241309337</v>
      </c>
      <c r="Q76" s="33">
        <f t="shared" si="6"/>
        <v>0.41165692241309337</v>
      </c>
      <c r="R76" s="51">
        <f t="shared" si="7"/>
        <v>35.554619974110643</v>
      </c>
      <c r="S76" s="51">
        <f>APPLICANTS_PER_YEAR*($H76/Segments!$AH$2)*Q76</f>
        <v>20.747508889619905</v>
      </c>
      <c r="T76" s="51">
        <f t="shared" si="8"/>
        <v>56.302128863730545</v>
      </c>
      <c r="U76" s="14">
        <f t="shared" si="9"/>
        <v>1096.1697050175651</v>
      </c>
      <c r="V76" s="44">
        <f t="shared" si="10"/>
        <v>61716.687988416452</v>
      </c>
      <c r="W76" s="44">
        <f t="shared" si="11"/>
        <v>40893.03189434568</v>
      </c>
      <c r="X76" s="44">
        <f t="shared" si="12"/>
        <v>14105.182003804259</v>
      </c>
      <c r="Y76" s="14">
        <f t="shared" si="13"/>
        <v>1107.0082314111403</v>
      </c>
      <c r="Z76" s="14">
        <f t="shared" si="14"/>
        <v>667.94960417164998</v>
      </c>
      <c r="AA76" s="14">
        <f t="shared" si="15"/>
        <v>1127.804796168092</v>
      </c>
      <c r="AB76" s="14">
        <f t="shared" si="16"/>
        <v>1287.1534658385517</v>
      </c>
      <c r="AC76" s="14">
        <f t="shared" si="17"/>
        <v>1127.804796168092</v>
      </c>
      <c r="AD76" s="33">
        <f t="shared" si="18"/>
        <v>0.90626375546946736</v>
      </c>
      <c r="AE76" s="33">
        <f t="shared" si="19"/>
        <v>0.41189963897065202</v>
      </c>
      <c r="AF76" s="51">
        <f t="shared" si="20"/>
        <v>17.36797728646561</v>
      </c>
      <c r="AG76" s="51">
        <f>APPLICANTS_PER_YEAR*($H76/Segments!$AH$2)*AE76</f>
        <v>20.759741804120861</v>
      </c>
      <c r="AH76" s="51">
        <f t="shared" si="21"/>
        <v>38.127719090586467</v>
      </c>
      <c r="AI76" s="14">
        <f t="shared" si="22"/>
        <v>1127.804796168092</v>
      </c>
      <c r="AJ76" s="44">
        <f t="shared" si="23"/>
        <v>43000.624457313141</v>
      </c>
      <c r="AK76" s="44">
        <f t="shared" si="24"/>
        <v>28523.482259468106</v>
      </c>
      <c r="AL76" s="44">
        <f t="shared" si="25"/>
        <v>10228.118722433392</v>
      </c>
      <c r="AM76" s="14">
        <f t="shared" si="26"/>
        <v>1138.9684783534744</v>
      </c>
      <c r="AN76" s="14">
        <f t="shared" si="27"/>
        <v>687.98809229679944</v>
      </c>
      <c r="AO76" s="14">
        <f t="shared" si="28"/>
        <v>1160.3889400531348</v>
      </c>
      <c r="AP76" s="14">
        <f t="shared" si="29"/>
        <v>1325.0545709428741</v>
      </c>
      <c r="AQ76" s="14">
        <f t="shared" si="30"/>
        <v>1160.3889400531348</v>
      </c>
      <c r="AR76" s="33">
        <f t="shared" si="31"/>
        <v>0.90649334604051346</v>
      </c>
      <c r="AS76" s="33">
        <f t="shared" si="32"/>
        <v>0.41213541483524241</v>
      </c>
      <c r="AT76" s="51">
        <f t="shared" si="33"/>
        <v>17.382623666407728</v>
      </c>
      <c r="AU76" s="51">
        <f>APPLICANTS_PER_YEAR*($H76/Segments!$AH$2)*AS76</f>
        <v>20.771624907696218</v>
      </c>
      <c r="AV76" s="51">
        <f t="shared" si="34"/>
        <v>38.154248574103946</v>
      </c>
      <c r="AW76" s="14">
        <f t="shared" si="35"/>
        <v>1160.3889400531348</v>
      </c>
      <c r="AX76" s="44">
        <f t="shared" si="36"/>
        <v>44273.768061428309</v>
      </c>
      <c r="AY76" s="44">
        <f t="shared" si="37"/>
        <v>29399.628932257532</v>
      </c>
      <c r="AZ76" s="44">
        <f t="shared" si="38"/>
        <v>10493.728491128239</v>
      </c>
    </row>
    <row r="77" spans="1:52" ht="15" customHeight="1" x14ac:dyDescent="0.35">
      <c r="A77" s="59" t="str">
        <f>Segments!$A$57</f>
        <v>Non-greek</v>
      </c>
      <c r="B77" s="59" t="str">
        <f>Segments!$B$57</f>
        <v>Off 0-1mi</v>
      </c>
      <c r="C77" s="59" t="str">
        <f>Segments!$C$57</f>
        <v>Yes</v>
      </c>
      <c r="D77" s="59" t="str">
        <f>Segments!$D$57</f>
        <v>2.0-3.0</v>
      </c>
      <c r="E77" s="59" t="str">
        <f>Segments!$E$57</f>
        <v>Junior</v>
      </c>
      <c r="F77" s="59">
        <f>Segments!$F$57</f>
        <v>2</v>
      </c>
      <c r="G77" s="59" t="str">
        <f>Segments!$G$57</f>
        <v>Base</v>
      </c>
      <c r="H77" s="60">
        <f>Segments!$H$57</f>
        <v>45</v>
      </c>
      <c r="I77" s="26">
        <f>Segments!$Y$57</f>
        <v>775.2272546574477</v>
      </c>
      <c r="J77" s="29">
        <v>2</v>
      </c>
      <c r="K77" s="14">
        <f t="shared" si="0"/>
        <v>1426.2297754450396</v>
      </c>
      <c r="L77" s="14">
        <f t="shared" si="1"/>
        <v>775.2272546574477</v>
      </c>
      <c r="M77" s="14">
        <f t="shared" si="2"/>
        <v>1302.2466191862386</v>
      </c>
      <c r="N77" s="14">
        <f t="shared" si="3"/>
        <v>1362.8290073431997</v>
      </c>
      <c r="O77" s="14">
        <f t="shared" si="4"/>
        <v>1302.2466191862386</v>
      </c>
      <c r="P77" s="33">
        <f t="shared" si="5"/>
        <v>0.87222670189382923</v>
      </c>
      <c r="Q77" s="33">
        <f t="shared" si="6"/>
        <v>0.37222670189382923</v>
      </c>
      <c r="R77" s="51">
        <f t="shared" si="7"/>
        <v>36.633521479540825</v>
      </c>
      <c r="S77" s="51">
        <f>APPLICANTS_PER_YEAR*($H77/Segments!$AH$2)*Q77</f>
        <v>20.100241902266777</v>
      </c>
      <c r="T77" s="51">
        <f t="shared" si="8"/>
        <v>56.733763381807606</v>
      </c>
      <c r="U77" s="14">
        <f t="shared" si="9"/>
        <v>1302.2466191862386</v>
      </c>
      <c r="V77" s="44">
        <f t="shared" si="10"/>
        <v>73881.351557670976</v>
      </c>
      <c r="W77" s="44">
        <f t="shared" si="11"/>
        <v>49259.346788807619</v>
      </c>
      <c r="X77" s="44">
        <f t="shared" si="12"/>
        <v>16516.898281764472</v>
      </c>
      <c r="Y77" s="14">
        <f t="shared" si="13"/>
        <v>1096.1697050175651</v>
      </c>
      <c r="Z77" s="14">
        <f t="shared" si="14"/>
        <v>798.48407229717111</v>
      </c>
      <c r="AA77" s="14">
        <f t="shared" si="15"/>
        <v>1340.0640177618257</v>
      </c>
      <c r="AB77" s="14">
        <f t="shared" si="16"/>
        <v>1403.0596492054281</v>
      </c>
      <c r="AC77" s="14">
        <f t="shared" si="17"/>
        <v>1340.0640177618257</v>
      </c>
      <c r="AD77" s="33">
        <f t="shared" si="18"/>
        <v>0.8057003207736767</v>
      </c>
      <c r="AE77" s="33">
        <f t="shared" si="19"/>
        <v>0.37244937750126222</v>
      </c>
      <c r="AF77" s="51">
        <f t="shared" si="20"/>
        <v>45.362643285748582</v>
      </c>
      <c r="AG77" s="51">
        <f>APPLICANTS_PER_YEAR*($H77/Segments!$AH$2)*AE77</f>
        <v>20.112266385068157</v>
      </c>
      <c r="AH77" s="51">
        <f t="shared" si="21"/>
        <v>65.474909670816743</v>
      </c>
      <c r="AI77" s="14">
        <f t="shared" si="22"/>
        <v>1340.0640177618257</v>
      </c>
      <c r="AJ77" s="44">
        <f t="shared" si="23"/>
        <v>87740.570516067295</v>
      </c>
      <c r="AK77" s="44">
        <f t="shared" si="24"/>
        <v>58554.353208112378</v>
      </c>
      <c r="AL77" s="44">
        <f t="shared" si="25"/>
        <v>19338.583038019227</v>
      </c>
      <c r="AM77" s="14">
        <f t="shared" si="26"/>
        <v>1127.804796168092</v>
      </c>
      <c r="AN77" s="14">
        <f t="shared" si="27"/>
        <v>822.43859446608622</v>
      </c>
      <c r="AO77" s="14">
        <f t="shared" si="28"/>
        <v>1379.0159382946804</v>
      </c>
      <c r="AP77" s="14">
        <f t="shared" si="29"/>
        <v>1444.49690957181</v>
      </c>
      <c r="AQ77" s="14">
        <f t="shared" si="30"/>
        <v>1379.0159382946804</v>
      </c>
      <c r="AR77" s="33">
        <f t="shared" si="31"/>
        <v>0.80584262889501046</v>
      </c>
      <c r="AS77" s="33">
        <f t="shared" si="32"/>
        <v>0.37266566679486351</v>
      </c>
      <c r="AT77" s="51">
        <f t="shared" si="33"/>
        <v>30.724941385728677</v>
      </c>
      <c r="AU77" s="51">
        <f>APPLICANTS_PER_YEAR*($H77/Segments!$AH$2)*AS77</f>
        <v>20.123946006922626</v>
      </c>
      <c r="AV77" s="51">
        <f t="shared" si="34"/>
        <v>50.848887392651307</v>
      </c>
      <c r="AW77" s="14">
        <f t="shared" si="35"/>
        <v>1379.0159382946802</v>
      </c>
      <c r="AX77" s="44">
        <f t="shared" si="36"/>
        <v>70121.426159017574</v>
      </c>
      <c r="AY77" s="44">
        <f t="shared" si="37"/>
        <v>46838.497974661608</v>
      </c>
      <c r="AZ77" s="44">
        <f t="shared" si="38"/>
        <v>15744.319422052891</v>
      </c>
    </row>
    <row r="78" spans="1:52" ht="15" customHeight="1" x14ac:dyDescent="0.35">
      <c r="A78" s="59" t="str">
        <f>Segments!$A$58</f>
        <v>Non-greek</v>
      </c>
      <c r="B78" s="59" t="str">
        <f>Segments!$B$58</f>
        <v>Off 0-1mi</v>
      </c>
      <c r="C78" s="59" t="str">
        <f>Segments!$C$58</f>
        <v>Yes</v>
      </c>
      <c r="D78" s="59" t="str">
        <f>Segments!$D$58</f>
        <v>2.0-3.0</v>
      </c>
      <c r="E78" s="59" t="str">
        <f>Segments!$E$58</f>
        <v>Senior</v>
      </c>
      <c r="F78" s="59">
        <f>Segments!$F$58</f>
        <v>3</v>
      </c>
      <c r="G78" s="59" t="str">
        <f>Segments!$G$58</f>
        <v>Base</v>
      </c>
      <c r="H78" s="60">
        <f>Segments!$H$58</f>
        <v>40</v>
      </c>
      <c r="I78" s="26">
        <f>Segments!$Y$58</f>
        <v>724.59519082676854</v>
      </c>
      <c r="J78" s="29">
        <v>3</v>
      </c>
      <c r="K78" s="14">
        <f t="shared" si="0"/>
        <v>1426.2297754450396</v>
      </c>
      <c r="L78" s="14">
        <f t="shared" si="1"/>
        <v>724.59519082676854</v>
      </c>
      <c r="M78" s="14">
        <f t="shared" si="2"/>
        <v>1219.9149361395062</v>
      </c>
      <c r="N78" s="14">
        <f t="shared" si="3"/>
        <v>1319.044732157442</v>
      </c>
      <c r="O78" s="14">
        <f t="shared" si="4"/>
        <v>1219.9149361395062</v>
      </c>
      <c r="P78" s="33">
        <f t="shared" si="5"/>
        <v>0.88757635870915386</v>
      </c>
      <c r="Q78" s="33">
        <f t="shared" si="6"/>
        <v>0.38757635870915391</v>
      </c>
      <c r="R78" s="51">
        <f t="shared" si="7"/>
        <v>39.940936141911926</v>
      </c>
      <c r="S78" s="51">
        <f>APPLICANTS_PER_YEAR*($H78/Segments!$AH$2)*Q78</f>
        <v>18.603665218039389</v>
      </c>
      <c r="T78" s="51">
        <f t="shared" si="8"/>
        <v>58.544601359951315</v>
      </c>
      <c r="U78" s="14">
        <f t="shared" si="9"/>
        <v>1219.9149361395062</v>
      </c>
      <c r="V78" s="44">
        <f t="shared" si="10"/>
        <v>71419.433629337858</v>
      </c>
      <c r="W78" s="44">
        <f t="shared" si="11"/>
        <v>47511.672985605946</v>
      </c>
      <c r="X78" s="44">
        <f t="shared" si="12"/>
        <v>15928.577730919749</v>
      </c>
      <c r="Y78" s="14">
        <f t="shared" si="13"/>
        <v>1302.2466191862386</v>
      </c>
      <c r="Z78" s="14">
        <f t="shared" si="14"/>
        <v>746.33304655157167</v>
      </c>
      <c r="AA78" s="14">
        <f t="shared" si="15"/>
        <v>1255.2623842236915</v>
      </c>
      <c r="AB78" s="14">
        <f t="shared" si="16"/>
        <v>1357.9401187192459</v>
      </c>
      <c r="AC78" s="14">
        <f t="shared" si="17"/>
        <v>1255.2623842236915</v>
      </c>
      <c r="AD78" s="33">
        <f t="shared" si="18"/>
        <v>0.8878064294147211</v>
      </c>
      <c r="AE78" s="33">
        <f t="shared" si="19"/>
        <v>0.3878064294147211</v>
      </c>
      <c r="AF78" s="51">
        <f t="shared" si="20"/>
        <v>50.368599895262264</v>
      </c>
      <c r="AG78" s="51">
        <f>APPLICANTS_PER_YEAR*($H78/Segments!$AH$2)*AE78</f>
        <v>18.614708611906615</v>
      </c>
      <c r="AH78" s="51">
        <f t="shared" si="21"/>
        <v>68.983308507168886</v>
      </c>
      <c r="AI78" s="14">
        <f t="shared" si="22"/>
        <v>1255.2623842236915</v>
      </c>
      <c r="AJ78" s="44">
        <f t="shared" si="23"/>
        <v>86592.152308347271</v>
      </c>
      <c r="AK78" s="44">
        <f t="shared" si="24"/>
        <v>57662.665535285785</v>
      </c>
      <c r="AL78" s="44">
        <f t="shared" si="25"/>
        <v>19028.772694702067</v>
      </c>
      <c r="AM78" s="14">
        <f t="shared" si="26"/>
        <v>1340.0640177618257</v>
      </c>
      <c r="AN78" s="14">
        <f t="shared" si="27"/>
        <v>768.72303794811876</v>
      </c>
      <c r="AO78" s="14">
        <f t="shared" si="28"/>
        <v>1291.670255750402</v>
      </c>
      <c r="AP78" s="14">
        <f t="shared" si="29"/>
        <v>1398.0020351406274</v>
      </c>
      <c r="AQ78" s="14">
        <f t="shared" si="30"/>
        <v>1291.670255750402</v>
      </c>
      <c r="AR78" s="33">
        <f t="shared" si="31"/>
        <v>0.88802990865443521</v>
      </c>
      <c r="AS78" s="33">
        <f t="shared" si="32"/>
        <v>0.38802990865443526</v>
      </c>
      <c r="AT78" s="51">
        <f t="shared" si="33"/>
        <v>58.143678054132792</v>
      </c>
      <c r="AU78" s="51">
        <f>APPLICANTS_PER_YEAR*($H78/Segments!$AH$2)*AS78</f>
        <v>18.625435615412893</v>
      </c>
      <c r="AV78" s="51">
        <f t="shared" si="34"/>
        <v>76.769113669545689</v>
      </c>
      <c r="AW78" s="14">
        <f t="shared" si="35"/>
        <v>1291.670255750402</v>
      </c>
      <c r="AX78" s="44">
        <f t="shared" si="36"/>
        <v>99160.380687273762</v>
      </c>
      <c r="AY78" s="44">
        <f t="shared" si="37"/>
        <v>66095.888634314135</v>
      </c>
      <c r="AZ78" s="44">
        <f t="shared" si="38"/>
        <v>21584.357355139786</v>
      </c>
    </row>
    <row r="79" spans="1:52" ht="15" customHeight="1" x14ac:dyDescent="0.35">
      <c r="A79" s="59" t="str">
        <f>Segments!$A$59</f>
        <v>Non-greek</v>
      </c>
      <c r="B79" s="59" t="str">
        <f>Segments!$B$59</f>
        <v>Off 0-1mi</v>
      </c>
      <c r="C79" s="59" t="str">
        <f>Segments!$C$59</f>
        <v>Yes</v>
      </c>
      <c r="D79" s="59" t="str">
        <f>Segments!$D$59</f>
        <v>2.0-3.0</v>
      </c>
      <c r="E79" s="59" t="str">
        <f>Segments!$E$59</f>
        <v>Grad student</v>
      </c>
      <c r="F79" s="59">
        <f>Segments!$F$59</f>
        <v>3</v>
      </c>
      <c r="G79" s="59" t="str">
        <f>Segments!$G$59</f>
        <v>Grad</v>
      </c>
      <c r="H79" s="60">
        <f>Segments!$H$59</f>
        <v>20</v>
      </c>
      <c r="I79" s="26">
        <f>Segments!$Y$59</f>
        <v>862.76131119853233</v>
      </c>
      <c r="J79" s="29">
        <v>4</v>
      </c>
      <c r="K79" s="14">
        <f t="shared" si="0"/>
        <v>1426.2297754450396</v>
      </c>
      <c r="L79" s="14">
        <f t="shared" si="1"/>
        <v>862.76131119853233</v>
      </c>
      <c r="M79" s="14">
        <f t="shared" si="2"/>
        <v>1444.5838192465794</v>
      </c>
      <c r="N79" s="14">
        <f t="shared" si="3"/>
        <v>1435.3774612050961</v>
      </c>
      <c r="O79" s="14">
        <f t="shared" si="4"/>
        <v>1444.5838192465794</v>
      </c>
      <c r="P79" s="33">
        <f t="shared" si="5"/>
        <v>0.8429323758387075</v>
      </c>
      <c r="Q79" s="33">
        <f t="shared" si="6"/>
        <v>0.34679305329423449</v>
      </c>
      <c r="R79" s="51">
        <f t="shared" si="7"/>
        <v>8.4293237583870742</v>
      </c>
      <c r="S79" s="51">
        <f>APPLICANTS_PER_YEAR*($H79/Segments!$AH$2)*Q79</f>
        <v>8.3230332790616277</v>
      </c>
      <c r="T79" s="51">
        <f t="shared" si="8"/>
        <v>16.752357037448704</v>
      </c>
      <c r="U79" s="14">
        <f t="shared" si="9"/>
        <v>1444.5838192465792</v>
      </c>
      <c r="V79" s="44">
        <f t="shared" si="10"/>
        <v>24200.183910539956</v>
      </c>
      <c r="W79" s="44">
        <f t="shared" si="11"/>
        <v>16187.67978609063</v>
      </c>
      <c r="X79" s="44">
        <f t="shared" si="12"/>
        <v>5537.7739038869795</v>
      </c>
      <c r="Y79" s="14">
        <f t="shared" si="13"/>
        <v>1444.5838192465792</v>
      </c>
      <c r="Z79" s="14">
        <f t="shared" si="14"/>
        <v>888.64415053448829</v>
      </c>
      <c r="AA79" s="14">
        <f t="shared" si="15"/>
        <v>1486.6713338239767</v>
      </c>
      <c r="AB79" s="14">
        <f t="shared" si="16"/>
        <v>1477.8176376936221</v>
      </c>
      <c r="AC79" s="14">
        <f t="shared" si="17"/>
        <v>1486.6713338239767</v>
      </c>
      <c r="AD79" s="33">
        <f t="shared" si="18"/>
        <v>0.83826405966207873</v>
      </c>
      <c r="AE79" s="33">
        <f t="shared" si="19"/>
        <v>0.34700446932539919</v>
      </c>
      <c r="AF79" s="51">
        <f t="shared" si="20"/>
        <v>7.0214494095601721</v>
      </c>
      <c r="AG79" s="51">
        <f>APPLICANTS_PER_YEAR*($H79/Segments!$AH$2)*AE79</f>
        <v>8.3281072638095814</v>
      </c>
      <c r="AH79" s="51">
        <f t="shared" si="21"/>
        <v>15.349556673369754</v>
      </c>
      <c r="AI79" s="14">
        <f t="shared" si="22"/>
        <v>1486.6713338239765</v>
      </c>
      <c r="AJ79" s="44">
        <f t="shared" si="23"/>
        <v>22819.745893205334</v>
      </c>
      <c r="AK79" s="44">
        <f t="shared" si="24"/>
        <v>15277.129001218171</v>
      </c>
      <c r="AL79" s="44">
        <f t="shared" si="25"/>
        <v>5261.4663305725362</v>
      </c>
      <c r="AM79" s="14">
        <f t="shared" si="26"/>
        <v>1486.6713338239765</v>
      </c>
      <c r="AN79" s="14">
        <f t="shared" si="27"/>
        <v>915.30347505052293</v>
      </c>
      <c r="AO79" s="14">
        <f t="shared" si="28"/>
        <v>1530.021473838696</v>
      </c>
      <c r="AP79" s="14">
        <f t="shared" si="29"/>
        <v>1521.5307620969575</v>
      </c>
      <c r="AQ79" s="14">
        <f t="shared" si="30"/>
        <v>1530.021473838696</v>
      </c>
      <c r="AR79" s="33">
        <f t="shared" si="31"/>
        <v>0.83846205401990659</v>
      </c>
      <c r="AS79" s="33">
        <f t="shared" si="32"/>
        <v>0.34720981265931261</v>
      </c>
      <c r="AT79" s="51">
        <f t="shared" si="33"/>
        <v>6.4350104083242847</v>
      </c>
      <c r="AU79" s="51">
        <f>APPLICANTS_PER_YEAR*($H79/Segments!$AH$2)*AS79</f>
        <v>8.3330355038235027</v>
      </c>
      <c r="AV79" s="51">
        <f t="shared" si="34"/>
        <v>14.768045912147787</v>
      </c>
      <c r="AW79" s="14">
        <f t="shared" si="35"/>
        <v>1530.021473838696</v>
      </c>
      <c r="AX79" s="44">
        <f t="shared" si="36"/>
        <v>22595.427372221886</v>
      </c>
      <c r="AY79" s="44">
        <f t="shared" si="37"/>
        <v>15139.312992265885</v>
      </c>
      <c r="AZ79" s="44">
        <f t="shared" si="38"/>
        <v>5220.4628933973381</v>
      </c>
    </row>
    <row r="80" spans="1:52" ht="15" customHeight="1" x14ac:dyDescent="0.35">
      <c r="A80" s="61" t="str">
        <f>Segments!$A$60</f>
        <v>Non-greek</v>
      </c>
      <c r="B80" s="61" t="str">
        <f>Segments!$B$60</f>
        <v>Off 0-1mi</v>
      </c>
      <c r="C80" s="61" t="str">
        <f>Segments!$C$60</f>
        <v>Yes</v>
      </c>
      <c r="D80" s="61" t="str">
        <f>Segments!$D$60</f>
        <v>3.0+</v>
      </c>
      <c r="E80" s="61" t="str">
        <f>Segments!$E$60</f>
        <v>Freshman</v>
      </c>
      <c r="F80" s="61">
        <f>Segments!$F$60</f>
        <v>1</v>
      </c>
      <c r="G80" s="61" t="str">
        <f>Segments!$G$60</f>
        <v>Base</v>
      </c>
      <c r="H80" s="62">
        <f>Segments!$H$60</f>
        <v>29</v>
      </c>
      <c r="I80" s="63">
        <f>Segments!$Y$60</f>
        <v>574.27911437491161</v>
      </c>
      <c r="J80" s="42">
        <v>0</v>
      </c>
      <c r="K80" s="40">
        <f t="shared" si="0"/>
        <v>975.48927723986026</v>
      </c>
      <c r="L80" s="40">
        <f t="shared" si="1"/>
        <v>574.27911437491161</v>
      </c>
      <c r="M80" s="40">
        <f t="shared" si="2"/>
        <v>975.48927723986026</v>
      </c>
      <c r="N80" s="40">
        <f t="shared" si="3"/>
        <v>1179.521874670771</v>
      </c>
      <c r="O80" s="40">
        <f t="shared" si="4"/>
        <v>975.48927723986026</v>
      </c>
      <c r="P80" s="41">
        <f t="shared" si="5"/>
        <v>0.93648953521436828</v>
      </c>
      <c r="Q80" s="41">
        <f t="shared" si="6"/>
        <v>0.43648953521436828</v>
      </c>
      <c r="R80" s="64">
        <f t="shared" si="7"/>
        <v>0</v>
      </c>
      <c r="S80" s="64">
        <f>APPLICANTS_PER_YEAR*($H80/Segments!$AH$2)*Q80</f>
        <v>15.189835825460015</v>
      </c>
      <c r="T80" s="64">
        <f t="shared" si="8"/>
        <v>15.189835825460015</v>
      </c>
      <c r="U80" s="40">
        <f t="shared" si="9"/>
        <v>975.48927723986026</v>
      </c>
      <c r="V80" s="65">
        <f t="shared" si="10"/>
        <v>14817.521970770127</v>
      </c>
      <c r="W80" s="65">
        <f t="shared" si="11"/>
        <v>9769.9901211869401</v>
      </c>
      <c r="X80" s="65">
        <f t="shared" si="12"/>
        <v>4002.6675335982095</v>
      </c>
      <c r="Y80" s="40">
        <f t="shared" si="13"/>
        <v>1003.5039555570562</v>
      </c>
      <c r="Z80" s="40">
        <f t="shared" si="14"/>
        <v>591.50748780615902</v>
      </c>
      <c r="AA80" s="40">
        <f t="shared" si="15"/>
        <v>1003.5039555570562</v>
      </c>
      <c r="AB80" s="40">
        <f t="shared" si="16"/>
        <v>1214.1515711920483</v>
      </c>
      <c r="AC80" s="40">
        <f t="shared" si="17"/>
        <v>1003.5039555570562</v>
      </c>
      <c r="AD80" s="41">
        <f t="shared" si="18"/>
        <v>0.93674683648771273</v>
      </c>
      <c r="AE80" s="41">
        <f t="shared" si="19"/>
        <v>0.43674683648771268</v>
      </c>
      <c r="AF80" s="64">
        <f t="shared" si="20"/>
        <v>0</v>
      </c>
      <c r="AG80" s="64">
        <f>APPLICANTS_PER_YEAR*($H80/Segments!$AH$2)*AE80</f>
        <v>15.198789909772399</v>
      </c>
      <c r="AH80" s="64">
        <f t="shared" si="21"/>
        <v>15.198789909772399</v>
      </c>
      <c r="AI80" s="40">
        <f t="shared" si="22"/>
        <v>1003.5039555570561</v>
      </c>
      <c r="AJ80" s="65">
        <f t="shared" si="23"/>
        <v>15252.045794137275</v>
      </c>
      <c r="AK80" s="65">
        <f t="shared" si="24"/>
        <v>10069.02180168984</v>
      </c>
      <c r="AL80" s="65">
        <f t="shared" si="25"/>
        <v>4100.403803826508</v>
      </c>
      <c r="AM80" s="40">
        <f t="shared" si="26"/>
        <v>1032.3590742237677</v>
      </c>
      <c r="AN80" s="40">
        <f t="shared" si="27"/>
        <v>609.25271244034366</v>
      </c>
      <c r="AO80" s="40">
        <f t="shared" si="28"/>
        <v>1032.3590742237677</v>
      </c>
      <c r="AP80" s="40">
        <f t="shared" si="29"/>
        <v>1249.8196945043273</v>
      </c>
      <c r="AQ80" s="40">
        <f t="shared" si="30"/>
        <v>1032.3590742237677</v>
      </c>
      <c r="AR80" s="41">
        <f t="shared" si="31"/>
        <v>0.93699679691269533</v>
      </c>
      <c r="AS80" s="41">
        <f t="shared" si="32"/>
        <v>0.43699679691269527</v>
      </c>
      <c r="AT80" s="64">
        <f t="shared" si="33"/>
        <v>0</v>
      </c>
      <c r="AU80" s="64">
        <f>APPLICANTS_PER_YEAR*($H80/Segments!$AH$2)*AS80</f>
        <v>15.207488532561793</v>
      </c>
      <c r="AV80" s="64">
        <f t="shared" si="34"/>
        <v>15.207488532561793</v>
      </c>
      <c r="AW80" s="40">
        <f t="shared" si="35"/>
        <v>1032.3590742237677</v>
      </c>
      <c r="AX80" s="65">
        <f t="shared" si="36"/>
        <v>15699.588782744057</v>
      </c>
      <c r="AY80" s="65">
        <f t="shared" si="37"/>
        <v>10377.028074412938</v>
      </c>
      <c r="AZ80" s="65">
        <f t="shared" si="38"/>
        <v>4201.0448712999496</v>
      </c>
    </row>
    <row r="81" spans="1:52" ht="15" customHeight="1" x14ac:dyDescent="0.35">
      <c r="A81" s="61" t="str">
        <f>Segments!$A$61</f>
        <v>Non-greek</v>
      </c>
      <c r="B81" s="61" t="str">
        <f>Segments!$B$61</f>
        <v>Off 0-1mi</v>
      </c>
      <c r="C81" s="61" t="str">
        <f>Segments!$C$61</f>
        <v>Yes</v>
      </c>
      <c r="D81" s="61" t="str">
        <f>Segments!$D$61</f>
        <v>3.0+</v>
      </c>
      <c r="E81" s="61" t="str">
        <f>Segments!$E$61</f>
        <v>Sophomore</v>
      </c>
      <c r="F81" s="61">
        <f>Segments!$F$61</f>
        <v>1</v>
      </c>
      <c r="G81" s="61" t="str">
        <f>Segments!$G$61</f>
        <v>Sophomore</v>
      </c>
      <c r="H81" s="62">
        <f>Segments!$H$61</f>
        <v>22</v>
      </c>
      <c r="I81" s="63">
        <f>Segments!$Y$61</f>
        <v>568.43653811166007</v>
      </c>
      <c r="J81" s="42">
        <v>1</v>
      </c>
      <c r="K81" s="40">
        <f t="shared" si="0"/>
        <v>1426.2297754450396</v>
      </c>
      <c r="L81" s="40">
        <f t="shared" si="1"/>
        <v>568.43653811166007</v>
      </c>
      <c r="M81" s="40">
        <f t="shared" si="2"/>
        <v>965.98879275060426</v>
      </c>
      <c r="N81" s="40">
        <f t="shared" si="3"/>
        <v>1173.7640218404717</v>
      </c>
      <c r="O81" s="40">
        <f t="shared" si="4"/>
        <v>965.98879275060426</v>
      </c>
      <c r="P81" s="41">
        <f t="shared" si="5"/>
        <v>0.93850809243755573</v>
      </c>
      <c r="Q81" s="41">
        <f t="shared" si="6"/>
        <v>0.43850809243755579</v>
      </c>
      <c r="R81" s="64">
        <f t="shared" si="7"/>
        <v>27.216734680689115</v>
      </c>
      <c r="S81" s="64">
        <f>APPLICANTS_PER_YEAR*($H81/Segments!$AH$2)*Q81</f>
        <v>11.576613640351473</v>
      </c>
      <c r="T81" s="64">
        <f t="shared" si="8"/>
        <v>38.79334832104059</v>
      </c>
      <c r="U81" s="40">
        <f t="shared" si="9"/>
        <v>965.98879275060426</v>
      </c>
      <c r="V81" s="65">
        <f t="shared" si="10"/>
        <v>37473.93971139568</v>
      </c>
      <c r="W81" s="65">
        <f t="shared" si="11"/>
        <v>24697.743415936744</v>
      </c>
      <c r="X81" s="65">
        <f t="shared" si="12"/>
        <v>8539.2576790937983</v>
      </c>
      <c r="Y81" s="40">
        <f t="shared" si="13"/>
        <v>975.48927723986026</v>
      </c>
      <c r="Z81" s="40">
        <f t="shared" si="14"/>
        <v>585.48963425500983</v>
      </c>
      <c r="AA81" s="40">
        <f t="shared" si="15"/>
        <v>993.71845653312232</v>
      </c>
      <c r="AB81" s="40">
        <f t="shared" si="16"/>
        <v>1208.2172721205118</v>
      </c>
      <c r="AC81" s="40">
        <f t="shared" si="17"/>
        <v>993.71845653312232</v>
      </c>
      <c r="AD81" s="41">
        <f t="shared" si="18"/>
        <v>0.93316049174111171</v>
      </c>
      <c r="AE81" s="41">
        <f t="shared" si="19"/>
        <v>0.43876665668374693</v>
      </c>
      <c r="AF81" s="64">
        <f t="shared" si="20"/>
        <v>14.174554668353023</v>
      </c>
      <c r="AG81" s="64">
        <f>APPLICANTS_PER_YEAR*($H81/Segments!$AH$2)*AE81</f>
        <v>11.58343973645092</v>
      </c>
      <c r="AH81" s="64">
        <f t="shared" si="21"/>
        <v>25.757994404803945</v>
      </c>
      <c r="AI81" s="40">
        <f t="shared" si="22"/>
        <v>993.71845653312232</v>
      </c>
      <c r="AJ81" s="65">
        <f t="shared" si="23"/>
        <v>25596.194443330576</v>
      </c>
      <c r="AK81" s="65">
        <f t="shared" si="24"/>
        <v>16890.763369996603</v>
      </c>
      <c r="AL81" s="65">
        <f t="shared" si="25"/>
        <v>6045.3003562655967</v>
      </c>
      <c r="AM81" s="40">
        <f t="shared" si="26"/>
        <v>1003.5039555570561</v>
      </c>
      <c r="AN81" s="40">
        <f t="shared" si="27"/>
        <v>603.05432328266011</v>
      </c>
      <c r="AO81" s="40">
        <f t="shared" si="28"/>
        <v>1022.280010229116</v>
      </c>
      <c r="AP81" s="40">
        <f t="shared" si="29"/>
        <v>1243.7036489322425</v>
      </c>
      <c r="AQ81" s="40">
        <f t="shared" si="30"/>
        <v>1022.280010229116</v>
      </c>
      <c r="AR81" s="41">
        <f t="shared" si="31"/>
        <v>0.93340469738697729</v>
      </c>
      <c r="AS81" s="41">
        <f t="shared" si="32"/>
        <v>0.43901784556683793</v>
      </c>
      <c r="AT81" s="64">
        <f t="shared" si="33"/>
        <v>14.18662189637935</v>
      </c>
      <c r="AU81" s="64">
        <f>APPLICANTS_PER_YEAR*($H81/Segments!$AH$2)*AS81</f>
        <v>11.590071122964522</v>
      </c>
      <c r="AV81" s="64">
        <f t="shared" si="34"/>
        <v>25.776693019343874</v>
      </c>
      <c r="AW81" s="40">
        <f t="shared" si="35"/>
        <v>1022.2800102291159</v>
      </c>
      <c r="AX81" s="65">
        <f t="shared" si="36"/>
        <v>26350.998003487635</v>
      </c>
      <c r="AY81" s="65">
        <f t="shared" si="37"/>
        <v>17410.115705074724</v>
      </c>
      <c r="AZ81" s="65">
        <f t="shared" si="38"/>
        <v>6200.3146920350664</v>
      </c>
    </row>
    <row r="82" spans="1:52" ht="15" customHeight="1" x14ac:dyDescent="0.35">
      <c r="A82" s="61" t="str">
        <f>Segments!$A$62</f>
        <v>Non-greek</v>
      </c>
      <c r="B82" s="61" t="str">
        <f>Segments!$B$62</f>
        <v>Off 0-1mi</v>
      </c>
      <c r="C82" s="61" t="str">
        <f>Segments!$C$62</f>
        <v>Yes</v>
      </c>
      <c r="D82" s="61" t="str">
        <f>Segments!$D$62</f>
        <v>3.0+</v>
      </c>
      <c r="E82" s="61" t="str">
        <f>Segments!$E$62</f>
        <v>Junior</v>
      </c>
      <c r="F82" s="61">
        <f>Segments!$F$62</f>
        <v>2</v>
      </c>
      <c r="G82" s="61" t="str">
        <f>Segments!$G$62</f>
        <v>Base</v>
      </c>
      <c r="H82" s="62">
        <f>Segments!$H$62</f>
        <v>28</v>
      </c>
      <c r="I82" s="63">
        <f>Segments!$Y$62</f>
        <v>679.52360321672438</v>
      </c>
      <c r="J82" s="42">
        <v>2</v>
      </c>
      <c r="K82" s="40">
        <f t="shared" si="0"/>
        <v>1426.2297754450396</v>
      </c>
      <c r="L82" s="40">
        <f t="shared" si="1"/>
        <v>679.52360321672438</v>
      </c>
      <c r="M82" s="40">
        <f t="shared" si="2"/>
        <v>1146.6250209203142</v>
      </c>
      <c r="N82" s="40">
        <f t="shared" si="3"/>
        <v>1278.8083304807033</v>
      </c>
      <c r="O82" s="40">
        <f t="shared" si="4"/>
        <v>1146.6250209203142</v>
      </c>
      <c r="P82" s="41">
        <f t="shared" si="5"/>
        <v>0.90168222102162154</v>
      </c>
      <c r="Q82" s="41">
        <f t="shared" si="6"/>
        <v>0.40168222102162149</v>
      </c>
      <c r="R82" s="64">
        <f t="shared" si="7"/>
        <v>19.837008862475674</v>
      </c>
      <c r="S82" s="64">
        <f>APPLICANTS_PER_YEAR*($H82/Segments!$AH$2)*Q82</f>
        <v>13.496522626326483</v>
      </c>
      <c r="T82" s="64">
        <f t="shared" si="8"/>
        <v>33.333531488802159</v>
      </c>
      <c r="U82" s="40">
        <f t="shared" si="9"/>
        <v>1146.6250209203142</v>
      </c>
      <c r="V82" s="65">
        <f t="shared" si="10"/>
        <v>38221.06124069573</v>
      </c>
      <c r="W82" s="65">
        <f t="shared" si="11"/>
        <v>25369.031996234065</v>
      </c>
      <c r="X82" s="65">
        <f t="shared" si="12"/>
        <v>8769.5050387824067</v>
      </c>
      <c r="Y82" s="40">
        <f t="shared" si="13"/>
        <v>965.98879275060426</v>
      </c>
      <c r="Z82" s="40">
        <f t="shared" si="14"/>
        <v>699.90931131322611</v>
      </c>
      <c r="AA82" s="40">
        <f t="shared" si="15"/>
        <v>1179.7737715479238</v>
      </c>
      <c r="AB82" s="40">
        <f t="shared" si="16"/>
        <v>1316.4753456517387</v>
      </c>
      <c r="AC82" s="40">
        <f t="shared" si="17"/>
        <v>1179.7737715479238</v>
      </c>
      <c r="AD82" s="41">
        <f t="shared" si="18"/>
        <v>0.83552591360544681</v>
      </c>
      <c r="AE82" s="41">
        <f t="shared" si="19"/>
        <v>0.40191953444298606</v>
      </c>
      <c r="AF82" s="64">
        <f t="shared" si="20"/>
        <v>32.412847797751766</v>
      </c>
      <c r="AG82" s="64">
        <f>APPLICANTS_PER_YEAR*($H82/Segments!$AH$2)*AE82</f>
        <v>13.504496357284332</v>
      </c>
      <c r="AH82" s="64">
        <f t="shared" si="21"/>
        <v>45.917344155036098</v>
      </c>
      <c r="AI82" s="40">
        <f t="shared" si="22"/>
        <v>1179.7737715479238</v>
      </c>
      <c r="AJ82" s="65">
        <f t="shared" si="23"/>
        <v>54172.078293250954</v>
      </c>
      <c r="AK82" s="65">
        <f t="shared" si="24"/>
        <v>35994.533931869752</v>
      </c>
      <c r="AL82" s="65">
        <f t="shared" si="25"/>
        <v>12052.110860467357</v>
      </c>
      <c r="AM82" s="40">
        <f t="shared" si="26"/>
        <v>993.71845653312232</v>
      </c>
      <c r="AN82" s="40">
        <f t="shared" si="27"/>
        <v>720.90659065262287</v>
      </c>
      <c r="AO82" s="40">
        <f t="shared" si="28"/>
        <v>1213.9169846943614</v>
      </c>
      <c r="AP82" s="40">
        <f t="shared" si="29"/>
        <v>1355.2720071972906</v>
      </c>
      <c r="AQ82" s="40">
        <f t="shared" si="30"/>
        <v>1213.9169846943614</v>
      </c>
      <c r="AR82" s="41">
        <f t="shared" si="31"/>
        <v>0.83567291865648685</v>
      </c>
      <c r="AS82" s="41">
        <f t="shared" si="32"/>
        <v>0.40215005613347388</v>
      </c>
      <c r="AT82" s="64">
        <f t="shared" si="33"/>
        <v>21.525258362999971</v>
      </c>
      <c r="AU82" s="64">
        <f>APPLICANTS_PER_YEAR*($H82/Segments!$AH$2)*AS82</f>
        <v>13.512241886084723</v>
      </c>
      <c r="AV82" s="64">
        <f t="shared" si="34"/>
        <v>35.037500249084694</v>
      </c>
      <c r="AW82" s="40">
        <f t="shared" si="35"/>
        <v>1213.9169846943614</v>
      </c>
      <c r="AX82" s="65">
        <f t="shared" si="36"/>
        <v>42532.61665359683</v>
      </c>
      <c r="AY82" s="65">
        <f t="shared" si="37"/>
        <v>28289.816631505044</v>
      </c>
      <c r="AZ82" s="65">
        <f t="shared" si="38"/>
        <v>9651.3164971022015</v>
      </c>
    </row>
    <row r="83" spans="1:52" ht="15" customHeight="1" x14ac:dyDescent="0.35">
      <c r="A83" s="61" t="str">
        <f>Segments!$A$63</f>
        <v>Non-greek</v>
      </c>
      <c r="B83" s="61" t="str">
        <f>Segments!$B$63</f>
        <v>Off 0-1mi</v>
      </c>
      <c r="C83" s="61" t="str">
        <f>Segments!$C$63</f>
        <v>Yes</v>
      </c>
      <c r="D83" s="61" t="str">
        <f>Segments!$D$63</f>
        <v>3.0+</v>
      </c>
      <c r="E83" s="61" t="str">
        <f>Segments!$E$63</f>
        <v>Senior</v>
      </c>
      <c r="F83" s="61">
        <f>Segments!$F$63</f>
        <v>3</v>
      </c>
      <c r="G83" s="61" t="str">
        <f>Segments!$G$63</f>
        <v>Base</v>
      </c>
      <c r="H83" s="62">
        <f>Segments!$H$63</f>
        <v>24</v>
      </c>
      <c r="I83" s="63">
        <f>Segments!$Y$63</f>
        <v>635.1421882886267</v>
      </c>
      <c r="J83" s="42">
        <v>3</v>
      </c>
      <c r="K83" s="40">
        <f t="shared" si="0"/>
        <v>1426.2297754450396</v>
      </c>
      <c r="L83" s="40">
        <f t="shared" si="1"/>
        <v>635.1421882886267</v>
      </c>
      <c r="M83" s="40">
        <f t="shared" si="2"/>
        <v>1074.4573802875891</v>
      </c>
      <c r="N83" s="40">
        <f t="shared" si="3"/>
        <v>1237.9107836241003</v>
      </c>
      <c r="O83" s="40">
        <f t="shared" si="4"/>
        <v>1074.4573802875891</v>
      </c>
      <c r="P83" s="41">
        <f t="shared" si="5"/>
        <v>0.91601986407210456</v>
      </c>
      <c r="Q83" s="41">
        <f t="shared" si="6"/>
        <v>0.41601986407210456</v>
      </c>
      <c r="R83" s="64">
        <f t="shared" si="7"/>
        <v>25.648556194018926</v>
      </c>
      <c r="S83" s="64">
        <f>APPLICANTS_PER_YEAR*($H83/Segments!$AH$2)*Q83</f>
        <v>11.981372085276611</v>
      </c>
      <c r="T83" s="64">
        <f t="shared" si="8"/>
        <v>37.629928279295541</v>
      </c>
      <c r="U83" s="40">
        <f t="shared" si="9"/>
        <v>1074.4573802875889</v>
      </c>
      <c r="V83" s="65">
        <f t="shared" si="10"/>
        <v>40431.754159381744</v>
      </c>
      <c r="W83" s="65">
        <f t="shared" si="11"/>
        <v>26768.397591550551</v>
      </c>
      <c r="X83" s="65">
        <f t="shared" si="12"/>
        <v>9144.3059820458766</v>
      </c>
      <c r="Y83" s="40">
        <f t="shared" si="13"/>
        <v>1146.6250209203142</v>
      </c>
      <c r="Z83" s="40">
        <f t="shared" si="14"/>
        <v>654.19645393728547</v>
      </c>
      <c r="AA83" s="40">
        <f t="shared" si="15"/>
        <v>1105.4411016962167</v>
      </c>
      <c r="AB83" s="40">
        <f t="shared" si="16"/>
        <v>1274.3278246460404</v>
      </c>
      <c r="AC83" s="40">
        <f t="shared" si="17"/>
        <v>1105.4411016962167</v>
      </c>
      <c r="AD83" s="41">
        <f t="shared" si="18"/>
        <v>0.9162650221094929</v>
      </c>
      <c r="AE83" s="41">
        <f t="shared" si="19"/>
        <v>0.4162650221094929</v>
      </c>
      <c r="AF83" s="64">
        <f t="shared" si="20"/>
        <v>30.542348966574789</v>
      </c>
      <c r="AG83" s="64">
        <f>APPLICANTS_PER_YEAR*($H83/Segments!$AH$2)*AE83</f>
        <v>11.988432636753394</v>
      </c>
      <c r="AH83" s="64">
        <f t="shared" si="21"/>
        <v>42.53078160332818</v>
      </c>
      <c r="AI83" s="40">
        <f t="shared" si="22"/>
        <v>1105.4411016962167</v>
      </c>
      <c r="AJ83" s="65">
        <f t="shared" si="23"/>
        <v>47015.274071584288</v>
      </c>
      <c r="AK83" s="65">
        <f t="shared" si="24"/>
        <v>31162.304889047849</v>
      </c>
      <c r="AL83" s="65">
        <f t="shared" si="25"/>
        <v>10500.050963870255</v>
      </c>
      <c r="AM83" s="40">
        <f t="shared" si="26"/>
        <v>1179.7737715479238</v>
      </c>
      <c r="AN83" s="40">
        <f t="shared" si="27"/>
        <v>673.82234755540401</v>
      </c>
      <c r="AO83" s="40">
        <f t="shared" si="28"/>
        <v>1137.3543347471032</v>
      </c>
      <c r="AP83" s="40">
        <f t="shared" si="29"/>
        <v>1311.8369754852829</v>
      </c>
      <c r="AQ83" s="40">
        <f t="shared" si="30"/>
        <v>1137.3543347471032</v>
      </c>
      <c r="AR83" s="41">
        <f t="shared" si="31"/>
        <v>0.91650317226865563</v>
      </c>
      <c r="AS83" s="41">
        <f t="shared" si="32"/>
        <v>0.41650317226865557</v>
      </c>
      <c r="AT83" s="64">
        <f t="shared" si="33"/>
        <v>42.0833915802422</v>
      </c>
      <c r="AU83" s="64">
        <f>APPLICANTS_PER_YEAR*($H83/Segments!$AH$2)*AS83</f>
        <v>11.99529136133728</v>
      </c>
      <c r="AV83" s="64">
        <f t="shared" si="34"/>
        <v>54.07868294157948</v>
      </c>
      <c r="AW83" s="40">
        <f t="shared" si="35"/>
        <v>1137.3543347471032</v>
      </c>
      <c r="AX83" s="65">
        <f t="shared" si="36"/>
        <v>61506.624461019645</v>
      </c>
      <c r="AY83" s="65">
        <f t="shared" si="37"/>
        <v>40812.15610348741</v>
      </c>
      <c r="AZ83" s="65">
        <f t="shared" si="38"/>
        <v>13483.709347920736</v>
      </c>
    </row>
    <row r="84" spans="1:52" ht="15" customHeight="1" x14ac:dyDescent="0.35">
      <c r="A84" s="61" t="str">
        <f>Segments!$A$64</f>
        <v>Non-greek</v>
      </c>
      <c r="B84" s="61" t="str">
        <f>Segments!$B$64</f>
        <v>Off 0-1mi</v>
      </c>
      <c r="C84" s="61" t="str">
        <f>Segments!$C$64</f>
        <v>Yes</v>
      </c>
      <c r="D84" s="61" t="str">
        <f>Segments!$D$64</f>
        <v>3.0+</v>
      </c>
      <c r="E84" s="61" t="str">
        <f>Segments!$E$64</f>
        <v>Grad student</v>
      </c>
      <c r="F84" s="61">
        <f>Segments!$F$64</f>
        <v>3</v>
      </c>
      <c r="G84" s="61" t="str">
        <f>Segments!$G$64</f>
        <v>Grad</v>
      </c>
      <c r="H84" s="62">
        <f>Segments!$H$64</f>
        <v>13</v>
      </c>
      <c r="I84" s="63">
        <f>Segments!$Y$64</f>
        <v>756.25137194211277</v>
      </c>
      <c r="J84" s="42">
        <v>4</v>
      </c>
      <c r="K84" s="40">
        <f t="shared" si="0"/>
        <v>1426.2297754450396</v>
      </c>
      <c r="L84" s="40">
        <f t="shared" si="1"/>
        <v>756.25137194211277</v>
      </c>
      <c r="M84" s="40">
        <f t="shared" si="2"/>
        <v>1271.3903545379017</v>
      </c>
      <c r="N84" s="40">
        <f t="shared" si="3"/>
        <v>1346.5863432604615</v>
      </c>
      <c r="O84" s="40">
        <f t="shared" si="4"/>
        <v>1271.3903545379017</v>
      </c>
      <c r="P84" s="41">
        <f t="shared" si="5"/>
        <v>0.87792096812020581</v>
      </c>
      <c r="Q84" s="41">
        <f t="shared" si="6"/>
        <v>0.37792096812020581</v>
      </c>
      <c r="R84" s="64">
        <f t="shared" si="7"/>
        <v>5.7064862927813378</v>
      </c>
      <c r="S84" s="64">
        <f>APPLICANTS_PER_YEAR*($H84/Segments!$AH$2)*Q84</f>
        <v>5.8955671026752103</v>
      </c>
      <c r="T84" s="64">
        <f t="shared" si="8"/>
        <v>11.602053395456547</v>
      </c>
      <c r="U84" s="40">
        <f t="shared" si="9"/>
        <v>1271.3903545379017</v>
      </c>
      <c r="V84" s="65">
        <f t="shared" si="10"/>
        <v>14750.738779817166</v>
      </c>
      <c r="W84" s="65">
        <f t="shared" si="11"/>
        <v>9826.9570533788228</v>
      </c>
      <c r="X84" s="65">
        <f t="shared" si="12"/>
        <v>3429.6647250719839</v>
      </c>
      <c r="Y84" s="40">
        <f t="shared" si="13"/>
        <v>1271.3903545379017</v>
      </c>
      <c r="Z84" s="40">
        <f t="shared" si="14"/>
        <v>778.93891310037623</v>
      </c>
      <c r="AA84" s="40">
        <f t="shared" si="15"/>
        <v>1308.2820651740387</v>
      </c>
      <c r="AB84" s="40">
        <f t="shared" si="16"/>
        <v>1386.3218100833947</v>
      </c>
      <c r="AC84" s="40">
        <f t="shared" si="17"/>
        <v>1308.2820651740387</v>
      </c>
      <c r="AD84" s="41">
        <f t="shared" si="18"/>
        <v>0.86944128362506456</v>
      </c>
      <c r="AE84" s="41">
        <f t="shared" si="19"/>
        <v>0.37814633093908456</v>
      </c>
      <c r="AF84" s="64">
        <f t="shared" si="20"/>
        <v>5.0436520984161399</v>
      </c>
      <c r="AG84" s="64">
        <f>APPLICANTS_PER_YEAR*($H84/Segments!$AH$2)*AE84</f>
        <v>5.8990827626497193</v>
      </c>
      <c r="AH84" s="64">
        <f t="shared" si="21"/>
        <v>10.942734861065858</v>
      </c>
      <c r="AI84" s="40">
        <f t="shared" si="22"/>
        <v>1308.2820651740387</v>
      </c>
      <c r="AJ84" s="65">
        <f t="shared" si="23"/>
        <v>14316.183762687189</v>
      </c>
      <c r="AK84" s="65">
        <f t="shared" si="24"/>
        <v>9546.5686389071452</v>
      </c>
      <c r="AL84" s="65">
        <f t="shared" si="25"/>
        <v>3342.208743712757</v>
      </c>
      <c r="AM84" s="40">
        <f t="shared" si="26"/>
        <v>1308.2820651740387</v>
      </c>
      <c r="AN84" s="40">
        <f t="shared" si="27"/>
        <v>802.30708049338739</v>
      </c>
      <c r="AO84" s="40">
        <f t="shared" si="28"/>
        <v>1346.2805271292598</v>
      </c>
      <c r="AP84" s="40">
        <f t="shared" si="29"/>
        <v>1427.2490291339188</v>
      </c>
      <c r="AQ84" s="40">
        <f t="shared" si="30"/>
        <v>1346.2805271292598</v>
      </c>
      <c r="AR84" s="41">
        <f t="shared" si="31"/>
        <v>0.86965186825505425</v>
      </c>
      <c r="AS84" s="41">
        <f t="shared" si="32"/>
        <v>0.37836523281917811</v>
      </c>
      <c r="AT84" s="64">
        <f t="shared" si="33"/>
        <v>4.7581849078728178</v>
      </c>
      <c r="AU84" s="64">
        <f>APPLICANTS_PER_YEAR*($H84/Segments!$AH$2)*AS84</f>
        <v>5.9024976319791786</v>
      </c>
      <c r="AV84" s="64">
        <f t="shared" si="34"/>
        <v>10.660682539851997</v>
      </c>
      <c r="AW84" s="40">
        <f t="shared" si="35"/>
        <v>1346.2805271292598</v>
      </c>
      <c r="AX84" s="65">
        <f t="shared" si="36"/>
        <v>14352.269309309642</v>
      </c>
      <c r="AY84" s="65">
        <f t="shared" si="37"/>
        <v>9579.5180147693463</v>
      </c>
      <c r="AZ84" s="65">
        <f t="shared" si="38"/>
        <v>3351.4796078736467</v>
      </c>
    </row>
    <row r="85" spans="1:52" ht="15" customHeight="1" x14ac:dyDescent="0.35">
      <c r="A85" s="59" t="str">
        <f>Segments!$A$65</f>
        <v>Non-greek</v>
      </c>
      <c r="B85" s="59" t="str">
        <f>Segments!$B$65</f>
        <v>Off 0-1mi</v>
      </c>
      <c r="C85" s="59" t="str">
        <f>Segments!$C$65</f>
        <v>No</v>
      </c>
      <c r="D85" s="59" t="str">
        <f>Segments!$D$65</f>
        <v>&lt;1.0</v>
      </c>
      <c r="E85" s="59" t="str">
        <f>Segments!$E$65</f>
        <v>Freshman</v>
      </c>
      <c r="F85" s="59">
        <f>Segments!$F$65</f>
        <v>1</v>
      </c>
      <c r="G85" s="59" t="str">
        <f>Segments!$G$65</f>
        <v>Base</v>
      </c>
      <c r="H85" s="60">
        <f>Segments!$H$65</f>
        <v>6</v>
      </c>
      <c r="I85" s="26">
        <f>Segments!$Y$65</f>
        <v>1131.5361982757852</v>
      </c>
      <c r="J85" s="29">
        <v>0</v>
      </c>
      <c r="K85" s="14">
        <f t="shared" si="0"/>
        <v>1881.6327392307057</v>
      </c>
      <c r="L85" s="14">
        <f t="shared" si="1"/>
        <v>1131.5361982757852</v>
      </c>
      <c r="M85" s="14">
        <f t="shared" si="2"/>
        <v>1881.6327392307057</v>
      </c>
      <c r="N85" s="14">
        <f t="shared" si="3"/>
        <v>1638.1821141567395</v>
      </c>
      <c r="O85" s="14">
        <f t="shared" si="4"/>
        <v>1881.6327392307057</v>
      </c>
      <c r="P85" s="33">
        <f t="shared" si="5"/>
        <v>0.77569488368535777</v>
      </c>
      <c r="Q85" s="33">
        <f t="shared" si="6"/>
        <v>0.27569488368535777</v>
      </c>
      <c r="R85" s="51">
        <f t="shared" si="7"/>
        <v>0</v>
      </c>
      <c r="S85" s="51">
        <f>APPLICANTS_PER_YEAR*($H85/Segments!$AH$2)*Q85</f>
        <v>1.9850031625345759</v>
      </c>
      <c r="T85" s="51">
        <f t="shared" si="8"/>
        <v>1.9850031625345759</v>
      </c>
      <c r="U85" s="14">
        <f t="shared" si="9"/>
        <v>1881.6327392307057</v>
      </c>
      <c r="V85" s="44">
        <f t="shared" si="10"/>
        <v>3735.0469381015478</v>
      </c>
      <c r="W85" s="44">
        <f t="shared" si="11"/>
        <v>2515.635283951759</v>
      </c>
      <c r="X85" s="44">
        <f t="shared" si="12"/>
        <v>925.97565644880262</v>
      </c>
      <c r="Y85" s="14">
        <f t="shared" si="13"/>
        <v>1936.8317214076269</v>
      </c>
      <c r="Z85" s="14">
        <f t="shared" si="14"/>
        <v>1165.4822842240587</v>
      </c>
      <c r="AA85" s="14">
        <f t="shared" si="15"/>
        <v>1936.8317214076269</v>
      </c>
      <c r="AB85" s="14">
        <f t="shared" si="16"/>
        <v>1686.7833539702037</v>
      </c>
      <c r="AC85" s="14">
        <f t="shared" si="17"/>
        <v>1936.8317214076269</v>
      </c>
      <c r="AD85" s="33">
        <f t="shared" si="18"/>
        <v>0.77588011766630216</v>
      </c>
      <c r="AE85" s="33">
        <f t="shared" si="19"/>
        <v>0.27588011766630216</v>
      </c>
      <c r="AF85" s="51">
        <f t="shared" si="20"/>
        <v>0</v>
      </c>
      <c r="AG85" s="51">
        <f>APPLICANTS_PER_YEAR*($H85/Segments!$AH$2)*AE85</f>
        <v>1.9863368471973755</v>
      </c>
      <c r="AH85" s="51">
        <f t="shared" si="21"/>
        <v>1.9863368471973755</v>
      </c>
      <c r="AI85" s="14">
        <f t="shared" si="22"/>
        <v>1936.8317214076269</v>
      </c>
      <c r="AJ85" s="44">
        <f t="shared" si="23"/>
        <v>3847.200215052691</v>
      </c>
      <c r="AK85" s="44">
        <f t="shared" si="24"/>
        <v>2592.8452546192143</v>
      </c>
      <c r="AL85" s="44">
        <f t="shared" si="25"/>
        <v>951.15800629568469</v>
      </c>
      <c r="AM85" s="14">
        <f t="shared" si="26"/>
        <v>1993.6866730498555</v>
      </c>
      <c r="AN85" s="14">
        <f t="shared" si="27"/>
        <v>1200.4467527507804</v>
      </c>
      <c r="AO85" s="14">
        <f t="shared" si="28"/>
        <v>1993.6866730498555</v>
      </c>
      <c r="AP85" s="14">
        <f t="shared" si="29"/>
        <v>1736.8424578927054</v>
      </c>
      <c r="AQ85" s="14">
        <f t="shared" si="30"/>
        <v>1993.6866730498555</v>
      </c>
      <c r="AR85" s="33">
        <f t="shared" si="31"/>
        <v>0.77606001367885236</v>
      </c>
      <c r="AS85" s="33">
        <f t="shared" si="32"/>
        <v>0.27606001367885236</v>
      </c>
      <c r="AT85" s="51">
        <f t="shared" si="33"/>
        <v>0</v>
      </c>
      <c r="AU85" s="51">
        <f>APPLICANTS_PER_YEAR*($H85/Segments!$AH$2)*AS85</f>
        <v>1.9876320984877367</v>
      </c>
      <c r="AV85" s="51">
        <f t="shared" si="34"/>
        <v>1.9876320984877367</v>
      </c>
      <c r="AW85" s="14">
        <f t="shared" si="35"/>
        <v>1993.6866730498555</v>
      </c>
      <c r="AX85" s="44">
        <f t="shared" si="36"/>
        <v>3962.7156256811186</v>
      </c>
      <c r="AY85" s="44">
        <f t="shared" si="37"/>
        <v>2672.3720780879621</v>
      </c>
      <c r="AZ85" s="44">
        <f t="shared" si="38"/>
        <v>977.09174458451866</v>
      </c>
    </row>
    <row r="86" spans="1:52" ht="15" customHeight="1" x14ac:dyDescent="0.35">
      <c r="A86" s="59" t="str">
        <f>Segments!$A$66</f>
        <v>Non-greek</v>
      </c>
      <c r="B86" s="59" t="str">
        <f>Segments!$B$66</f>
        <v>Off 0-1mi</v>
      </c>
      <c r="C86" s="59" t="str">
        <f>Segments!$C$66</f>
        <v>No</v>
      </c>
      <c r="D86" s="59" t="str">
        <f>Segments!$D$66</f>
        <v>&lt;1.0</v>
      </c>
      <c r="E86" s="59" t="str">
        <f>Segments!$E$66</f>
        <v>Sophomore</v>
      </c>
      <c r="F86" s="59">
        <f>Segments!$F$66</f>
        <v>1</v>
      </c>
      <c r="G86" s="59" t="str">
        <f>Segments!$G$66</f>
        <v>Sophomore</v>
      </c>
      <c r="H86" s="60">
        <f>Segments!$H$66</f>
        <v>7</v>
      </c>
      <c r="I86" s="26">
        <f>Segments!$Y$66</f>
        <v>1120.0242237540374</v>
      </c>
      <c r="J86" s="29">
        <v>1</v>
      </c>
      <c r="K86" s="14">
        <f t="shared" si="0"/>
        <v>1426.2297754450396</v>
      </c>
      <c r="L86" s="14">
        <f t="shared" si="1"/>
        <v>1120.0242237540374</v>
      </c>
      <c r="M86" s="14">
        <f t="shared" si="2"/>
        <v>1862.9133711888226</v>
      </c>
      <c r="N86" s="14">
        <f t="shared" si="3"/>
        <v>1630.013042605548</v>
      </c>
      <c r="O86" s="14">
        <f t="shared" si="4"/>
        <v>1782.7872193062994</v>
      </c>
      <c r="P86" s="33">
        <f t="shared" si="5"/>
        <v>0.72813713059113183</v>
      </c>
      <c r="Q86" s="33">
        <f t="shared" si="6"/>
        <v>0.2785587530603475</v>
      </c>
      <c r="R86" s="51">
        <f t="shared" si="7"/>
        <v>4.3688227835467908</v>
      </c>
      <c r="S86" s="51">
        <f>APPLICANTS_PER_YEAR*($H86/Segments!$AH$2)*Q86</f>
        <v>2.3398935257069189</v>
      </c>
      <c r="T86" s="51">
        <f t="shared" si="8"/>
        <v>6.7087163092537097</v>
      </c>
      <c r="U86" s="14">
        <f t="shared" si="9"/>
        <v>1810.7339464277184</v>
      </c>
      <c r="V86" s="44">
        <f t="shared" si="10"/>
        <v>12147.700358118967</v>
      </c>
      <c r="W86" s="44">
        <f t="shared" si="11"/>
        <v>8415.5957498568896</v>
      </c>
      <c r="X86" s="44">
        <f t="shared" si="12"/>
        <v>2641.1526947791472</v>
      </c>
      <c r="Y86" s="14">
        <f t="shared" si="13"/>
        <v>1881.6327392307057</v>
      </c>
      <c r="Z86" s="14">
        <f t="shared" si="14"/>
        <v>1153.6249504666584</v>
      </c>
      <c r="AA86" s="14">
        <f t="shared" si="15"/>
        <v>1917.5507723244871</v>
      </c>
      <c r="AB86" s="14">
        <f t="shared" si="16"/>
        <v>1678.3664819220264</v>
      </c>
      <c r="AC86" s="14">
        <f t="shared" si="17"/>
        <v>1917.5507723244871</v>
      </c>
      <c r="AD86" s="33">
        <f t="shared" si="18"/>
        <v>0.77301828809909934</v>
      </c>
      <c r="AE86" s="33">
        <f t="shared" si="19"/>
        <v>0.27874491567284143</v>
      </c>
      <c r="AF86" s="51">
        <f t="shared" si="20"/>
        <v>1.5344437465737761</v>
      </c>
      <c r="AG86" s="51">
        <f>APPLICANTS_PER_YEAR*($H86/Segments!$AH$2)*AE86</f>
        <v>2.3414572916518681</v>
      </c>
      <c r="AH86" s="51">
        <f t="shared" si="21"/>
        <v>3.8759010382256442</v>
      </c>
      <c r="AI86" s="14">
        <f t="shared" si="22"/>
        <v>1917.5507723244871</v>
      </c>
      <c r="AJ86" s="44">
        <f t="shared" si="23"/>
        <v>7432.2370293028653</v>
      </c>
      <c r="AK86" s="44">
        <f t="shared" si="24"/>
        <v>5007.8964804251373</v>
      </c>
      <c r="AL86" s="44">
        <f t="shared" si="25"/>
        <v>1697.8924649230655</v>
      </c>
      <c r="AM86" s="14">
        <f t="shared" si="26"/>
        <v>1936.8317214076269</v>
      </c>
      <c r="AN86" s="14">
        <f t="shared" si="27"/>
        <v>1188.2336989806581</v>
      </c>
      <c r="AO86" s="14">
        <f t="shared" si="28"/>
        <v>1973.8272954942217</v>
      </c>
      <c r="AP86" s="14">
        <f t="shared" si="29"/>
        <v>1728.1703487155405</v>
      </c>
      <c r="AQ86" s="14">
        <f t="shared" si="30"/>
        <v>1973.8272954942217</v>
      </c>
      <c r="AR86" s="33">
        <f t="shared" si="31"/>
        <v>0.77319539068728882</v>
      </c>
      <c r="AS86" s="33">
        <f t="shared" si="32"/>
        <v>0.27892571413423872</v>
      </c>
      <c r="AT86" s="51">
        <f t="shared" si="33"/>
        <v>1.5358264946053322</v>
      </c>
      <c r="AU86" s="51">
        <f>APPLICANTS_PER_YEAR*($H86/Segments!$AH$2)*AS86</f>
        <v>2.3429759987276055</v>
      </c>
      <c r="AV86" s="51">
        <f t="shared" si="34"/>
        <v>3.8788024933329375</v>
      </c>
      <c r="AW86" s="14">
        <f t="shared" si="35"/>
        <v>1973.827295494222</v>
      </c>
      <c r="AX86" s="44">
        <f t="shared" si="36"/>
        <v>7656.0862351715969</v>
      </c>
      <c r="AY86" s="44">
        <f t="shared" si="37"/>
        <v>5161.9946943806035</v>
      </c>
      <c r="AZ86" s="44">
        <f t="shared" si="38"/>
        <v>1745.0127975464541</v>
      </c>
    </row>
    <row r="87" spans="1:52" ht="15" customHeight="1" x14ac:dyDescent="0.35">
      <c r="A87" s="59" t="str">
        <f>Segments!$A$67</f>
        <v>Non-greek</v>
      </c>
      <c r="B87" s="59" t="str">
        <f>Segments!$B$67</f>
        <v>Off 0-1mi</v>
      </c>
      <c r="C87" s="59" t="str">
        <f>Segments!$C$67</f>
        <v>No</v>
      </c>
      <c r="D87" s="59" t="str">
        <f>Segments!$D$67</f>
        <v>&lt;1.0</v>
      </c>
      <c r="E87" s="59" t="str">
        <f>Segments!$E$67</f>
        <v>Junior</v>
      </c>
      <c r="F87" s="59">
        <f>Segments!$F$67</f>
        <v>2</v>
      </c>
      <c r="G87" s="59" t="str">
        <f>Segments!$G$67</f>
        <v>Base</v>
      </c>
      <c r="H87" s="60">
        <f>Segments!$H$67</f>
        <v>5</v>
      </c>
      <c r="I87" s="26">
        <f>Segments!$Y$67</f>
        <v>1338.9056564584453</v>
      </c>
      <c r="J87" s="29">
        <v>2</v>
      </c>
      <c r="K87" s="14">
        <f t="shared" si="0"/>
        <v>1426.2297754450396</v>
      </c>
      <c r="L87" s="14">
        <f t="shared" si="1"/>
        <v>1338.9056564584453</v>
      </c>
      <c r="M87" s="14">
        <f t="shared" si="2"/>
        <v>2218.8316446863905</v>
      </c>
      <c r="N87" s="14">
        <f t="shared" si="3"/>
        <v>1778.922077650232</v>
      </c>
      <c r="O87" s="14">
        <f t="shared" si="4"/>
        <v>1782.7872193062994</v>
      </c>
      <c r="P87" s="33">
        <f t="shared" si="5"/>
        <v>0.77391362817274922</v>
      </c>
      <c r="Q87" s="33">
        <f t="shared" si="6"/>
        <v>0.22635502067149771</v>
      </c>
      <c r="R87" s="51">
        <f t="shared" si="7"/>
        <v>5.4173953972092441</v>
      </c>
      <c r="S87" s="51">
        <f>APPLICANTS_PER_YEAR*($H87/Segments!$AH$2)*Q87</f>
        <v>1.3581301240289863</v>
      </c>
      <c r="T87" s="51">
        <f t="shared" si="8"/>
        <v>6.7755255212382304</v>
      </c>
      <c r="U87" s="14">
        <f t="shared" si="9"/>
        <v>1870.1907819771673</v>
      </c>
      <c r="V87" s="44">
        <f t="shared" si="10"/>
        <v>12671.525372870779</v>
      </c>
      <c r="W87" s="44">
        <f t="shared" si="11"/>
        <v>10160.404179368154</v>
      </c>
      <c r="X87" s="44">
        <f t="shared" si="12"/>
        <v>2669.8532323859745</v>
      </c>
      <c r="Y87" s="14">
        <f t="shared" si="13"/>
        <v>1810.7339464277184</v>
      </c>
      <c r="Z87" s="14">
        <f t="shared" si="14"/>
        <v>1379.0728261521986</v>
      </c>
      <c r="AA87" s="14">
        <f t="shared" si="15"/>
        <v>2284.1465940269823</v>
      </c>
      <c r="AB87" s="14">
        <f t="shared" si="16"/>
        <v>1831.7885850717421</v>
      </c>
      <c r="AC87" s="14">
        <f t="shared" si="17"/>
        <v>2263.4174330346477</v>
      </c>
      <c r="AD87" s="33">
        <f t="shared" si="18"/>
        <v>0.65718377069262046</v>
      </c>
      <c r="AE87" s="33">
        <f t="shared" si="19"/>
        <v>0.22652559562774988</v>
      </c>
      <c r="AF87" s="51">
        <f t="shared" si="20"/>
        <v>4.408859480622433</v>
      </c>
      <c r="AG87" s="51">
        <f>APPLICANTS_PER_YEAR*($H87/Segments!$AH$2)*AE87</f>
        <v>1.3591535737664993</v>
      </c>
      <c r="AH87" s="51">
        <f t="shared" si="21"/>
        <v>5.7680130543889323</v>
      </c>
      <c r="AI87" s="14">
        <f t="shared" si="22"/>
        <v>2268.3019769804137</v>
      </c>
      <c r="AJ87" s="44">
        <f t="shared" si="23"/>
        <v>13083.595414519248</v>
      </c>
      <c r="AK87" s="44">
        <f t="shared" si="24"/>
        <v>8909.051271902792</v>
      </c>
      <c r="AL87" s="44">
        <f t="shared" si="25"/>
        <v>2730.7963439958216</v>
      </c>
      <c r="AM87" s="14">
        <f t="shared" si="26"/>
        <v>1917.5507723244871</v>
      </c>
      <c r="AN87" s="14">
        <f t="shared" si="27"/>
        <v>1420.4450109367644</v>
      </c>
      <c r="AO87" s="14">
        <f t="shared" si="28"/>
        <v>2351.4209918477914</v>
      </c>
      <c r="AP87" s="14">
        <f t="shared" si="29"/>
        <v>1886.2409525668982</v>
      </c>
      <c r="AQ87" s="14">
        <f t="shared" si="30"/>
        <v>2351.4209918477914</v>
      </c>
      <c r="AR87" s="33">
        <f t="shared" si="31"/>
        <v>0.65881243635458409</v>
      </c>
      <c r="AS87" s="33">
        <f t="shared" si="32"/>
        <v>0.2266912470414103</v>
      </c>
      <c r="AT87" s="51">
        <f t="shared" si="33"/>
        <v>2.5534918060626985</v>
      </c>
      <c r="AU87" s="51">
        <f>APPLICANTS_PER_YEAR*($H87/Segments!$AH$2)*AS87</f>
        <v>1.3601474822484618</v>
      </c>
      <c r="AV87" s="51">
        <f t="shared" si="34"/>
        <v>3.9136392883111606</v>
      </c>
      <c r="AW87" s="14">
        <f t="shared" si="35"/>
        <v>2351.4209918477909</v>
      </c>
      <c r="AX87" s="44">
        <f t="shared" si="36"/>
        <v>9202.6135770551118</v>
      </c>
      <c r="AY87" s="44">
        <f t="shared" si="37"/>
        <v>6226.2025298902217</v>
      </c>
      <c r="AZ87" s="44">
        <f t="shared" si="38"/>
        <v>1963.5102158477296</v>
      </c>
    </row>
    <row r="88" spans="1:52" ht="15" customHeight="1" x14ac:dyDescent="0.35">
      <c r="A88" s="59" t="str">
        <f>Segments!$A$68</f>
        <v>Non-greek</v>
      </c>
      <c r="B88" s="59" t="str">
        <f>Segments!$B$68</f>
        <v>Off 0-1mi</v>
      </c>
      <c r="C88" s="59" t="str">
        <f>Segments!$C$68</f>
        <v>No</v>
      </c>
      <c r="D88" s="59" t="str">
        <f>Segments!$D$68</f>
        <v>&lt;1.0</v>
      </c>
      <c r="E88" s="59" t="str">
        <f>Segments!$E$68</f>
        <v>Senior</v>
      </c>
      <c r="F88" s="59">
        <f>Segments!$F$68</f>
        <v>3</v>
      </c>
      <c r="G88" s="59" t="str">
        <f>Segments!$G$68</f>
        <v>Base</v>
      </c>
      <c r="H88" s="60">
        <f>Segments!$H$68</f>
        <v>3</v>
      </c>
      <c r="I88" s="26">
        <f>Segments!$Y$68</f>
        <v>1251.4583224621495</v>
      </c>
      <c r="J88" s="29">
        <v>3</v>
      </c>
      <c r="K88" s="14">
        <f t="shared" si="0"/>
        <v>1426.2297754450396</v>
      </c>
      <c r="L88" s="14">
        <f t="shared" si="1"/>
        <v>1251.4583224621495</v>
      </c>
      <c r="M88" s="14">
        <f t="shared" si="2"/>
        <v>2076.6354622447357</v>
      </c>
      <c r="N88" s="14">
        <f t="shared" si="3"/>
        <v>1720.9762720614469</v>
      </c>
      <c r="O88" s="14">
        <f t="shared" si="4"/>
        <v>1782.7872193062994</v>
      </c>
      <c r="P88" s="33">
        <f t="shared" si="5"/>
        <v>0.75704189440368841</v>
      </c>
      <c r="Q88" s="33">
        <f t="shared" si="6"/>
        <v>0.246669351008173</v>
      </c>
      <c r="R88" s="51">
        <f t="shared" si="7"/>
        <v>3.7852094720184422</v>
      </c>
      <c r="S88" s="51">
        <f>APPLICANTS_PER_YEAR*($H88/Segments!$AH$2)*Q88</f>
        <v>0.88800966362942269</v>
      </c>
      <c r="T88" s="51">
        <f t="shared" si="8"/>
        <v>4.673219135647865</v>
      </c>
      <c r="U88" s="14">
        <f t="shared" si="9"/>
        <v>1838.6245493769945</v>
      </c>
      <c r="V88" s="44">
        <f t="shared" si="10"/>
        <v>8592.295427420504</v>
      </c>
      <c r="W88" s="44">
        <f t="shared" si="11"/>
        <v>6550.1396575954013</v>
      </c>
      <c r="X88" s="44">
        <f t="shared" si="12"/>
        <v>1804.1509926269787</v>
      </c>
      <c r="Y88" s="14">
        <f t="shared" si="13"/>
        <v>1870.1907819771673</v>
      </c>
      <c r="Z88" s="14">
        <f t="shared" si="14"/>
        <v>1289.002072136014</v>
      </c>
      <c r="AA88" s="14">
        <f t="shared" si="15"/>
        <v>2137.6845261120779</v>
      </c>
      <c r="AB88" s="14">
        <f t="shared" si="16"/>
        <v>1772.0875264214912</v>
      </c>
      <c r="AC88" s="14">
        <f t="shared" si="17"/>
        <v>2137.6845261120779</v>
      </c>
      <c r="AD88" s="33">
        <f t="shared" si="18"/>
        <v>0.70393661372685035</v>
      </c>
      <c r="AE88" s="33">
        <f t="shared" si="19"/>
        <v>0.24684567092776055</v>
      </c>
      <c r="AF88" s="51">
        <f t="shared" si="20"/>
        <v>4.7695404916402921</v>
      </c>
      <c r="AG88" s="51">
        <f>APPLICANTS_PER_YEAR*($H88/Segments!$AH$2)*AE88</f>
        <v>0.88864441533993788</v>
      </c>
      <c r="AH88" s="51">
        <f t="shared" si="21"/>
        <v>5.6581849069802299</v>
      </c>
      <c r="AI88" s="14">
        <f t="shared" si="22"/>
        <v>2137.6845261120779</v>
      </c>
      <c r="AJ88" s="44">
        <f t="shared" si="23"/>
        <v>12095.414321532546</v>
      </c>
      <c r="AK88" s="44">
        <f t="shared" si="24"/>
        <v>8168.6215179813853</v>
      </c>
      <c r="AL88" s="44">
        <f t="shared" si="25"/>
        <v>2487.9005648488373</v>
      </c>
      <c r="AM88" s="14">
        <f t="shared" si="26"/>
        <v>2268.3019769804137</v>
      </c>
      <c r="AN88" s="14">
        <f t="shared" si="27"/>
        <v>1327.6721343000943</v>
      </c>
      <c r="AO88" s="14">
        <f t="shared" si="28"/>
        <v>2200.5650618954396</v>
      </c>
      <c r="AP88" s="14">
        <f t="shared" si="29"/>
        <v>1824.7319691386908</v>
      </c>
      <c r="AQ88" s="14">
        <f t="shared" si="30"/>
        <v>2200.5650618954396</v>
      </c>
      <c r="AR88" s="33">
        <f t="shared" si="31"/>
        <v>0.74701690464322013</v>
      </c>
      <c r="AS88" s="33">
        <f t="shared" si="32"/>
        <v>0.24701690464322013</v>
      </c>
      <c r="AT88" s="51">
        <f t="shared" si="33"/>
        <v>4.3088032578313058</v>
      </c>
      <c r="AU88" s="51">
        <f>APPLICANTS_PER_YEAR*($H88/Segments!$AH$2)*AS88</f>
        <v>0.88926085671559241</v>
      </c>
      <c r="AV88" s="51">
        <f t="shared" si="34"/>
        <v>5.1980641145468987</v>
      </c>
      <c r="AW88" s="14">
        <f t="shared" si="35"/>
        <v>2200.5650618954396</v>
      </c>
      <c r="AX88" s="44">
        <f t="shared" si="36"/>
        <v>11438.678279964359</v>
      </c>
      <c r="AY88" s="44">
        <f t="shared" si="37"/>
        <v>7729.4838624519161</v>
      </c>
      <c r="AZ88" s="44">
        <f t="shared" si="38"/>
        <v>2356.5936716490755</v>
      </c>
    </row>
    <row r="89" spans="1:52" ht="15" customHeight="1" x14ac:dyDescent="0.35">
      <c r="A89" s="59" t="str">
        <f>Segments!$A$69</f>
        <v>Non-greek</v>
      </c>
      <c r="B89" s="59" t="str">
        <f>Segments!$B$69</f>
        <v>Off 0-1mi</v>
      </c>
      <c r="C89" s="59" t="str">
        <f>Segments!$C$69</f>
        <v>No</v>
      </c>
      <c r="D89" s="59" t="str">
        <f>Segments!$D$69</f>
        <v>&lt;1.0</v>
      </c>
      <c r="E89" s="59" t="str">
        <f>Segments!$E$69</f>
        <v>Grad student</v>
      </c>
      <c r="F89" s="59">
        <f>Segments!$F$69</f>
        <v>3</v>
      </c>
      <c r="G89" s="59" t="str">
        <f>Segments!$G$69</f>
        <v>Grad</v>
      </c>
      <c r="H89" s="60">
        <f>Segments!$H$69</f>
        <v>1</v>
      </c>
      <c r="I89" s="26">
        <f>Segments!$Y$69</f>
        <v>1490.0869297321758</v>
      </c>
      <c r="J89" s="29">
        <v>4</v>
      </c>
      <c r="K89" s="14">
        <f t="shared" ref="K89:K152" si="39">IF($J89=0,M89,CURRENT_FLAT)</f>
        <v>1426.2297754450396</v>
      </c>
      <c r="L89" s="14">
        <f t="shared" ref="L89:L152" si="40">$I89*(1+LOSS_TREND)^0</f>
        <v>1490.0869297321758</v>
      </c>
      <c r="M89" s="14">
        <f t="shared" ref="M89:M152" si="41">L89*GROSS_MULT+POLICY_FEE</f>
        <v>2464.6641810688452</v>
      </c>
      <c r="N89" s="14">
        <f t="shared" ref="N89:N152" si="42">M89^MARKET_RISK_WEIGHT*(CURRENT_FLAT*(1+LOSS_TREND)^0)^(1-MARKET_RISK_WEIGHT)</f>
        <v>1874.8806472715141</v>
      </c>
      <c r="O89" s="14">
        <f t="shared" ref="O89:O152" si="43">MIN(M89,K89*(1+CAP_UP))</f>
        <v>1782.7872193062994</v>
      </c>
      <c r="P89" s="33">
        <f t="shared" ref="P89:P152" si="44">MEDIAN(RET_FLOOR,BASE_RETENTION-ELAST_MARKET*(O89/N89-1)-ELAST_INCREASE*MAX(O89/K89-1,0),RET_CEIL)</f>
        <v>0.79955981080695371</v>
      </c>
      <c r="Q89" s="33">
        <f t="shared" ref="Q89:Q152" si="45">MEDIAN(CONV_FLOOR,BASE_CONVERSION-ELAST_MARKET*(M89/N89-1),CONV_CEIL)</f>
        <v>0.19271437900443578</v>
      </c>
      <c r="R89" s="51">
        <f t="shared" ref="R89:R152" si="46">IF($J89=0,0,IF($J89=4,$H89*GRAD_CONTINUE,$H88)*P89)</f>
        <v>0.39977990540347685</v>
      </c>
      <c r="S89" s="51">
        <f>APPLICANTS_PER_YEAR*($H89/Segments!$AH$2)*Q89</f>
        <v>0.23125725480532291</v>
      </c>
      <c r="T89" s="51">
        <f t="shared" ref="T89:T152" si="47">R89+S89</f>
        <v>0.63103716020879974</v>
      </c>
      <c r="U89" s="14">
        <f t="shared" ref="U89:U152" si="48">IFERROR((R89*O89+S89*M89)/T89,M89)</f>
        <v>2032.6758221264943</v>
      </c>
      <c r="V89" s="44">
        <f t="shared" ref="V89:V152" si="49">R89*O89+S89*M89</f>
        <v>1282.6939784197903</v>
      </c>
      <c r="W89" s="44">
        <f t="shared" ref="W89:W152" si="50">T89*L89*(1+LAE_RATIO)</f>
        <v>1053.1362515547346</v>
      </c>
      <c r="X89" s="44">
        <f t="shared" ref="X89:X152" si="51">R89*O89*(PREMIUM_TAX+OTHER_VARIABLE+COMMISSION_RN)+S89*M89*(PREMIUM_TAX+OTHER_VARIABLE+COMMISSION_NB)+T89*FIXED_PER_POLICY+S89*NB_ACQUISITION</f>
        <v>280.78033803423415</v>
      </c>
      <c r="Y89" s="14">
        <f t="shared" ref="Y89:Y152" si="52">IF($J89=0,AA89,IF($J89=4,U89,U88))</f>
        <v>2032.6758221264943</v>
      </c>
      <c r="Z89" s="14">
        <f t="shared" ref="Z89:Z152" si="53">$I89*(1+LOSS_TREND)^1</f>
        <v>1534.7895376241411</v>
      </c>
      <c r="AA89" s="14">
        <f t="shared" ref="AA89:AA152" si="54">Z89*GROSS_MULT+POLICY_FEE</f>
        <v>2537.3541065009108</v>
      </c>
      <c r="AB89" s="14">
        <f t="shared" ref="AB89:AB152" si="55">AA89^MARKET_RISK_WEIGHT*(CURRENT_FLAT*(1+LOSS_TREND)^1)^(1-MARKET_RISK_WEIGHT)</f>
        <v>1930.6515679597712</v>
      </c>
      <c r="AC89" s="14">
        <f t="shared" ref="AC89:AC152" si="56">MIN(AA89,Y89*(1+CAP_UP))</f>
        <v>2537.3541065009108</v>
      </c>
      <c r="AD89" s="33">
        <f t="shared" ref="AD89:AD152" si="57">MEDIAN(RET_FLOOR,BASE_RETENTION-ELAST_MARKET*(AC89/AB89-1)-ELAST_INCREASE*MAX(AC89/Y89-1,0),RET_CEIL)</f>
        <v>0.61839140517702662</v>
      </c>
      <c r="AE89" s="33">
        <f t="shared" ref="AE89:AE152" si="58">MEDIAN(CONV_FLOOR,BASE_CONVERSION-ELAST_MARKET*(AA89/AB89-1),CONV_CEIL)</f>
        <v>0.19287622152808326</v>
      </c>
      <c r="AF89" s="51">
        <f t="shared" ref="AF89:AF152" si="59">IF($J89=0,0,IF($J89=4,T89*GRAD_CONTINUE,T88)*AD89)</f>
        <v>0.19511397811022008</v>
      </c>
      <c r="AG89" s="51">
        <f>APPLICANTS_PER_YEAR*($H89/Segments!$AH$2)*AE89</f>
        <v>0.23145146583369991</v>
      </c>
      <c r="AH89" s="51">
        <f t="shared" ref="AH89:AH152" si="60">AF89+AG89</f>
        <v>0.42656544394391999</v>
      </c>
      <c r="AI89" s="14">
        <f t="shared" ref="AI89:AI152" si="61">IFERROR((AF89*AC89+AG89*AA89)/AH89,AA89)</f>
        <v>2537.3541065009108</v>
      </c>
      <c r="AJ89" s="44">
        <f t="shared" ref="AJ89:AJ152" si="62">AF89*AC89+AG89*AA89</f>
        <v>1082.3475808824894</v>
      </c>
      <c r="AK89" s="44">
        <f t="shared" ref="AK89:AK152" si="63">AH89*Z89*(1+LAE_RATIO)</f>
        <v>733.25076213438058</v>
      </c>
      <c r="AL89" s="44">
        <f t="shared" ref="AL89:AL152" si="64">AF89*AC89*(PREMIUM_TAX+OTHER_VARIABLE+COMMISSION_RN)+AG89*AA89*(PREMIUM_TAX+OTHER_VARIABLE+COMMISSION_NB)+AH89*FIXED_PER_POLICY+AG89*NB_ACQUISITION</f>
        <v>239.4358897666192</v>
      </c>
      <c r="AM89" s="14">
        <f t="shared" ref="AM89:AM152" si="65">IF($J89=0,AO89,IF($J89=4,AI89,AI88))</f>
        <v>2537.3541065009108</v>
      </c>
      <c r="AN89" s="14">
        <f t="shared" ref="AN89:AN152" si="66">$I89*(1+LOSS_TREND)^2</f>
        <v>1580.8332237528653</v>
      </c>
      <c r="AO89" s="14">
        <f t="shared" ref="AO89:AO152" si="67">AN89*GROSS_MULT+POLICY_FEE</f>
        <v>2612.2247296959381</v>
      </c>
      <c r="AP89" s="14">
        <f t="shared" ref="AP89:AP152" si="68">AO89^MARKET_RISK_WEIGHT*(CURRENT_FLAT*(1+LOSS_TREND)^2)^(1-MARKET_RISK_WEIGHT)</f>
        <v>1988.0955008363337</v>
      </c>
      <c r="AQ89" s="14">
        <f t="shared" ref="AQ89:AQ152" si="69">MIN(AO89,AM89*(1+CAP_UP))</f>
        <v>2612.2247296959381</v>
      </c>
      <c r="AR89" s="33">
        <f t="shared" ref="AR89:AR152" si="70">MEDIAN(RET_FLOOR,BASE_RETENTION-ELAST_MARKET*(AQ89/AP89-1)-ELAST_INCREASE*MAX(AQ89/AM89-1,0),RET_CEIL)</f>
        <v>0.68418118008497719</v>
      </c>
      <c r="AS89" s="33">
        <f t="shared" ref="AS89:AS152" si="71">MEDIAN(CONV_FLOOR,BASE_CONVERSION-ELAST_MARKET*(AO89/AP89-1),CONV_CEIL)</f>
        <v>0.19303338833646277</v>
      </c>
      <c r="AT89" s="51">
        <f t="shared" ref="AT89:AT152" si="72">IF($J89=0,0,IF($J89=4,AH89*GRAD_CONTINUE,AH88)*AR89)</f>
        <v>0.14592402441051169</v>
      </c>
      <c r="AU89" s="51">
        <f>APPLICANTS_PER_YEAR*($H89/Segments!$AH$2)*AS89</f>
        <v>0.23164006600375531</v>
      </c>
      <c r="AV89" s="51">
        <f t="shared" ref="AV89:AV152" si="73">AT89+AU89</f>
        <v>0.37756409041426697</v>
      </c>
      <c r="AW89" s="14">
        <f t="shared" ref="AW89:AW152" si="74">IFERROR((AT89*AQ89+AU89*AO89)/AV89,AO89)</f>
        <v>2612.2247296959385</v>
      </c>
      <c r="AX89" s="44">
        <f t="shared" ref="AX89:AX152" si="75">AT89*AQ89+AU89*AO89</f>
        <v>986.28225402530143</v>
      </c>
      <c r="AY89" s="44">
        <f t="shared" ref="AY89:AY152" si="76">AV89*AN89*(1+LAE_RATIO)</f>
        <v>668.48976120965256</v>
      </c>
      <c r="AZ89" s="44">
        <f t="shared" ref="AZ89:AZ152" si="77">AT89*AQ89*(PREMIUM_TAX+OTHER_VARIABLE+COMMISSION_RN)+AU89*AO89*(PREMIUM_TAX+OTHER_VARIABLE+COMMISSION_NB)+AV89*FIXED_PER_POLICY+AU89*NB_ACQUISITION</f>
        <v>220.9279862772805</v>
      </c>
    </row>
    <row r="90" spans="1:52" ht="15" customHeight="1" x14ac:dyDescent="0.35">
      <c r="A90" s="61" t="str">
        <f>Segments!$A$70</f>
        <v>Non-greek</v>
      </c>
      <c r="B90" s="61" t="str">
        <f>Segments!$B$70</f>
        <v>Off 0-1mi</v>
      </c>
      <c r="C90" s="61" t="str">
        <f>Segments!$C$70</f>
        <v>No</v>
      </c>
      <c r="D90" s="61" t="str">
        <f>Segments!$D$70</f>
        <v>1.0-2.0</v>
      </c>
      <c r="E90" s="61" t="str">
        <f>Segments!$E$70</f>
        <v>Freshman</v>
      </c>
      <c r="F90" s="61">
        <f>Segments!$F$70</f>
        <v>1</v>
      </c>
      <c r="G90" s="61" t="str">
        <f>Segments!$G$70</f>
        <v>Base</v>
      </c>
      <c r="H90" s="62">
        <f>Segments!$H$70</f>
        <v>12</v>
      </c>
      <c r="I90" s="63">
        <f>Segments!$Y$70</f>
        <v>1026.7798020827993</v>
      </c>
      <c r="J90" s="42">
        <v>0</v>
      </c>
      <c r="K90" s="40">
        <f t="shared" si="39"/>
        <v>1711.2906722487769</v>
      </c>
      <c r="L90" s="40">
        <f t="shared" si="40"/>
        <v>1026.7798020827993</v>
      </c>
      <c r="M90" s="40">
        <f t="shared" si="41"/>
        <v>1711.2906722487769</v>
      </c>
      <c r="N90" s="40">
        <f t="shared" si="42"/>
        <v>1562.2719709457006</v>
      </c>
      <c r="O90" s="40">
        <f t="shared" si="43"/>
        <v>1711.2906722487769</v>
      </c>
      <c r="P90" s="41">
        <f t="shared" si="44"/>
        <v>0.80230705534169255</v>
      </c>
      <c r="Q90" s="41">
        <f t="shared" si="45"/>
        <v>0.30230705534169255</v>
      </c>
      <c r="R90" s="64">
        <f t="shared" si="46"/>
        <v>0</v>
      </c>
      <c r="S90" s="64">
        <f>APPLICANTS_PER_YEAR*($H90/Segments!$AH$2)*Q90</f>
        <v>4.3532215969203722</v>
      </c>
      <c r="T90" s="64">
        <f t="shared" si="47"/>
        <v>4.3532215969203722</v>
      </c>
      <c r="U90" s="40">
        <f t="shared" si="48"/>
        <v>1711.2906722487769</v>
      </c>
      <c r="V90" s="65">
        <f t="shared" si="49"/>
        <v>7449.627513041758</v>
      </c>
      <c r="W90" s="65">
        <f t="shared" si="50"/>
        <v>5006.1760108734834</v>
      </c>
      <c r="X90" s="65">
        <f t="shared" si="51"/>
        <v>1864.6115347827708</v>
      </c>
      <c r="Y90" s="40">
        <f t="shared" si="52"/>
        <v>1761.3793924162401</v>
      </c>
      <c r="Z90" s="40">
        <f t="shared" si="53"/>
        <v>1057.5831961452832</v>
      </c>
      <c r="AA90" s="40">
        <f t="shared" si="54"/>
        <v>1761.3793924162401</v>
      </c>
      <c r="AB90" s="40">
        <f t="shared" si="55"/>
        <v>1608.569453700683</v>
      </c>
      <c r="AC90" s="40">
        <f t="shared" si="56"/>
        <v>1761.3793924162401</v>
      </c>
      <c r="AD90" s="41">
        <f t="shared" si="57"/>
        <v>0.80250129288356131</v>
      </c>
      <c r="AE90" s="41">
        <f t="shared" si="58"/>
        <v>0.30250129288356131</v>
      </c>
      <c r="AF90" s="64">
        <f t="shared" si="59"/>
        <v>0</v>
      </c>
      <c r="AG90" s="64">
        <f>APPLICANTS_PER_YEAR*($H90/Segments!$AH$2)*AE90</f>
        <v>4.3560186175232829</v>
      </c>
      <c r="AH90" s="64">
        <f t="shared" si="60"/>
        <v>4.3560186175232829</v>
      </c>
      <c r="AI90" s="40">
        <f t="shared" si="61"/>
        <v>1761.3793924162401</v>
      </c>
      <c r="AJ90" s="65">
        <f t="shared" si="62"/>
        <v>7672.60142588699</v>
      </c>
      <c r="AK90" s="65">
        <f t="shared" si="63"/>
        <v>5159.6743430272672</v>
      </c>
      <c r="AL90" s="65">
        <f t="shared" si="64"/>
        <v>1914.6835571872336</v>
      </c>
      <c r="AM90" s="40">
        <f t="shared" si="65"/>
        <v>1812.9707741887275</v>
      </c>
      <c r="AN90" s="40">
        <f t="shared" si="66"/>
        <v>1089.3106920296418</v>
      </c>
      <c r="AO90" s="40">
        <f t="shared" si="67"/>
        <v>1812.9707741887275</v>
      </c>
      <c r="AP90" s="40">
        <f t="shared" si="68"/>
        <v>1656.2556613576687</v>
      </c>
      <c r="AQ90" s="40">
        <f t="shared" si="69"/>
        <v>1812.9707741887275</v>
      </c>
      <c r="AR90" s="41">
        <f t="shared" si="70"/>
        <v>0.80268993897276819</v>
      </c>
      <c r="AS90" s="41">
        <f t="shared" si="71"/>
        <v>0.30268993897276819</v>
      </c>
      <c r="AT90" s="64">
        <f t="shared" si="72"/>
        <v>0</v>
      </c>
      <c r="AU90" s="64">
        <f>APPLICANTS_PER_YEAR*($H90/Segments!$AH$2)*AS90</f>
        <v>4.3587351212078618</v>
      </c>
      <c r="AV90" s="64">
        <f t="shared" si="73"/>
        <v>4.3587351212078618</v>
      </c>
      <c r="AW90" s="40">
        <f t="shared" si="74"/>
        <v>1812.9707741887275</v>
      </c>
      <c r="AX90" s="65">
        <f t="shared" si="75"/>
        <v>7902.2593871798144</v>
      </c>
      <c r="AY90" s="65">
        <f t="shared" si="76"/>
        <v>5317.778783807662</v>
      </c>
      <c r="AZ90" s="65">
        <f t="shared" si="77"/>
        <v>1966.2491831826324</v>
      </c>
    </row>
    <row r="91" spans="1:52" ht="15" customHeight="1" x14ac:dyDescent="0.35">
      <c r="A91" s="61" t="str">
        <f>Segments!$A$71</f>
        <v>Non-greek</v>
      </c>
      <c r="B91" s="61" t="str">
        <f>Segments!$B$71</f>
        <v>Off 0-1mi</v>
      </c>
      <c r="C91" s="61" t="str">
        <f>Segments!$C$71</f>
        <v>No</v>
      </c>
      <c r="D91" s="61" t="str">
        <f>Segments!$D$71</f>
        <v>1.0-2.0</v>
      </c>
      <c r="E91" s="61" t="str">
        <f>Segments!$E$71</f>
        <v>Sophomore</v>
      </c>
      <c r="F91" s="61">
        <f>Segments!$F$71</f>
        <v>1</v>
      </c>
      <c r="G91" s="61" t="str">
        <f>Segments!$G$71</f>
        <v>Sophomore</v>
      </c>
      <c r="H91" s="62">
        <f>Segments!$H$71</f>
        <v>11</v>
      </c>
      <c r="I91" s="63">
        <f>Segments!$Y$71</f>
        <v>1016.3335936989806</v>
      </c>
      <c r="J91" s="42">
        <v>1</v>
      </c>
      <c r="K91" s="40">
        <f t="shared" si="39"/>
        <v>1426.2297754450396</v>
      </c>
      <c r="L91" s="40">
        <f t="shared" si="40"/>
        <v>1016.3335936989806</v>
      </c>
      <c r="M91" s="40">
        <f t="shared" si="41"/>
        <v>1694.3043230339233</v>
      </c>
      <c r="N91" s="40">
        <f t="shared" si="42"/>
        <v>1554.4990428354185</v>
      </c>
      <c r="O91" s="40">
        <f t="shared" si="43"/>
        <v>1694.3043230339233</v>
      </c>
      <c r="P91" s="41">
        <f t="shared" si="44"/>
        <v>0.74864396294296476</v>
      </c>
      <c r="Q91" s="41">
        <f t="shared" si="45"/>
        <v>0.30503204686974306</v>
      </c>
      <c r="R91" s="64">
        <f t="shared" si="46"/>
        <v>8.9837275553155767</v>
      </c>
      <c r="S91" s="64">
        <f>APPLICANTS_PER_YEAR*($H91/Segments!$AH$2)*Q91</f>
        <v>4.0264230186806085</v>
      </c>
      <c r="T91" s="64">
        <f t="shared" si="47"/>
        <v>13.010150573996185</v>
      </c>
      <c r="U91" s="40">
        <f t="shared" si="48"/>
        <v>1694.3043230339233</v>
      </c>
      <c r="V91" s="65">
        <f t="shared" si="49"/>
        <v>22043.154360844015</v>
      </c>
      <c r="W91" s="65">
        <f t="shared" si="50"/>
        <v>14809.371457926529</v>
      </c>
      <c r="X91" s="65">
        <f t="shared" si="51"/>
        <v>4765.7892685884426</v>
      </c>
      <c r="Y91" s="40">
        <f t="shared" si="52"/>
        <v>1711.2906722487769</v>
      </c>
      <c r="Z91" s="40">
        <f t="shared" si="53"/>
        <v>1046.8236015099501</v>
      </c>
      <c r="AA91" s="40">
        <f t="shared" si="54"/>
        <v>1743.8834527249412</v>
      </c>
      <c r="AB91" s="40">
        <f t="shared" si="55"/>
        <v>1600.5604831863366</v>
      </c>
      <c r="AC91" s="40">
        <f t="shared" si="56"/>
        <v>1743.8834527249412</v>
      </c>
      <c r="AD91" s="41">
        <f t="shared" si="57"/>
        <v>0.79951353693378135</v>
      </c>
      <c r="AE91" s="41">
        <f t="shared" si="58"/>
        <v>0.30522725600057221</v>
      </c>
      <c r="AF91" s="64">
        <f t="shared" si="59"/>
        <v>3.4804595960103306</v>
      </c>
      <c r="AG91" s="64">
        <f>APPLICANTS_PER_YEAR*($H91/Segments!$AH$2)*AE91</f>
        <v>4.0289997792075534</v>
      </c>
      <c r="AH91" s="64">
        <f t="shared" si="60"/>
        <v>7.509459375217884</v>
      </c>
      <c r="AI91" s="40">
        <f t="shared" si="61"/>
        <v>1743.883452724941</v>
      </c>
      <c r="AJ91" s="65">
        <f t="shared" si="62"/>
        <v>13095.621943352642</v>
      </c>
      <c r="AK91" s="65">
        <f t="shared" si="63"/>
        <v>8804.4088255852366</v>
      </c>
      <c r="AL91" s="65">
        <f t="shared" si="64"/>
        <v>2971.9004408879332</v>
      </c>
      <c r="AM91" s="40">
        <f t="shared" si="65"/>
        <v>1761.3793924162401</v>
      </c>
      <c r="AN91" s="40">
        <f t="shared" si="66"/>
        <v>1078.2283095552484</v>
      </c>
      <c r="AO91" s="40">
        <f t="shared" si="67"/>
        <v>1794.949956306689</v>
      </c>
      <c r="AP91" s="40">
        <f t="shared" si="68"/>
        <v>1648.0035641561221</v>
      </c>
      <c r="AQ91" s="40">
        <f t="shared" si="69"/>
        <v>1794.949956306689</v>
      </c>
      <c r="AR91" s="41">
        <f t="shared" si="70"/>
        <v>0.79969907244710114</v>
      </c>
      <c r="AS91" s="41">
        <f t="shared" si="71"/>
        <v>0.30541684637502209</v>
      </c>
      <c r="AT91" s="64">
        <f t="shared" si="72"/>
        <v>3.4835040479956731</v>
      </c>
      <c r="AU91" s="64">
        <f>APPLICANTS_PER_YEAR*($H91/Segments!$AH$2)*AS91</f>
        <v>4.0315023721502916</v>
      </c>
      <c r="AV91" s="64">
        <f t="shared" si="73"/>
        <v>7.5150064201459648</v>
      </c>
      <c r="AW91" s="40">
        <f t="shared" si="74"/>
        <v>1794.949956306689</v>
      </c>
      <c r="AX91" s="65">
        <f t="shared" si="75"/>
        <v>13489.060445485487</v>
      </c>
      <c r="AY91" s="65">
        <f t="shared" si="76"/>
        <v>9075.2397889337226</v>
      </c>
      <c r="AZ91" s="65">
        <f t="shared" si="77"/>
        <v>3053.7921871393855</v>
      </c>
    </row>
    <row r="92" spans="1:52" ht="15" customHeight="1" x14ac:dyDescent="0.35">
      <c r="A92" s="61" t="str">
        <f>Segments!$A$72</f>
        <v>Non-greek</v>
      </c>
      <c r="B92" s="61" t="str">
        <f>Segments!$B$72</f>
        <v>Off 0-1mi</v>
      </c>
      <c r="C92" s="61" t="str">
        <f>Segments!$C$72</f>
        <v>No</v>
      </c>
      <c r="D92" s="61" t="str">
        <f>Segments!$D$72</f>
        <v>1.0-2.0</v>
      </c>
      <c r="E92" s="61" t="str">
        <f>Segments!$E$72</f>
        <v>Junior</v>
      </c>
      <c r="F92" s="61">
        <f>Segments!$F$72</f>
        <v>2</v>
      </c>
      <c r="G92" s="61" t="str">
        <f>Segments!$G$72</f>
        <v>Base</v>
      </c>
      <c r="H92" s="62">
        <f>Segments!$H$72</f>
        <v>8</v>
      </c>
      <c r="I92" s="63">
        <f>Segments!$Y$72</f>
        <v>1214.9512203328356</v>
      </c>
      <c r="J92" s="42">
        <v>2</v>
      </c>
      <c r="K92" s="40">
        <f t="shared" si="39"/>
        <v>1426.2297754450396</v>
      </c>
      <c r="L92" s="40">
        <f t="shared" si="40"/>
        <v>1214.9512203328356</v>
      </c>
      <c r="M92" s="40">
        <f t="shared" si="41"/>
        <v>2017.2720681015144</v>
      </c>
      <c r="N92" s="40">
        <f t="shared" si="42"/>
        <v>1696.1997195790279</v>
      </c>
      <c r="O92" s="40">
        <f t="shared" si="43"/>
        <v>1782.7872193062994</v>
      </c>
      <c r="P92" s="41">
        <f t="shared" si="44"/>
        <v>0.74947603052641665</v>
      </c>
      <c r="Q92" s="41">
        <f t="shared" si="45"/>
        <v>0.25535538214740061</v>
      </c>
      <c r="R92" s="64">
        <f t="shared" si="46"/>
        <v>8.2442363357905837</v>
      </c>
      <c r="S92" s="64">
        <f>APPLICANTS_PER_YEAR*($H92/Segments!$AH$2)*Q92</f>
        <v>2.4514116686150458</v>
      </c>
      <c r="T92" s="64">
        <f t="shared" si="47"/>
        <v>10.69564800440563</v>
      </c>
      <c r="U92" s="40">
        <f t="shared" si="48"/>
        <v>1836.5304702260428</v>
      </c>
      <c r="V92" s="65">
        <f t="shared" si="49"/>
        <v>19642.883458903307</v>
      </c>
      <c r="W92" s="65">
        <f t="shared" si="50"/>
        <v>14554.053466627449</v>
      </c>
      <c r="X92" s="65">
        <f t="shared" si="51"/>
        <v>4160.7839755642472</v>
      </c>
      <c r="Y92" s="40">
        <f t="shared" si="52"/>
        <v>1694.3043230339233</v>
      </c>
      <c r="Z92" s="40">
        <f t="shared" si="53"/>
        <v>1251.3997569428207</v>
      </c>
      <c r="AA92" s="40">
        <f t="shared" si="54"/>
        <v>2076.5402301445597</v>
      </c>
      <c r="AB92" s="40">
        <f t="shared" si="55"/>
        <v>1746.5601081342479</v>
      </c>
      <c r="AC92" s="40">
        <f t="shared" si="56"/>
        <v>2076.5402301445597</v>
      </c>
      <c r="AD92" s="41">
        <f t="shared" si="57"/>
        <v>0.68785412752948449</v>
      </c>
      <c r="AE92" s="41">
        <f t="shared" si="58"/>
        <v>0.25553427835850118</v>
      </c>
      <c r="AF92" s="64">
        <f t="shared" si="59"/>
        <v>8.9490857721033681</v>
      </c>
      <c r="AG92" s="64">
        <f>APPLICANTS_PER_YEAR*($H92/Segments!$AH$2)*AE92</f>
        <v>2.453129072241611</v>
      </c>
      <c r="AH92" s="64">
        <f t="shared" si="60"/>
        <v>11.402214844344979</v>
      </c>
      <c r="AI92" s="40">
        <f t="shared" si="61"/>
        <v>2076.5402301445597</v>
      </c>
      <c r="AJ92" s="65">
        <f t="shared" si="62"/>
        <v>23677.157837033836</v>
      </c>
      <c r="AK92" s="65">
        <f t="shared" si="63"/>
        <v>15980.976351001904</v>
      </c>
      <c r="AL92" s="65">
        <f t="shared" si="64"/>
        <v>4942.6460971809765</v>
      </c>
      <c r="AM92" s="40">
        <f t="shared" si="65"/>
        <v>1743.883452724941</v>
      </c>
      <c r="AN92" s="40">
        <f t="shared" si="66"/>
        <v>1288.9417496511053</v>
      </c>
      <c r="AO92" s="40">
        <f t="shared" si="67"/>
        <v>2137.5864370488962</v>
      </c>
      <c r="AP92" s="40">
        <f t="shared" si="68"/>
        <v>1798.4311524311133</v>
      </c>
      <c r="AQ92" s="40">
        <f t="shared" si="69"/>
        <v>2137.5864370488962</v>
      </c>
      <c r="AR92" s="41">
        <f t="shared" si="70"/>
        <v>0.68797935216908945</v>
      </c>
      <c r="AS92" s="41">
        <f t="shared" si="71"/>
        <v>0.25570801552249756</v>
      </c>
      <c r="AT92" s="64">
        <f t="shared" si="72"/>
        <v>5.1663529961024954</v>
      </c>
      <c r="AU92" s="64">
        <f>APPLICANTS_PER_YEAR*($H92/Segments!$AH$2)*AS92</f>
        <v>2.4547969490159764</v>
      </c>
      <c r="AV92" s="64">
        <f t="shared" si="73"/>
        <v>7.6211499451184714</v>
      </c>
      <c r="AW92" s="40">
        <f t="shared" si="74"/>
        <v>2137.5864370488962</v>
      </c>
      <c r="AX92" s="65">
        <f t="shared" si="75"/>
        <v>16290.866757401185</v>
      </c>
      <c r="AY92" s="65">
        <f t="shared" si="76"/>
        <v>11002.004545968161</v>
      </c>
      <c r="AZ92" s="65">
        <f t="shared" si="77"/>
        <v>3476.4236630139872</v>
      </c>
    </row>
    <row r="93" spans="1:52" ht="15" customHeight="1" x14ac:dyDescent="0.35">
      <c r="A93" s="61" t="str">
        <f>Segments!$A$73</f>
        <v>Non-greek</v>
      </c>
      <c r="B93" s="61" t="str">
        <f>Segments!$B$73</f>
        <v>Off 0-1mi</v>
      </c>
      <c r="C93" s="61" t="str">
        <f>Segments!$C$73</f>
        <v>No</v>
      </c>
      <c r="D93" s="61" t="str">
        <f>Segments!$D$73</f>
        <v>1.0-2.0</v>
      </c>
      <c r="E93" s="61" t="str">
        <f>Segments!$E$73</f>
        <v>Senior</v>
      </c>
      <c r="F93" s="61">
        <f>Segments!$F$73</f>
        <v>3</v>
      </c>
      <c r="G93" s="61" t="str">
        <f>Segments!$G$73</f>
        <v>Base</v>
      </c>
      <c r="H93" s="62">
        <f>Segments!$H$73</f>
        <v>6</v>
      </c>
      <c r="I93" s="63">
        <f>Segments!$Y$73</f>
        <v>1135.5996658441641</v>
      </c>
      <c r="J93" s="42">
        <v>3</v>
      </c>
      <c r="K93" s="40">
        <f t="shared" si="39"/>
        <v>1426.2297754450396</v>
      </c>
      <c r="L93" s="40">
        <f t="shared" si="40"/>
        <v>1135.5996658441641</v>
      </c>
      <c r="M93" s="40">
        <f t="shared" si="41"/>
        <v>1888.240254283405</v>
      </c>
      <c r="N93" s="40">
        <f t="shared" si="42"/>
        <v>1641.0559021108652</v>
      </c>
      <c r="O93" s="40">
        <f t="shared" si="43"/>
        <v>1782.7872193062994</v>
      </c>
      <c r="P93" s="41">
        <f t="shared" si="44"/>
        <v>0.73181703560094225</v>
      </c>
      <c r="Q93" s="41">
        <f t="shared" si="45"/>
        <v>0.27468740648792334</v>
      </c>
      <c r="R93" s="64">
        <f t="shared" si="46"/>
        <v>5.854536284807538</v>
      </c>
      <c r="S93" s="64">
        <f>APPLICANTS_PER_YEAR*($H93/Segments!$AH$2)*Q93</f>
        <v>1.9777493267130479</v>
      </c>
      <c r="T93" s="64">
        <f t="shared" si="47"/>
        <v>7.8322856115205859</v>
      </c>
      <c r="U93" s="40">
        <f t="shared" si="48"/>
        <v>1809.4154194601658</v>
      </c>
      <c r="V93" s="65">
        <f t="shared" si="49"/>
        <v>14171.858355101342</v>
      </c>
      <c r="W93" s="65">
        <f t="shared" si="50"/>
        <v>9961.6618340274927</v>
      </c>
      <c r="X93" s="65">
        <f t="shared" si="51"/>
        <v>3015.2769807177438</v>
      </c>
      <c r="Y93" s="40">
        <f t="shared" si="52"/>
        <v>1836.5304702260428</v>
      </c>
      <c r="Z93" s="40">
        <f t="shared" si="53"/>
        <v>1169.667655819489</v>
      </c>
      <c r="AA93" s="40">
        <f t="shared" si="54"/>
        <v>1943.6374619119072</v>
      </c>
      <c r="AB93" s="40">
        <f t="shared" si="55"/>
        <v>1689.7443089043566</v>
      </c>
      <c r="AC93" s="40">
        <f t="shared" si="56"/>
        <v>1943.6374619119072</v>
      </c>
      <c r="AD93" s="41">
        <f t="shared" si="57"/>
        <v>0.75737622864814358</v>
      </c>
      <c r="AE93" s="41">
        <f t="shared" si="58"/>
        <v>0.27487231598602724</v>
      </c>
      <c r="AF93" s="64">
        <f t="shared" si="59"/>
        <v>8.100629548524779</v>
      </c>
      <c r="AG93" s="64">
        <f>APPLICANTS_PER_YEAR*($H93/Segments!$AH$2)*AE93</f>
        <v>1.9790806750993959</v>
      </c>
      <c r="AH93" s="64">
        <f t="shared" si="60"/>
        <v>10.079710223624176</v>
      </c>
      <c r="AI93" s="40">
        <f t="shared" si="61"/>
        <v>1943.6374619119069</v>
      </c>
      <c r="AJ93" s="65">
        <f t="shared" si="62"/>
        <v>19591.302395852392</v>
      </c>
      <c r="AK93" s="65">
        <f t="shared" si="63"/>
        <v>13204.700352038977</v>
      </c>
      <c r="AL93" s="65">
        <f t="shared" si="64"/>
        <v>4088.4589110754887</v>
      </c>
      <c r="AM93" s="40">
        <f t="shared" si="65"/>
        <v>2076.5402301445597</v>
      </c>
      <c r="AN93" s="40">
        <f t="shared" si="66"/>
        <v>1204.7576854940737</v>
      </c>
      <c r="AO93" s="40">
        <f t="shared" si="67"/>
        <v>2000.6965857692644</v>
      </c>
      <c r="AP93" s="40">
        <f t="shared" si="68"/>
        <v>1739.8931957245845</v>
      </c>
      <c r="AQ93" s="40">
        <f t="shared" si="69"/>
        <v>2000.6965857692644</v>
      </c>
      <c r="AR93" s="41">
        <f t="shared" si="70"/>
        <v>0.77505189666654584</v>
      </c>
      <c r="AS93" s="41">
        <f t="shared" si="71"/>
        <v>0.27505189666654584</v>
      </c>
      <c r="AT93" s="64">
        <f t="shared" si="72"/>
        <v>8.8373082413090192</v>
      </c>
      <c r="AU93" s="64">
        <f>APPLICANTS_PER_YEAR*($H93/Segments!$AH$2)*AS93</f>
        <v>1.9803736559991298</v>
      </c>
      <c r="AV93" s="64">
        <f t="shared" si="73"/>
        <v>10.817681897308148</v>
      </c>
      <c r="AW93" s="40">
        <f t="shared" si="74"/>
        <v>2000.6965857692646</v>
      </c>
      <c r="AX93" s="65">
        <f t="shared" si="75"/>
        <v>21642.899237882393</v>
      </c>
      <c r="AY93" s="65">
        <f t="shared" si="76"/>
        <v>14596.607653613557</v>
      </c>
      <c r="AZ93" s="65">
        <f t="shared" si="77"/>
        <v>4495.0453737295838</v>
      </c>
    </row>
    <row r="94" spans="1:52" ht="15" customHeight="1" x14ac:dyDescent="0.35">
      <c r="A94" s="61" t="str">
        <f>Segments!$A$74</f>
        <v>Non-greek</v>
      </c>
      <c r="B94" s="61" t="str">
        <f>Segments!$B$74</f>
        <v>Off 0-1mi</v>
      </c>
      <c r="C94" s="61" t="str">
        <f>Segments!$C$74</f>
        <v>No</v>
      </c>
      <c r="D94" s="61" t="str">
        <f>Segments!$D$74</f>
        <v>1.0-2.0</v>
      </c>
      <c r="E94" s="61" t="str">
        <f>Segments!$E$74</f>
        <v>Grad student</v>
      </c>
      <c r="F94" s="61">
        <f>Segments!$F$74</f>
        <v>3</v>
      </c>
      <c r="G94" s="61" t="str">
        <f>Segments!$G$74</f>
        <v>Grad</v>
      </c>
      <c r="H94" s="62">
        <f>Segments!$H$74</f>
        <v>4</v>
      </c>
      <c r="I94" s="63">
        <f>Segments!$Y$74</f>
        <v>1352.1362950013818</v>
      </c>
      <c r="J94" s="42">
        <v>4</v>
      </c>
      <c r="K94" s="40">
        <f t="shared" si="39"/>
        <v>1426.2297754450396</v>
      </c>
      <c r="L94" s="40">
        <f t="shared" si="40"/>
        <v>1352.1362950013818</v>
      </c>
      <c r="M94" s="40">
        <f t="shared" si="41"/>
        <v>2240.3456944131744</v>
      </c>
      <c r="N94" s="40">
        <f t="shared" si="42"/>
        <v>1787.5255904915498</v>
      </c>
      <c r="O94" s="40">
        <f t="shared" si="43"/>
        <v>1782.7872193062994</v>
      </c>
      <c r="P94" s="41">
        <f t="shared" si="44"/>
        <v>0.77632539953846125</v>
      </c>
      <c r="Q94" s="41">
        <f t="shared" si="45"/>
        <v>0.2233388471946004</v>
      </c>
      <c r="R94" s="64">
        <f t="shared" si="46"/>
        <v>1.5526507990769225</v>
      </c>
      <c r="S94" s="64">
        <f>APPLICANTS_PER_YEAR*($H94/Segments!$AH$2)*Q94</f>
        <v>1.072026466534082</v>
      </c>
      <c r="T94" s="64">
        <f t="shared" si="47"/>
        <v>2.6246772656110045</v>
      </c>
      <c r="U94" s="40">
        <f t="shared" si="48"/>
        <v>1969.6729754060527</v>
      </c>
      <c r="V94" s="65">
        <f t="shared" si="49"/>
        <v>5169.7558792366499</v>
      </c>
      <c r="W94" s="65">
        <f t="shared" si="50"/>
        <v>3974.7919607173358</v>
      </c>
      <c r="X94" s="65">
        <f t="shared" si="51"/>
        <v>1140.4379139021798</v>
      </c>
      <c r="Y94" s="40">
        <f t="shared" si="52"/>
        <v>1969.6729754060527</v>
      </c>
      <c r="Z94" s="40">
        <f t="shared" si="53"/>
        <v>1392.7003838514233</v>
      </c>
      <c r="AA94" s="40">
        <f t="shared" si="54"/>
        <v>2306.3060652455697</v>
      </c>
      <c r="AB94" s="40">
        <f t="shared" si="55"/>
        <v>1840.652616054698</v>
      </c>
      <c r="AC94" s="40">
        <f t="shared" si="56"/>
        <v>2306.3060652455697</v>
      </c>
      <c r="AD94" s="41">
        <f t="shared" si="57"/>
        <v>0.67223616728193525</v>
      </c>
      <c r="AE94" s="41">
        <f t="shared" si="58"/>
        <v>0.22350860093607305</v>
      </c>
      <c r="AF94" s="64">
        <f t="shared" si="59"/>
        <v>0.88220149269318582</v>
      </c>
      <c r="AG94" s="64">
        <f>APPLICANTS_PER_YEAR*($H94/Segments!$AH$2)*AE94</f>
        <v>1.0728412844931505</v>
      </c>
      <c r="AH94" s="64">
        <f t="shared" si="60"/>
        <v>1.9550427771863363</v>
      </c>
      <c r="AI94" s="40">
        <f t="shared" si="61"/>
        <v>2306.3060652455692</v>
      </c>
      <c r="AJ94" s="65">
        <f t="shared" si="62"/>
        <v>4508.9270148393898</v>
      </c>
      <c r="AK94" s="65">
        <f t="shared" si="63"/>
        <v>3049.5234853813672</v>
      </c>
      <c r="AL94" s="65">
        <f t="shared" si="64"/>
        <v>1004.7096061122343</v>
      </c>
      <c r="AM94" s="40">
        <f t="shared" si="65"/>
        <v>2306.3060652455692</v>
      </c>
      <c r="AN94" s="40">
        <f t="shared" si="66"/>
        <v>1434.4813953669659</v>
      </c>
      <c r="AO94" s="40">
        <f t="shared" si="67"/>
        <v>2374.2452472029368</v>
      </c>
      <c r="AP94" s="40">
        <f t="shared" si="68"/>
        <v>1895.3733191788556</v>
      </c>
      <c r="AQ94" s="40">
        <f t="shared" si="69"/>
        <v>2374.2452472029368</v>
      </c>
      <c r="AR94" s="41">
        <f t="shared" si="70"/>
        <v>0.71483605208497381</v>
      </c>
      <c r="AS94" s="41">
        <f t="shared" si="71"/>
        <v>0.22367345441172881</v>
      </c>
      <c r="AT94" s="64">
        <f t="shared" si="72"/>
        <v>0.69876753025056193</v>
      </c>
      <c r="AU94" s="64">
        <f>APPLICANTS_PER_YEAR*($H94/Segments!$AH$2)*AS94</f>
        <v>1.0736325811762983</v>
      </c>
      <c r="AV94" s="64">
        <f t="shared" si="73"/>
        <v>1.7724001114268604</v>
      </c>
      <c r="AW94" s="40">
        <f t="shared" si="74"/>
        <v>2374.2452472029368</v>
      </c>
      <c r="AX94" s="65">
        <f t="shared" si="75"/>
        <v>4208.1125406971787</v>
      </c>
      <c r="AY94" s="65">
        <f t="shared" si="76"/>
        <v>2847.5719831867491</v>
      </c>
      <c r="AZ94" s="65">
        <f t="shared" si="77"/>
        <v>946.83943380821302</v>
      </c>
    </row>
    <row r="95" spans="1:52" ht="15" customHeight="1" x14ac:dyDescent="0.35">
      <c r="A95" s="59" t="str">
        <f>Segments!$A$75</f>
        <v>Non-greek</v>
      </c>
      <c r="B95" s="59" t="str">
        <f>Segments!$B$75</f>
        <v>Off 0-1mi</v>
      </c>
      <c r="C95" s="59" t="str">
        <f>Segments!$C$75</f>
        <v>No</v>
      </c>
      <c r="D95" s="59" t="str">
        <f>Segments!$D$75</f>
        <v>2.0-3.0</v>
      </c>
      <c r="E95" s="59" t="str">
        <f>Segments!$E$75</f>
        <v>Freshman</v>
      </c>
      <c r="F95" s="59">
        <f>Segments!$F$75</f>
        <v>1</v>
      </c>
      <c r="G95" s="59" t="str">
        <f>Segments!$G$75</f>
        <v>Base</v>
      </c>
      <c r="H95" s="60">
        <f>Segments!$H$75</f>
        <v>21</v>
      </c>
      <c r="I95" s="26">
        <f>Segments!$Y$75</f>
        <v>1008.9956879319814</v>
      </c>
      <c r="J95" s="29">
        <v>0</v>
      </c>
      <c r="K95" s="14">
        <f t="shared" si="39"/>
        <v>1682.3723161962066</v>
      </c>
      <c r="L95" s="14">
        <f t="shared" si="40"/>
        <v>1008.9956879319814</v>
      </c>
      <c r="M95" s="14">
        <f t="shared" si="41"/>
        <v>1682.3723161962066</v>
      </c>
      <c r="N95" s="14">
        <f t="shared" si="42"/>
        <v>1549.0156521944725</v>
      </c>
      <c r="O95" s="14">
        <f t="shared" si="43"/>
        <v>1682.3723161962066</v>
      </c>
      <c r="P95" s="33">
        <f t="shared" si="44"/>
        <v>0.80695438460779612</v>
      </c>
      <c r="Q95" s="33">
        <f t="shared" si="45"/>
        <v>0.30695438460779612</v>
      </c>
      <c r="R95" s="51">
        <f t="shared" si="46"/>
        <v>0</v>
      </c>
      <c r="S95" s="51">
        <f>APPLICANTS_PER_YEAR*($H95/Segments!$AH$2)*Q95</f>
        <v>7.735250492116462</v>
      </c>
      <c r="T95" s="51">
        <f t="shared" si="47"/>
        <v>7.735250492116462</v>
      </c>
      <c r="U95" s="14">
        <f t="shared" si="48"/>
        <v>1682.3723161962066</v>
      </c>
      <c r="V95" s="44">
        <f t="shared" si="49"/>
        <v>13013.571286779819</v>
      </c>
      <c r="W95" s="44">
        <f t="shared" si="50"/>
        <v>8741.4145186135574</v>
      </c>
      <c r="X95" s="44">
        <f t="shared" si="51"/>
        <v>3263.1262403839205</v>
      </c>
      <c r="Y95" s="14">
        <f t="shared" si="52"/>
        <v>1731.5934856820929</v>
      </c>
      <c r="Z95" s="14">
        <f t="shared" si="53"/>
        <v>1039.2655585699408</v>
      </c>
      <c r="AA95" s="14">
        <f t="shared" si="54"/>
        <v>1731.5934856820929</v>
      </c>
      <c r="AB95" s="14">
        <f t="shared" si="55"/>
        <v>1594.9105598414785</v>
      </c>
      <c r="AC95" s="14">
        <f t="shared" si="56"/>
        <v>1731.5934856820929</v>
      </c>
      <c r="AD95" s="33">
        <f t="shared" si="57"/>
        <v>0.8071502850121578</v>
      </c>
      <c r="AE95" s="33">
        <f t="shared" si="58"/>
        <v>0.3071502850121578</v>
      </c>
      <c r="AF95" s="51">
        <f t="shared" si="59"/>
        <v>0</v>
      </c>
      <c r="AG95" s="51">
        <f>APPLICANTS_PER_YEAR*($H95/Segments!$AH$2)*AE95</f>
        <v>7.7401871823063759</v>
      </c>
      <c r="AH95" s="51">
        <f t="shared" si="60"/>
        <v>7.7401871823063759</v>
      </c>
      <c r="AI95" s="14">
        <f t="shared" si="61"/>
        <v>1731.5934856820929</v>
      </c>
      <c r="AJ95" s="44">
        <f t="shared" si="62"/>
        <v>13402.857702841755</v>
      </c>
      <c r="AK95" s="44">
        <f t="shared" si="63"/>
        <v>9009.4031501101963</v>
      </c>
      <c r="AL95" s="44">
        <f t="shared" si="64"/>
        <v>3350.5485486403404</v>
      </c>
      <c r="AM95" s="14">
        <f t="shared" si="65"/>
        <v>1782.2912902525554</v>
      </c>
      <c r="AN95" s="14">
        <f t="shared" si="66"/>
        <v>1070.443525327039</v>
      </c>
      <c r="AO95" s="14">
        <f t="shared" si="67"/>
        <v>1782.2912902525554</v>
      </c>
      <c r="AP95" s="14">
        <f t="shared" si="68"/>
        <v>1642.1821099655886</v>
      </c>
      <c r="AQ95" s="14">
        <f t="shared" si="69"/>
        <v>1782.2912902525554</v>
      </c>
      <c r="AR95" s="33">
        <f t="shared" si="70"/>
        <v>0.80734054723994564</v>
      </c>
      <c r="AS95" s="33">
        <f t="shared" si="71"/>
        <v>0.30734054723994564</v>
      </c>
      <c r="AT95" s="51">
        <f t="shared" si="72"/>
        <v>0</v>
      </c>
      <c r="AU95" s="51">
        <f>APPLICANTS_PER_YEAR*($H95/Segments!$AH$2)*AS95</f>
        <v>7.74498179044663</v>
      </c>
      <c r="AV95" s="51">
        <f t="shared" si="73"/>
        <v>7.74498179044663</v>
      </c>
      <c r="AW95" s="14">
        <f t="shared" si="74"/>
        <v>1782.2912902525554</v>
      </c>
      <c r="AX95" s="44">
        <f t="shared" si="75"/>
        <v>13803.813588277671</v>
      </c>
      <c r="AY95" s="44">
        <f t="shared" si="76"/>
        <v>9285.4334847225418</v>
      </c>
      <c r="AZ95" s="44">
        <f t="shared" si="77"/>
        <v>3440.5784243442968</v>
      </c>
    </row>
    <row r="96" spans="1:52" ht="15" customHeight="1" x14ac:dyDescent="0.35">
      <c r="A96" s="59" t="str">
        <f>Segments!$A$76</f>
        <v>Non-greek</v>
      </c>
      <c r="B96" s="59" t="str">
        <f>Segments!$B$76</f>
        <v>Off 0-1mi</v>
      </c>
      <c r="C96" s="59" t="str">
        <f>Segments!$C$76</f>
        <v>No</v>
      </c>
      <c r="D96" s="59" t="str">
        <f>Segments!$D$76</f>
        <v>2.0-3.0</v>
      </c>
      <c r="E96" s="59" t="str">
        <f>Segments!$E$76</f>
        <v>Sophomore</v>
      </c>
      <c r="F96" s="59">
        <f>Segments!$F$76</f>
        <v>1</v>
      </c>
      <c r="G96" s="59" t="str">
        <f>Segments!$G$76</f>
        <v>Sophomore</v>
      </c>
      <c r="H96" s="60">
        <f>Segments!$H$76</f>
        <v>17</v>
      </c>
      <c r="I96" s="26">
        <f>Segments!$Y$76</f>
        <v>998.73041080719656</v>
      </c>
      <c r="J96" s="29">
        <v>1</v>
      </c>
      <c r="K96" s="14">
        <f t="shared" si="39"/>
        <v>1426.2297754450396</v>
      </c>
      <c r="L96" s="14">
        <f t="shared" si="40"/>
        <v>998.73041080719656</v>
      </c>
      <c r="M96" s="14">
        <f t="shared" si="41"/>
        <v>1665.68017531388</v>
      </c>
      <c r="N96" s="14">
        <f t="shared" si="42"/>
        <v>1541.3119938549657</v>
      </c>
      <c r="O96" s="14">
        <f t="shared" si="43"/>
        <v>1665.68017531388</v>
      </c>
      <c r="P96" s="33">
        <f t="shared" si="44"/>
        <v>0.7592879482723992</v>
      </c>
      <c r="Q96" s="33">
        <f t="shared" si="45"/>
        <v>0.30965509191041274</v>
      </c>
      <c r="R96" s="51">
        <f t="shared" si="46"/>
        <v>15.945046913720383</v>
      </c>
      <c r="S96" s="51">
        <f>APPLICANTS_PER_YEAR*($H96/Segments!$AH$2)*Q96</f>
        <v>6.3169638749724193</v>
      </c>
      <c r="T96" s="51">
        <f t="shared" si="47"/>
        <v>22.262010788692802</v>
      </c>
      <c r="U96" s="14">
        <f t="shared" si="48"/>
        <v>1665.68017531388</v>
      </c>
      <c r="V96" s="44">
        <f t="shared" si="49"/>
        <v>37081.390033349315</v>
      </c>
      <c r="W96" s="44">
        <f t="shared" si="50"/>
        <v>24901.796842031654</v>
      </c>
      <c r="X96" s="44">
        <f t="shared" si="51"/>
        <v>7979.8184812662294</v>
      </c>
      <c r="Y96" s="14">
        <f t="shared" si="52"/>
        <v>1682.3723161962066</v>
      </c>
      <c r="Z96" s="14">
        <f t="shared" si="53"/>
        <v>1028.6923231314124</v>
      </c>
      <c r="AA96" s="14">
        <f t="shared" si="54"/>
        <v>1714.4005805732963</v>
      </c>
      <c r="AB96" s="14">
        <f t="shared" si="55"/>
        <v>1586.9729139797928</v>
      </c>
      <c r="AC96" s="14">
        <f t="shared" si="56"/>
        <v>1714.4005805732963</v>
      </c>
      <c r="AD96" s="33">
        <f t="shared" si="57"/>
        <v>0.80414070372105007</v>
      </c>
      <c r="AE96" s="33">
        <f t="shared" si="58"/>
        <v>0.30985197180399826</v>
      </c>
      <c r="AF96" s="51">
        <f t="shared" si="59"/>
        <v>6.2202297741891304</v>
      </c>
      <c r="AG96" s="51">
        <f>APPLICANTS_PER_YEAR*($H96/Segments!$AH$2)*AE96</f>
        <v>6.3209802248015645</v>
      </c>
      <c r="AH96" s="51">
        <f t="shared" si="60"/>
        <v>12.541209998990695</v>
      </c>
      <c r="AI96" s="14">
        <f t="shared" si="61"/>
        <v>1714.4005805732963</v>
      </c>
      <c r="AJ96" s="44">
        <f t="shared" si="62"/>
        <v>21500.657703361278</v>
      </c>
      <c r="AK96" s="44">
        <f t="shared" si="63"/>
        <v>14449.172022589515</v>
      </c>
      <c r="AL96" s="44">
        <f t="shared" si="64"/>
        <v>4851.7572373868588</v>
      </c>
      <c r="AM96" s="14">
        <f t="shared" si="65"/>
        <v>1731.5934856820929</v>
      </c>
      <c r="AN96" s="14">
        <f t="shared" si="66"/>
        <v>1059.5530928253547</v>
      </c>
      <c r="AO96" s="14">
        <f t="shared" si="67"/>
        <v>1764.5825979904951</v>
      </c>
      <c r="AP96" s="14">
        <f t="shared" si="68"/>
        <v>1634.003453868326</v>
      </c>
      <c r="AQ96" s="14">
        <f t="shared" si="69"/>
        <v>1764.5825979904951</v>
      </c>
      <c r="AR96" s="33">
        <f t="shared" si="70"/>
        <v>0.80432779508831098</v>
      </c>
      <c r="AS96" s="33">
        <f t="shared" si="71"/>
        <v>0.31004318601253955</v>
      </c>
      <c r="AT96" s="51">
        <f t="shared" si="72"/>
        <v>6.2256476899152942</v>
      </c>
      <c r="AU96" s="51">
        <f>APPLICANTS_PER_YEAR*($H96/Segments!$AH$2)*AS96</f>
        <v>6.324880994655806</v>
      </c>
      <c r="AV96" s="51">
        <f t="shared" si="73"/>
        <v>12.5505286845711</v>
      </c>
      <c r="AW96" s="14">
        <f t="shared" si="74"/>
        <v>1764.5825979904951</v>
      </c>
      <c r="AX96" s="44">
        <f t="shared" si="75"/>
        <v>22146.444512374703</v>
      </c>
      <c r="AY96" s="44">
        <f t="shared" si="76"/>
        <v>14893.705662450318</v>
      </c>
      <c r="AZ96" s="44">
        <f t="shared" si="77"/>
        <v>4985.4377342102016</v>
      </c>
    </row>
    <row r="97" spans="1:52" ht="15" customHeight="1" x14ac:dyDescent="0.35">
      <c r="A97" s="59" t="str">
        <f>Segments!$A$77</f>
        <v>Non-greek</v>
      </c>
      <c r="B97" s="59" t="str">
        <f>Segments!$B$77</f>
        <v>Off 0-1mi</v>
      </c>
      <c r="C97" s="59" t="str">
        <f>Segments!$C$77</f>
        <v>No</v>
      </c>
      <c r="D97" s="59" t="str">
        <f>Segments!$D$77</f>
        <v>2.0-3.0</v>
      </c>
      <c r="E97" s="59" t="str">
        <f>Segments!$E$77</f>
        <v>Junior</v>
      </c>
      <c r="F97" s="59">
        <f>Segments!$F$77</f>
        <v>2</v>
      </c>
      <c r="G97" s="59" t="str">
        <f>Segments!$G$77</f>
        <v>Base</v>
      </c>
      <c r="H97" s="60">
        <f>Segments!$H$77</f>
        <v>18</v>
      </c>
      <c r="I97" s="26">
        <f>Segments!$Y$77</f>
        <v>1193.9079244418904</v>
      </c>
      <c r="J97" s="29">
        <v>2</v>
      </c>
      <c r="K97" s="14">
        <f t="shared" si="39"/>
        <v>1426.2297754450396</v>
      </c>
      <c r="L97" s="14">
        <f t="shared" si="40"/>
        <v>1193.9079244418904</v>
      </c>
      <c r="M97" s="14">
        <f t="shared" si="41"/>
        <v>1983.0540284548244</v>
      </c>
      <c r="N97" s="14">
        <f t="shared" si="42"/>
        <v>1681.7522712036116</v>
      </c>
      <c r="O97" s="14">
        <f t="shared" si="43"/>
        <v>1782.7872193062994</v>
      </c>
      <c r="P97" s="33">
        <f t="shared" si="44"/>
        <v>0.74496140578113257</v>
      </c>
      <c r="Q97" s="33">
        <f t="shared" si="45"/>
        <v>0.2604202912609791</v>
      </c>
      <c r="R97" s="51">
        <f t="shared" si="46"/>
        <v>12.664343898279254</v>
      </c>
      <c r="S97" s="51">
        <f>APPLICANTS_PER_YEAR*($H97/Segments!$AH$2)*Q97</f>
        <v>5.6250782912371475</v>
      </c>
      <c r="T97" s="51">
        <f t="shared" si="47"/>
        <v>18.289422189516401</v>
      </c>
      <c r="U97" s="14">
        <f t="shared" si="48"/>
        <v>1844.3810995789322</v>
      </c>
      <c r="V97" s="44">
        <f t="shared" si="49"/>
        <v>33732.66460856358</v>
      </c>
      <c r="W97" s="44">
        <f t="shared" si="50"/>
        <v>24456.192415790221</v>
      </c>
      <c r="X97" s="44">
        <f t="shared" si="51"/>
        <v>7272.3082078931784</v>
      </c>
      <c r="Y97" s="14">
        <f t="shared" si="52"/>
        <v>1665.68017531388</v>
      </c>
      <c r="Z97" s="14">
        <f t="shared" si="53"/>
        <v>1229.725162175147</v>
      </c>
      <c r="AA97" s="14">
        <f t="shared" si="54"/>
        <v>2041.2956493084691</v>
      </c>
      <c r="AB97" s="14">
        <f t="shared" si="55"/>
        <v>1731.6747196272336</v>
      </c>
      <c r="AC97" s="14">
        <f t="shared" si="56"/>
        <v>2041.2956493084691</v>
      </c>
      <c r="AD97" s="33">
        <f t="shared" si="57"/>
        <v>0.69294989729344336</v>
      </c>
      <c r="AE97" s="33">
        <f t="shared" si="58"/>
        <v>0.26060072478626772</v>
      </c>
      <c r="AF97" s="51">
        <f t="shared" si="59"/>
        <v>15.426458089570206</v>
      </c>
      <c r="AG97" s="51">
        <f>APPLICANTS_PER_YEAR*($H97/Segments!$AH$2)*AE97</f>
        <v>5.6289756553833818</v>
      </c>
      <c r="AH97" s="51">
        <f t="shared" si="60"/>
        <v>21.055433744953589</v>
      </c>
      <c r="AI97" s="14">
        <f t="shared" si="61"/>
        <v>2041.2956493084691</v>
      </c>
      <c r="AJ97" s="44">
        <f t="shared" si="62"/>
        <v>42980.365297876488</v>
      </c>
      <c r="AK97" s="44">
        <f t="shared" si="63"/>
        <v>28999.484277882853</v>
      </c>
      <c r="AL97" s="44">
        <f t="shared" si="64"/>
        <v>9087.2862306212191</v>
      </c>
      <c r="AM97" s="14">
        <f t="shared" si="65"/>
        <v>1714.4005805732963</v>
      </c>
      <c r="AN97" s="14">
        <f t="shared" si="66"/>
        <v>1266.6169170404014</v>
      </c>
      <c r="AO97" s="14">
        <f t="shared" si="67"/>
        <v>2101.2845187877228</v>
      </c>
      <c r="AP97" s="14">
        <f t="shared" si="68"/>
        <v>1783.0946815332036</v>
      </c>
      <c r="AQ97" s="14">
        <f t="shared" si="69"/>
        <v>2101.2845187877228</v>
      </c>
      <c r="AR97" s="33">
        <f t="shared" si="70"/>
        <v>0.69307580291226412</v>
      </c>
      <c r="AS97" s="33">
        <f t="shared" si="71"/>
        <v>0.26077595582840218</v>
      </c>
      <c r="AT97" s="51">
        <f t="shared" si="72"/>
        <v>8.6920091895417908</v>
      </c>
      <c r="AU97" s="51">
        <f>APPLICANTS_PER_YEAR*($H97/Segments!$AH$2)*AS97</f>
        <v>5.6327606458934865</v>
      </c>
      <c r="AV97" s="51">
        <f t="shared" si="73"/>
        <v>14.324769835435276</v>
      </c>
      <c r="AW97" s="14">
        <f t="shared" si="74"/>
        <v>2101.2845187877228</v>
      </c>
      <c r="AX97" s="44">
        <f t="shared" si="75"/>
        <v>30100.417090397503</v>
      </c>
      <c r="AY97" s="44">
        <f t="shared" si="76"/>
        <v>20321.275303025053</v>
      </c>
      <c r="AZ97" s="44">
        <f t="shared" si="77"/>
        <v>6530.5543889550172</v>
      </c>
    </row>
    <row r="98" spans="1:52" ht="15" customHeight="1" x14ac:dyDescent="0.35">
      <c r="A98" s="59" t="str">
        <f>Segments!$A$78</f>
        <v>Non-greek</v>
      </c>
      <c r="B98" s="59" t="str">
        <f>Segments!$B$78</f>
        <v>Off 0-1mi</v>
      </c>
      <c r="C98" s="59" t="str">
        <f>Segments!$C$78</f>
        <v>No</v>
      </c>
      <c r="D98" s="59" t="str">
        <f>Segments!$D$78</f>
        <v>2.0-3.0</v>
      </c>
      <c r="E98" s="59" t="str">
        <f>Segments!$E$78</f>
        <v>Senior</v>
      </c>
      <c r="F98" s="59">
        <f>Segments!$F$78</f>
        <v>3</v>
      </c>
      <c r="G98" s="59" t="str">
        <f>Segments!$G$78</f>
        <v>Base</v>
      </c>
      <c r="H98" s="60">
        <f>Segments!$H$78</f>
        <v>17</v>
      </c>
      <c r="I98" s="26">
        <f>Segments!$Y$78</f>
        <v>1115.9307611325241</v>
      </c>
      <c r="J98" s="29">
        <v>3</v>
      </c>
      <c r="K98" s="14">
        <f t="shared" si="39"/>
        <v>1426.2297754450396</v>
      </c>
      <c r="L98" s="14">
        <f t="shared" si="40"/>
        <v>1115.9307611325241</v>
      </c>
      <c r="M98" s="14">
        <f t="shared" si="41"/>
        <v>1856.2570818413228</v>
      </c>
      <c r="N98" s="14">
        <f t="shared" si="42"/>
        <v>1627.0983747158052</v>
      </c>
      <c r="O98" s="14">
        <f t="shared" si="43"/>
        <v>1782.7872193062994</v>
      </c>
      <c r="P98" s="33">
        <f t="shared" si="44"/>
        <v>0.72715751948074825</v>
      </c>
      <c r="Q98" s="33">
        <f t="shared" si="45"/>
        <v>0.27958056172677836</v>
      </c>
      <c r="R98" s="51">
        <f t="shared" si="46"/>
        <v>13.088835350653468</v>
      </c>
      <c r="S98" s="51">
        <f>APPLICANTS_PER_YEAR*($H98/Segments!$AH$2)*Q98</f>
        <v>5.7034434592262784</v>
      </c>
      <c r="T98" s="51">
        <f t="shared" si="47"/>
        <v>18.792278809879747</v>
      </c>
      <c r="U98" s="14">
        <f t="shared" si="48"/>
        <v>1805.085271137317</v>
      </c>
      <c r="V98" s="44">
        <f t="shared" si="49"/>
        <v>33921.665690819842</v>
      </c>
      <c r="W98" s="44">
        <f t="shared" si="50"/>
        <v>23487.387835210557</v>
      </c>
      <c r="X98" s="44">
        <f t="shared" si="51"/>
        <v>7300.1734841656644</v>
      </c>
      <c r="Y98" s="14">
        <f t="shared" si="52"/>
        <v>1844.3810995789322</v>
      </c>
      <c r="Z98" s="14">
        <f t="shared" si="53"/>
        <v>1149.4086839664999</v>
      </c>
      <c r="AA98" s="14">
        <f t="shared" si="54"/>
        <v>1910.6947942965626</v>
      </c>
      <c r="AB98" s="14">
        <f t="shared" si="55"/>
        <v>1675.3633939047372</v>
      </c>
      <c r="AC98" s="14">
        <f t="shared" si="56"/>
        <v>1910.6947942965626</v>
      </c>
      <c r="AD98" s="33">
        <f t="shared" si="57"/>
        <v>0.76898072509130477</v>
      </c>
      <c r="AE98" s="33">
        <f t="shared" si="58"/>
        <v>0.27976705792665579</v>
      </c>
      <c r="AF98" s="51">
        <f t="shared" si="59"/>
        <v>14.06421313679532</v>
      </c>
      <c r="AG98" s="51">
        <f>APPLICANTS_PER_YEAR*($H98/Segments!$AH$2)*AE98</f>
        <v>5.7072479817037776</v>
      </c>
      <c r="AH98" s="51">
        <f t="shared" si="60"/>
        <v>19.771461118499097</v>
      </c>
      <c r="AI98" s="14">
        <f t="shared" si="61"/>
        <v>1910.6947942965626</v>
      </c>
      <c r="AJ98" s="44">
        <f t="shared" si="62"/>
        <v>37777.227834753117</v>
      </c>
      <c r="AK98" s="44">
        <f t="shared" si="63"/>
        <v>25452.547796825937</v>
      </c>
      <c r="AL98" s="44">
        <f t="shared" si="64"/>
        <v>8059.6747979749498</v>
      </c>
      <c r="AM98" s="14">
        <f t="shared" si="65"/>
        <v>2041.2956493084691</v>
      </c>
      <c r="AN98" s="14">
        <f t="shared" si="66"/>
        <v>1183.8909444854949</v>
      </c>
      <c r="AO98" s="14">
        <f t="shared" si="67"/>
        <v>1966.7656381254594</v>
      </c>
      <c r="AP98" s="14">
        <f t="shared" si="68"/>
        <v>1725.0761870203503</v>
      </c>
      <c r="AQ98" s="14">
        <f t="shared" si="69"/>
        <v>1966.7656381254594</v>
      </c>
      <c r="AR98" s="33">
        <f t="shared" si="70"/>
        <v>0.77994818057207982</v>
      </c>
      <c r="AS98" s="33">
        <f t="shared" si="71"/>
        <v>0.27994818057207982</v>
      </c>
      <c r="AT98" s="51">
        <f t="shared" si="72"/>
        <v>16.422147240532524</v>
      </c>
      <c r="AU98" s="51">
        <f>APPLICANTS_PER_YEAR*($H98/Segments!$AH$2)*AS98</f>
        <v>5.7109428836704277</v>
      </c>
      <c r="AV98" s="51">
        <f t="shared" si="73"/>
        <v>22.133090124202951</v>
      </c>
      <c r="AW98" s="14">
        <f t="shared" si="74"/>
        <v>1966.7656381254596</v>
      </c>
      <c r="AX98" s="44">
        <f t="shared" si="75"/>
        <v>43530.601121816326</v>
      </c>
      <c r="AY98" s="44">
        <f t="shared" si="76"/>
        <v>29347.544768108237</v>
      </c>
      <c r="AZ98" s="44">
        <f t="shared" si="77"/>
        <v>9205.842004470609</v>
      </c>
    </row>
    <row r="99" spans="1:52" ht="15" customHeight="1" x14ac:dyDescent="0.35">
      <c r="A99" s="59" t="str">
        <f>Segments!$A$79</f>
        <v>Non-greek</v>
      </c>
      <c r="B99" s="59" t="str">
        <f>Segments!$B$79</f>
        <v>Off 0-1mi</v>
      </c>
      <c r="C99" s="59" t="str">
        <f>Segments!$C$79</f>
        <v>No</v>
      </c>
      <c r="D99" s="59" t="str">
        <f>Segments!$D$79</f>
        <v>2.0-3.0</v>
      </c>
      <c r="E99" s="59" t="str">
        <f>Segments!$E$79</f>
        <v>Grad student</v>
      </c>
      <c r="F99" s="59">
        <f>Segments!$F$79</f>
        <v>3</v>
      </c>
      <c r="G99" s="59" t="str">
        <f>Segments!$G$79</f>
        <v>Grad</v>
      </c>
      <c r="H99" s="60">
        <f>Segments!$H$79</f>
        <v>7</v>
      </c>
      <c r="I99" s="26">
        <f>Segments!$Y$79</f>
        <v>1328.716915141172</v>
      </c>
      <c r="J99" s="29">
        <v>4</v>
      </c>
      <c r="K99" s="14">
        <f t="shared" si="39"/>
        <v>1426.2297754450396</v>
      </c>
      <c r="L99" s="14">
        <f t="shared" si="40"/>
        <v>1328.716915141172</v>
      </c>
      <c r="M99" s="14">
        <f t="shared" si="41"/>
        <v>2202.2639569937824</v>
      </c>
      <c r="N99" s="14">
        <f t="shared" si="42"/>
        <v>1772.2681594087128</v>
      </c>
      <c r="O99" s="14">
        <f t="shared" si="43"/>
        <v>1782.7872193062994</v>
      </c>
      <c r="P99" s="33">
        <f t="shared" si="44"/>
        <v>0.77203231707861408</v>
      </c>
      <c r="Q99" s="33">
        <f t="shared" si="45"/>
        <v>0.22868771570987023</v>
      </c>
      <c r="R99" s="51">
        <f t="shared" si="46"/>
        <v>2.7021131097751492</v>
      </c>
      <c r="S99" s="51">
        <f>APPLICANTS_PER_YEAR*($H99/Segments!$AH$2)*Q99</f>
        <v>1.92097681196291</v>
      </c>
      <c r="T99" s="51">
        <f t="shared" si="47"/>
        <v>4.6230899217380594</v>
      </c>
      <c r="U99" s="14">
        <f t="shared" si="48"/>
        <v>1957.0873302486707</v>
      </c>
      <c r="V99" s="44">
        <f t="shared" si="49"/>
        <v>9047.7907124338744</v>
      </c>
      <c r="W99" s="44">
        <f t="shared" si="50"/>
        <v>6879.9111127398819</v>
      </c>
      <c r="X99" s="44">
        <f t="shared" si="51"/>
        <v>1998.5860932160724</v>
      </c>
      <c r="Y99" s="14">
        <f t="shared" si="52"/>
        <v>1957.0873302486707</v>
      </c>
      <c r="Z99" s="14">
        <f t="shared" si="53"/>
        <v>1368.5784225954071</v>
      </c>
      <c r="AA99" s="14">
        <f t="shared" si="54"/>
        <v>2267.0818757035959</v>
      </c>
      <c r="AB99" s="14">
        <f t="shared" si="55"/>
        <v>1824.9331671968882</v>
      </c>
      <c r="AC99" s="14">
        <f t="shared" si="56"/>
        <v>2267.0818757035959</v>
      </c>
      <c r="AD99" s="33">
        <f t="shared" si="57"/>
        <v>0.68134017100891087</v>
      </c>
      <c r="AE99" s="33">
        <f t="shared" si="58"/>
        <v>0.22885893125997281</v>
      </c>
      <c r="AF99" s="51">
        <f t="shared" si="59"/>
        <v>1.5749484389332908</v>
      </c>
      <c r="AG99" s="51">
        <f>APPLICANTS_PER_YEAR*($H99/Segments!$AH$2)*AE99</f>
        <v>1.9224150225837717</v>
      </c>
      <c r="AH99" s="51">
        <f t="shared" si="60"/>
        <v>3.4973634615170628</v>
      </c>
      <c r="AI99" s="14">
        <f t="shared" si="61"/>
        <v>2267.0818757035959</v>
      </c>
      <c r="AJ99" s="44">
        <f t="shared" si="62"/>
        <v>7928.8093163533231</v>
      </c>
      <c r="AK99" s="44">
        <f t="shared" si="63"/>
        <v>5360.7861097345358</v>
      </c>
      <c r="AL99" s="44">
        <f t="shared" si="64"/>
        <v>1769.0921345205134</v>
      </c>
      <c r="AM99" s="14">
        <f t="shared" si="65"/>
        <v>2267.0818757035959</v>
      </c>
      <c r="AN99" s="14">
        <f t="shared" si="66"/>
        <v>1409.6357752732692</v>
      </c>
      <c r="AO99" s="14">
        <f t="shared" si="67"/>
        <v>2333.8443319747034</v>
      </c>
      <c r="AP99" s="14">
        <f t="shared" si="68"/>
        <v>1879.1779885409157</v>
      </c>
      <c r="AQ99" s="14">
        <f t="shared" si="69"/>
        <v>2333.8443319747034</v>
      </c>
      <c r="AR99" s="33">
        <f t="shared" si="70"/>
        <v>0.72019061599103162</v>
      </c>
      <c r="AS99" s="33">
        <f t="shared" si="71"/>
        <v>0.229025205114601</v>
      </c>
      <c r="AT99" s="51">
        <f t="shared" si="72"/>
        <v>1.2593841728472501</v>
      </c>
      <c r="AU99" s="51">
        <f>APPLICANTS_PER_YEAR*($H99/Segments!$AH$2)*AS99</f>
        <v>1.9238117229626486</v>
      </c>
      <c r="AV99" s="51">
        <f t="shared" si="73"/>
        <v>3.1831958958098987</v>
      </c>
      <c r="AW99" s="14">
        <f t="shared" si="74"/>
        <v>2333.8443319747034</v>
      </c>
      <c r="AX99" s="44">
        <f t="shared" si="75"/>
        <v>7429.0836990010703</v>
      </c>
      <c r="AY99" s="44">
        <f t="shared" si="76"/>
        <v>5025.604432169077</v>
      </c>
      <c r="AZ99" s="44">
        <f t="shared" si="77"/>
        <v>1673.0017280912668</v>
      </c>
    </row>
    <row r="100" spans="1:52" ht="15" customHeight="1" x14ac:dyDescent="0.35">
      <c r="A100" s="61" t="str">
        <f>Segments!$A$80</f>
        <v>Non-greek</v>
      </c>
      <c r="B100" s="61" t="str">
        <f>Segments!$B$80</f>
        <v>Off 0-1mi</v>
      </c>
      <c r="C100" s="61" t="str">
        <f>Segments!$C$80</f>
        <v>No</v>
      </c>
      <c r="D100" s="61" t="str">
        <f>Segments!$D$80</f>
        <v>3.0+</v>
      </c>
      <c r="E100" s="61" t="str">
        <f>Segments!$E$80</f>
        <v>Freshman</v>
      </c>
      <c r="F100" s="61">
        <f>Segments!$F$80</f>
        <v>1</v>
      </c>
      <c r="G100" s="61" t="str">
        <f>Segments!$G$80</f>
        <v>Base</v>
      </c>
      <c r="H100" s="62">
        <f>Segments!$H$80</f>
        <v>4</v>
      </c>
      <c r="I100" s="63">
        <f>Segments!$Y$80</f>
        <v>884.43276648812105</v>
      </c>
      <c r="J100" s="42">
        <v>0</v>
      </c>
      <c r="K100" s="40">
        <f t="shared" si="39"/>
        <v>1479.8232950465513</v>
      </c>
      <c r="L100" s="40">
        <f t="shared" si="40"/>
        <v>884.43276648812105</v>
      </c>
      <c r="M100" s="40">
        <f t="shared" si="41"/>
        <v>1479.8232950465513</v>
      </c>
      <c r="N100" s="40">
        <f t="shared" si="42"/>
        <v>1452.7794209007029</v>
      </c>
      <c r="O100" s="40">
        <f t="shared" si="43"/>
        <v>1479.8232950465513</v>
      </c>
      <c r="P100" s="41">
        <f t="shared" si="44"/>
        <v>0.84069236741766284</v>
      </c>
      <c r="Q100" s="41">
        <f t="shared" si="45"/>
        <v>0.34069236741766284</v>
      </c>
      <c r="R100" s="64">
        <f t="shared" si="46"/>
        <v>0</v>
      </c>
      <c r="S100" s="64">
        <f>APPLICANTS_PER_YEAR*($H100/Segments!$AH$2)*Q100</f>
        <v>1.6353233636047817</v>
      </c>
      <c r="T100" s="64">
        <f t="shared" si="47"/>
        <v>1.6353233636047817</v>
      </c>
      <c r="U100" s="40">
        <f t="shared" si="48"/>
        <v>1479.8232950465513</v>
      </c>
      <c r="V100" s="65">
        <f t="shared" si="49"/>
        <v>2419.9896083962376</v>
      </c>
      <c r="W100" s="65">
        <f t="shared" si="50"/>
        <v>1619.8935945647131</v>
      </c>
      <c r="X100" s="65">
        <f t="shared" si="51"/>
        <v>615.66722364297243</v>
      </c>
      <c r="Y100" s="40">
        <f t="shared" si="52"/>
        <v>1522.967993897948</v>
      </c>
      <c r="Z100" s="40">
        <f t="shared" si="53"/>
        <v>910.96574948276475</v>
      </c>
      <c r="AA100" s="40">
        <f t="shared" si="54"/>
        <v>1522.967993897948</v>
      </c>
      <c r="AB100" s="40">
        <f t="shared" si="55"/>
        <v>1495.7490995970761</v>
      </c>
      <c r="AC100" s="40">
        <f t="shared" si="56"/>
        <v>1522.967993897948</v>
      </c>
      <c r="AD100" s="41">
        <f t="shared" si="57"/>
        <v>0.84090124997962423</v>
      </c>
      <c r="AE100" s="41">
        <f t="shared" si="58"/>
        <v>0.34090124997962423</v>
      </c>
      <c r="AF100" s="64">
        <f t="shared" si="59"/>
        <v>0</v>
      </c>
      <c r="AG100" s="64">
        <f>APPLICANTS_PER_YEAR*($H100/Segments!$AH$2)*AE100</f>
        <v>1.6363259999021962</v>
      </c>
      <c r="AH100" s="64">
        <f t="shared" si="60"/>
        <v>1.6363259999021962</v>
      </c>
      <c r="AI100" s="40">
        <f t="shared" si="61"/>
        <v>1522.967993897948</v>
      </c>
      <c r="AJ100" s="65">
        <f t="shared" si="62"/>
        <v>2492.0721254341015</v>
      </c>
      <c r="AK100" s="65">
        <f t="shared" si="63"/>
        <v>1669.5133738069233</v>
      </c>
      <c r="AL100" s="65">
        <f t="shared" si="64"/>
        <v>631.8588260928376</v>
      </c>
      <c r="AM100" s="40">
        <f t="shared" si="65"/>
        <v>1567.4070337148862</v>
      </c>
      <c r="AN100" s="40">
        <f t="shared" si="66"/>
        <v>938.2947219672476</v>
      </c>
      <c r="AO100" s="40">
        <f t="shared" si="67"/>
        <v>1567.4070337148862</v>
      </c>
      <c r="AP100" s="40">
        <f t="shared" si="68"/>
        <v>1540.0076204205227</v>
      </c>
      <c r="AQ100" s="40">
        <f t="shared" si="69"/>
        <v>1567.4070337148862</v>
      </c>
      <c r="AR100" s="41">
        <f t="shared" si="70"/>
        <v>0.84110413061239209</v>
      </c>
      <c r="AS100" s="41">
        <f t="shared" si="71"/>
        <v>0.34110413061239209</v>
      </c>
      <c r="AT100" s="64">
        <f t="shared" si="72"/>
        <v>0</v>
      </c>
      <c r="AU100" s="64">
        <f>APPLICANTS_PER_YEAR*($H100/Segments!$AH$2)*AS100</f>
        <v>1.6372998269394821</v>
      </c>
      <c r="AV100" s="64">
        <f t="shared" si="73"/>
        <v>1.6372998269394821</v>
      </c>
      <c r="AW100" s="40">
        <f t="shared" si="74"/>
        <v>1567.4070337148862</v>
      </c>
      <c r="AX100" s="65">
        <f t="shared" si="75"/>
        <v>2566.3152650451102</v>
      </c>
      <c r="AY100" s="65">
        <f t="shared" si="76"/>
        <v>1720.6221602026287</v>
      </c>
      <c r="AZ100" s="65">
        <f t="shared" si="77"/>
        <v>648.53311158238148</v>
      </c>
    </row>
    <row r="101" spans="1:52" ht="15" customHeight="1" x14ac:dyDescent="0.35">
      <c r="A101" s="61" t="str">
        <f>Segments!$A$81</f>
        <v>Non-greek</v>
      </c>
      <c r="B101" s="61" t="str">
        <f>Segments!$B$81</f>
        <v>Off 0-1mi</v>
      </c>
      <c r="C101" s="61" t="str">
        <f>Segments!$C$81</f>
        <v>No</v>
      </c>
      <c r="D101" s="61" t="str">
        <f>Segments!$D$81</f>
        <v>3.0+</v>
      </c>
      <c r="E101" s="61" t="str">
        <f>Segments!$E$81</f>
        <v>Sophomore</v>
      </c>
      <c r="F101" s="61">
        <f>Segments!$F$81</f>
        <v>1</v>
      </c>
      <c r="G101" s="61" t="str">
        <f>Segments!$G$81</f>
        <v>Sophomore</v>
      </c>
      <c r="H101" s="62">
        <f>Segments!$H$81</f>
        <v>12</v>
      </c>
      <c r="I101" s="63">
        <f>Segments!$Y$81</f>
        <v>875.43476227974952</v>
      </c>
      <c r="J101" s="42">
        <v>1</v>
      </c>
      <c r="K101" s="40">
        <f t="shared" si="39"/>
        <v>1426.2297754450396</v>
      </c>
      <c r="L101" s="40">
        <f t="shared" si="40"/>
        <v>875.43476227974952</v>
      </c>
      <c r="M101" s="40">
        <f t="shared" si="41"/>
        <v>1465.1918387224675</v>
      </c>
      <c r="N101" s="40">
        <f t="shared" si="42"/>
        <v>1445.5795471453825</v>
      </c>
      <c r="O101" s="40">
        <f t="shared" si="43"/>
        <v>1465.1918387224675</v>
      </c>
      <c r="P101" s="41">
        <f t="shared" si="44"/>
        <v>0.83502099367071925</v>
      </c>
      <c r="Q101" s="41">
        <f t="shared" si="45"/>
        <v>0.34321646061753786</v>
      </c>
      <c r="R101" s="64">
        <f t="shared" si="46"/>
        <v>3.340083974682877</v>
      </c>
      <c r="S101" s="64">
        <f>APPLICANTS_PER_YEAR*($H101/Segments!$AH$2)*Q101</f>
        <v>4.9423170328925448</v>
      </c>
      <c r="T101" s="64">
        <f t="shared" si="47"/>
        <v>8.2824010075754213</v>
      </c>
      <c r="U101" s="40">
        <f t="shared" si="48"/>
        <v>1465.1918387224675</v>
      </c>
      <c r="V101" s="65">
        <f t="shared" si="49"/>
        <v>12135.306361326249</v>
      </c>
      <c r="W101" s="65">
        <f t="shared" si="50"/>
        <v>8120.7859680330293</v>
      </c>
      <c r="X101" s="65">
        <f t="shared" si="51"/>
        <v>2836.2293385985449</v>
      </c>
      <c r="Y101" s="40">
        <f t="shared" si="52"/>
        <v>1479.8232950465513</v>
      </c>
      <c r="Z101" s="40">
        <f t="shared" si="53"/>
        <v>901.69780514814204</v>
      </c>
      <c r="AA101" s="40">
        <f t="shared" si="54"/>
        <v>1507.8975938841415</v>
      </c>
      <c r="AB101" s="40">
        <f t="shared" si="55"/>
        <v>1488.3301717431787</v>
      </c>
      <c r="AC101" s="40">
        <f t="shared" si="56"/>
        <v>1507.8975938841415</v>
      </c>
      <c r="AD101" s="41">
        <f t="shared" si="57"/>
        <v>0.83773496819416216</v>
      </c>
      <c r="AE101" s="41">
        <f t="shared" si="58"/>
        <v>0.34342638397297121</v>
      </c>
      <c r="AF101" s="64">
        <f t="shared" si="59"/>
        <v>1.3699675659966222</v>
      </c>
      <c r="AG101" s="64">
        <f>APPLICANTS_PER_YEAR*($H101/Segments!$AH$2)*AE101</f>
        <v>4.9453399292107845</v>
      </c>
      <c r="AH101" s="64">
        <f t="shared" si="60"/>
        <v>6.3153074952074064</v>
      </c>
      <c r="AI101" s="40">
        <f t="shared" si="61"/>
        <v>1507.8975938841415</v>
      </c>
      <c r="AJ101" s="65">
        <f t="shared" si="62"/>
        <v>9522.8369766617325</v>
      </c>
      <c r="AK101" s="65">
        <f t="shared" si="63"/>
        <v>6377.8387761358254</v>
      </c>
      <c r="AL101" s="65">
        <f t="shared" si="64"/>
        <v>2310.753153030349</v>
      </c>
      <c r="AM101" s="40">
        <f t="shared" si="65"/>
        <v>1522.967993897948</v>
      </c>
      <c r="AN101" s="40">
        <f t="shared" si="66"/>
        <v>928.74873930258627</v>
      </c>
      <c r="AO101" s="40">
        <f t="shared" si="67"/>
        <v>1551.8845217006658</v>
      </c>
      <c r="AP101" s="40">
        <f t="shared" si="68"/>
        <v>1532.3630631144472</v>
      </c>
      <c r="AQ101" s="40">
        <f t="shared" si="69"/>
        <v>1551.8845217006658</v>
      </c>
      <c r="AR101" s="41">
        <f t="shared" si="70"/>
        <v>0.83793418921956009</v>
      </c>
      <c r="AS101" s="41">
        <f t="shared" si="71"/>
        <v>0.34363027631762988</v>
      </c>
      <c r="AT101" s="64">
        <f t="shared" si="72"/>
        <v>1.3711335000269327</v>
      </c>
      <c r="AU101" s="64">
        <f>APPLICANTS_PER_YEAR*($H101/Segments!$AH$2)*AS101</f>
        <v>4.9482759789738697</v>
      </c>
      <c r="AV101" s="64">
        <f t="shared" si="73"/>
        <v>6.319409479000802</v>
      </c>
      <c r="AW101" s="40">
        <f t="shared" si="74"/>
        <v>1551.8845217006658</v>
      </c>
      <c r="AX101" s="65">
        <f t="shared" si="75"/>
        <v>9806.9937567498127</v>
      </c>
      <c r="AY101" s="65">
        <f t="shared" si="76"/>
        <v>6573.4408171698651</v>
      </c>
      <c r="AZ101" s="65">
        <f t="shared" si="77"/>
        <v>2372.3872606106243</v>
      </c>
    </row>
    <row r="102" spans="1:52" ht="15" customHeight="1" x14ac:dyDescent="0.35">
      <c r="A102" s="61" t="str">
        <f>Segments!$A$82</f>
        <v>Non-greek</v>
      </c>
      <c r="B102" s="61" t="str">
        <f>Segments!$B$82</f>
        <v>Off 0-1mi</v>
      </c>
      <c r="C102" s="61" t="str">
        <f>Segments!$C$82</f>
        <v>No</v>
      </c>
      <c r="D102" s="61" t="str">
        <f>Segments!$D$82</f>
        <v>3.0+</v>
      </c>
      <c r="E102" s="61" t="str">
        <f>Segments!$E$82</f>
        <v>Junior</v>
      </c>
      <c r="F102" s="61">
        <f>Segments!$F$82</f>
        <v>2</v>
      </c>
      <c r="G102" s="61" t="str">
        <f>Segments!$G$82</f>
        <v>Base</v>
      </c>
      <c r="H102" s="62">
        <f>Segments!$H$82</f>
        <v>16</v>
      </c>
      <c r="I102" s="63">
        <f>Segments!$Y$82</f>
        <v>1046.5171468774547</v>
      </c>
      <c r="J102" s="42">
        <v>2</v>
      </c>
      <c r="K102" s="40">
        <f t="shared" si="39"/>
        <v>1426.2297754450396</v>
      </c>
      <c r="L102" s="40">
        <f t="shared" si="40"/>
        <v>1046.5171468774547</v>
      </c>
      <c r="M102" s="40">
        <f t="shared" si="41"/>
        <v>1743.3851336014072</v>
      </c>
      <c r="N102" s="40">
        <f t="shared" si="42"/>
        <v>1576.8537622780864</v>
      </c>
      <c r="O102" s="40">
        <f t="shared" si="43"/>
        <v>1743.3851336014072</v>
      </c>
      <c r="P102" s="41">
        <f t="shared" si="44"/>
        <v>0.7304830723645187</v>
      </c>
      <c r="Q102" s="41">
        <f t="shared" si="45"/>
        <v>0.29719504899340432</v>
      </c>
      <c r="R102" s="64">
        <f t="shared" si="46"/>
        <v>8.765796868374224</v>
      </c>
      <c r="S102" s="64">
        <f>APPLICANTS_PER_YEAR*($H102/Segments!$AH$2)*Q102</f>
        <v>5.7061449406733624</v>
      </c>
      <c r="T102" s="64">
        <f t="shared" si="47"/>
        <v>14.471941809047586</v>
      </c>
      <c r="U102" s="40">
        <f t="shared" si="48"/>
        <v>1743.3851336014072</v>
      </c>
      <c r="V102" s="65">
        <f t="shared" si="49"/>
        <v>25230.168204238216</v>
      </c>
      <c r="W102" s="65">
        <f t="shared" si="50"/>
        <v>16962.551481994757</v>
      </c>
      <c r="X102" s="65">
        <f t="shared" si="51"/>
        <v>5548.7745393898786</v>
      </c>
      <c r="Y102" s="40">
        <f t="shared" si="52"/>
        <v>1465.1918387224675</v>
      </c>
      <c r="Z102" s="40">
        <f t="shared" si="53"/>
        <v>1077.9126612837783</v>
      </c>
      <c r="AA102" s="40">
        <f t="shared" si="54"/>
        <v>1794.4366876094496</v>
      </c>
      <c r="AB102" s="40">
        <f t="shared" si="55"/>
        <v>1623.5939778898396</v>
      </c>
      <c r="AC102" s="40">
        <f t="shared" si="56"/>
        <v>1794.4366876094496</v>
      </c>
      <c r="AD102" s="41">
        <f t="shared" si="57"/>
        <v>0.72997416399535475</v>
      </c>
      <c r="AE102" s="41">
        <f t="shared" si="58"/>
        <v>0.29738748971536233</v>
      </c>
      <c r="AF102" s="64">
        <f t="shared" si="59"/>
        <v>6.0459387513791523</v>
      </c>
      <c r="AG102" s="64">
        <f>APPLICANTS_PER_YEAR*($H102/Segments!$AH$2)*AE102</f>
        <v>5.7098398025349564</v>
      </c>
      <c r="AH102" s="64">
        <f t="shared" si="60"/>
        <v>11.755778553914109</v>
      </c>
      <c r="AI102" s="40">
        <f t="shared" si="61"/>
        <v>1794.4366876094496</v>
      </c>
      <c r="AJ102" s="65">
        <f t="shared" si="62"/>
        <v>21095.000328555838</v>
      </c>
      <c r="AK102" s="65">
        <f t="shared" si="63"/>
        <v>14192.306852093805</v>
      </c>
      <c r="AL102" s="65">
        <f t="shared" si="64"/>
        <v>4723.4247390101591</v>
      </c>
      <c r="AM102" s="40">
        <f t="shared" si="65"/>
        <v>1507.8975938841415</v>
      </c>
      <c r="AN102" s="40">
        <f t="shared" si="66"/>
        <v>1110.2500411222916</v>
      </c>
      <c r="AO102" s="40">
        <f t="shared" si="67"/>
        <v>1847.0197882377329</v>
      </c>
      <c r="AP102" s="40">
        <f t="shared" si="68"/>
        <v>1671.7362058788269</v>
      </c>
      <c r="AQ102" s="40">
        <f t="shared" si="69"/>
        <v>1847.0197882377329</v>
      </c>
      <c r="AR102" s="41">
        <f t="shared" si="70"/>
        <v>0.73010518024410365</v>
      </c>
      <c r="AS102" s="41">
        <f t="shared" si="71"/>
        <v>0.2975743895052031</v>
      </c>
      <c r="AT102" s="64">
        <f t="shared" si="72"/>
        <v>4.6108387170853424</v>
      </c>
      <c r="AU102" s="64">
        <f>APPLICANTS_PER_YEAR*($H102/Segments!$AH$2)*AS102</f>
        <v>5.7134282784998991</v>
      </c>
      <c r="AV102" s="64">
        <f t="shared" si="73"/>
        <v>10.324266995585241</v>
      </c>
      <c r="AW102" s="40">
        <f t="shared" si="74"/>
        <v>1847.0197882377329</v>
      </c>
      <c r="AX102" s="65">
        <f t="shared" si="75"/>
        <v>19069.125439895666</v>
      </c>
      <c r="AY102" s="65">
        <f t="shared" si="76"/>
        <v>12838.019999174756</v>
      </c>
      <c r="AZ102" s="65">
        <f t="shared" si="77"/>
        <v>4322.7342831318056</v>
      </c>
    </row>
    <row r="103" spans="1:52" ht="15" customHeight="1" x14ac:dyDescent="0.35">
      <c r="A103" s="61" t="str">
        <f>Segments!$A$83</f>
        <v>Non-greek</v>
      </c>
      <c r="B103" s="61" t="str">
        <f>Segments!$B$83</f>
        <v>Off 0-1mi</v>
      </c>
      <c r="C103" s="61" t="str">
        <f>Segments!$C$83</f>
        <v>No</v>
      </c>
      <c r="D103" s="61" t="str">
        <f>Segments!$D$83</f>
        <v>3.0+</v>
      </c>
      <c r="E103" s="61" t="str">
        <f>Segments!$E$83</f>
        <v>Senior</v>
      </c>
      <c r="F103" s="61">
        <f>Segments!$F$83</f>
        <v>3</v>
      </c>
      <c r="G103" s="61" t="str">
        <f>Segments!$G$83</f>
        <v>Base</v>
      </c>
      <c r="H103" s="62">
        <f>Segments!$H$83</f>
        <v>22</v>
      </c>
      <c r="I103" s="63">
        <f>Segments!$Y$83</f>
        <v>978.16645014658025</v>
      </c>
      <c r="J103" s="42">
        <v>3</v>
      </c>
      <c r="K103" s="40">
        <f t="shared" si="39"/>
        <v>1426.2297754450396</v>
      </c>
      <c r="L103" s="40">
        <f t="shared" si="40"/>
        <v>978.16645014658025</v>
      </c>
      <c r="M103" s="40">
        <f t="shared" si="41"/>
        <v>1632.2415721205125</v>
      </c>
      <c r="N103" s="40">
        <f t="shared" si="42"/>
        <v>1525.7626063308464</v>
      </c>
      <c r="O103" s="40">
        <f t="shared" si="43"/>
        <v>1632.2415721205125</v>
      </c>
      <c r="P103" s="41">
        <f t="shared" si="44"/>
        <v>0.7717728052194599</v>
      </c>
      <c r="Q103" s="41">
        <f t="shared" si="45"/>
        <v>0.31510631295201075</v>
      </c>
      <c r="R103" s="64">
        <f t="shared" si="46"/>
        <v>12.348364883511358</v>
      </c>
      <c r="S103" s="64">
        <f>APPLICANTS_PER_YEAR*($H103/Segments!$AH$2)*Q103</f>
        <v>8.3188066619330847</v>
      </c>
      <c r="T103" s="64">
        <f t="shared" si="47"/>
        <v>20.667171545444443</v>
      </c>
      <c r="U103" s="40">
        <f t="shared" si="48"/>
        <v>1632.2415721205127</v>
      </c>
      <c r="V103" s="65">
        <f t="shared" si="49"/>
        <v>33733.816574620563</v>
      </c>
      <c r="W103" s="65">
        <f t="shared" si="50"/>
        <v>22641.845884199141</v>
      </c>
      <c r="X103" s="65">
        <f t="shared" si="51"/>
        <v>7472.2455023019102</v>
      </c>
      <c r="Y103" s="40">
        <f t="shared" si="52"/>
        <v>1743.3851336014072</v>
      </c>
      <c r="Z103" s="40">
        <f t="shared" si="53"/>
        <v>1007.5114436509776</v>
      </c>
      <c r="AA103" s="40">
        <f t="shared" si="54"/>
        <v>1679.9588192841277</v>
      </c>
      <c r="AB103" s="40">
        <f t="shared" si="55"/>
        <v>1570.9511476401967</v>
      </c>
      <c r="AC103" s="40">
        <f t="shared" si="56"/>
        <v>1679.9588192841277</v>
      </c>
      <c r="AD103" s="41">
        <f t="shared" si="57"/>
        <v>0.81530520003512619</v>
      </c>
      <c r="AE103" s="41">
        <f t="shared" si="58"/>
        <v>0.31530520003512619</v>
      </c>
      <c r="AF103" s="64">
        <f t="shared" si="59"/>
        <v>11.799049411522248</v>
      </c>
      <c r="AG103" s="64">
        <f>APPLICANTS_PER_YEAR*($H103/Segments!$AH$2)*AE103</f>
        <v>8.3240572809273328</v>
      </c>
      <c r="AH103" s="64">
        <f t="shared" si="60"/>
        <v>20.123106692449582</v>
      </c>
      <c r="AI103" s="40">
        <f t="shared" si="61"/>
        <v>1679.9588192841275</v>
      </c>
      <c r="AJ103" s="65">
        <f t="shared" si="62"/>
        <v>33805.990559376121</v>
      </c>
      <c r="AK103" s="65">
        <f t="shared" si="63"/>
        <v>22707.171507386833</v>
      </c>
      <c r="AL103" s="65">
        <f t="shared" si="64"/>
        <v>7489.3383520404677</v>
      </c>
      <c r="AM103" s="40">
        <f t="shared" si="65"/>
        <v>1794.4366876094496</v>
      </c>
      <c r="AN103" s="40">
        <f t="shared" si="66"/>
        <v>1037.7367869605068</v>
      </c>
      <c r="AO103" s="40">
        <f t="shared" si="67"/>
        <v>1729.1075838626514</v>
      </c>
      <c r="AP103" s="40">
        <f t="shared" si="68"/>
        <v>1617.495130924621</v>
      </c>
      <c r="AQ103" s="40">
        <f t="shared" si="69"/>
        <v>1729.1075838626514</v>
      </c>
      <c r="AR103" s="41">
        <f t="shared" si="70"/>
        <v>0.81549836509423412</v>
      </c>
      <c r="AS103" s="41">
        <f t="shared" si="71"/>
        <v>0.31549836509423412</v>
      </c>
      <c r="AT103" s="64">
        <f t="shared" si="72"/>
        <v>9.5868181911268149</v>
      </c>
      <c r="AU103" s="64">
        <f>APPLICANTS_PER_YEAR*($H103/Segments!$AH$2)*AS103</f>
        <v>8.3291568384877817</v>
      </c>
      <c r="AV103" s="64">
        <f t="shared" si="73"/>
        <v>17.915975029614597</v>
      </c>
      <c r="AW103" s="40">
        <f t="shared" si="74"/>
        <v>1729.1075838626512</v>
      </c>
      <c r="AX103" s="65">
        <f t="shared" si="75"/>
        <v>30978.648296000487</v>
      </c>
      <c r="AY103" s="65">
        <f t="shared" si="76"/>
        <v>20823.114325996557</v>
      </c>
      <c r="AZ103" s="65">
        <f t="shared" si="77"/>
        <v>6925.5832384799533</v>
      </c>
    </row>
    <row r="104" spans="1:52" ht="15" customHeight="1" x14ac:dyDescent="0.35">
      <c r="A104" s="61" t="str">
        <f>Segments!$A$84</f>
        <v>Non-greek</v>
      </c>
      <c r="B104" s="61" t="str">
        <f>Segments!$B$84</f>
        <v>Off 0-1mi</v>
      </c>
      <c r="C104" s="61" t="str">
        <f>Segments!$C$84</f>
        <v>No</v>
      </c>
      <c r="D104" s="61" t="str">
        <f>Segments!$D$84</f>
        <v>3.0+</v>
      </c>
      <c r="E104" s="61" t="str">
        <f>Segments!$E$84</f>
        <v>Grad student</v>
      </c>
      <c r="F104" s="61">
        <f>Segments!$F$84</f>
        <v>3</v>
      </c>
      <c r="G104" s="61" t="str">
        <f>Segments!$G$84</f>
        <v>Grad</v>
      </c>
      <c r="H104" s="62">
        <f>Segments!$H$84</f>
        <v>4</v>
      </c>
      <c r="I104" s="63">
        <f>Segments!$Y$84</f>
        <v>1164.6836465143435</v>
      </c>
      <c r="J104" s="42">
        <v>4</v>
      </c>
      <c r="K104" s="40">
        <f t="shared" si="39"/>
        <v>1426.2297754450396</v>
      </c>
      <c r="L104" s="40">
        <f t="shared" si="40"/>
        <v>1164.6836465143435</v>
      </c>
      <c r="M104" s="40">
        <f t="shared" si="41"/>
        <v>1935.5330742301123</v>
      </c>
      <c r="N104" s="40">
        <f t="shared" si="42"/>
        <v>1661.4797325955137</v>
      </c>
      <c r="O104" s="40">
        <f t="shared" si="43"/>
        <v>1782.7872193062994</v>
      </c>
      <c r="P104" s="41">
        <f t="shared" si="44"/>
        <v>0.73849414189925666</v>
      </c>
      <c r="Q104" s="41">
        <f t="shared" si="45"/>
        <v>0.26752732932634671</v>
      </c>
      <c r="R104" s="64">
        <f t="shared" si="46"/>
        <v>1.4769882837985133</v>
      </c>
      <c r="S104" s="64">
        <f>APPLICANTS_PER_YEAR*($H104/Segments!$AH$2)*Q104</f>
        <v>1.2841311807664642</v>
      </c>
      <c r="T104" s="64">
        <f t="shared" si="47"/>
        <v>2.7611194645649775</v>
      </c>
      <c r="U104" s="40">
        <f t="shared" si="48"/>
        <v>1853.8256939386897</v>
      </c>
      <c r="V104" s="65">
        <f t="shared" si="49"/>
        <v>5118.634207444793</v>
      </c>
      <c r="W104" s="65">
        <f t="shared" si="50"/>
        <v>3601.7303688254224</v>
      </c>
      <c r="X104" s="65">
        <f t="shared" si="51"/>
        <v>1141.7392770383551</v>
      </c>
      <c r="Y104" s="40">
        <f t="shared" si="52"/>
        <v>1853.8256939386897</v>
      </c>
      <c r="Z104" s="40">
        <f t="shared" si="53"/>
        <v>1199.6241559097739</v>
      </c>
      <c r="AA104" s="40">
        <f t="shared" si="54"/>
        <v>1992.3490664570159</v>
      </c>
      <c r="AB104" s="40">
        <f t="shared" si="55"/>
        <v>1710.7875345907094</v>
      </c>
      <c r="AC104" s="40">
        <f t="shared" si="56"/>
        <v>1992.3490664570159</v>
      </c>
      <c r="AD104" s="41">
        <f t="shared" si="57"/>
        <v>0.74529307234842834</v>
      </c>
      <c r="AE104" s="41">
        <f t="shared" si="58"/>
        <v>0.2677099650969611</v>
      </c>
      <c r="AF104" s="64">
        <f t="shared" si="59"/>
        <v>1.0289216044333398</v>
      </c>
      <c r="AG104" s="64">
        <f>APPLICANTS_PER_YEAR*($H104/Segments!$AH$2)*AE104</f>
        <v>1.2850078324654133</v>
      </c>
      <c r="AH104" s="64">
        <f t="shared" si="60"/>
        <v>2.3139294368987531</v>
      </c>
      <c r="AI104" s="40">
        <f t="shared" si="61"/>
        <v>1992.3490664570159</v>
      </c>
      <c r="AJ104" s="65">
        <f t="shared" si="62"/>
        <v>4610.1551534526388</v>
      </c>
      <c r="AK104" s="65">
        <f t="shared" si="63"/>
        <v>3108.9471252833787</v>
      </c>
      <c r="AL104" s="65">
        <f t="shared" si="64"/>
        <v>1039.329553991244</v>
      </c>
      <c r="AM104" s="40">
        <f t="shared" si="65"/>
        <v>1992.3490664570159</v>
      </c>
      <c r="AN104" s="40">
        <f t="shared" si="66"/>
        <v>1235.6128805870669</v>
      </c>
      <c r="AO104" s="40">
        <f t="shared" si="67"/>
        <v>2050.8695384507259</v>
      </c>
      <c r="AP104" s="40">
        <f t="shared" si="68"/>
        <v>1761.574404744322</v>
      </c>
      <c r="AQ104" s="40">
        <f t="shared" si="69"/>
        <v>2050.8695384507259</v>
      </c>
      <c r="AR104" s="41">
        <f t="shared" si="70"/>
        <v>0.75907555623074785</v>
      </c>
      <c r="AS104" s="41">
        <f t="shared" si="71"/>
        <v>0.26788733620127936</v>
      </c>
      <c r="AT104" s="64">
        <f t="shared" si="72"/>
        <v>0.87822363719631102</v>
      </c>
      <c r="AU104" s="64">
        <f>APPLICANTS_PER_YEAR*($H104/Segments!$AH$2)*AS104</f>
        <v>1.2858592137661409</v>
      </c>
      <c r="AV104" s="64">
        <f t="shared" si="73"/>
        <v>2.1640828509624521</v>
      </c>
      <c r="AW104" s="40">
        <f t="shared" si="74"/>
        <v>2050.8695384507255</v>
      </c>
      <c r="AX104" s="65">
        <f t="shared" si="75"/>
        <v>4438.2515977224948</v>
      </c>
      <c r="AY104" s="65">
        <f t="shared" si="76"/>
        <v>2994.8448827436023</v>
      </c>
      <c r="AZ104" s="65">
        <f t="shared" si="77"/>
        <v>1006.5572215616753</v>
      </c>
    </row>
    <row r="105" spans="1:52" ht="15" customHeight="1" x14ac:dyDescent="0.35">
      <c r="A105" s="59" t="str">
        <f>Segments!$A$85</f>
        <v>Non-greek</v>
      </c>
      <c r="B105" s="59" t="str">
        <f>Segments!$B$85</f>
        <v>Off 1-3mi</v>
      </c>
      <c r="C105" s="59" t="str">
        <f>Segments!$C$85</f>
        <v>Yes</v>
      </c>
      <c r="D105" s="59" t="str">
        <f>Segments!$D$85</f>
        <v>&lt;1.0</v>
      </c>
      <c r="E105" s="59" t="str">
        <f>Segments!$E$85</f>
        <v>Freshman</v>
      </c>
      <c r="F105" s="59">
        <f>Segments!$F$85</f>
        <v>1</v>
      </c>
      <c r="G105" s="59" t="str">
        <f>Segments!$G$85</f>
        <v>Base</v>
      </c>
      <c r="H105" s="60">
        <f>Segments!$H$85</f>
        <v>11</v>
      </c>
      <c r="I105" s="26">
        <f>Segments!$Y$85</f>
        <v>631.9706680925641</v>
      </c>
      <c r="J105" s="29">
        <v>0</v>
      </c>
      <c r="K105" s="14">
        <f t="shared" si="39"/>
        <v>1069.3002411981824</v>
      </c>
      <c r="L105" s="14">
        <f t="shared" si="40"/>
        <v>631.9706680925641</v>
      </c>
      <c r="M105" s="14">
        <f t="shared" si="41"/>
        <v>1069.3002411981824</v>
      </c>
      <c r="N105" s="14">
        <f t="shared" si="42"/>
        <v>1234.9363719995497</v>
      </c>
      <c r="O105" s="14">
        <f t="shared" si="43"/>
        <v>1069.3002411981824</v>
      </c>
      <c r="P105" s="33">
        <f t="shared" si="44"/>
        <v>0.91706261737727313</v>
      </c>
      <c r="Q105" s="33">
        <f t="shared" si="45"/>
        <v>0.41706261737727307</v>
      </c>
      <c r="R105" s="51">
        <f t="shared" si="46"/>
        <v>0</v>
      </c>
      <c r="S105" s="51">
        <f>APPLICANTS_PER_YEAR*($H105/Segments!$AH$2)*Q105</f>
        <v>5.505226549380005</v>
      </c>
      <c r="T105" s="51">
        <f t="shared" si="47"/>
        <v>5.505226549380005</v>
      </c>
      <c r="U105" s="14">
        <f t="shared" si="48"/>
        <v>1069.3002411981824</v>
      </c>
      <c r="V105" s="44">
        <f t="shared" si="49"/>
        <v>5886.7400771026769</v>
      </c>
      <c r="W105" s="44">
        <f t="shared" si="50"/>
        <v>3896.6387044621156</v>
      </c>
      <c r="X105" s="44">
        <f t="shared" si="51"/>
        <v>1566.3649719931</v>
      </c>
      <c r="Y105" s="14">
        <f t="shared" si="52"/>
        <v>1100.1292484341279</v>
      </c>
      <c r="Z105" s="14">
        <f t="shared" si="53"/>
        <v>650.92978813534103</v>
      </c>
      <c r="AA105" s="14">
        <f t="shared" si="54"/>
        <v>1100.1292484341279</v>
      </c>
      <c r="AB105" s="14">
        <f t="shared" si="55"/>
        <v>1271.2624448489651</v>
      </c>
      <c r="AC105" s="14">
        <f t="shared" si="56"/>
        <v>1100.1292484341279</v>
      </c>
      <c r="AD105" s="33">
        <f t="shared" si="57"/>
        <v>0.91730836622612921</v>
      </c>
      <c r="AE105" s="33">
        <f t="shared" si="58"/>
        <v>0.41730836622612921</v>
      </c>
      <c r="AF105" s="51">
        <f t="shared" si="59"/>
        <v>0</v>
      </c>
      <c r="AG105" s="51">
        <f>APPLICANTS_PER_YEAR*($H105/Segments!$AH$2)*AE105</f>
        <v>5.5084704341849058</v>
      </c>
      <c r="AH105" s="51">
        <f t="shared" si="60"/>
        <v>5.5084704341849058</v>
      </c>
      <c r="AI105" s="14">
        <f t="shared" si="61"/>
        <v>1100.1292484341279</v>
      </c>
      <c r="AJ105" s="44">
        <f t="shared" si="62"/>
        <v>6060.0294387814547</v>
      </c>
      <c r="AK105" s="44">
        <f t="shared" si="63"/>
        <v>4015.9027917946232</v>
      </c>
      <c r="AL105" s="44">
        <f t="shared" si="64"/>
        <v>1605.3277638253667</v>
      </c>
      <c r="AM105" s="14">
        <f t="shared" si="65"/>
        <v>1131.8831258871517</v>
      </c>
      <c r="AN105" s="14">
        <f t="shared" si="66"/>
        <v>670.45768177940124</v>
      </c>
      <c r="AO105" s="14">
        <f t="shared" si="67"/>
        <v>1131.8831258871517</v>
      </c>
      <c r="AP105" s="14">
        <f t="shared" si="68"/>
        <v>1308.6778955597604</v>
      </c>
      <c r="AQ105" s="14">
        <f t="shared" si="69"/>
        <v>1131.8831258871517</v>
      </c>
      <c r="AR105" s="33">
        <f t="shared" si="70"/>
        <v>0.91754709095051545</v>
      </c>
      <c r="AS105" s="33">
        <f t="shared" si="71"/>
        <v>0.41754709095051545</v>
      </c>
      <c r="AT105" s="51">
        <f t="shared" si="72"/>
        <v>0</v>
      </c>
      <c r="AU105" s="51">
        <f>APPLICANTS_PER_YEAR*($H105/Segments!$AH$2)*AS105</f>
        <v>5.5116216005468042</v>
      </c>
      <c r="AV105" s="51">
        <f t="shared" si="73"/>
        <v>5.5116216005468042</v>
      </c>
      <c r="AW105" s="14">
        <f t="shared" si="74"/>
        <v>1131.8831258871517</v>
      </c>
      <c r="AX105" s="44">
        <f t="shared" si="75"/>
        <v>6238.5114859340629</v>
      </c>
      <c r="AY105" s="44">
        <f t="shared" si="76"/>
        <v>4138.7461260856298</v>
      </c>
      <c r="AZ105" s="44">
        <f t="shared" si="77"/>
        <v>1645.4495448738362</v>
      </c>
    </row>
    <row r="106" spans="1:52" ht="15" customHeight="1" x14ac:dyDescent="0.35">
      <c r="A106" s="59" t="str">
        <f>Segments!$A$86</f>
        <v>Non-greek</v>
      </c>
      <c r="B106" s="59" t="str">
        <f>Segments!$B$86</f>
        <v>Off 1-3mi</v>
      </c>
      <c r="C106" s="59" t="str">
        <f>Segments!$C$86</f>
        <v>Yes</v>
      </c>
      <c r="D106" s="59" t="str">
        <f>Segments!$D$86</f>
        <v>&lt;1.0</v>
      </c>
      <c r="E106" s="59" t="str">
        <f>Segments!$E$86</f>
        <v>Sophomore</v>
      </c>
      <c r="F106" s="59">
        <f>Segments!$F$86</f>
        <v>1</v>
      </c>
      <c r="G106" s="59" t="str">
        <f>Segments!$G$86</f>
        <v>Sophomore</v>
      </c>
      <c r="H106" s="60">
        <f>Segments!$H$86</f>
        <v>12</v>
      </c>
      <c r="I106" s="26">
        <f>Segments!$Y$86</f>
        <v>625.54115197044666</v>
      </c>
      <c r="J106" s="29">
        <v>1</v>
      </c>
      <c r="K106" s="14">
        <f t="shared" si="39"/>
        <v>1426.2297754450396</v>
      </c>
      <c r="L106" s="14">
        <f t="shared" si="40"/>
        <v>625.54115197044666</v>
      </c>
      <c r="M106" s="14">
        <f t="shared" si="41"/>
        <v>1058.8453467407835</v>
      </c>
      <c r="N106" s="14">
        <f t="shared" si="42"/>
        <v>1228.8843562813927</v>
      </c>
      <c r="O106" s="14">
        <f t="shared" si="43"/>
        <v>1058.8453467407835</v>
      </c>
      <c r="P106" s="33">
        <f t="shared" si="44"/>
        <v>0.91918430065101797</v>
      </c>
      <c r="Q106" s="33">
        <f t="shared" si="45"/>
        <v>0.41918430065101797</v>
      </c>
      <c r="R106" s="51">
        <f t="shared" si="46"/>
        <v>10.111027307161198</v>
      </c>
      <c r="S106" s="51">
        <f>APPLICANTS_PER_YEAR*($H106/Segments!$AH$2)*Q106</f>
        <v>6.0362539293746584</v>
      </c>
      <c r="T106" s="51">
        <f t="shared" si="47"/>
        <v>16.147281236535857</v>
      </c>
      <c r="U106" s="14">
        <f t="shared" si="48"/>
        <v>1058.8453467407833</v>
      </c>
      <c r="V106" s="44">
        <f t="shared" si="49"/>
        <v>17097.473599820754</v>
      </c>
      <c r="W106" s="44">
        <f t="shared" si="50"/>
        <v>11312.88357460063</v>
      </c>
      <c r="X106" s="44">
        <f t="shared" si="51"/>
        <v>3928.9755618014506</v>
      </c>
      <c r="Y106" s="14">
        <f t="shared" si="52"/>
        <v>1069.3002411981824</v>
      </c>
      <c r="Z106" s="14">
        <f t="shared" si="53"/>
        <v>644.30738652956006</v>
      </c>
      <c r="AA106" s="14">
        <f t="shared" si="54"/>
        <v>1089.3607071430072</v>
      </c>
      <c r="AB106" s="14">
        <f t="shared" si="55"/>
        <v>1265.0253108254542</v>
      </c>
      <c r="AC106" s="14">
        <f t="shared" si="56"/>
        <v>1089.3607071430072</v>
      </c>
      <c r="AD106" s="33">
        <f t="shared" si="57"/>
        <v>0.91380315008063528</v>
      </c>
      <c r="AE106" s="33">
        <f t="shared" si="58"/>
        <v>0.41943126045747747</v>
      </c>
      <c r="AF106" s="51">
        <f t="shared" si="59"/>
        <v>5.0306933627309949</v>
      </c>
      <c r="AG106" s="51">
        <f>APPLICANTS_PER_YEAR*($H106/Segments!$AH$2)*AE106</f>
        <v>6.0398101505876749</v>
      </c>
      <c r="AH106" s="51">
        <f t="shared" si="60"/>
        <v>11.07050351331867</v>
      </c>
      <c r="AI106" s="14">
        <f t="shared" si="61"/>
        <v>1089.3607071430072</v>
      </c>
      <c r="AJ106" s="44">
        <f t="shared" si="62"/>
        <v>12059.771535697972</v>
      </c>
      <c r="AK106" s="44">
        <f t="shared" si="63"/>
        <v>7988.7440485805855</v>
      </c>
      <c r="AL106" s="44">
        <f t="shared" si="64"/>
        <v>2881.9857592608619</v>
      </c>
      <c r="AM106" s="14">
        <f t="shared" si="65"/>
        <v>1100.1292484341279</v>
      </c>
      <c r="AN106" s="14">
        <f t="shared" si="66"/>
        <v>663.63660812544686</v>
      </c>
      <c r="AO106" s="14">
        <f t="shared" si="67"/>
        <v>1120.7915283572972</v>
      </c>
      <c r="AP106" s="14">
        <f t="shared" si="68"/>
        <v>1302.2500836717745</v>
      </c>
      <c r="AQ106" s="14">
        <f t="shared" si="69"/>
        <v>1120.7915283572972</v>
      </c>
      <c r="AR106" s="33">
        <f t="shared" si="70"/>
        <v>0.91403665764941766</v>
      </c>
      <c r="AS106" s="33">
        <f t="shared" si="71"/>
        <v>0.41967116285485029</v>
      </c>
      <c r="AT106" s="51">
        <f t="shared" si="72"/>
        <v>5.0349439044230078</v>
      </c>
      <c r="AU106" s="51">
        <f>APPLICANTS_PER_YEAR*($H106/Segments!$AH$2)*AS106</f>
        <v>6.0432647451098438</v>
      </c>
      <c r="AV106" s="51">
        <f t="shared" si="73"/>
        <v>11.078208649532851</v>
      </c>
      <c r="AW106" s="14">
        <f t="shared" si="74"/>
        <v>1120.7915283572972</v>
      </c>
      <c r="AX106" s="44">
        <f t="shared" si="75"/>
        <v>12416.362403770954</v>
      </c>
      <c r="AY106" s="44">
        <f t="shared" si="76"/>
        <v>8234.1333897558052</v>
      </c>
      <c r="AZ106" s="44">
        <f t="shared" si="77"/>
        <v>2956.4016834789936</v>
      </c>
    </row>
    <row r="107" spans="1:52" ht="15" customHeight="1" x14ac:dyDescent="0.35">
      <c r="A107" s="59" t="str">
        <f>Segments!$A$87</f>
        <v>Non-greek</v>
      </c>
      <c r="B107" s="59" t="str">
        <f>Segments!$B$87</f>
        <v>Off 1-3mi</v>
      </c>
      <c r="C107" s="59" t="str">
        <f>Segments!$C$87</f>
        <v>Yes</v>
      </c>
      <c r="D107" s="59" t="str">
        <f>Segments!$D$87</f>
        <v>&lt;1.0</v>
      </c>
      <c r="E107" s="59" t="str">
        <f>Segments!$E$87</f>
        <v>Junior</v>
      </c>
      <c r="F107" s="59">
        <f>Segments!$F$87</f>
        <v>2</v>
      </c>
      <c r="G107" s="59" t="str">
        <f>Segments!$G$87</f>
        <v>Base</v>
      </c>
      <c r="H107" s="60">
        <f>Segments!$H$87</f>
        <v>9</v>
      </c>
      <c r="I107" s="26">
        <f>Segments!$Y$87</f>
        <v>747.78792186613532</v>
      </c>
      <c r="J107" s="29">
        <v>2</v>
      </c>
      <c r="K107" s="14">
        <f t="shared" si="39"/>
        <v>1426.2297754450396</v>
      </c>
      <c r="L107" s="14">
        <f t="shared" si="40"/>
        <v>747.78792186613532</v>
      </c>
      <c r="M107" s="14">
        <f t="shared" si="41"/>
        <v>1257.6281249067445</v>
      </c>
      <c r="N107" s="14">
        <f t="shared" si="42"/>
        <v>1339.2784169765121</v>
      </c>
      <c r="O107" s="14">
        <f t="shared" si="43"/>
        <v>1257.6281249067445</v>
      </c>
      <c r="P107" s="33">
        <f t="shared" si="44"/>
        <v>0.88048294179715714</v>
      </c>
      <c r="Q107" s="33">
        <f t="shared" si="45"/>
        <v>0.38048294179715714</v>
      </c>
      <c r="R107" s="51">
        <f t="shared" si="46"/>
        <v>10.565795301565885</v>
      </c>
      <c r="S107" s="51">
        <f>APPLICANTS_PER_YEAR*($H107/Segments!$AH$2)*Q107</f>
        <v>4.1092157714092963</v>
      </c>
      <c r="T107" s="51">
        <f t="shared" si="47"/>
        <v>14.675011072975181</v>
      </c>
      <c r="U107" s="14">
        <f t="shared" si="48"/>
        <v>1257.6281249067445</v>
      </c>
      <c r="V107" s="44">
        <f t="shared" si="49"/>
        <v>18455.706658691488</v>
      </c>
      <c r="W107" s="44">
        <f t="shared" si="50"/>
        <v>12290.651557657353</v>
      </c>
      <c r="X107" s="44">
        <f t="shared" si="51"/>
        <v>4065.2344606276415</v>
      </c>
      <c r="Y107" s="14">
        <f t="shared" si="52"/>
        <v>1058.8453467407833</v>
      </c>
      <c r="Z107" s="14">
        <f t="shared" si="53"/>
        <v>770.22155952211938</v>
      </c>
      <c r="AA107" s="14">
        <f t="shared" si="54"/>
        <v>1294.1069686539468</v>
      </c>
      <c r="AB107" s="14">
        <f t="shared" si="55"/>
        <v>1378.7910313185007</v>
      </c>
      <c r="AC107" s="14">
        <f t="shared" si="56"/>
        <v>1294.1069686539468</v>
      </c>
      <c r="AD107" s="33">
        <f t="shared" si="57"/>
        <v>0.81405344884985098</v>
      </c>
      <c r="AE107" s="33">
        <f t="shared" si="58"/>
        <v>0.38070953492625087</v>
      </c>
      <c r="AF107" s="51">
        <f t="shared" si="59"/>
        <v>13.1447499801505</v>
      </c>
      <c r="AG107" s="51">
        <f>APPLICANTS_PER_YEAR*($H107/Segments!$AH$2)*AE107</f>
        <v>4.1116629772035092</v>
      </c>
      <c r="AH107" s="51">
        <f t="shared" si="60"/>
        <v>17.256412957354009</v>
      </c>
      <c r="AI107" s="14">
        <f t="shared" si="61"/>
        <v>1294.1069686539468</v>
      </c>
      <c r="AJ107" s="44">
        <f t="shared" si="62"/>
        <v>22331.644262082085</v>
      </c>
      <c r="AK107" s="44">
        <f t="shared" si="63"/>
        <v>14886.212655743424</v>
      </c>
      <c r="AL107" s="44">
        <f t="shared" si="64"/>
        <v>4854.8332090151243</v>
      </c>
      <c r="AM107" s="14">
        <f t="shared" si="65"/>
        <v>1089.3607071430072</v>
      </c>
      <c r="AN107" s="14">
        <f t="shared" si="66"/>
        <v>793.32820630778292</v>
      </c>
      <c r="AO107" s="14">
        <f t="shared" si="67"/>
        <v>1331.6801777135649</v>
      </c>
      <c r="AP107" s="14">
        <f t="shared" si="68"/>
        <v>1419.4887071770852</v>
      </c>
      <c r="AQ107" s="14">
        <f t="shared" si="69"/>
        <v>1331.6801777135649</v>
      </c>
      <c r="AR107" s="33">
        <f t="shared" si="70"/>
        <v>0.81419706157838256</v>
      </c>
      <c r="AS107" s="33">
        <f t="shared" si="71"/>
        <v>0.38092963297966054</v>
      </c>
      <c r="AT107" s="51">
        <f t="shared" si="72"/>
        <v>9.0135714307372208</v>
      </c>
      <c r="AU107" s="51">
        <f>APPLICANTS_PER_YEAR*($H107/Segments!$AH$2)*AS107</f>
        <v>4.1140400361803335</v>
      </c>
      <c r="AV107" s="51">
        <f t="shared" si="73"/>
        <v>13.127611466917553</v>
      </c>
      <c r="AW107" s="14">
        <f t="shared" si="74"/>
        <v>1331.6801777135652</v>
      </c>
      <c r="AX107" s="44">
        <f t="shared" si="75"/>
        <v>17481.779971219403</v>
      </c>
      <c r="AY107" s="44">
        <f t="shared" si="76"/>
        <v>11664.244993133811</v>
      </c>
      <c r="AZ107" s="44">
        <f t="shared" si="77"/>
        <v>3861.2101396308735</v>
      </c>
    </row>
    <row r="108" spans="1:52" ht="15" customHeight="1" x14ac:dyDescent="0.35">
      <c r="A108" s="59" t="str">
        <f>Segments!$A$88</f>
        <v>Non-greek</v>
      </c>
      <c r="B108" s="59" t="str">
        <f>Segments!$B$88</f>
        <v>Off 1-3mi</v>
      </c>
      <c r="C108" s="59" t="str">
        <f>Segments!$C$88</f>
        <v>Yes</v>
      </c>
      <c r="D108" s="59" t="str">
        <f>Segments!$D$88</f>
        <v>&lt;1.0</v>
      </c>
      <c r="E108" s="59" t="str">
        <f>Segments!$E$88</f>
        <v>Senior</v>
      </c>
      <c r="F108" s="59">
        <f>Segments!$F$88</f>
        <v>3</v>
      </c>
      <c r="G108" s="59" t="str">
        <f>Segments!$G$88</f>
        <v>Base</v>
      </c>
      <c r="H108" s="60">
        <f>Segments!$H$88</f>
        <v>14</v>
      </c>
      <c r="I108" s="26">
        <f>Segments!$Y$88</f>
        <v>698.94799065336167</v>
      </c>
      <c r="J108" s="29">
        <v>3</v>
      </c>
      <c r="K108" s="14">
        <f t="shared" si="39"/>
        <v>1426.2297754450396</v>
      </c>
      <c r="L108" s="14">
        <f t="shared" si="40"/>
        <v>698.94799065336167</v>
      </c>
      <c r="M108" s="14">
        <f t="shared" si="41"/>
        <v>1178.2105892107606</v>
      </c>
      <c r="N108" s="14">
        <f t="shared" si="42"/>
        <v>1296.3020574222007</v>
      </c>
      <c r="O108" s="14">
        <f t="shared" si="43"/>
        <v>1178.2105892107606</v>
      </c>
      <c r="P108" s="33">
        <f t="shared" si="44"/>
        <v>0.89554936387521988</v>
      </c>
      <c r="Q108" s="33">
        <f t="shared" si="45"/>
        <v>0.39554936387521988</v>
      </c>
      <c r="R108" s="51">
        <f t="shared" si="46"/>
        <v>8.0599442748769796</v>
      </c>
      <c r="S108" s="51">
        <f>APPLICANTS_PER_YEAR*($H108/Segments!$AH$2)*Q108</f>
        <v>6.6452293131036946</v>
      </c>
      <c r="T108" s="51">
        <f t="shared" si="47"/>
        <v>14.705173587980674</v>
      </c>
      <c r="U108" s="14">
        <f t="shared" si="48"/>
        <v>1178.2105892107604</v>
      </c>
      <c r="V108" s="44">
        <f t="shared" si="49"/>
        <v>17325.791237541223</v>
      </c>
      <c r="W108" s="44">
        <f t="shared" si="50"/>
        <v>11511.529715311335</v>
      </c>
      <c r="X108" s="44">
        <f t="shared" si="51"/>
        <v>4008.8405325376357</v>
      </c>
      <c r="Y108" s="14">
        <f t="shared" si="52"/>
        <v>1257.6281249067445</v>
      </c>
      <c r="Z108" s="14">
        <f t="shared" si="53"/>
        <v>719.91643037296251</v>
      </c>
      <c r="AA108" s="14">
        <f t="shared" si="54"/>
        <v>1212.3069068870834</v>
      </c>
      <c r="AB108" s="14">
        <f t="shared" si="55"/>
        <v>1334.5032985374883</v>
      </c>
      <c r="AC108" s="14">
        <f t="shared" si="56"/>
        <v>1212.3069068870834</v>
      </c>
      <c r="AD108" s="33">
        <f t="shared" si="57"/>
        <v>0.8957834730660923</v>
      </c>
      <c r="AE108" s="33">
        <f t="shared" si="58"/>
        <v>0.3957834730660923</v>
      </c>
      <c r="AF108" s="51">
        <f t="shared" si="59"/>
        <v>13.14563238623307</v>
      </c>
      <c r="AG108" s="51">
        <f>APPLICANTS_PER_YEAR*($H108/Segments!$AH$2)*AE108</f>
        <v>6.6491623475103507</v>
      </c>
      <c r="AH108" s="51">
        <f t="shared" si="60"/>
        <v>19.794794733743419</v>
      </c>
      <c r="AI108" s="14">
        <f t="shared" si="61"/>
        <v>1212.3069068870834</v>
      </c>
      <c r="AJ108" s="44">
        <f t="shared" si="62"/>
        <v>23997.366376129212</v>
      </c>
      <c r="AK108" s="44">
        <f t="shared" si="63"/>
        <v>15960.669720443932</v>
      </c>
      <c r="AL108" s="44">
        <f t="shared" si="64"/>
        <v>5379.7560888125599</v>
      </c>
      <c r="AM108" s="14">
        <f t="shared" si="65"/>
        <v>1294.1069686539468</v>
      </c>
      <c r="AN108" s="14">
        <f t="shared" si="66"/>
        <v>741.51392328415136</v>
      </c>
      <c r="AO108" s="14">
        <f t="shared" si="67"/>
        <v>1247.4261140936958</v>
      </c>
      <c r="AP108" s="14">
        <f t="shared" si="68"/>
        <v>1373.8502273622651</v>
      </c>
      <c r="AQ108" s="14">
        <f t="shared" si="69"/>
        <v>1247.4261140936958</v>
      </c>
      <c r="AR108" s="33">
        <f t="shared" si="70"/>
        <v>0.89601087904294285</v>
      </c>
      <c r="AS108" s="33">
        <f t="shared" si="71"/>
        <v>0.3960108790429428</v>
      </c>
      <c r="AT108" s="51">
        <f t="shared" si="72"/>
        <v>15.461933743046794</v>
      </c>
      <c r="AU108" s="51">
        <f>APPLICANTS_PER_YEAR*($H108/Segments!$AH$2)*AS108</f>
        <v>6.6529827679214391</v>
      </c>
      <c r="AV108" s="51">
        <f t="shared" si="73"/>
        <v>22.114916510968232</v>
      </c>
      <c r="AW108" s="14">
        <f t="shared" si="74"/>
        <v>1247.4261140936958</v>
      </c>
      <c r="AX108" s="44">
        <f t="shared" si="75"/>
        <v>27586.724366783616</v>
      </c>
      <c r="AY108" s="44">
        <f t="shared" si="76"/>
        <v>18366.340725767452</v>
      </c>
      <c r="AZ108" s="44">
        <f t="shared" si="77"/>
        <v>6112.9824601857235</v>
      </c>
    </row>
    <row r="109" spans="1:52" ht="15" customHeight="1" x14ac:dyDescent="0.35">
      <c r="A109" s="59" t="str">
        <f>Segments!$A$89</f>
        <v>Non-greek</v>
      </c>
      <c r="B109" s="59" t="str">
        <f>Segments!$B$89</f>
        <v>Off 1-3mi</v>
      </c>
      <c r="C109" s="59" t="str">
        <f>Segments!$C$89</f>
        <v>Yes</v>
      </c>
      <c r="D109" s="59" t="str">
        <f>Segments!$D$89</f>
        <v>&lt;1.0</v>
      </c>
      <c r="E109" s="59" t="str">
        <f>Segments!$E$89</f>
        <v>Grad student</v>
      </c>
      <c r="F109" s="59">
        <f>Segments!$F$89</f>
        <v>3</v>
      </c>
      <c r="G109" s="59" t="str">
        <f>Segments!$G$89</f>
        <v>Grad</v>
      </c>
      <c r="H109" s="60">
        <f>Segments!$H$89</f>
        <v>4</v>
      </c>
      <c r="I109" s="26">
        <f>Segments!$Y$89</f>
        <v>832.22369194531575</v>
      </c>
      <c r="J109" s="29">
        <v>4</v>
      </c>
      <c r="K109" s="14">
        <f t="shared" si="39"/>
        <v>1426.2297754450396</v>
      </c>
      <c r="L109" s="14">
        <f t="shared" si="40"/>
        <v>832.22369194531575</v>
      </c>
      <c r="M109" s="14">
        <f t="shared" si="41"/>
        <v>1394.9272696386963</v>
      </c>
      <c r="N109" s="14">
        <f t="shared" si="42"/>
        <v>1410.49168963839</v>
      </c>
      <c r="O109" s="14">
        <f t="shared" si="43"/>
        <v>1394.9272696386963</v>
      </c>
      <c r="P109" s="33">
        <f t="shared" si="44"/>
        <v>0.85551737387537674</v>
      </c>
      <c r="Q109" s="33">
        <f t="shared" si="45"/>
        <v>0.35551737387537669</v>
      </c>
      <c r="R109" s="51">
        <f t="shared" si="46"/>
        <v>1.7110347477507535</v>
      </c>
      <c r="S109" s="51">
        <f>APPLICANTS_PER_YEAR*($H109/Segments!$AH$2)*Q109</f>
        <v>1.7064833946018081</v>
      </c>
      <c r="T109" s="51">
        <f t="shared" si="47"/>
        <v>3.4175181423525616</v>
      </c>
      <c r="U109" s="14">
        <f t="shared" si="48"/>
        <v>1394.9272696386963</v>
      </c>
      <c r="V109" s="44">
        <f t="shared" si="49"/>
        <v>4767.1892512525683</v>
      </c>
      <c r="W109" s="44">
        <f t="shared" si="50"/>
        <v>3185.4363136049956</v>
      </c>
      <c r="X109" s="44">
        <f t="shared" si="51"/>
        <v>1095.3259239798804</v>
      </c>
      <c r="Y109" s="14">
        <f t="shared" si="52"/>
        <v>1394.9272696386963</v>
      </c>
      <c r="Z109" s="14">
        <f t="shared" si="53"/>
        <v>857.1904027036752</v>
      </c>
      <c r="AA109" s="14">
        <f t="shared" si="54"/>
        <v>1435.5250877278572</v>
      </c>
      <c r="AB109" s="14">
        <f t="shared" si="55"/>
        <v>1452.1743291427849</v>
      </c>
      <c r="AC109" s="14">
        <f t="shared" si="56"/>
        <v>1435.5250877278572</v>
      </c>
      <c r="AD109" s="33">
        <f t="shared" si="57"/>
        <v>0.84700135281930522</v>
      </c>
      <c r="AE109" s="33">
        <f t="shared" si="58"/>
        <v>0.35573252159909602</v>
      </c>
      <c r="AF109" s="51">
        <f t="shared" si="59"/>
        <v>1.4473212449285693</v>
      </c>
      <c r="AG109" s="51">
        <f>APPLICANTS_PER_YEAR*($H109/Segments!$AH$2)*AE109</f>
        <v>1.7075161036756608</v>
      </c>
      <c r="AH109" s="51">
        <f t="shared" si="60"/>
        <v>3.15483734860423</v>
      </c>
      <c r="AI109" s="14">
        <f t="shared" si="61"/>
        <v>1435.5250877278572</v>
      </c>
      <c r="AJ109" s="44">
        <f t="shared" si="62"/>
        <v>4528.848161622208</v>
      </c>
      <c r="AK109" s="44">
        <f t="shared" si="63"/>
        <v>3028.8118529924141</v>
      </c>
      <c r="AL109" s="44">
        <f t="shared" si="64"/>
        <v>1047.5283292689739</v>
      </c>
      <c r="AM109" s="14">
        <f t="shared" si="65"/>
        <v>1435.5250877278572</v>
      </c>
      <c r="AN109" s="14">
        <f t="shared" si="66"/>
        <v>882.90611478478547</v>
      </c>
      <c r="AO109" s="14">
        <f t="shared" si="67"/>
        <v>1477.3408403596929</v>
      </c>
      <c r="AP109" s="14">
        <f t="shared" si="68"/>
        <v>1495.1071765755164</v>
      </c>
      <c r="AQ109" s="14">
        <f t="shared" si="69"/>
        <v>1477.3408403596929</v>
      </c>
      <c r="AR109" s="33">
        <f t="shared" si="70"/>
        <v>0.84720272097558647</v>
      </c>
      <c r="AS109" s="33">
        <f t="shared" si="71"/>
        <v>0.35594149252113033</v>
      </c>
      <c r="AT109" s="51">
        <f t="shared" si="72"/>
        <v>1.3363933929864542</v>
      </c>
      <c r="AU109" s="51">
        <f>APPLICANTS_PER_YEAR*($H109/Segments!$AH$2)*AS109</f>
        <v>1.7085191641014255</v>
      </c>
      <c r="AV109" s="51">
        <f t="shared" si="73"/>
        <v>3.0449125570878799</v>
      </c>
      <c r="AW109" s="14">
        <f t="shared" si="74"/>
        <v>1477.3408403596927</v>
      </c>
      <c r="AX109" s="44">
        <f t="shared" si="75"/>
        <v>4498.3736759099893</v>
      </c>
      <c r="AY109" s="44">
        <f t="shared" si="76"/>
        <v>3010.9765455144106</v>
      </c>
      <c r="AZ109" s="44">
        <f t="shared" si="77"/>
        <v>1042.1461348095297</v>
      </c>
    </row>
    <row r="110" spans="1:52" ht="15" customHeight="1" x14ac:dyDescent="0.35">
      <c r="A110" s="61" t="str">
        <f>Segments!$A$90</f>
        <v>Non-greek</v>
      </c>
      <c r="B110" s="61" t="str">
        <f>Segments!$B$90</f>
        <v>Off 1-3mi</v>
      </c>
      <c r="C110" s="61" t="str">
        <f>Segments!$C$90</f>
        <v>Yes</v>
      </c>
      <c r="D110" s="61" t="str">
        <f>Segments!$D$90</f>
        <v>1.0-2.0</v>
      </c>
      <c r="E110" s="61" t="str">
        <f>Segments!$E$90</f>
        <v>Freshman</v>
      </c>
      <c r="F110" s="61">
        <f>Segments!$F$90</f>
        <v>1</v>
      </c>
      <c r="G110" s="61" t="str">
        <f>Segments!$G$90</f>
        <v>Base</v>
      </c>
      <c r="H110" s="62">
        <f>Segments!$H$90</f>
        <v>24</v>
      </c>
      <c r="I110" s="63">
        <f>Segments!$Y$90</f>
        <v>573.46350783562343</v>
      </c>
      <c r="J110" s="42">
        <v>0</v>
      </c>
      <c r="K110" s="40">
        <f t="shared" si="39"/>
        <v>974.16303742257617</v>
      </c>
      <c r="L110" s="40">
        <f t="shared" si="40"/>
        <v>573.46350783562343</v>
      </c>
      <c r="M110" s="40">
        <f t="shared" si="41"/>
        <v>974.16303742257617</v>
      </c>
      <c r="N110" s="40">
        <f t="shared" si="42"/>
        <v>1178.7197843890033</v>
      </c>
      <c r="O110" s="40">
        <f t="shared" si="43"/>
        <v>974.16303742257617</v>
      </c>
      <c r="P110" s="41">
        <f t="shared" si="44"/>
        <v>0.9367707277317231</v>
      </c>
      <c r="Q110" s="41">
        <f t="shared" si="45"/>
        <v>0.4367707277317231</v>
      </c>
      <c r="R110" s="64">
        <f t="shared" si="46"/>
        <v>0</v>
      </c>
      <c r="S110" s="64">
        <f>APPLICANTS_PER_YEAR*($H110/Segments!$AH$2)*Q110</f>
        <v>12.578996958673624</v>
      </c>
      <c r="T110" s="64">
        <f t="shared" si="47"/>
        <v>12.578996958673624</v>
      </c>
      <c r="U110" s="40">
        <f t="shared" si="48"/>
        <v>974.16303742257617</v>
      </c>
      <c r="V110" s="65">
        <f t="shared" si="49"/>
        <v>12253.993884990845</v>
      </c>
      <c r="W110" s="65">
        <f t="shared" si="50"/>
        <v>8079.2272074915691</v>
      </c>
      <c r="X110" s="65">
        <f t="shared" si="51"/>
        <v>3310.9494933782626</v>
      </c>
      <c r="Y110" s="40">
        <f t="shared" si="52"/>
        <v>1002.1379285452535</v>
      </c>
      <c r="Z110" s="40">
        <f t="shared" si="53"/>
        <v>590.66741307069219</v>
      </c>
      <c r="AA110" s="40">
        <f t="shared" si="54"/>
        <v>1002.1379285452535</v>
      </c>
      <c r="AB110" s="40">
        <f t="shared" si="55"/>
        <v>1213.3249034689247</v>
      </c>
      <c r="AC110" s="40">
        <f t="shared" si="56"/>
        <v>1002.1379285452535</v>
      </c>
      <c r="AD110" s="41">
        <f t="shared" si="57"/>
        <v>0.93702820420148081</v>
      </c>
      <c r="AE110" s="41">
        <f t="shared" si="58"/>
        <v>0.43702820420148081</v>
      </c>
      <c r="AF110" s="64">
        <f t="shared" si="59"/>
        <v>0</v>
      </c>
      <c r="AG110" s="64">
        <f>APPLICANTS_PER_YEAR*($H110/Segments!$AH$2)*AE110</f>
        <v>12.586412281002646</v>
      </c>
      <c r="AH110" s="64">
        <f t="shared" si="60"/>
        <v>12.586412281002646</v>
      </c>
      <c r="AI110" s="40">
        <f t="shared" si="61"/>
        <v>1002.1379285452534</v>
      </c>
      <c r="AJ110" s="65">
        <f t="shared" si="62"/>
        <v>12613.321131100531</v>
      </c>
      <c r="AK110" s="65">
        <f t="shared" si="63"/>
        <v>8326.509611684347</v>
      </c>
      <c r="AL110" s="65">
        <f t="shared" si="64"/>
        <v>3391.7724860116382</v>
      </c>
      <c r="AM110" s="40">
        <f t="shared" si="65"/>
        <v>1030.9520664016111</v>
      </c>
      <c r="AN110" s="40">
        <f t="shared" si="66"/>
        <v>608.38743546281285</v>
      </c>
      <c r="AO110" s="40">
        <f t="shared" si="67"/>
        <v>1030.9520664016111</v>
      </c>
      <c r="AP110" s="40">
        <f t="shared" si="68"/>
        <v>1248.9677110673545</v>
      </c>
      <c r="AQ110" s="40">
        <f t="shared" si="69"/>
        <v>1030.9520664016111</v>
      </c>
      <c r="AR110" s="41">
        <f t="shared" si="70"/>
        <v>0.93727833503374935</v>
      </c>
      <c r="AS110" s="41">
        <f t="shared" si="71"/>
        <v>0.43727833503374935</v>
      </c>
      <c r="AT110" s="64">
        <f t="shared" si="72"/>
        <v>0</v>
      </c>
      <c r="AU110" s="64">
        <f>APPLICANTS_PER_YEAR*($H110/Segments!$AH$2)*AS110</f>
        <v>12.593616048971981</v>
      </c>
      <c r="AV110" s="64">
        <f t="shared" si="73"/>
        <v>12.593616048971981</v>
      </c>
      <c r="AW110" s="40">
        <f t="shared" si="74"/>
        <v>1030.9520664016111</v>
      </c>
      <c r="AX110" s="65">
        <f t="shared" si="75"/>
        <v>12983.414489156157</v>
      </c>
      <c r="AY110" s="65">
        <f t="shared" si="76"/>
        <v>8581.2135037858716</v>
      </c>
      <c r="AZ110" s="65">
        <f t="shared" si="77"/>
        <v>3474.9975677747184</v>
      </c>
    </row>
    <row r="111" spans="1:52" ht="15" customHeight="1" x14ac:dyDescent="0.35">
      <c r="A111" s="61" t="str">
        <f>Segments!$A$91</f>
        <v>Non-greek</v>
      </c>
      <c r="B111" s="61" t="str">
        <f>Segments!$B$91</f>
        <v>Off 1-3mi</v>
      </c>
      <c r="C111" s="61" t="str">
        <f>Segments!$C$91</f>
        <v>Yes</v>
      </c>
      <c r="D111" s="61" t="str">
        <f>Segments!$D$91</f>
        <v>1.0-2.0</v>
      </c>
      <c r="E111" s="61" t="str">
        <f>Segments!$E$91</f>
        <v>Sophomore</v>
      </c>
      <c r="F111" s="61">
        <f>Segments!$F$91</f>
        <v>1</v>
      </c>
      <c r="G111" s="61" t="str">
        <f>Segments!$G$91</f>
        <v>Sophomore</v>
      </c>
      <c r="H111" s="62">
        <f>Segments!$H$91</f>
        <v>33</v>
      </c>
      <c r="I111" s="63">
        <f>Segments!$Y$91</f>
        <v>567.62922935525717</v>
      </c>
      <c r="J111" s="42">
        <v>1</v>
      </c>
      <c r="K111" s="40">
        <f t="shared" si="39"/>
        <v>1426.2297754450396</v>
      </c>
      <c r="L111" s="40">
        <f t="shared" si="40"/>
        <v>567.62922935525717</v>
      </c>
      <c r="M111" s="40">
        <f t="shared" si="41"/>
        <v>964.67604577518387</v>
      </c>
      <c r="N111" s="40">
        <f t="shared" si="42"/>
        <v>1172.96619735743</v>
      </c>
      <c r="O111" s="40">
        <f t="shared" si="43"/>
        <v>964.67604577518387</v>
      </c>
      <c r="P111" s="41">
        <f t="shared" si="44"/>
        <v>0.9387877894740283</v>
      </c>
      <c r="Q111" s="41">
        <f t="shared" si="45"/>
        <v>0.4387877894740283</v>
      </c>
      <c r="R111" s="64">
        <f t="shared" si="46"/>
        <v>22.530906947376678</v>
      </c>
      <c r="S111" s="64">
        <f>APPLICANTS_PER_YEAR*($H111/Segments!$AH$2)*Q111</f>
        <v>17.375996463171521</v>
      </c>
      <c r="T111" s="64">
        <f t="shared" si="47"/>
        <v>39.906903410548196</v>
      </c>
      <c r="U111" s="40">
        <f t="shared" si="48"/>
        <v>964.67604577518398</v>
      </c>
      <c r="V111" s="65">
        <f t="shared" si="49"/>
        <v>38497.233781219838</v>
      </c>
      <c r="W111" s="65">
        <f t="shared" si="50"/>
        <v>25370.603808350257</v>
      </c>
      <c r="X111" s="65">
        <f t="shared" si="51"/>
        <v>9095.1924290231564</v>
      </c>
      <c r="Y111" s="40">
        <f t="shared" si="52"/>
        <v>974.16303742257617</v>
      </c>
      <c r="Z111" s="40">
        <f t="shared" si="53"/>
        <v>584.65810623591494</v>
      </c>
      <c r="AA111" s="40">
        <f t="shared" si="54"/>
        <v>992.3663271484395</v>
      </c>
      <c r="AB111" s="40">
        <f t="shared" si="55"/>
        <v>1207.3949958675419</v>
      </c>
      <c r="AC111" s="40">
        <f t="shared" si="56"/>
        <v>992.3663271484395</v>
      </c>
      <c r="AD111" s="41">
        <f t="shared" si="57"/>
        <v>0.93344070530752021</v>
      </c>
      <c r="AE111" s="41">
        <f t="shared" si="58"/>
        <v>0.43904652970033187</v>
      </c>
      <c r="AF111" s="64">
        <f t="shared" si="59"/>
        <v>11.741747793165459</v>
      </c>
      <c r="AG111" s="64">
        <f>APPLICANTS_PER_YEAR*($H111/Segments!$AH$2)*AE111</f>
        <v>17.386242576133142</v>
      </c>
      <c r="AH111" s="64">
        <f t="shared" si="60"/>
        <v>29.127990369298601</v>
      </c>
      <c r="AI111" s="40">
        <f t="shared" si="61"/>
        <v>992.36632714843938</v>
      </c>
      <c r="AJ111" s="65">
        <f t="shared" si="62"/>
        <v>28905.636819995969</v>
      </c>
      <c r="AK111" s="65">
        <f t="shared" si="63"/>
        <v>19073.50557030474</v>
      </c>
      <c r="AL111" s="65">
        <f t="shared" si="64"/>
        <v>7084.254489855156</v>
      </c>
      <c r="AM111" s="40">
        <f t="shared" si="65"/>
        <v>1002.1379285452534</v>
      </c>
      <c r="AN111" s="40">
        <f t="shared" si="66"/>
        <v>602.19784942299225</v>
      </c>
      <c r="AO111" s="40">
        <f t="shared" si="67"/>
        <v>1020.8873169628924</v>
      </c>
      <c r="AP111" s="40">
        <f t="shared" si="68"/>
        <v>1242.8561863933492</v>
      </c>
      <c r="AQ111" s="40">
        <f t="shared" si="69"/>
        <v>1020.8873169628924</v>
      </c>
      <c r="AR111" s="41">
        <f t="shared" si="70"/>
        <v>0.93368507303189263</v>
      </c>
      <c r="AS111" s="41">
        <f t="shared" si="71"/>
        <v>0.43929788975609046</v>
      </c>
      <c r="AT111" s="64">
        <f t="shared" si="72"/>
        <v>11.751745269797466</v>
      </c>
      <c r="AU111" s="64">
        <f>APPLICANTS_PER_YEAR*($H111/Segments!$AH$2)*AS111</f>
        <v>17.396196434341181</v>
      </c>
      <c r="AV111" s="64">
        <f t="shared" si="73"/>
        <v>29.147941704138645</v>
      </c>
      <c r="AW111" s="40">
        <f t="shared" si="74"/>
        <v>1020.8873169628924</v>
      </c>
      <c r="AX111" s="65">
        <f t="shared" si="75"/>
        <v>29756.764001328902</v>
      </c>
      <c r="AY111" s="65">
        <f t="shared" si="76"/>
        <v>19659.167146459728</v>
      </c>
      <c r="AZ111" s="65">
        <f t="shared" si="77"/>
        <v>7263.4766118049556</v>
      </c>
    </row>
    <row r="112" spans="1:52" ht="15" customHeight="1" x14ac:dyDescent="0.35">
      <c r="A112" s="61" t="str">
        <f>Segments!$A$92</f>
        <v>Non-greek</v>
      </c>
      <c r="B112" s="61" t="str">
        <f>Segments!$B$92</f>
        <v>Off 1-3mi</v>
      </c>
      <c r="C112" s="61" t="str">
        <f>Segments!$C$92</f>
        <v>Yes</v>
      </c>
      <c r="D112" s="61" t="str">
        <f>Segments!$D$92</f>
        <v>1.0-2.0</v>
      </c>
      <c r="E112" s="61" t="str">
        <f>Segments!$E$92</f>
        <v>Junior</v>
      </c>
      <c r="F112" s="61">
        <f>Segments!$F$92</f>
        <v>2</v>
      </c>
      <c r="G112" s="61" t="str">
        <f>Segments!$G$92</f>
        <v>Base</v>
      </c>
      <c r="H112" s="62">
        <f>Segments!$H$92</f>
        <v>37</v>
      </c>
      <c r="I112" s="63">
        <f>Segments!$Y$92</f>
        <v>678.5585256429257</v>
      </c>
      <c r="J112" s="42">
        <v>2</v>
      </c>
      <c r="K112" s="40">
        <f t="shared" si="39"/>
        <v>1426.2297754450396</v>
      </c>
      <c r="L112" s="40">
        <f t="shared" si="40"/>
        <v>678.5585256429257</v>
      </c>
      <c r="M112" s="40">
        <f t="shared" si="41"/>
        <v>1145.0557295482065</v>
      </c>
      <c r="N112" s="40">
        <f t="shared" si="42"/>
        <v>1277.9329309574875</v>
      </c>
      <c r="O112" s="40">
        <f t="shared" si="43"/>
        <v>1145.0557295482065</v>
      </c>
      <c r="P112" s="41">
        <f t="shared" si="44"/>
        <v>0.90198911390041536</v>
      </c>
      <c r="Q112" s="41">
        <f t="shared" si="45"/>
        <v>0.40198911390041536</v>
      </c>
      <c r="R112" s="64">
        <f t="shared" si="46"/>
        <v>29.765640758713708</v>
      </c>
      <c r="S112" s="64">
        <f>APPLICANTS_PER_YEAR*($H112/Segments!$AH$2)*Q112</f>
        <v>17.84831665717844</v>
      </c>
      <c r="T112" s="64">
        <f t="shared" si="47"/>
        <v>47.613957415892145</v>
      </c>
      <c r="U112" s="40">
        <f t="shared" si="48"/>
        <v>1145.0557295482065</v>
      </c>
      <c r="V112" s="65">
        <f t="shared" si="49"/>
        <v>54520.634745531621</v>
      </c>
      <c r="W112" s="65">
        <f t="shared" si="50"/>
        <v>36185.91955345116</v>
      </c>
      <c r="X112" s="65">
        <f t="shared" si="51"/>
        <v>12418.19313544103</v>
      </c>
      <c r="Y112" s="40">
        <f t="shared" si="52"/>
        <v>964.67604577518398</v>
      </c>
      <c r="Z112" s="40">
        <f t="shared" si="53"/>
        <v>698.91528141221352</v>
      </c>
      <c r="AA112" s="40">
        <f t="shared" si="54"/>
        <v>1178.1574014346527</v>
      </c>
      <c r="AB112" s="40">
        <f t="shared" si="55"/>
        <v>1315.5732062753739</v>
      </c>
      <c r="AC112" s="40">
        <f t="shared" si="56"/>
        <v>1178.1574014346527</v>
      </c>
      <c r="AD112" s="41">
        <f t="shared" si="57"/>
        <v>0.83583704191621333</v>
      </c>
      <c r="AE112" s="41">
        <f t="shared" si="58"/>
        <v>0.40222658997053085</v>
      </c>
      <c r="AF112" s="64">
        <f t="shared" si="59"/>
        <v>33.355668098708648</v>
      </c>
      <c r="AG112" s="64">
        <f>APPLICANTS_PER_YEAR*($H112/Segments!$AH$2)*AE112</f>
        <v>17.858860594691571</v>
      </c>
      <c r="AH112" s="64">
        <f t="shared" si="60"/>
        <v>51.214528693400219</v>
      </c>
      <c r="AI112" s="40">
        <f t="shared" si="61"/>
        <v>1178.1574014346527</v>
      </c>
      <c r="AJ112" s="65">
        <f t="shared" si="62"/>
        <v>60338.776041116864</v>
      </c>
      <c r="AK112" s="65">
        <f t="shared" si="63"/>
        <v>40089.9707422387</v>
      </c>
      <c r="AL112" s="65">
        <f t="shared" si="64"/>
        <v>13611.209968185274</v>
      </c>
      <c r="AM112" s="40">
        <f t="shared" si="65"/>
        <v>992.36632714843938</v>
      </c>
      <c r="AN112" s="40">
        <f t="shared" si="66"/>
        <v>719.88273985457988</v>
      </c>
      <c r="AO112" s="40">
        <f t="shared" si="67"/>
        <v>1212.2521234776923</v>
      </c>
      <c r="AP112" s="40">
        <f t="shared" si="68"/>
        <v>1354.3423250226836</v>
      </c>
      <c r="AQ112" s="40">
        <f t="shared" si="69"/>
        <v>1212.2521234776923</v>
      </c>
      <c r="AR112" s="41">
        <f t="shared" si="70"/>
        <v>0.83598409646250649</v>
      </c>
      <c r="AS112" s="41">
        <f t="shared" si="71"/>
        <v>0.40245726982009933</v>
      </c>
      <c r="AT112" s="64">
        <f t="shared" si="72"/>
        <v>24.350536710646683</v>
      </c>
      <c r="AU112" s="64">
        <f>APPLICANTS_PER_YEAR*($H112/Segments!$AH$2)*AS112</f>
        <v>17.869102780012408</v>
      </c>
      <c r="AV112" s="64">
        <f t="shared" si="73"/>
        <v>42.219639490659091</v>
      </c>
      <c r="AW112" s="40">
        <f t="shared" si="74"/>
        <v>1212.2521234776923</v>
      </c>
      <c r="AX112" s="65">
        <f t="shared" si="75"/>
        <v>51180.847625014118</v>
      </c>
      <c r="AY112" s="65">
        <f t="shared" si="76"/>
        <v>34040.372522473284</v>
      </c>
      <c r="AZ112" s="65">
        <f t="shared" si="77"/>
        <v>11722.465583081052</v>
      </c>
    </row>
    <row r="113" spans="1:52" ht="15" customHeight="1" x14ac:dyDescent="0.35">
      <c r="A113" s="61" t="str">
        <f>Segments!$A$93</f>
        <v>Non-greek</v>
      </c>
      <c r="B113" s="61" t="str">
        <f>Segments!$B$93</f>
        <v>Off 1-3mi</v>
      </c>
      <c r="C113" s="61" t="str">
        <f>Segments!$C$93</f>
        <v>Yes</v>
      </c>
      <c r="D113" s="61" t="str">
        <f>Segments!$D$93</f>
        <v>1.0-2.0</v>
      </c>
      <c r="E113" s="61" t="str">
        <f>Segments!$E$93</f>
        <v>Senior</v>
      </c>
      <c r="F113" s="61">
        <f>Segments!$F$93</f>
        <v>3</v>
      </c>
      <c r="G113" s="61" t="str">
        <f>Segments!$G$93</f>
        <v>Base</v>
      </c>
      <c r="H113" s="62">
        <f>Segments!$H$93</f>
        <v>43</v>
      </c>
      <c r="I113" s="63">
        <f>Segments!$Y$93</f>
        <v>634.24014238589541</v>
      </c>
      <c r="J113" s="42">
        <v>3</v>
      </c>
      <c r="K113" s="40">
        <f t="shared" si="39"/>
        <v>1426.2297754450396</v>
      </c>
      <c r="L113" s="40">
        <f t="shared" si="40"/>
        <v>634.24014238589541</v>
      </c>
      <c r="M113" s="40">
        <f t="shared" si="41"/>
        <v>1072.9905833265639</v>
      </c>
      <c r="N113" s="40">
        <f t="shared" si="42"/>
        <v>1237.0655272508759</v>
      </c>
      <c r="O113" s="40">
        <f t="shared" si="43"/>
        <v>1072.9905833265639</v>
      </c>
      <c r="P113" s="41">
        <f t="shared" si="44"/>
        <v>0.91631618952673222</v>
      </c>
      <c r="Q113" s="41">
        <f t="shared" si="45"/>
        <v>0.41631618952673222</v>
      </c>
      <c r="R113" s="64">
        <f t="shared" si="46"/>
        <v>33.903699012489092</v>
      </c>
      <c r="S113" s="64">
        <f>APPLICANTS_PER_YEAR*($H113/Segments!$AH$2)*Q113</f>
        <v>21.481915379579384</v>
      </c>
      <c r="T113" s="64">
        <f t="shared" si="47"/>
        <v>55.385614392068476</v>
      </c>
      <c r="U113" s="40">
        <f t="shared" si="48"/>
        <v>1072.9905833265639</v>
      </c>
      <c r="V113" s="65">
        <f t="shared" si="49"/>
        <v>59428.242694445682</v>
      </c>
      <c r="W113" s="65">
        <f t="shared" si="50"/>
        <v>39343.113553134506</v>
      </c>
      <c r="X113" s="65">
        <f t="shared" si="51"/>
        <v>13683.444293574827</v>
      </c>
      <c r="Y113" s="40">
        <f t="shared" si="52"/>
        <v>1145.0557295482065</v>
      </c>
      <c r="Z113" s="40">
        <f t="shared" si="53"/>
        <v>653.26734665747233</v>
      </c>
      <c r="AA113" s="40">
        <f t="shared" si="54"/>
        <v>1103.930300826361</v>
      </c>
      <c r="AB113" s="40">
        <f t="shared" si="55"/>
        <v>1273.4567181518942</v>
      </c>
      <c r="AC113" s="40">
        <f t="shared" si="56"/>
        <v>1103.930300826361</v>
      </c>
      <c r="AD113" s="41">
        <f t="shared" si="57"/>
        <v>0.91656151516934103</v>
      </c>
      <c r="AE113" s="41">
        <f t="shared" si="58"/>
        <v>0.41656151516934103</v>
      </c>
      <c r="AF113" s="64">
        <f t="shared" si="59"/>
        <v>43.641120952318587</v>
      </c>
      <c r="AG113" s="64">
        <f>APPLICANTS_PER_YEAR*($H113/Segments!$AH$2)*AE113</f>
        <v>21.494574182737999</v>
      </c>
      <c r="AH113" s="64">
        <f t="shared" si="60"/>
        <v>65.135695135056579</v>
      </c>
      <c r="AI113" s="40">
        <f t="shared" si="61"/>
        <v>1103.9303008263612</v>
      </c>
      <c r="AJ113" s="65">
        <f t="shared" si="62"/>
        <v>71905.267524977156</v>
      </c>
      <c r="AK113" s="65">
        <f t="shared" si="63"/>
        <v>47657.145461596658</v>
      </c>
      <c r="AL113" s="65">
        <f t="shared" si="64"/>
        <v>16260.671730519221</v>
      </c>
      <c r="AM113" s="40">
        <f t="shared" si="65"/>
        <v>1178.1574014346527</v>
      </c>
      <c r="AN113" s="40">
        <f t="shared" si="66"/>
        <v>672.86536705719641</v>
      </c>
      <c r="AO113" s="40">
        <f t="shared" si="67"/>
        <v>1135.7982098511516</v>
      </c>
      <c r="AP113" s="40">
        <f t="shared" si="68"/>
        <v>1310.9392425422727</v>
      </c>
      <c r="AQ113" s="40">
        <f t="shared" si="69"/>
        <v>1135.7982098511516</v>
      </c>
      <c r="AR113" s="41">
        <f t="shared" si="70"/>
        <v>0.91679982832441353</v>
      </c>
      <c r="AS113" s="41">
        <f t="shared" si="71"/>
        <v>0.41679982832441353</v>
      </c>
      <c r="AT113" s="64">
        <f t="shared" si="72"/>
        <v>46.953471113825074</v>
      </c>
      <c r="AU113" s="64">
        <f>APPLICANTS_PER_YEAR*($H113/Segments!$AH$2)*AS113</f>
        <v>21.50687114153974</v>
      </c>
      <c r="AV113" s="64">
        <f t="shared" si="73"/>
        <v>68.460342255364822</v>
      </c>
      <c r="AW113" s="40">
        <f t="shared" si="74"/>
        <v>1135.7982098511513</v>
      </c>
      <c r="AX113" s="65">
        <f t="shared" si="75"/>
        <v>77757.134179440502</v>
      </c>
      <c r="AY113" s="65">
        <f t="shared" si="76"/>
        <v>51592.344518979429</v>
      </c>
      <c r="AZ113" s="65">
        <f t="shared" si="77"/>
        <v>17457.938284532152</v>
      </c>
    </row>
    <row r="114" spans="1:52" ht="15" customHeight="1" x14ac:dyDescent="0.35">
      <c r="A114" s="61" t="str">
        <f>Segments!$A$94</f>
        <v>Non-greek</v>
      </c>
      <c r="B114" s="61" t="str">
        <f>Segments!$B$94</f>
        <v>Off 1-3mi</v>
      </c>
      <c r="C114" s="61" t="str">
        <f>Segments!$C$94</f>
        <v>Yes</v>
      </c>
      <c r="D114" s="61" t="str">
        <f>Segments!$D$94</f>
        <v>1.0-2.0</v>
      </c>
      <c r="E114" s="61" t="str">
        <f>Segments!$E$94</f>
        <v>Grad student</v>
      </c>
      <c r="F114" s="61">
        <f>Segments!$F$94</f>
        <v>3</v>
      </c>
      <c r="G114" s="61" t="str">
        <f>Segments!$G$94</f>
        <v>Grad</v>
      </c>
      <c r="H114" s="62">
        <f>Segments!$H$94</f>
        <v>14</v>
      </c>
      <c r="I114" s="63">
        <f>Segments!$Y$94</f>
        <v>755.17732354149666</v>
      </c>
      <c r="J114" s="42">
        <v>4</v>
      </c>
      <c r="K114" s="40">
        <f t="shared" si="39"/>
        <v>1426.2297754450396</v>
      </c>
      <c r="L114" s="40">
        <f t="shared" si="40"/>
        <v>755.17732354149666</v>
      </c>
      <c r="M114" s="40">
        <f t="shared" si="41"/>
        <v>1269.6438681060608</v>
      </c>
      <c r="N114" s="40">
        <f t="shared" si="42"/>
        <v>1345.6611345000936</v>
      </c>
      <c r="O114" s="40">
        <f t="shared" si="43"/>
        <v>1269.6438681060608</v>
      </c>
      <c r="P114" s="41">
        <f t="shared" si="44"/>
        <v>0.87824532285472923</v>
      </c>
      <c r="Q114" s="41">
        <f t="shared" si="45"/>
        <v>0.37824532285472923</v>
      </c>
      <c r="R114" s="64">
        <f t="shared" si="46"/>
        <v>6.1477172599831045</v>
      </c>
      <c r="S114" s="64">
        <f>APPLICANTS_PER_YEAR*($H114/Segments!$AH$2)*Q114</f>
        <v>6.3545214239594516</v>
      </c>
      <c r="T114" s="64">
        <f t="shared" si="47"/>
        <v>12.502238683942556</v>
      </c>
      <c r="U114" s="40">
        <f t="shared" si="48"/>
        <v>1269.6438681060608</v>
      </c>
      <c r="V114" s="65">
        <f t="shared" si="49"/>
        <v>15873.390682666053</v>
      </c>
      <c r="W114" s="65">
        <f t="shared" si="50"/>
        <v>10574.376005330709</v>
      </c>
      <c r="X114" s="65">
        <f t="shared" si="51"/>
        <v>3691.3579189254765</v>
      </c>
      <c r="Y114" s="40">
        <f t="shared" si="52"/>
        <v>1269.6438681060608</v>
      </c>
      <c r="Z114" s="40">
        <f t="shared" si="53"/>
        <v>777.83264324774154</v>
      </c>
      <c r="AA114" s="40">
        <f t="shared" si="54"/>
        <v>1306.4831841492428</v>
      </c>
      <c r="AB114" s="40">
        <f t="shared" si="55"/>
        <v>1385.368389599839</v>
      </c>
      <c r="AC114" s="40">
        <f t="shared" si="56"/>
        <v>1306.4831841492428</v>
      </c>
      <c r="AD114" s="41">
        <f t="shared" si="57"/>
        <v>0.86976619911041042</v>
      </c>
      <c r="AE114" s="41">
        <f t="shared" si="58"/>
        <v>0.37847084069580295</v>
      </c>
      <c r="AF114" s="64">
        <f t="shared" si="59"/>
        <v>5.4370123102519283</v>
      </c>
      <c r="AG114" s="64">
        <f>APPLICANTS_PER_YEAR*($H114/Segments!$AH$2)*AE114</f>
        <v>6.3583101236894901</v>
      </c>
      <c r="AH114" s="64">
        <f t="shared" si="60"/>
        <v>11.795322433941418</v>
      </c>
      <c r="AI114" s="40">
        <f t="shared" si="61"/>
        <v>1306.4831841492428</v>
      </c>
      <c r="AJ114" s="65">
        <f t="shared" si="62"/>
        <v>15410.390411562781</v>
      </c>
      <c r="AK114" s="65">
        <f t="shared" si="63"/>
        <v>10275.761245962283</v>
      </c>
      <c r="AL114" s="65">
        <f t="shared" si="64"/>
        <v>3598.1738735236486</v>
      </c>
      <c r="AM114" s="40">
        <f t="shared" si="65"/>
        <v>1306.4831841492428</v>
      </c>
      <c r="AN114" s="40">
        <f t="shared" si="66"/>
        <v>801.1676225451738</v>
      </c>
      <c r="AO114" s="40">
        <f t="shared" si="67"/>
        <v>1344.4276796737199</v>
      </c>
      <c r="AP114" s="40">
        <f t="shared" si="68"/>
        <v>1426.2665499313405</v>
      </c>
      <c r="AQ114" s="40">
        <f t="shared" si="69"/>
        <v>1344.4276796737199</v>
      </c>
      <c r="AR114" s="41">
        <f t="shared" si="70"/>
        <v>0.86997692339650745</v>
      </c>
      <c r="AS114" s="41">
        <f t="shared" si="71"/>
        <v>0.37868989329573782</v>
      </c>
      <c r="AT114" s="64">
        <f t="shared" si="72"/>
        <v>5.1308291607750798</v>
      </c>
      <c r="AU114" s="64">
        <f>APPLICANTS_PER_YEAR*($H114/Segments!$AH$2)*AS114</f>
        <v>6.3619902073683958</v>
      </c>
      <c r="AV114" s="64">
        <f t="shared" si="73"/>
        <v>11.492819368143476</v>
      </c>
      <c r="AW114" s="40">
        <f t="shared" si="74"/>
        <v>1344.4276796737197</v>
      </c>
      <c r="AX114" s="65">
        <f t="shared" si="75"/>
        <v>15451.264476022319</v>
      </c>
      <c r="AY114" s="65">
        <f t="shared" si="76"/>
        <v>10312.595741858631</v>
      </c>
      <c r="AZ114" s="65">
        <f t="shared" si="77"/>
        <v>3608.5583791562708</v>
      </c>
    </row>
    <row r="115" spans="1:52" ht="15" customHeight="1" x14ac:dyDescent="0.35">
      <c r="A115" s="59" t="str">
        <f>Segments!$A$95</f>
        <v>Non-greek</v>
      </c>
      <c r="B115" s="59" t="str">
        <f>Segments!$B$95</f>
        <v>Off 1-3mi</v>
      </c>
      <c r="C115" s="59" t="str">
        <f>Segments!$C$95</f>
        <v>Yes</v>
      </c>
      <c r="D115" s="59" t="str">
        <f>Segments!$D$95</f>
        <v>2.0-3.0</v>
      </c>
      <c r="E115" s="59" t="str">
        <f>Segments!$E$95</f>
        <v>Freshman</v>
      </c>
      <c r="F115" s="59">
        <f>Segments!$F$95</f>
        <v>1</v>
      </c>
      <c r="G115" s="59" t="str">
        <f>Segments!$G$95</f>
        <v>Base</v>
      </c>
      <c r="H115" s="60">
        <f>Segments!$H$95</f>
        <v>62</v>
      </c>
      <c r="I115" s="26">
        <f>Segments!$Y$95</f>
        <v>563.53095904182214</v>
      </c>
      <c r="J115" s="29">
        <v>0</v>
      </c>
      <c r="K115" s="14">
        <f t="shared" si="39"/>
        <v>958.01193874581338</v>
      </c>
      <c r="L115" s="14">
        <f t="shared" si="40"/>
        <v>563.53095904182214</v>
      </c>
      <c r="M115" s="14">
        <f t="shared" si="41"/>
        <v>958.01193874581338</v>
      </c>
      <c r="N115" s="14">
        <f t="shared" si="42"/>
        <v>1168.9076748277037</v>
      </c>
      <c r="O115" s="14">
        <f t="shared" si="43"/>
        <v>958.01193874581338</v>
      </c>
      <c r="P115" s="33">
        <f t="shared" si="44"/>
        <v>0.94021060457703642</v>
      </c>
      <c r="Q115" s="33">
        <f t="shared" si="45"/>
        <v>0.44021060457703648</v>
      </c>
      <c r="R115" s="51">
        <f t="shared" si="46"/>
        <v>0</v>
      </c>
      <c r="S115" s="51">
        <f>APPLICANTS_PER_YEAR*($H115/Segments!$AH$2)*Q115</f>
        <v>32.751668980531512</v>
      </c>
      <c r="T115" s="51">
        <f t="shared" si="47"/>
        <v>32.751668980531512</v>
      </c>
      <c r="U115" s="14">
        <f t="shared" si="48"/>
        <v>958.01193874581338</v>
      </c>
      <c r="V115" s="44">
        <f t="shared" si="49"/>
        <v>31376.48989720011</v>
      </c>
      <c r="W115" s="44">
        <f t="shared" si="50"/>
        <v>20671.368962517528</v>
      </c>
      <c r="X115" s="44">
        <f t="shared" si="51"/>
        <v>8502.1588410967433</v>
      </c>
      <c r="Y115" s="14">
        <f t="shared" si="52"/>
        <v>985.50229690818787</v>
      </c>
      <c r="Z115" s="14">
        <f t="shared" si="53"/>
        <v>580.43688781307685</v>
      </c>
      <c r="AA115" s="14">
        <f t="shared" si="54"/>
        <v>985.50229690818787</v>
      </c>
      <c r="AB115" s="14">
        <f t="shared" si="55"/>
        <v>1203.2120765719289</v>
      </c>
      <c r="AC115" s="14">
        <f t="shared" si="56"/>
        <v>985.50229690818787</v>
      </c>
      <c r="AD115" s="33">
        <f t="shared" si="57"/>
        <v>0.94047024373459487</v>
      </c>
      <c r="AE115" s="33">
        <f t="shared" si="58"/>
        <v>0.44047024373459492</v>
      </c>
      <c r="AF115" s="51">
        <f t="shared" si="59"/>
        <v>0</v>
      </c>
      <c r="AG115" s="51">
        <f>APPLICANTS_PER_YEAR*($H115/Segments!$AH$2)*AE115</f>
        <v>32.77098613385386</v>
      </c>
      <c r="AH115" s="51">
        <f t="shared" si="60"/>
        <v>32.77098613385386</v>
      </c>
      <c r="AI115" s="14">
        <f t="shared" si="61"/>
        <v>985.50229690818787</v>
      </c>
      <c r="AJ115" s="44">
        <f t="shared" si="62"/>
        <v>32295.882106859353</v>
      </c>
      <c r="AK115" s="44">
        <f t="shared" si="63"/>
        <v>21304.067906351589</v>
      </c>
      <c r="AL115" s="44">
        <f t="shared" si="64"/>
        <v>8708.9719679599184</v>
      </c>
      <c r="AM115" s="14">
        <f t="shared" si="65"/>
        <v>1013.8173658154334</v>
      </c>
      <c r="AN115" s="14">
        <f t="shared" si="66"/>
        <v>597.84999444746904</v>
      </c>
      <c r="AO115" s="14">
        <f t="shared" si="67"/>
        <v>1013.8173658154334</v>
      </c>
      <c r="AP115" s="14">
        <f t="shared" si="68"/>
        <v>1238.5451334897616</v>
      </c>
      <c r="AQ115" s="14">
        <f t="shared" si="69"/>
        <v>1013.8173658154334</v>
      </c>
      <c r="AR115" s="33">
        <f t="shared" si="70"/>
        <v>0.9407224781712753</v>
      </c>
      <c r="AS115" s="33">
        <f t="shared" si="71"/>
        <v>0.44072247817127524</v>
      </c>
      <c r="AT115" s="51">
        <f t="shared" si="72"/>
        <v>0</v>
      </c>
      <c r="AU115" s="51">
        <f>APPLICANTS_PER_YEAR*($H115/Segments!$AH$2)*AS115</f>
        <v>32.789752375942875</v>
      </c>
      <c r="AV115" s="51">
        <f t="shared" si="73"/>
        <v>32.789752375942875</v>
      </c>
      <c r="AW115" s="14">
        <f t="shared" si="74"/>
        <v>1013.8173658154333</v>
      </c>
      <c r="AX115" s="44">
        <f t="shared" si="75"/>
        <v>33242.820379518751</v>
      </c>
      <c r="AY115" s="44">
        <f t="shared" si="76"/>
        <v>21955.755668998292</v>
      </c>
      <c r="AZ115" s="44">
        <f t="shared" si="77"/>
        <v>8921.9306219296286</v>
      </c>
    </row>
    <row r="116" spans="1:52" ht="15" customHeight="1" x14ac:dyDescent="0.35">
      <c r="A116" s="59" t="str">
        <f>Segments!$A$96</f>
        <v>Non-greek</v>
      </c>
      <c r="B116" s="59" t="str">
        <f>Segments!$B$96</f>
        <v>Off 1-3mi</v>
      </c>
      <c r="C116" s="59" t="str">
        <f>Segments!$C$96</f>
        <v>Yes</v>
      </c>
      <c r="D116" s="59" t="str">
        <f>Segments!$D$96</f>
        <v>2.0-3.0</v>
      </c>
      <c r="E116" s="59" t="str">
        <f>Segments!$E$96</f>
        <v>Sophomore</v>
      </c>
      <c r="F116" s="59">
        <f>Segments!$F$96</f>
        <v>1</v>
      </c>
      <c r="G116" s="59" t="str">
        <f>Segments!$G$96</f>
        <v>Sophomore</v>
      </c>
      <c r="H116" s="60">
        <f>Segments!$H$96</f>
        <v>66</v>
      </c>
      <c r="I116" s="26">
        <f>Segments!$Y$96</f>
        <v>557.79773190106346</v>
      </c>
      <c r="J116" s="29">
        <v>1</v>
      </c>
      <c r="K116" s="14">
        <f t="shared" si="39"/>
        <v>1426.2297754450396</v>
      </c>
      <c r="L116" s="14">
        <f t="shared" si="40"/>
        <v>557.79773190106346</v>
      </c>
      <c r="M116" s="14">
        <f t="shared" si="41"/>
        <v>948.6892644545502</v>
      </c>
      <c r="N116" s="14">
        <f t="shared" si="42"/>
        <v>1163.2062915107247</v>
      </c>
      <c r="O116" s="14">
        <f t="shared" si="43"/>
        <v>948.6892644545502</v>
      </c>
      <c r="P116" s="33">
        <f t="shared" si="44"/>
        <v>0.9422093650205281</v>
      </c>
      <c r="Q116" s="33">
        <f t="shared" si="45"/>
        <v>0.4422093650205281</v>
      </c>
      <c r="R116" s="51">
        <f t="shared" si="46"/>
        <v>58.416980631272743</v>
      </c>
      <c r="S116" s="51">
        <f>APPLICANTS_PER_YEAR*($H116/Segments!$AH$2)*Q116</f>
        <v>35.022981709625824</v>
      </c>
      <c r="T116" s="51">
        <f t="shared" si="47"/>
        <v>93.439962340898575</v>
      </c>
      <c r="U116" s="14">
        <f t="shared" si="48"/>
        <v>948.68926445455008</v>
      </c>
      <c r="V116" s="44">
        <f t="shared" si="49"/>
        <v>88645.489143847924</v>
      </c>
      <c r="W116" s="44">
        <f t="shared" si="50"/>
        <v>58375.070950194895</v>
      </c>
      <c r="X116" s="44">
        <f t="shared" si="51"/>
        <v>20661.278674244732</v>
      </c>
      <c r="Y116" s="14">
        <f t="shared" si="52"/>
        <v>958.01193874581338</v>
      </c>
      <c r="Z116" s="14">
        <f t="shared" si="53"/>
        <v>574.53166385809538</v>
      </c>
      <c r="AA116" s="14">
        <f t="shared" si="54"/>
        <v>975.89994238818679</v>
      </c>
      <c r="AB116" s="14">
        <f t="shared" si="55"/>
        <v>1197.3359104110277</v>
      </c>
      <c r="AC116" s="14">
        <f t="shared" si="56"/>
        <v>975.89994238818679</v>
      </c>
      <c r="AD116" s="33">
        <f t="shared" si="57"/>
        <v>0.93686867611732239</v>
      </c>
      <c r="AE116" s="33">
        <f t="shared" si="58"/>
        <v>0.44247027759604451</v>
      </c>
      <c r="AF116" s="51">
        <f t="shared" si="59"/>
        <v>30.684012758423332</v>
      </c>
      <c r="AG116" s="51">
        <f>APPLICANTS_PER_YEAR*($H116/Segments!$AH$2)*AE116</f>
        <v>35.04364598560673</v>
      </c>
      <c r="AH116" s="51">
        <f t="shared" si="60"/>
        <v>65.727658744030066</v>
      </c>
      <c r="AI116" s="14">
        <f t="shared" si="61"/>
        <v>975.89994238818679</v>
      </c>
      <c r="AJ116" s="44">
        <f t="shared" si="62"/>
        <v>64143.61838160934</v>
      </c>
      <c r="AK116" s="44">
        <f t="shared" si="63"/>
        <v>42294.135676469254</v>
      </c>
      <c r="AL116" s="44">
        <f t="shared" si="64"/>
        <v>15510.756422089829</v>
      </c>
      <c r="AM116" s="14">
        <f t="shared" si="65"/>
        <v>985.50229690818787</v>
      </c>
      <c r="AN116" s="14">
        <f t="shared" si="66"/>
        <v>591.76761377383821</v>
      </c>
      <c r="AO116" s="14">
        <f t="shared" si="67"/>
        <v>1003.9269406598323</v>
      </c>
      <c r="AP116" s="14">
        <f t="shared" si="68"/>
        <v>1232.4889339440556</v>
      </c>
      <c r="AQ116" s="14">
        <f t="shared" si="69"/>
        <v>1003.9269406598323</v>
      </c>
      <c r="AR116" s="33">
        <f t="shared" si="70"/>
        <v>0.93711504420548319</v>
      </c>
      <c r="AS116" s="33">
        <f t="shared" si="71"/>
        <v>0.44272375069235226</v>
      </c>
      <c r="AT116" s="51">
        <f t="shared" si="72"/>
        <v>30.710184119483738</v>
      </c>
      <c r="AU116" s="51">
        <f>APPLICANTS_PER_YEAR*($H116/Segments!$AH$2)*AS116</f>
        <v>35.063721054834303</v>
      </c>
      <c r="AV116" s="51">
        <f t="shared" si="73"/>
        <v>65.773905174318045</v>
      </c>
      <c r="AW116" s="14">
        <f t="shared" si="74"/>
        <v>1003.9269406598323</v>
      </c>
      <c r="AX116" s="44">
        <f t="shared" si="75"/>
        <v>66032.195396903029</v>
      </c>
      <c r="AY116" s="44">
        <f t="shared" si="76"/>
        <v>43593.610943224056</v>
      </c>
      <c r="AZ116" s="44">
        <f t="shared" si="77"/>
        <v>15904.205557107425</v>
      </c>
    </row>
    <row r="117" spans="1:52" ht="15" customHeight="1" x14ac:dyDescent="0.35">
      <c r="A117" s="59" t="str">
        <f>Segments!$A$97</f>
        <v>Non-greek</v>
      </c>
      <c r="B117" s="59" t="str">
        <f>Segments!$B$97</f>
        <v>Off 1-3mi</v>
      </c>
      <c r="C117" s="59" t="str">
        <f>Segments!$C$97</f>
        <v>Yes</v>
      </c>
      <c r="D117" s="59" t="str">
        <f>Segments!$D$97</f>
        <v>2.0-3.0</v>
      </c>
      <c r="E117" s="59" t="str">
        <f>Segments!$E$97</f>
        <v>Junior</v>
      </c>
      <c r="F117" s="59">
        <f>Segments!$F$97</f>
        <v>2</v>
      </c>
      <c r="G117" s="59" t="str">
        <f>Segments!$G$97</f>
        <v>Base</v>
      </c>
      <c r="H117" s="60">
        <f>Segments!$H$97</f>
        <v>46</v>
      </c>
      <c r="I117" s="26">
        <f>Segments!$Y$97</f>
        <v>666.80570166492623</v>
      </c>
      <c r="J117" s="29">
        <v>2</v>
      </c>
      <c r="K117" s="14">
        <f t="shared" si="39"/>
        <v>1426.2297754450396</v>
      </c>
      <c r="L117" s="14">
        <f t="shared" si="40"/>
        <v>666.80570166492623</v>
      </c>
      <c r="M117" s="14">
        <f t="shared" si="41"/>
        <v>1125.9447215139185</v>
      </c>
      <c r="N117" s="14">
        <f t="shared" si="42"/>
        <v>1267.2236926953044</v>
      </c>
      <c r="O117" s="14">
        <f t="shared" si="43"/>
        <v>1125.9447215139185</v>
      </c>
      <c r="P117" s="33">
        <f t="shared" si="44"/>
        <v>0.90574350132331194</v>
      </c>
      <c r="Q117" s="33">
        <f t="shared" si="45"/>
        <v>0.40574350132331194</v>
      </c>
      <c r="R117" s="51">
        <f t="shared" si="46"/>
        <v>59.779071087338586</v>
      </c>
      <c r="S117" s="51">
        <f>APPLICANTS_PER_YEAR*($H117/Segments!$AH$2)*Q117</f>
        <v>22.397041273046817</v>
      </c>
      <c r="T117" s="51">
        <f t="shared" si="47"/>
        <v>82.176112360385403</v>
      </c>
      <c r="U117" s="14">
        <f t="shared" si="48"/>
        <v>1125.9447215139185</v>
      </c>
      <c r="V117" s="44">
        <f t="shared" si="49"/>
        <v>92525.759946710619</v>
      </c>
      <c r="W117" s="44">
        <f t="shared" si="50"/>
        <v>61370.96029407013</v>
      </c>
      <c r="X117" s="44">
        <f t="shared" si="51"/>
        <v>20573.440972924258</v>
      </c>
      <c r="Y117" s="14">
        <f t="shared" si="52"/>
        <v>948.68926445455008</v>
      </c>
      <c r="Z117" s="14">
        <f t="shared" si="53"/>
        <v>686.80987271487402</v>
      </c>
      <c r="AA117" s="14">
        <f t="shared" si="54"/>
        <v>1158.4730631593361</v>
      </c>
      <c r="AB117" s="14">
        <f t="shared" si="55"/>
        <v>1304.5367913672396</v>
      </c>
      <c r="AC117" s="14">
        <f t="shared" si="56"/>
        <v>1158.4730631593361</v>
      </c>
      <c r="AD117" s="33">
        <f t="shared" si="57"/>
        <v>0.83964394057336678</v>
      </c>
      <c r="AE117" s="33">
        <f t="shared" si="58"/>
        <v>0.40598298536863003</v>
      </c>
      <c r="AF117" s="51">
        <f t="shared" si="59"/>
        <v>78.456298186939065</v>
      </c>
      <c r="AG117" s="51">
        <f>APPLICANTS_PER_YEAR*($H117/Segments!$AH$2)*AE117</f>
        <v>22.410260792348375</v>
      </c>
      <c r="AH117" s="51">
        <f t="shared" si="60"/>
        <v>100.86655897928745</v>
      </c>
      <c r="AI117" s="14">
        <f t="shared" si="61"/>
        <v>1158.4730631593359</v>
      </c>
      <c r="AJ117" s="44">
        <f t="shared" si="62"/>
        <v>116851.19155107695</v>
      </c>
      <c r="AK117" s="44">
        <f t="shared" si="63"/>
        <v>77589.286357801975</v>
      </c>
      <c r="AL117" s="44">
        <f t="shared" si="64"/>
        <v>25571.1218238689</v>
      </c>
      <c r="AM117" s="14">
        <f t="shared" si="65"/>
        <v>975.89994238818679</v>
      </c>
      <c r="AN117" s="14">
        <f t="shared" si="66"/>
        <v>707.41416889632023</v>
      </c>
      <c r="AO117" s="14">
        <f t="shared" si="67"/>
        <v>1191.9772550541161</v>
      </c>
      <c r="AP117" s="14">
        <f t="shared" si="68"/>
        <v>1342.968908831341</v>
      </c>
      <c r="AQ117" s="14">
        <f t="shared" si="69"/>
        <v>1191.9772550541161</v>
      </c>
      <c r="AR117" s="33">
        <f t="shared" si="70"/>
        <v>0.83979160137202469</v>
      </c>
      <c r="AS117" s="33">
        <f t="shared" si="71"/>
        <v>0.40621561779439058</v>
      </c>
      <c r="AT117" s="51">
        <f t="shared" si="72"/>
        <v>55.19753579108297</v>
      </c>
      <c r="AU117" s="51">
        <f>APPLICANTS_PER_YEAR*($H117/Segments!$AH$2)*AS117</f>
        <v>22.423102102250358</v>
      </c>
      <c r="AV117" s="51">
        <f t="shared" si="73"/>
        <v>77.620637893333324</v>
      </c>
      <c r="AW117" s="14">
        <f t="shared" si="74"/>
        <v>1191.9772550541163</v>
      </c>
      <c r="AX117" s="44">
        <f t="shared" si="75"/>
        <v>92522.034891644973</v>
      </c>
      <c r="AY117" s="44">
        <f t="shared" si="76"/>
        <v>61499.131729856374</v>
      </c>
      <c r="AZ117" s="44">
        <f t="shared" si="77"/>
        <v>20535.128874221176</v>
      </c>
    </row>
    <row r="118" spans="1:52" ht="15" customHeight="1" x14ac:dyDescent="0.35">
      <c r="A118" s="59" t="str">
        <f>Segments!$A$98</f>
        <v>Non-greek</v>
      </c>
      <c r="B118" s="59" t="str">
        <f>Segments!$B$98</f>
        <v>Off 1-3mi</v>
      </c>
      <c r="C118" s="59" t="str">
        <f>Segments!$C$98</f>
        <v>Yes</v>
      </c>
      <c r="D118" s="59" t="str">
        <f>Segments!$D$98</f>
        <v>2.0-3.0</v>
      </c>
      <c r="E118" s="59" t="str">
        <f>Segments!$E$98</f>
        <v>Senior</v>
      </c>
      <c r="F118" s="59">
        <f>Segments!$F$98</f>
        <v>3</v>
      </c>
      <c r="G118" s="59" t="str">
        <f>Segments!$G$98</f>
        <v>Base</v>
      </c>
      <c r="H118" s="60">
        <f>Segments!$H$98</f>
        <v>52</v>
      </c>
      <c r="I118" s="26">
        <f>Segments!$Y$98</f>
        <v>623.25492523579021</v>
      </c>
      <c r="J118" s="29">
        <v>3</v>
      </c>
      <c r="K118" s="14">
        <f t="shared" si="39"/>
        <v>1426.2297754450396</v>
      </c>
      <c r="L118" s="14">
        <f t="shared" si="40"/>
        <v>623.25492523579021</v>
      </c>
      <c r="M118" s="14">
        <f t="shared" si="41"/>
        <v>1055.1277638367928</v>
      </c>
      <c r="N118" s="14">
        <f t="shared" si="42"/>
        <v>1226.7251663199772</v>
      </c>
      <c r="O118" s="14">
        <f t="shared" si="43"/>
        <v>1055.1277638367928</v>
      </c>
      <c r="P118" s="33">
        <f t="shared" si="44"/>
        <v>0.91994125790944481</v>
      </c>
      <c r="Q118" s="33">
        <f t="shared" si="45"/>
        <v>0.41994125790944486</v>
      </c>
      <c r="R118" s="51">
        <f t="shared" si="46"/>
        <v>42.317297863834462</v>
      </c>
      <c r="S118" s="51">
        <f>APPLICANTS_PER_YEAR*($H118/Segments!$AH$2)*Q118</f>
        <v>26.204334493549361</v>
      </c>
      <c r="T118" s="51">
        <f t="shared" si="47"/>
        <v>68.521632357383822</v>
      </c>
      <c r="U118" s="14">
        <f t="shared" si="48"/>
        <v>1055.1277638367931</v>
      </c>
      <c r="V118" s="44">
        <f t="shared" si="49"/>
        <v>72299.07672369323</v>
      </c>
      <c r="W118" s="44">
        <f t="shared" si="50"/>
        <v>47831.218234167827</v>
      </c>
      <c r="X118" s="44">
        <f t="shared" si="51"/>
        <v>16657.778740259782</v>
      </c>
      <c r="Y118" s="14">
        <f t="shared" si="52"/>
        <v>1125.9447215139185</v>
      </c>
      <c r="Z118" s="14">
        <f t="shared" si="53"/>
        <v>641.95257299286391</v>
      </c>
      <c r="AA118" s="14">
        <f t="shared" si="54"/>
        <v>1085.5315967518966</v>
      </c>
      <c r="AB118" s="14">
        <f t="shared" si="55"/>
        <v>1262.80006732585</v>
      </c>
      <c r="AC118" s="14">
        <f t="shared" si="56"/>
        <v>1085.5315967518966</v>
      </c>
      <c r="AD118" s="33">
        <f t="shared" si="57"/>
        <v>0.92018865264607697</v>
      </c>
      <c r="AE118" s="33">
        <f t="shared" si="58"/>
        <v>0.42018865264607697</v>
      </c>
      <c r="AF118" s="51">
        <f t="shared" si="59"/>
        <v>75.617526112595669</v>
      </c>
      <c r="AG118" s="51">
        <f>APPLICANTS_PER_YEAR*($H118/Segments!$AH$2)*AE118</f>
        <v>26.219771925115204</v>
      </c>
      <c r="AH118" s="51">
        <f t="shared" si="60"/>
        <v>101.83729803771087</v>
      </c>
      <c r="AI118" s="14">
        <f t="shared" si="61"/>
        <v>1085.5315967518966</v>
      </c>
      <c r="AJ118" s="44">
        <f t="shared" si="62"/>
        <v>110547.60474777507</v>
      </c>
      <c r="AK118" s="44">
        <f t="shared" si="63"/>
        <v>73219.681362183575</v>
      </c>
      <c r="AL118" s="44">
        <f t="shared" si="64"/>
        <v>24581.921237163515</v>
      </c>
      <c r="AM118" s="14">
        <f t="shared" si="65"/>
        <v>1158.4730631593359</v>
      </c>
      <c r="AN118" s="14">
        <f t="shared" si="66"/>
        <v>661.21115018264982</v>
      </c>
      <c r="AO118" s="14">
        <f t="shared" si="67"/>
        <v>1116.8475446544535</v>
      </c>
      <c r="AP118" s="14">
        <f t="shared" si="68"/>
        <v>1299.9568028548235</v>
      </c>
      <c r="AQ118" s="14">
        <f t="shared" si="69"/>
        <v>1116.8475446544535</v>
      </c>
      <c r="AR118" s="33">
        <f t="shared" si="70"/>
        <v>0.92042897802382562</v>
      </c>
      <c r="AS118" s="33">
        <f t="shared" si="71"/>
        <v>0.42042897802382562</v>
      </c>
      <c r="AT118" s="51">
        <f t="shared" si="72"/>
        <v>92.840503798085479</v>
      </c>
      <c r="AU118" s="51">
        <f>APPLICANTS_PER_YEAR*($H118/Segments!$AH$2)*AS118</f>
        <v>26.234768228686718</v>
      </c>
      <c r="AV118" s="51">
        <f t="shared" si="73"/>
        <v>119.0752720267722</v>
      </c>
      <c r="AW118" s="14">
        <f t="shared" si="74"/>
        <v>1116.8475446544533</v>
      </c>
      <c r="AX118" s="44">
        <f t="shared" si="75"/>
        <v>132988.92519216164</v>
      </c>
      <c r="AY118" s="44">
        <f t="shared" si="76"/>
        <v>88181.965284150021</v>
      </c>
      <c r="AZ118" s="44">
        <f t="shared" si="77"/>
        <v>29197.789784398727</v>
      </c>
    </row>
    <row r="119" spans="1:52" ht="15" customHeight="1" x14ac:dyDescent="0.35">
      <c r="A119" s="59" t="str">
        <f>Segments!$A$99</f>
        <v>Non-greek</v>
      </c>
      <c r="B119" s="59" t="str">
        <f>Segments!$B$99</f>
        <v>Off 1-3mi</v>
      </c>
      <c r="C119" s="59" t="str">
        <f>Segments!$C$99</f>
        <v>Yes</v>
      </c>
      <c r="D119" s="59" t="str">
        <f>Segments!$D$99</f>
        <v>2.0-3.0</v>
      </c>
      <c r="E119" s="59" t="str">
        <f>Segments!$E$99</f>
        <v>Grad student</v>
      </c>
      <c r="F119" s="59">
        <f>Segments!$F$99</f>
        <v>3</v>
      </c>
      <c r="G119" s="59" t="str">
        <f>Segments!$G$99</f>
        <v>Grad</v>
      </c>
      <c r="H119" s="60">
        <f>Segments!$H$99</f>
        <v>31</v>
      </c>
      <c r="I119" s="26">
        <f>Segments!$Y$99</f>
        <v>742.09744049478275</v>
      </c>
      <c r="J119" s="29">
        <v>4</v>
      </c>
      <c r="K119" s="14">
        <f t="shared" si="39"/>
        <v>1426.2297754450396</v>
      </c>
      <c r="L119" s="14">
        <f t="shared" si="40"/>
        <v>742.09744049478275</v>
      </c>
      <c r="M119" s="14">
        <f t="shared" si="41"/>
        <v>1248.3749585689809</v>
      </c>
      <c r="N119" s="14">
        <f t="shared" si="42"/>
        <v>1334.342361176864</v>
      </c>
      <c r="O119" s="14">
        <f t="shared" si="43"/>
        <v>1248.3749585689809</v>
      </c>
      <c r="P119" s="33">
        <f t="shared" si="44"/>
        <v>0.88221339781645747</v>
      </c>
      <c r="Q119" s="33">
        <f t="shared" si="45"/>
        <v>0.38221339781645747</v>
      </c>
      <c r="R119" s="51">
        <f t="shared" si="46"/>
        <v>13.674307666155091</v>
      </c>
      <c r="S119" s="51">
        <f>APPLICANTS_PER_YEAR*($H119/Segments!$AH$2)*Q119</f>
        <v>14.218338398772216</v>
      </c>
      <c r="T119" s="51">
        <f t="shared" si="47"/>
        <v>27.892646064927305</v>
      </c>
      <c r="U119" s="14">
        <f t="shared" si="48"/>
        <v>1248.3749585689809</v>
      </c>
      <c r="V119" s="44">
        <f t="shared" si="49"/>
        <v>34820.480875682872</v>
      </c>
      <c r="W119" s="44">
        <f t="shared" si="50"/>
        <v>23182.948603818564</v>
      </c>
      <c r="X119" s="44">
        <f t="shared" si="51"/>
        <v>8115.6258831039595</v>
      </c>
      <c r="Y119" s="14">
        <f t="shared" si="52"/>
        <v>1248.3749585689809</v>
      </c>
      <c r="Z119" s="14">
        <f t="shared" si="53"/>
        <v>764.3603637096262</v>
      </c>
      <c r="AA119" s="14">
        <f t="shared" si="54"/>
        <v>1284.5762073260503</v>
      </c>
      <c r="AB119" s="14">
        <f t="shared" si="55"/>
        <v>1373.704429922308</v>
      </c>
      <c r="AC119" s="14">
        <f t="shared" si="56"/>
        <v>1284.5762073260503</v>
      </c>
      <c r="AD119" s="33">
        <f t="shared" si="57"/>
        <v>0.87374122009306376</v>
      </c>
      <c r="AE119" s="33">
        <f t="shared" si="58"/>
        <v>0.3824408295754344</v>
      </c>
      <c r="AF119" s="51">
        <f t="shared" si="59"/>
        <v>12.185477302196789</v>
      </c>
      <c r="AG119" s="51">
        <f>APPLICANTS_PER_YEAR*($H119/Segments!$AH$2)*AE119</f>
        <v>14.226798860206157</v>
      </c>
      <c r="AH119" s="51">
        <f t="shared" si="60"/>
        <v>26.412276162402947</v>
      </c>
      <c r="AI119" s="14">
        <f t="shared" si="61"/>
        <v>1284.5762073260505</v>
      </c>
      <c r="AJ119" s="44">
        <f t="shared" si="62"/>
        <v>33928.581539547828</v>
      </c>
      <c r="AK119" s="44">
        <f t="shared" si="63"/>
        <v>22611.116655560618</v>
      </c>
      <c r="AL119" s="44">
        <f t="shared" si="64"/>
        <v>7936.0566620059481</v>
      </c>
      <c r="AM119" s="14">
        <f t="shared" si="65"/>
        <v>1284.5762073260505</v>
      </c>
      <c r="AN119" s="14">
        <f t="shared" si="66"/>
        <v>787.29117462091494</v>
      </c>
      <c r="AO119" s="14">
        <f t="shared" si="67"/>
        <v>1321.8634935458317</v>
      </c>
      <c r="AP119" s="14">
        <f t="shared" si="68"/>
        <v>1414.2470402829952</v>
      </c>
      <c r="AQ119" s="14">
        <f t="shared" si="69"/>
        <v>1321.8634935458317</v>
      </c>
      <c r="AR119" s="33">
        <f t="shared" si="70"/>
        <v>0.87395366807083452</v>
      </c>
      <c r="AS119" s="33">
        <f t="shared" si="71"/>
        <v>0.38266174300024597</v>
      </c>
      <c r="AT119" s="51">
        <f t="shared" si="72"/>
        <v>11.54155281711596</v>
      </c>
      <c r="AU119" s="51">
        <f>APPLICANTS_PER_YEAR*($H119/Segments!$AH$2)*AS119</f>
        <v>14.235016839609148</v>
      </c>
      <c r="AV119" s="51">
        <f t="shared" si="73"/>
        <v>25.776569656725108</v>
      </c>
      <c r="AW119" s="14">
        <f t="shared" si="74"/>
        <v>1321.8634935458317</v>
      </c>
      <c r="AX119" s="44">
        <f t="shared" si="75"/>
        <v>34073.106418066134</v>
      </c>
      <c r="AY119" s="44">
        <f t="shared" si="76"/>
        <v>22728.905699069863</v>
      </c>
      <c r="AZ119" s="44">
        <f t="shared" si="77"/>
        <v>7969.8101452993633</v>
      </c>
    </row>
    <row r="120" spans="1:52" ht="15" customHeight="1" x14ac:dyDescent="0.35">
      <c r="A120" s="61" t="str">
        <f>Segments!$A$100</f>
        <v>Non-greek</v>
      </c>
      <c r="B120" s="61" t="str">
        <f>Segments!$B$100</f>
        <v>Off 1-3mi</v>
      </c>
      <c r="C120" s="61" t="str">
        <f>Segments!$C$100</f>
        <v>Yes</v>
      </c>
      <c r="D120" s="61" t="str">
        <f>Segments!$D$100</f>
        <v>3.0+</v>
      </c>
      <c r="E120" s="61" t="str">
        <f>Segments!$E$100</f>
        <v>Freshman</v>
      </c>
      <c r="F120" s="61">
        <f>Segments!$F$100</f>
        <v>1</v>
      </c>
      <c r="G120" s="61" t="str">
        <f>Segments!$G$100</f>
        <v>Base</v>
      </c>
      <c r="H120" s="62">
        <f>Segments!$H$100</f>
        <v>29</v>
      </c>
      <c r="I120" s="63">
        <f>Segments!$Y$100</f>
        <v>493.96171962695377</v>
      </c>
      <c r="J120" s="42">
        <v>0</v>
      </c>
      <c r="K120" s="40">
        <f t="shared" si="39"/>
        <v>844.88693186358148</v>
      </c>
      <c r="L120" s="40">
        <f t="shared" si="40"/>
        <v>493.96171962695377</v>
      </c>
      <c r="M120" s="40">
        <f t="shared" si="41"/>
        <v>844.88693186358148</v>
      </c>
      <c r="N120" s="40">
        <f t="shared" si="42"/>
        <v>1097.7262405118338</v>
      </c>
      <c r="O120" s="40">
        <f t="shared" si="43"/>
        <v>844.88693186358148</v>
      </c>
      <c r="P120" s="41">
        <f t="shared" si="44"/>
        <v>0.95</v>
      </c>
      <c r="Q120" s="41">
        <f t="shared" si="45"/>
        <v>0.4651650107819057</v>
      </c>
      <c r="R120" s="64">
        <f t="shared" si="46"/>
        <v>0</v>
      </c>
      <c r="S120" s="64">
        <f>APPLICANTS_PER_YEAR*($H120/Segments!$AH$2)*Q120</f>
        <v>16.187742375210316</v>
      </c>
      <c r="T120" s="64">
        <f t="shared" si="47"/>
        <v>16.187742375210316</v>
      </c>
      <c r="U120" s="40">
        <f t="shared" si="48"/>
        <v>844.88693186358148</v>
      </c>
      <c r="V120" s="65">
        <f t="shared" si="49"/>
        <v>13676.811989189529</v>
      </c>
      <c r="W120" s="65">
        <f t="shared" si="50"/>
        <v>8955.6600678014365</v>
      </c>
      <c r="X120" s="65">
        <f t="shared" si="51"/>
        <v>3792.0542924629185</v>
      </c>
      <c r="Y120" s="40">
        <f t="shared" si="52"/>
        <v>868.98353981948901</v>
      </c>
      <c r="Z120" s="40">
        <f t="shared" si="53"/>
        <v>508.78057121576239</v>
      </c>
      <c r="AA120" s="40">
        <f t="shared" si="54"/>
        <v>868.98353981948901</v>
      </c>
      <c r="AB120" s="40">
        <f t="shared" si="55"/>
        <v>1129.8456995661181</v>
      </c>
      <c r="AC120" s="40">
        <f t="shared" si="56"/>
        <v>868.98353981948901</v>
      </c>
      <c r="AD120" s="41">
        <f t="shared" si="57"/>
        <v>0.95</v>
      </c>
      <c r="AE120" s="41">
        <f t="shared" si="58"/>
        <v>0.46544149782877653</v>
      </c>
      <c r="AF120" s="64">
        <f t="shared" si="59"/>
        <v>0</v>
      </c>
      <c r="AG120" s="64">
        <f>APPLICANTS_PER_YEAR*($H120/Segments!$AH$2)*AE120</f>
        <v>16.197364124441421</v>
      </c>
      <c r="AH120" s="64">
        <f t="shared" si="60"/>
        <v>16.197364124441421</v>
      </c>
      <c r="AI120" s="40">
        <f t="shared" si="61"/>
        <v>868.98353981948901</v>
      </c>
      <c r="AJ120" s="65">
        <f t="shared" si="62"/>
        <v>14075.242812602304</v>
      </c>
      <c r="AK120" s="65">
        <f t="shared" si="63"/>
        <v>9229.8126719937645</v>
      </c>
      <c r="AL120" s="65">
        <f t="shared" si="64"/>
        <v>3881.7357756227802</v>
      </c>
      <c r="AM120" s="40">
        <f t="shared" si="65"/>
        <v>893.80304601407363</v>
      </c>
      <c r="AN120" s="40">
        <f t="shared" si="66"/>
        <v>524.04398835223526</v>
      </c>
      <c r="AO120" s="40">
        <f t="shared" si="67"/>
        <v>893.80304601407363</v>
      </c>
      <c r="AP120" s="40">
        <f t="shared" si="68"/>
        <v>1162.9281664535936</v>
      </c>
      <c r="AQ120" s="40">
        <f t="shared" si="69"/>
        <v>893.80304601407363</v>
      </c>
      <c r="AR120" s="41">
        <f t="shared" si="70"/>
        <v>0.95</v>
      </c>
      <c r="AS120" s="41">
        <f t="shared" si="71"/>
        <v>0.46571012217385283</v>
      </c>
      <c r="AT120" s="64">
        <f t="shared" si="72"/>
        <v>0</v>
      </c>
      <c r="AU120" s="64">
        <f>APPLICANTS_PER_YEAR*($H120/Segments!$AH$2)*AS120</f>
        <v>16.206712251650078</v>
      </c>
      <c r="AV120" s="64">
        <f t="shared" si="73"/>
        <v>16.206712251650078</v>
      </c>
      <c r="AW120" s="40">
        <f t="shared" si="74"/>
        <v>893.80304601407363</v>
      </c>
      <c r="AX120" s="65">
        <f t="shared" si="75"/>
        <v>14485.608776398445</v>
      </c>
      <c r="AY120" s="65">
        <f t="shared" si="76"/>
        <v>9512.1937416035526</v>
      </c>
      <c r="AZ120" s="65">
        <f t="shared" si="77"/>
        <v>3974.0784172375056</v>
      </c>
    </row>
    <row r="121" spans="1:52" ht="15" customHeight="1" x14ac:dyDescent="0.35">
      <c r="A121" s="61" t="str">
        <f>Segments!$A$101</f>
        <v>Non-greek</v>
      </c>
      <c r="B121" s="61" t="str">
        <f>Segments!$B$101</f>
        <v>Off 1-3mi</v>
      </c>
      <c r="C121" s="61" t="str">
        <f>Segments!$C$101</f>
        <v>Yes</v>
      </c>
      <c r="D121" s="61" t="str">
        <f>Segments!$D$101</f>
        <v>3.0+</v>
      </c>
      <c r="E121" s="61" t="str">
        <f>Segments!$E$101</f>
        <v>Sophomore</v>
      </c>
      <c r="F121" s="61">
        <f>Segments!$F$101</f>
        <v>1</v>
      </c>
      <c r="G121" s="61" t="str">
        <f>Segments!$G$101</f>
        <v>Sophomore</v>
      </c>
      <c r="H121" s="62">
        <f>Segments!$H$101</f>
        <v>30</v>
      </c>
      <c r="I121" s="63">
        <f>Segments!$Y$101</f>
        <v>488.936273035206</v>
      </c>
      <c r="J121" s="42">
        <v>1</v>
      </c>
      <c r="K121" s="40">
        <f t="shared" si="39"/>
        <v>1426.2297754450396</v>
      </c>
      <c r="L121" s="40">
        <f t="shared" si="40"/>
        <v>488.936273035206</v>
      </c>
      <c r="M121" s="40">
        <f t="shared" si="41"/>
        <v>836.71516392333501</v>
      </c>
      <c r="N121" s="40">
        <f t="shared" si="42"/>
        <v>1092.4047236962306</v>
      </c>
      <c r="O121" s="40">
        <f t="shared" si="43"/>
        <v>836.71516392333501</v>
      </c>
      <c r="P121" s="41">
        <f t="shared" si="44"/>
        <v>0.95</v>
      </c>
      <c r="Q121" s="41">
        <f t="shared" si="45"/>
        <v>0.46703059966078841</v>
      </c>
      <c r="R121" s="64">
        <f t="shared" si="46"/>
        <v>27.549999999999997</v>
      </c>
      <c r="S121" s="64">
        <f>APPLICANTS_PER_YEAR*($H121/Segments!$AH$2)*Q121</f>
        <v>16.813101587788381</v>
      </c>
      <c r="T121" s="64">
        <f t="shared" si="47"/>
        <v>44.363101587788378</v>
      </c>
      <c r="U121" s="40">
        <f t="shared" si="48"/>
        <v>836.7151639233349</v>
      </c>
      <c r="V121" s="65">
        <f t="shared" si="49"/>
        <v>37119.279817173912</v>
      </c>
      <c r="W121" s="65">
        <f t="shared" si="50"/>
        <v>24293.617096689341</v>
      </c>
      <c r="X121" s="65">
        <f t="shared" si="51"/>
        <v>8815.5056536843585</v>
      </c>
      <c r="Y121" s="40">
        <f t="shared" si="52"/>
        <v>844.88693186358148</v>
      </c>
      <c r="Z121" s="40">
        <f t="shared" si="53"/>
        <v>503.6043612262622</v>
      </c>
      <c r="AA121" s="40">
        <f t="shared" si="54"/>
        <v>860.56661884103505</v>
      </c>
      <c r="AB121" s="40">
        <f t="shared" si="55"/>
        <v>1124.3605772222274</v>
      </c>
      <c r="AC121" s="40">
        <f t="shared" si="56"/>
        <v>860.56661884103505</v>
      </c>
      <c r="AD121" s="41">
        <f t="shared" si="57"/>
        <v>0.95</v>
      </c>
      <c r="AE121" s="41">
        <f t="shared" si="58"/>
        <v>0.46730843455615662</v>
      </c>
      <c r="AF121" s="64">
        <f t="shared" si="59"/>
        <v>15.378355256449799</v>
      </c>
      <c r="AG121" s="64">
        <f>APPLICANTS_PER_YEAR*($H121/Segments!$AH$2)*AE121</f>
        <v>16.823103644021639</v>
      </c>
      <c r="AH121" s="64">
        <f t="shared" si="60"/>
        <v>32.201458900471437</v>
      </c>
      <c r="AI121" s="40">
        <f t="shared" si="61"/>
        <v>860.56661884103517</v>
      </c>
      <c r="AJ121" s="65">
        <f t="shared" si="62"/>
        <v>27711.500607727263</v>
      </c>
      <c r="AK121" s="65">
        <f t="shared" si="63"/>
        <v>18162.810556940734</v>
      </c>
      <c r="AL121" s="65">
        <f t="shared" si="64"/>
        <v>6808.7894337176022</v>
      </c>
      <c r="AM121" s="40">
        <f t="shared" si="65"/>
        <v>868.98353981948901</v>
      </c>
      <c r="AN121" s="40">
        <f t="shared" si="66"/>
        <v>518.71249206305004</v>
      </c>
      <c r="AO121" s="40">
        <f t="shared" si="67"/>
        <v>885.13361740626613</v>
      </c>
      <c r="AP121" s="40">
        <f t="shared" si="68"/>
        <v>1157.2745219454541</v>
      </c>
      <c r="AQ121" s="40">
        <f t="shared" si="69"/>
        <v>885.13361740626613</v>
      </c>
      <c r="AR121" s="41">
        <f t="shared" si="70"/>
        <v>0.95</v>
      </c>
      <c r="AS121" s="41">
        <f t="shared" si="71"/>
        <v>0.467578370290958</v>
      </c>
      <c r="AT121" s="64">
        <f t="shared" si="72"/>
        <v>15.387495918219349</v>
      </c>
      <c r="AU121" s="64">
        <f>APPLICANTS_PER_YEAR*($H121/Segments!$AH$2)*AS121</f>
        <v>16.832821330474488</v>
      </c>
      <c r="AV121" s="64">
        <f t="shared" si="73"/>
        <v>32.220317248693839</v>
      </c>
      <c r="AW121" s="40">
        <f t="shared" si="74"/>
        <v>885.13361740626601</v>
      </c>
      <c r="AX121" s="65">
        <f t="shared" si="75"/>
        <v>28519.285960313886</v>
      </c>
      <c r="AY121" s="65">
        <f t="shared" si="76"/>
        <v>18718.650781747907</v>
      </c>
      <c r="AZ121" s="65">
        <f t="shared" si="77"/>
        <v>6976.8472859739322</v>
      </c>
    </row>
    <row r="122" spans="1:52" ht="15" customHeight="1" x14ac:dyDescent="0.35">
      <c r="A122" s="61" t="str">
        <f>Segments!$A$102</f>
        <v>Non-greek</v>
      </c>
      <c r="B122" s="61" t="str">
        <f>Segments!$B$102</f>
        <v>Off 1-3mi</v>
      </c>
      <c r="C122" s="61" t="str">
        <f>Segments!$C$102</f>
        <v>Yes</v>
      </c>
      <c r="D122" s="61" t="str">
        <f>Segments!$D$102</f>
        <v>3.0+</v>
      </c>
      <c r="E122" s="61" t="str">
        <f>Segments!$E$102</f>
        <v>Junior</v>
      </c>
      <c r="F122" s="61">
        <f>Segments!$F$102</f>
        <v>2</v>
      </c>
      <c r="G122" s="61" t="str">
        <f>Segments!$G$102</f>
        <v>Base</v>
      </c>
      <c r="H122" s="62">
        <f>Segments!$H$102</f>
        <v>39</v>
      </c>
      <c r="I122" s="63">
        <f>Segments!$Y$102</f>
        <v>584.48694923790333</v>
      </c>
      <c r="J122" s="42">
        <v>2</v>
      </c>
      <c r="K122" s="40">
        <f t="shared" si="39"/>
        <v>1426.2297754450396</v>
      </c>
      <c r="L122" s="40">
        <f t="shared" si="40"/>
        <v>584.48694923790333</v>
      </c>
      <c r="M122" s="40">
        <f t="shared" si="41"/>
        <v>992.0880125263327</v>
      </c>
      <c r="N122" s="40">
        <f t="shared" si="42"/>
        <v>1189.5148016427315</v>
      </c>
      <c r="O122" s="40">
        <f t="shared" si="43"/>
        <v>992.0880125263327</v>
      </c>
      <c r="P122" s="41">
        <f t="shared" si="44"/>
        <v>0.93298626836914955</v>
      </c>
      <c r="Q122" s="41">
        <f t="shared" si="45"/>
        <v>0.43298626836914955</v>
      </c>
      <c r="R122" s="64">
        <f t="shared" si="46"/>
        <v>27.989588051074488</v>
      </c>
      <c r="S122" s="64">
        <f>APPLICANTS_PER_YEAR*($H122/Segments!$AH$2)*Q122</f>
        <v>20.263757359676198</v>
      </c>
      <c r="T122" s="64">
        <f t="shared" si="47"/>
        <v>48.253345410750683</v>
      </c>
      <c r="U122" s="40">
        <f t="shared" si="48"/>
        <v>992.0880125263327</v>
      </c>
      <c r="V122" s="65">
        <f t="shared" si="49"/>
        <v>47871.565546298283</v>
      </c>
      <c r="W122" s="65">
        <f t="shared" si="50"/>
        <v>31587.864727610744</v>
      </c>
      <c r="X122" s="65">
        <f t="shared" si="51"/>
        <v>11223.006807241989</v>
      </c>
      <c r="Y122" s="40">
        <f t="shared" si="52"/>
        <v>836.7151639233349</v>
      </c>
      <c r="Z122" s="40">
        <f t="shared" si="53"/>
        <v>602.02155771504044</v>
      </c>
      <c r="AA122" s="40">
        <f t="shared" si="54"/>
        <v>1020.6006529021228</v>
      </c>
      <c r="AB122" s="40">
        <f t="shared" si="55"/>
        <v>1224.4506405763709</v>
      </c>
      <c r="AC122" s="40">
        <f t="shared" si="56"/>
        <v>1020.6006529021228</v>
      </c>
      <c r="AD122" s="41">
        <f t="shared" si="57"/>
        <v>0.86731019257005493</v>
      </c>
      <c r="AE122" s="41">
        <f t="shared" si="58"/>
        <v>0.43324140676601397</v>
      </c>
      <c r="AF122" s="64">
        <f t="shared" si="59"/>
        <v>38.476570181109651</v>
      </c>
      <c r="AG122" s="64">
        <f>APPLICANTS_PER_YEAR*($H122/Segments!$AH$2)*AE122</f>
        <v>20.275697836649453</v>
      </c>
      <c r="AH122" s="64">
        <f t="shared" si="60"/>
        <v>58.752268017759107</v>
      </c>
      <c r="AI122" s="40">
        <f t="shared" si="61"/>
        <v>1020.6006529021226</v>
      </c>
      <c r="AJ122" s="65">
        <f t="shared" si="62"/>
        <v>59962.603098405445</v>
      </c>
      <c r="AK122" s="65">
        <f t="shared" si="63"/>
        <v>39614.547740704038</v>
      </c>
      <c r="AL122" s="65">
        <f t="shared" si="64"/>
        <v>13739.138457624618</v>
      </c>
      <c r="AM122" s="40">
        <f t="shared" si="65"/>
        <v>860.56661884103517</v>
      </c>
      <c r="AN122" s="40">
        <f t="shared" si="66"/>
        <v>620.08220444649157</v>
      </c>
      <c r="AO122" s="40">
        <f t="shared" si="67"/>
        <v>1049.9686724891862</v>
      </c>
      <c r="AP122" s="40">
        <f t="shared" si="68"/>
        <v>1260.4341021860218</v>
      </c>
      <c r="AQ122" s="40">
        <f t="shared" si="69"/>
        <v>1049.9686724891862</v>
      </c>
      <c r="AR122" s="41">
        <f t="shared" si="70"/>
        <v>0.86746228212143273</v>
      </c>
      <c r="AS122" s="41">
        <f t="shared" si="71"/>
        <v>0.43348926347351951</v>
      </c>
      <c r="AT122" s="64">
        <f t="shared" si="72"/>
        <v>27.933551025442473</v>
      </c>
      <c r="AU122" s="64">
        <f>APPLICANTS_PER_YEAR*($H122/Segments!$AH$2)*AS122</f>
        <v>20.287297530560711</v>
      </c>
      <c r="AV122" s="64">
        <f t="shared" si="73"/>
        <v>48.220848556003183</v>
      </c>
      <c r="AW122" s="40">
        <f t="shared" si="74"/>
        <v>1049.9686724891862</v>
      </c>
      <c r="AX122" s="65">
        <f t="shared" si="75"/>
        <v>50630.380344648758</v>
      </c>
      <c r="AY122" s="65">
        <f t="shared" si="76"/>
        <v>33488.996881633298</v>
      </c>
      <c r="AZ122" s="65">
        <f t="shared" si="77"/>
        <v>11786.277234502153</v>
      </c>
    </row>
    <row r="123" spans="1:52" ht="15" customHeight="1" x14ac:dyDescent="0.35">
      <c r="A123" s="61" t="str">
        <f>Segments!$A$103</f>
        <v>Non-greek</v>
      </c>
      <c r="B123" s="61" t="str">
        <f>Segments!$B$103</f>
        <v>Off 1-3mi</v>
      </c>
      <c r="C123" s="61" t="str">
        <f>Segments!$C$103</f>
        <v>Yes</v>
      </c>
      <c r="D123" s="61" t="str">
        <f>Segments!$D$103</f>
        <v>3.0+</v>
      </c>
      <c r="E123" s="61" t="str">
        <f>Segments!$E$103</f>
        <v>Senior</v>
      </c>
      <c r="F123" s="61">
        <f>Segments!$F$103</f>
        <v>3</v>
      </c>
      <c r="G123" s="61" t="str">
        <f>Segments!$G$103</f>
        <v>Base</v>
      </c>
      <c r="H123" s="62">
        <f>Segments!$H$103</f>
        <v>35</v>
      </c>
      <c r="I123" s="63">
        <f>Segments!$Y$103</f>
        <v>546.31261991160909</v>
      </c>
      <c r="J123" s="42">
        <v>3</v>
      </c>
      <c r="K123" s="40">
        <f t="shared" si="39"/>
        <v>1426.2297754450396</v>
      </c>
      <c r="L123" s="40">
        <f t="shared" si="40"/>
        <v>546.31261991160909</v>
      </c>
      <c r="M123" s="40">
        <f t="shared" si="41"/>
        <v>930.01357698436993</v>
      </c>
      <c r="N123" s="40">
        <f t="shared" si="42"/>
        <v>1151.7000716606976</v>
      </c>
      <c r="O123" s="40">
        <f t="shared" si="43"/>
        <v>930.01357698436993</v>
      </c>
      <c r="P123" s="41">
        <f t="shared" si="44"/>
        <v>0.94624315398221093</v>
      </c>
      <c r="Q123" s="41">
        <f t="shared" si="45"/>
        <v>0.44624315398221087</v>
      </c>
      <c r="R123" s="64">
        <f t="shared" si="46"/>
        <v>36.903483005306228</v>
      </c>
      <c r="S123" s="64">
        <f>APPLICANTS_PER_YEAR*($H123/Segments!$AH$2)*Q123</f>
        <v>18.742212467252855</v>
      </c>
      <c r="T123" s="64">
        <f t="shared" si="47"/>
        <v>55.645695472559083</v>
      </c>
      <c r="U123" s="40">
        <f t="shared" si="48"/>
        <v>930.01357698436982</v>
      </c>
      <c r="V123" s="65">
        <f t="shared" si="49"/>
        <v>51751.252290217628</v>
      </c>
      <c r="W123" s="65">
        <f t="shared" si="50"/>
        <v>34047.9391620674</v>
      </c>
      <c r="X123" s="65">
        <f t="shared" si="51"/>
        <v>11972.523825988115</v>
      </c>
      <c r="Y123" s="40">
        <f t="shared" si="52"/>
        <v>992.0880125263327</v>
      </c>
      <c r="Z123" s="40">
        <f t="shared" si="53"/>
        <v>562.70199850895733</v>
      </c>
      <c r="AA123" s="40">
        <f t="shared" si="54"/>
        <v>956.66398429390097</v>
      </c>
      <c r="AB123" s="40">
        <f t="shared" si="55"/>
        <v>1185.4768404657775</v>
      </c>
      <c r="AC123" s="40">
        <f t="shared" si="56"/>
        <v>956.66398429390097</v>
      </c>
      <c r="AD123" s="41">
        <f t="shared" si="57"/>
        <v>0.9465066749351152</v>
      </c>
      <c r="AE123" s="41">
        <f t="shared" si="58"/>
        <v>0.44650667493511526</v>
      </c>
      <c r="AF123" s="64">
        <f t="shared" si="59"/>
        <v>45.672113519225228</v>
      </c>
      <c r="AG123" s="64">
        <f>APPLICANTS_PER_YEAR*($H123/Segments!$AH$2)*AE123</f>
        <v>18.753280347274842</v>
      </c>
      <c r="AH123" s="64">
        <f t="shared" si="60"/>
        <v>64.425393866500073</v>
      </c>
      <c r="AI123" s="40">
        <f t="shared" si="61"/>
        <v>956.66398429390097</v>
      </c>
      <c r="AJ123" s="65">
        <f t="shared" si="62"/>
        <v>61633.45398602981</v>
      </c>
      <c r="AK123" s="65">
        <f t="shared" si="63"/>
        <v>40602.57362941507</v>
      </c>
      <c r="AL123" s="65">
        <f t="shared" si="64"/>
        <v>14033.983265717663</v>
      </c>
      <c r="AM123" s="40">
        <f t="shared" si="65"/>
        <v>1020.6006529021226</v>
      </c>
      <c r="AN123" s="40">
        <f t="shared" si="66"/>
        <v>579.58305846422604</v>
      </c>
      <c r="AO123" s="40">
        <f t="shared" si="67"/>
        <v>984.11390382271804</v>
      </c>
      <c r="AP123" s="40">
        <f t="shared" si="68"/>
        <v>1220.2664137318363</v>
      </c>
      <c r="AQ123" s="40">
        <f t="shared" si="69"/>
        <v>984.11390382271804</v>
      </c>
      <c r="AR123" s="41">
        <f t="shared" si="70"/>
        <v>0.94676268528399188</v>
      </c>
      <c r="AS123" s="41">
        <f t="shared" si="71"/>
        <v>0.44676268528399188</v>
      </c>
      <c r="AT123" s="64">
        <f t="shared" si="72"/>
        <v>55.624455035018407</v>
      </c>
      <c r="AU123" s="64">
        <f>APPLICANTS_PER_YEAR*($H123/Segments!$AH$2)*AS123</f>
        <v>18.764032781927661</v>
      </c>
      <c r="AV123" s="64">
        <f t="shared" si="73"/>
        <v>74.388487816946068</v>
      </c>
      <c r="AW123" s="40">
        <f t="shared" si="74"/>
        <v>984.11390382271816</v>
      </c>
      <c r="AX123" s="65">
        <f t="shared" si="75"/>
        <v>73206.745145003501</v>
      </c>
      <c r="AY123" s="65">
        <f t="shared" si="76"/>
        <v>48288.024157491353</v>
      </c>
      <c r="AZ123" s="65">
        <f t="shared" si="77"/>
        <v>16439.253502629585</v>
      </c>
    </row>
    <row r="124" spans="1:52" ht="15" customHeight="1" x14ac:dyDescent="0.35">
      <c r="A124" s="61" t="str">
        <f>Segments!$A$104</f>
        <v>Non-greek</v>
      </c>
      <c r="B124" s="61" t="str">
        <f>Segments!$B$104</f>
        <v>Off 1-3mi</v>
      </c>
      <c r="C124" s="61" t="str">
        <f>Segments!$C$104</f>
        <v>Yes</v>
      </c>
      <c r="D124" s="61" t="str">
        <f>Segments!$D$104</f>
        <v>3.0+</v>
      </c>
      <c r="E124" s="61" t="str">
        <f>Segments!$E$104</f>
        <v>Grad student</v>
      </c>
      <c r="F124" s="61">
        <f>Segments!$F$104</f>
        <v>3</v>
      </c>
      <c r="G124" s="61" t="str">
        <f>Segments!$G$104</f>
        <v>Grad</v>
      </c>
      <c r="H124" s="62">
        <f>Segments!$H$104</f>
        <v>13</v>
      </c>
      <c r="I124" s="63">
        <f>Segments!$Y$104</f>
        <v>650.48374353885197</v>
      </c>
      <c r="J124" s="42">
        <v>4</v>
      </c>
      <c r="K124" s="40">
        <f t="shared" si="39"/>
        <v>1426.2297754450396</v>
      </c>
      <c r="L124" s="40">
        <f t="shared" si="40"/>
        <v>650.48374353885197</v>
      </c>
      <c r="M124" s="40">
        <f t="shared" si="41"/>
        <v>1099.4039451467554</v>
      </c>
      <c r="N124" s="40">
        <f t="shared" si="42"/>
        <v>1252.1991222685183</v>
      </c>
      <c r="O124" s="40">
        <f t="shared" si="43"/>
        <v>1099.4039451467554</v>
      </c>
      <c r="P124" s="41">
        <f t="shared" si="44"/>
        <v>0.91101073479629779</v>
      </c>
      <c r="Q124" s="41">
        <f t="shared" si="45"/>
        <v>0.41101073479629779</v>
      </c>
      <c r="R124" s="64">
        <f t="shared" si="46"/>
        <v>5.9215697761759358</v>
      </c>
      <c r="S124" s="64">
        <f>APPLICANTS_PER_YEAR*($H124/Segments!$AH$2)*Q124</f>
        <v>6.4117674628222456</v>
      </c>
      <c r="T124" s="64">
        <f t="shared" si="47"/>
        <v>12.333337238998181</v>
      </c>
      <c r="U124" s="40">
        <f t="shared" si="48"/>
        <v>1099.4039451467554</v>
      </c>
      <c r="V124" s="65">
        <f t="shared" si="49"/>
        <v>13559.319617379992</v>
      </c>
      <c r="W124" s="65">
        <f t="shared" si="50"/>
        <v>8985.351622856746</v>
      </c>
      <c r="X124" s="65">
        <f t="shared" si="51"/>
        <v>3216.3916245750015</v>
      </c>
      <c r="Y124" s="40">
        <f t="shared" si="52"/>
        <v>1099.4039451467554</v>
      </c>
      <c r="Z124" s="40">
        <f t="shared" si="53"/>
        <v>669.99825584501752</v>
      </c>
      <c r="AA124" s="40">
        <f t="shared" si="54"/>
        <v>1131.1360635011581</v>
      </c>
      <c r="AB124" s="40">
        <f t="shared" si="55"/>
        <v>1289.0530368686907</v>
      </c>
      <c r="AC124" s="40">
        <f t="shared" si="56"/>
        <v>1131.1360635011581</v>
      </c>
      <c r="AD124" s="41">
        <f t="shared" si="57"/>
        <v>0.90259418779892098</v>
      </c>
      <c r="AE124" s="41">
        <f t="shared" si="58"/>
        <v>0.41125309388011577</v>
      </c>
      <c r="AF124" s="64">
        <f t="shared" si="59"/>
        <v>5.5659992540418752</v>
      </c>
      <c r="AG124" s="64">
        <f>APPLICANTS_PER_YEAR*($H124/Segments!$AH$2)*AE124</f>
        <v>6.4155482645298063</v>
      </c>
      <c r="AH124" s="64">
        <f t="shared" si="60"/>
        <v>11.981547518571681</v>
      </c>
      <c r="AI124" s="40">
        <f t="shared" si="61"/>
        <v>1131.1360635011581</v>
      </c>
      <c r="AJ124" s="65">
        <f t="shared" si="62"/>
        <v>13552.760494809241</v>
      </c>
      <c r="AK124" s="65">
        <f t="shared" si="63"/>
        <v>8990.9298525392915</v>
      </c>
      <c r="AL124" s="65">
        <f t="shared" si="64"/>
        <v>3215.4814208235935</v>
      </c>
      <c r="AM124" s="40">
        <f t="shared" si="65"/>
        <v>1131.1360635011581</v>
      </c>
      <c r="AN124" s="40">
        <f t="shared" si="66"/>
        <v>690.09820352036797</v>
      </c>
      <c r="AO124" s="40">
        <f t="shared" si="67"/>
        <v>1163.8201454061925</v>
      </c>
      <c r="AP124" s="40">
        <f t="shared" si="68"/>
        <v>1327.0121810931992</v>
      </c>
      <c r="AQ124" s="40">
        <f t="shared" si="69"/>
        <v>1163.8201454061925</v>
      </c>
      <c r="AR124" s="41">
        <f t="shared" si="70"/>
        <v>0.90282004721764408</v>
      </c>
      <c r="AS124" s="41">
        <f t="shared" si="71"/>
        <v>0.41148852211460796</v>
      </c>
      <c r="AT124" s="64">
        <f t="shared" si="72"/>
        <v>5.4085906482286656</v>
      </c>
      <c r="AU124" s="64">
        <f>APPLICANTS_PER_YEAR*($H124/Segments!$AH$2)*AS124</f>
        <v>6.4192209449878836</v>
      </c>
      <c r="AV124" s="64">
        <f t="shared" si="73"/>
        <v>11.827811593216548</v>
      </c>
      <c r="AW124" s="40">
        <f t="shared" si="74"/>
        <v>1163.8201454061925</v>
      </c>
      <c r="AX124" s="65">
        <f t="shared" si="75"/>
        <v>13765.445408254334</v>
      </c>
      <c r="AY124" s="65">
        <f t="shared" si="76"/>
        <v>9141.8337159028561</v>
      </c>
      <c r="AZ124" s="65">
        <f t="shared" si="77"/>
        <v>3260.1845905247569</v>
      </c>
    </row>
    <row r="125" spans="1:52" ht="15" customHeight="1" x14ac:dyDescent="0.35">
      <c r="A125" s="59" t="str">
        <f>Segments!$A$105</f>
        <v>Non-greek</v>
      </c>
      <c r="B125" s="59" t="str">
        <f>Segments!$B$105</f>
        <v>Off 1-3mi</v>
      </c>
      <c r="C125" s="59" t="str">
        <f>Segments!$C$105</f>
        <v>No</v>
      </c>
      <c r="D125" s="59" t="str">
        <f>Segments!$D$105</f>
        <v>&lt;1.0</v>
      </c>
      <c r="E125" s="59" t="str">
        <f>Segments!$E$105</f>
        <v>Freshman</v>
      </c>
      <c r="F125" s="59">
        <f>Segments!$F$105</f>
        <v>1</v>
      </c>
      <c r="G125" s="59" t="str">
        <f>Segments!$G$105</f>
        <v>Base</v>
      </c>
      <c r="H125" s="60">
        <f>Segments!$H$105</f>
        <v>5</v>
      </c>
      <c r="I125" s="26">
        <f>Segments!$Y$105</f>
        <v>973.28207195701339</v>
      </c>
      <c r="J125" s="29">
        <v>0</v>
      </c>
      <c r="K125" s="14">
        <f t="shared" si="39"/>
        <v>1624.2991923998554</v>
      </c>
      <c r="L125" s="14">
        <f t="shared" si="40"/>
        <v>973.28207195701339</v>
      </c>
      <c r="M125" s="14">
        <f t="shared" si="41"/>
        <v>1624.2991923998554</v>
      </c>
      <c r="N125" s="14">
        <f t="shared" si="42"/>
        <v>1522.0459495140103</v>
      </c>
      <c r="O125" s="14">
        <f t="shared" si="43"/>
        <v>1624.2991923998554</v>
      </c>
      <c r="P125" s="33">
        <f t="shared" si="44"/>
        <v>0.81640927860341705</v>
      </c>
      <c r="Q125" s="33">
        <f t="shared" si="45"/>
        <v>0.31640927860341705</v>
      </c>
      <c r="R125" s="51">
        <f t="shared" si="46"/>
        <v>0</v>
      </c>
      <c r="S125" s="51">
        <f>APPLICANTS_PER_YEAR*($H125/Segments!$AH$2)*Q125</f>
        <v>1.8984556716205023</v>
      </c>
      <c r="T125" s="51">
        <f t="shared" si="47"/>
        <v>1.8984556716205023</v>
      </c>
      <c r="U125" s="14">
        <f t="shared" si="48"/>
        <v>1624.2991923998554</v>
      </c>
      <c r="V125" s="44">
        <f t="shared" si="49"/>
        <v>3083.6600142201069</v>
      </c>
      <c r="W125" s="44">
        <f t="shared" si="50"/>
        <v>2069.4608139445477</v>
      </c>
      <c r="X125" s="44">
        <f t="shared" si="51"/>
        <v>776.17034840822657</v>
      </c>
      <c r="Y125" s="14">
        <f t="shared" si="52"/>
        <v>1671.7781681718511</v>
      </c>
      <c r="Z125" s="14">
        <f t="shared" si="53"/>
        <v>1002.4805341157238</v>
      </c>
      <c r="AA125" s="14">
        <f t="shared" si="54"/>
        <v>1671.7781681718511</v>
      </c>
      <c r="AB125" s="14">
        <f t="shared" si="55"/>
        <v>1567.1215637043695</v>
      </c>
      <c r="AC125" s="14">
        <f t="shared" si="56"/>
        <v>1671.7781681718511</v>
      </c>
      <c r="AD125" s="33">
        <f t="shared" si="57"/>
        <v>0.81660865152665818</v>
      </c>
      <c r="AE125" s="33">
        <f t="shared" si="58"/>
        <v>0.31660865152665818</v>
      </c>
      <c r="AF125" s="51">
        <f t="shared" si="59"/>
        <v>0</v>
      </c>
      <c r="AG125" s="51">
        <f>APPLICANTS_PER_YEAR*($H125/Segments!$AH$2)*AE125</f>
        <v>1.8996519091599491</v>
      </c>
      <c r="AH125" s="51">
        <f t="shared" si="60"/>
        <v>1.8996519091599491</v>
      </c>
      <c r="AI125" s="14">
        <f t="shared" si="61"/>
        <v>1671.7781681718511</v>
      </c>
      <c r="AJ125" s="44">
        <f t="shared" si="62"/>
        <v>3175.7965888595795</v>
      </c>
      <c r="AK125" s="44">
        <f t="shared" si="63"/>
        <v>2132.8877477920551</v>
      </c>
      <c r="AL125" s="44">
        <f t="shared" si="64"/>
        <v>796.86277181674359</v>
      </c>
      <c r="AM125" s="14">
        <f t="shared" si="65"/>
        <v>1720.6815132170066</v>
      </c>
      <c r="AN125" s="14">
        <f t="shared" si="66"/>
        <v>1032.5549501391954</v>
      </c>
      <c r="AO125" s="14">
        <f t="shared" si="67"/>
        <v>1720.6815132170066</v>
      </c>
      <c r="AP125" s="14">
        <f t="shared" si="68"/>
        <v>1613.5492304816069</v>
      </c>
      <c r="AQ125" s="14">
        <f t="shared" si="69"/>
        <v>1720.6815132170066</v>
      </c>
      <c r="AR125" s="33">
        <f t="shared" si="70"/>
        <v>0.8168022887955444</v>
      </c>
      <c r="AS125" s="33">
        <f t="shared" si="71"/>
        <v>0.3168022887955444</v>
      </c>
      <c r="AT125" s="51">
        <f t="shared" si="72"/>
        <v>0</v>
      </c>
      <c r="AU125" s="51">
        <f>APPLICANTS_PER_YEAR*($H125/Segments!$AH$2)*AS125</f>
        <v>1.9008137327732664</v>
      </c>
      <c r="AV125" s="51">
        <f t="shared" si="73"/>
        <v>1.9008137327732664</v>
      </c>
      <c r="AW125" s="14">
        <f t="shared" si="74"/>
        <v>1720.6815132170066</v>
      </c>
      <c r="AX125" s="44">
        <f t="shared" si="75"/>
        <v>3270.6950500519706</v>
      </c>
      <c r="AY125" s="44">
        <f t="shared" si="76"/>
        <v>2198.2179845557102</v>
      </c>
      <c r="AZ125" s="44">
        <f t="shared" si="77"/>
        <v>818.17230918643838</v>
      </c>
    </row>
    <row r="126" spans="1:52" ht="15" customHeight="1" x14ac:dyDescent="0.35">
      <c r="A126" s="59" t="str">
        <f>Segments!$A$106</f>
        <v>Non-greek</v>
      </c>
      <c r="B126" s="59" t="str">
        <f>Segments!$B$106</f>
        <v>Off 1-3mi</v>
      </c>
      <c r="C126" s="59" t="str">
        <f>Segments!$C$106</f>
        <v>No</v>
      </c>
      <c r="D126" s="59" t="str">
        <f>Segments!$D$106</f>
        <v>&lt;1.0</v>
      </c>
      <c r="E126" s="59" t="str">
        <f>Segments!$E$106</f>
        <v>Sophomore</v>
      </c>
      <c r="F126" s="59">
        <f>Segments!$F$106</f>
        <v>1</v>
      </c>
      <c r="G126" s="59" t="str">
        <f>Segments!$G$106</f>
        <v>Sophomore</v>
      </c>
      <c r="H126" s="60">
        <f>Segments!$H$106</f>
        <v>5</v>
      </c>
      <c r="I126" s="26">
        <f>Segments!$Y$106</f>
        <v>963.38013648918104</v>
      </c>
      <c r="J126" s="29">
        <v>1</v>
      </c>
      <c r="K126" s="14">
        <f t="shared" si="39"/>
        <v>1426.2297754450396</v>
      </c>
      <c r="L126" s="14">
        <f t="shared" si="40"/>
        <v>963.38013648918104</v>
      </c>
      <c r="M126" s="14">
        <f t="shared" si="41"/>
        <v>1608.1978733777225</v>
      </c>
      <c r="N126" s="14">
        <f t="shared" si="42"/>
        <v>1514.4833085308994</v>
      </c>
      <c r="O126" s="14">
        <f t="shared" si="43"/>
        <v>1608.1978733777225</v>
      </c>
      <c r="P126" s="33">
        <f t="shared" si="44"/>
        <v>0.78078450778246367</v>
      </c>
      <c r="Q126" s="33">
        <f t="shared" si="45"/>
        <v>0.3190605487961008</v>
      </c>
      <c r="R126" s="51">
        <f t="shared" si="46"/>
        <v>3.9039225389123184</v>
      </c>
      <c r="S126" s="51">
        <f>APPLICANTS_PER_YEAR*($H126/Segments!$AH$2)*Q126</f>
        <v>1.9143632927766048</v>
      </c>
      <c r="T126" s="51">
        <f t="shared" si="47"/>
        <v>5.8182858316889234</v>
      </c>
      <c r="U126" s="14">
        <f t="shared" si="48"/>
        <v>1608.1978733777228</v>
      </c>
      <c r="V126" s="44">
        <f t="shared" si="49"/>
        <v>9356.9549012258612</v>
      </c>
      <c r="W126" s="44">
        <f t="shared" si="50"/>
        <v>6277.8475185054094</v>
      </c>
      <c r="X126" s="44">
        <f t="shared" si="51"/>
        <v>2040.4428994559312</v>
      </c>
      <c r="Y126" s="14">
        <f t="shared" si="52"/>
        <v>1624.2991923998554</v>
      </c>
      <c r="Z126" s="14">
        <f t="shared" si="53"/>
        <v>992.28154058385655</v>
      </c>
      <c r="AA126" s="14">
        <f t="shared" si="54"/>
        <v>1655.1938095790542</v>
      </c>
      <c r="AB126" s="14">
        <f t="shared" si="55"/>
        <v>1559.329117349693</v>
      </c>
      <c r="AC126" s="14">
        <f t="shared" si="56"/>
        <v>1655.1938095790542</v>
      </c>
      <c r="AD126" s="33">
        <f t="shared" si="57"/>
        <v>0.81355483519831018</v>
      </c>
      <c r="AE126" s="33">
        <f t="shared" si="58"/>
        <v>0.31926091767198661</v>
      </c>
      <c r="AF126" s="51">
        <f t="shared" si="59"/>
        <v>1.544497791056515</v>
      </c>
      <c r="AG126" s="51">
        <f>APPLICANTS_PER_YEAR*($H126/Segments!$AH$2)*AE126</f>
        <v>1.9155655060319197</v>
      </c>
      <c r="AH126" s="51">
        <f t="shared" si="60"/>
        <v>3.4600632970884346</v>
      </c>
      <c r="AI126" s="14">
        <f t="shared" si="61"/>
        <v>1655.1938095790542</v>
      </c>
      <c r="AJ126" s="44">
        <f t="shared" si="62"/>
        <v>5727.0753500924693</v>
      </c>
      <c r="AK126" s="44">
        <f t="shared" si="63"/>
        <v>3845.3597716268787</v>
      </c>
      <c r="AL126" s="44">
        <f t="shared" si="64"/>
        <v>1310.4797706199954</v>
      </c>
      <c r="AM126" s="14">
        <f t="shared" si="65"/>
        <v>1671.7781681718511</v>
      </c>
      <c r="AN126" s="14">
        <f t="shared" si="66"/>
        <v>1022.0499868013721</v>
      </c>
      <c r="AO126" s="14">
        <f t="shared" si="67"/>
        <v>1703.5996238664256</v>
      </c>
      <c r="AP126" s="14">
        <f t="shared" si="68"/>
        <v>1605.5200813422043</v>
      </c>
      <c r="AQ126" s="14">
        <f t="shared" si="69"/>
        <v>1703.5996238664256</v>
      </c>
      <c r="AR126" s="33">
        <f t="shared" si="70"/>
        <v>0.81374517400914681</v>
      </c>
      <c r="AS126" s="33">
        <f t="shared" si="71"/>
        <v>0.31945552295981638</v>
      </c>
      <c r="AT126" s="51">
        <f t="shared" si="72"/>
        <v>1.5458325733761706</v>
      </c>
      <c r="AU126" s="51">
        <f>APPLICANTS_PER_YEAR*($H126/Segments!$AH$2)*AS126</f>
        <v>1.9167331377588983</v>
      </c>
      <c r="AV126" s="51">
        <f t="shared" si="73"/>
        <v>3.4625657111350687</v>
      </c>
      <c r="AW126" s="14">
        <f t="shared" si="74"/>
        <v>1703.5996238664256</v>
      </c>
      <c r="AX126" s="44">
        <f t="shared" si="75"/>
        <v>5898.8256431024856</v>
      </c>
      <c r="AY126" s="44">
        <f t="shared" si="76"/>
        <v>3963.585068088219</v>
      </c>
      <c r="AZ126" s="44">
        <f t="shared" si="77"/>
        <v>1346.334794051887</v>
      </c>
    </row>
    <row r="127" spans="1:52" ht="15" customHeight="1" x14ac:dyDescent="0.35">
      <c r="A127" s="59" t="str">
        <f>Segments!$A$107</f>
        <v>Non-greek</v>
      </c>
      <c r="B127" s="59" t="str">
        <f>Segments!$B$107</f>
        <v>Off 1-3mi</v>
      </c>
      <c r="C127" s="59" t="str">
        <f>Segments!$C$107</f>
        <v>No</v>
      </c>
      <c r="D127" s="59" t="str">
        <f>Segments!$D$107</f>
        <v>&lt;1.0</v>
      </c>
      <c r="E127" s="59" t="str">
        <f>Segments!$E$107</f>
        <v>Junior</v>
      </c>
      <c r="F127" s="59">
        <f>Segments!$F$107</f>
        <v>2</v>
      </c>
      <c r="G127" s="59" t="str">
        <f>Segments!$G$107</f>
        <v>Base</v>
      </c>
      <c r="H127" s="60">
        <f>Segments!$H$107</f>
        <v>5</v>
      </c>
      <c r="I127" s="26">
        <f>Segments!$Y$107</f>
        <v>1151.649300710425</v>
      </c>
      <c r="J127" s="29">
        <v>2</v>
      </c>
      <c r="K127" s="14">
        <f t="shared" si="39"/>
        <v>1426.2297754450396</v>
      </c>
      <c r="L127" s="14">
        <f t="shared" si="40"/>
        <v>1151.649300710425</v>
      </c>
      <c r="M127" s="14">
        <f t="shared" si="41"/>
        <v>1914.3382117998851</v>
      </c>
      <c r="N127" s="14">
        <f t="shared" si="42"/>
        <v>1652.3577572490797</v>
      </c>
      <c r="O127" s="14">
        <f t="shared" si="43"/>
        <v>1782.7872193062994</v>
      </c>
      <c r="P127" s="33">
        <f t="shared" si="44"/>
        <v>0.73553231768816074</v>
      </c>
      <c r="Q127" s="33">
        <f t="shared" si="45"/>
        <v>0.27072526261293361</v>
      </c>
      <c r="R127" s="51">
        <f t="shared" si="46"/>
        <v>3.6776615884408037</v>
      </c>
      <c r="S127" s="51">
        <f>APPLICANTS_PER_YEAR*($H127/Segments!$AH$2)*Q127</f>
        <v>1.6243515756776017</v>
      </c>
      <c r="T127" s="51">
        <f t="shared" si="47"/>
        <v>5.3020131641184056</v>
      </c>
      <c r="U127" s="14">
        <f t="shared" si="48"/>
        <v>1823.089846878979</v>
      </c>
      <c r="V127" s="44">
        <f t="shared" si="49"/>
        <v>9666.0463675229548</v>
      </c>
      <c r="W127" s="44">
        <f t="shared" si="50"/>
        <v>6838.7869231521618</v>
      </c>
      <c r="X127" s="44">
        <f t="shared" si="51"/>
        <v>2082.3663563112414</v>
      </c>
      <c r="Y127" s="14">
        <f t="shared" si="52"/>
        <v>1608.1978733777228</v>
      </c>
      <c r="Z127" s="14">
        <f t="shared" si="53"/>
        <v>1186.1987797317379</v>
      </c>
      <c r="AA127" s="14">
        <f t="shared" si="54"/>
        <v>1970.518358153882</v>
      </c>
      <c r="AB127" s="14">
        <f t="shared" si="55"/>
        <v>1701.388936758419</v>
      </c>
      <c r="AC127" s="14">
        <f t="shared" si="56"/>
        <v>1970.518358153882</v>
      </c>
      <c r="AD127" s="33">
        <f t="shared" si="57"/>
        <v>0.70332011876709366</v>
      </c>
      <c r="AE127" s="33">
        <f t="shared" si="58"/>
        <v>0.27090890695803416</v>
      </c>
      <c r="AF127" s="51">
        <f t="shared" si="59"/>
        <v>4.092117482164352</v>
      </c>
      <c r="AG127" s="51">
        <f>APPLICANTS_PER_YEAR*($H127/Segments!$AH$2)*AE127</f>
        <v>1.6254534417482049</v>
      </c>
      <c r="AH127" s="51">
        <f t="shared" si="60"/>
        <v>5.7175709239125574</v>
      </c>
      <c r="AI127" s="14">
        <f t="shared" si="61"/>
        <v>1970.518358153882</v>
      </c>
      <c r="AJ127" s="44">
        <f t="shared" si="62"/>
        <v>11266.578469616546</v>
      </c>
      <c r="AK127" s="44">
        <f t="shared" si="63"/>
        <v>7596.0367313317101</v>
      </c>
      <c r="AL127" s="44">
        <f t="shared" si="64"/>
        <v>2396.4755899346073</v>
      </c>
      <c r="AM127" s="14">
        <f t="shared" si="65"/>
        <v>1655.1938095790542</v>
      </c>
      <c r="AN127" s="14">
        <f t="shared" si="66"/>
        <v>1221.7847431236899</v>
      </c>
      <c r="AO127" s="14">
        <f t="shared" si="67"/>
        <v>2028.3839088984982</v>
      </c>
      <c r="AP127" s="14">
        <f t="shared" si="68"/>
        <v>1751.8908829870454</v>
      </c>
      <c r="AQ127" s="14">
        <f t="shared" si="69"/>
        <v>2028.3839088984982</v>
      </c>
      <c r="AR127" s="33">
        <f t="shared" si="70"/>
        <v>0.70344742702722085</v>
      </c>
      <c r="AS127" s="33">
        <f t="shared" si="71"/>
        <v>0.27108725817443002</v>
      </c>
      <c r="AT127" s="51">
        <f t="shared" si="72"/>
        <v>2.4339726236881818</v>
      </c>
      <c r="AU127" s="51">
        <f>APPLICANTS_PER_YEAR*($H127/Segments!$AH$2)*AS127</f>
        <v>1.6265235490465801</v>
      </c>
      <c r="AV127" s="51">
        <f t="shared" si="73"/>
        <v>4.0604961727347622</v>
      </c>
      <c r="AW127" s="14">
        <f t="shared" si="74"/>
        <v>2028.383908898498</v>
      </c>
      <c r="AX127" s="44">
        <f t="shared" si="75"/>
        <v>8236.2450989191275</v>
      </c>
      <c r="AY127" s="44">
        <f t="shared" si="76"/>
        <v>5556.3785461626039</v>
      </c>
      <c r="AZ127" s="44">
        <f t="shared" si="77"/>
        <v>1793.9958326781446</v>
      </c>
    </row>
    <row r="128" spans="1:52" ht="15" customHeight="1" x14ac:dyDescent="0.35">
      <c r="A128" s="59" t="str">
        <f>Segments!$A$108</f>
        <v>Non-greek</v>
      </c>
      <c r="B128" s="59" t="str">
        <f>Segments!$B$108</f>
        <v>Off 1-3mi</v>
      </c>
      <c r="C128" s="59" t="str">
        <f>Segments!$C$108</f>
        <v>No</v>
      </c>
      <c r="D128" s="59" t="str">
        <f>Segments!$D$108</f>
        <v>&lt;1.0</v>
      </c>
      <c r="E128" s="59" t="str">
        <f>Segments!$E$108</f>
        <v>Senior</v>
      </c>
      <c r="F128" s="59">
        <f>Segments!$F$108</f>
        <v>3</v>
      </c>
      <c r="G128" s="59" t="str">
        <f>Segments!$G$108</f>
        <v>Base</v>
      </c>
      <c r="H128" s="60">
        <f>Segments!$H$108</f>
        <v>7</v>
      </c>
      <c r="I128" s="26">
        <f>Segments!$Y$108</f>
        <v>1076.4321556038676</v>
      </c>
      <c r="J128" s="29">
        <v>3</v>
      </c>
      <c r="K128" s="14">
        <f t="shared" si="39"/>
        <v>1426.2297754450396</v>
      </c>
      <c r="L128" s="14">
        <f t="shared" si="40"/>
        <v>1076.4321556038676</v>
      </c>
      <c r="M128" s="14">
        <f t="shared" si="41"/>
        <v>1792.0292699542078</v>
      </c>
      <c r="N128" s="14">
        <f t="shared" si="42"/>
        <v>1598.7011926178475</v>
      </c>
      <c r="O128" s="14">
        <f t="shared" si="43"/>
        <v>1782.7872193062994</v>
      </c>
      <c r="P128" s="33">
        <f t="shared" si="44"/>
        <v>0.71742638100900702</v>
      </c>
      <c r="Q128" s="33">
        <f t="shared" si="45"/>
        <v>0.28953589381521982</v>
      </c>
      <c r="R128" s="51">
        <f t="shared" si="46"/>
        <v>3.5871319050450352</v>
      </c>
      <c r="S128" s="51">
        <f>APPLICANTS_PER_YEAR*($H128/Segments!$AH$2)*Q128</f>
        <v>2.4321015080478467</v>
      </c>
      <c r="T128" s="51">
        <f t="shared" si="47"/>
        <v>6.0192334130928824</v>
      </c>
      <c r="U128" s="14">
        <f t="shared" si="48"/>
        <v>1786.5215163131807</v>
      </c>
      <c r="V128" s="44">
        <f t="shared" si="49"/>
        <v>10753.490004201658</v>
      </c>
      <c r="W128" s="44">
        <f t="shared" si="50"/>
        <v>7256.8119656910048</v>
      </c>
      <c r="X128" s="44">
        <f t="shared" si="51"/>
        <v>2366.1407149044207</v>
      </c>
      <c r="Y128" s="14">
        <f t="shared" si="52"/>
        <v>1823.089846878979</v>
      </c>
      <c r="Z128" s="14">
        <f t="shared" si="53"/>
        <v>1108.7251202719838</v>
      </c>
      <c r="AA128" s="14">
        <f t="shared" si="54"/>
        <v>1844.5401480528344</v>
      </c>
      <c r="AB128" s="14">
        <f t="shared" si="55"/>
        <v>1646.104560345866</v>
      </c>
      <c r="AC128" s="14">
        <f t="shared" si="56"/>
        <v>1844.5401480528344</v>
      </c>
      <c r="AD128" s="33">
        <f t="shared" si="57"/>
        <v>0.78619593242260166</v>
      </c>
      <c r="AE128" s="33">
        <f t="shared" si="58"/>
        <v>0.28972570379573126</v>
      </c>
      <c r="AF128" s="51">
        <f t="shared" si="59"/>
        <v>4.1684211832809783</v>
      </c>
      <c r="AG128" s="51">
        <f>APPLICANTS_PER_YEAR*($H128/Segments!$AH$2)*AE128</f>
        <v>2.4336959118841426</v>
      </c>
      <c r="AH128" s="51">
        <f t="shared" si="60"/>
        <v>6.6021170951651209</v>
      </c>
      <c r="AI128" s="14">
        <f t="shared" si="61"/>
        <v>1844.5401480528342</v>
      </c>
      <c r="AJ128" s="44">
        <f t="shared" si="62"/>
        <v>12177.87004417802</v>
      </c>
      <c r="AK128" s="44">
        <f t="shared" si="63"/>
        <v>8198.3250388330707</v>
      </c>
      <c r="AL128" s="44">
        <f t="shared" si="64"/>
        <v>2651.6189216668345</v>
      </c>
      <c r="AM128" s="14">
        <f t="shared" si="65"/>
        <v>1970.518358153882</v>
      </c>
      <c r="AN128" s="14">
        <f t="shared" si="66"/>
        <v>1141.9868738801431</v>
      </c>
      <c r="AO128" s="14">
        <f t="shared" si="67"/>
        <v>1898.6263524944191</v>
      </c>
      <c r="AP128" s="14">
        <f t="shared" si="68"/>
        <v>1694.9298428687878</v>
      </c>
      <c r="AQ128" s="14">
        <f t="shared" si="69"/>
        <v>1898.6263524944191</v>
      </c>
      <c r="AR128" s="33">
        <f t="shared" si="70"/>
        <v>0.78991004687224675</v>
      </c>
      <c r="AS128" s="33">
        <f t="shared" si="71"/>
        <v>0.28991004687224675</v>
      </c>
      <c r="AT128" s="51">
        <f t="shared" si="72"/>
        <v>4.5163667165031631</v>
      </c>
      <c r="AU128" s="51">
        <f>APPLICANTS_PER_YEAR*($H128/Segments!$AH$2)*AS128</f>
        <v>2.4352443937268728</v>
      </c>
      <c r="AV128" s="51">
        <f t="shared" si="73"/>
        <v>6.9516111102300364</v>
      </c>
      <c r="AW128" s="14">
        <f t="shared" si="74"/>
        <v>1898.6263524944191</v>
      </c>
      <c r="AX128" s="44">
        <f t="shared" si="75"/>
        <v>13198.512046175732</v>
      </c>
      <c r="AY128" s="44">
        <f t="shared" si="76"/>
        <v>8891.2864770263186</v>
      </c>
      <c r="AZ128" s="44">
        <f t="shared" si="77"/>
        <v>2856.258780099281</v>
      </c>
    </row>
    <row r="129" spans="1:52" ht="15" customHeight="1" x14ac:dyDescent="0.35">
      <c r="A129" s="59" t="str">
        <f>Segments!$A$109</f>
        <v>Non-greek</v>
      </c>
      <c r="B129" s="59" t="str">
        <f>Segments!$B$109</f>
        <v>Off 1-3mi</v>
      </c>
      <c r="C129" s="59" t="str">
        <f>Segments!$C$109</f>
        <v>No</v>
      </c>
      <c r="D129" s="59" t="str">
        <f>Segments!$D$109</f>
        <v>&lt;1.0</v>
      </c>
      <c r="E129" s="59" t="str">
        <f>Segments!$E$109</f>
        <v>Grad student</v>
      </c>
      <c r="F129" s="59">
        <f>Segments!$F$109</f>
        <v>3</v>
      </c>
      <c r="G129" s="59" t="str">
        <f>Segments!$G$109</f>
        <v>Grad</v>
      </c>
      <c r="H129" s="60">
        <f>Segments!$H$109</f>
        <v>1</v>
      </c>
      <c r="I129" s="26">
        <f>Segments!$Y$109</f>
        <v>1281.6866986453458</v>
      </c>
      <c r="J129" s="29">
        <v>4</v>
      </c>
      <c r="K129" s="14">
        <f t="shared" si="39"/>
        <v>1426.2297754450396</v>
      </c>
      <c r="L129" s="14">
        <f t="shared" si="40"/>
        <v>1281.6866986453458</v>
      </c>
      <c r="M129" s="14">
        <f t="shared" si="41"/>
        <v>2125.7891585122838</v>
      </c>
      <c r="N129" s="14">
        <f t="shared" si="42"/>
        <v>1741.2247971438021</v>
      </c>
      <c r="O129" s="14">
        <f t="shared" si="43"/>
        <v>1782.7872193062994</v>
      </c>
      <c r="P129" s="33">
        <f t="shared" si="44"/>
        <v>0.76306517623954306</v>
      </c>
      <c r="Q129" s="33">
        <f t="shared" si="45"/>
        <v>0.23957073147611452</v>
      </c>
      <c r="R129" s="51">
        <f t="shared" si="46"/>
        <v>0.38153258811977153</v>
      </c>
      <c r="S129" s="51">
        <f>APPLICANTS_PER_YEAR*($H129/Segments!$AH$2)*Q129</f>
        <v>0.28748487777133741</v>
      </c>
      <c r="T129" s="51">
        <f t="shared" si="47"/>
        <v>0.669017465891109</v>
      </c>
      <c r="U129" s="14">
        <f t="shared" si="48"/>
        <v>1930.1792914050775</v>
      </c>
      <c r="V129" s="44">
        <f t="shared" si="49"/>
        <v>1291.3236582513214</v>
      </c>
      <c r="W129" s="44">
        <f t="shared" si="50"/>
        <v>960.367281657337</v>
      </c>
      <c r="X129" s="44">
        <f t="shared" si="51"/>
        <v>286.01727094569418</v>
      </c>
      <c r="Y129" s="14">
        <f t="shared" si="52"/>
        <v>1930.1792914050775</v>
      </c>
      <c r="Z129" s="14">
        <f t="shared" si="53"/>
        <v>1320.1372996047062</v>
      </c>
      <c r="AA129" s="14">
        <f t="shared" si="54"/>
        <v>2188.3128332676524</v>
      </c>
      <c r="AB129" s="14">
        <f t="shared" si="55"/>
        <v>1792.9495331488465</v>
      </c>
      <c r="AC129" s="14">
        <f t="shared" si="56"/>
        <v>2188.3128332676524</v>
      </c>
      <c r="AD129" s="33">
        <f t="shared" si="57"/>
        <v>0.69962434274772578</v>
      </c>
      <c r="AE129" s="33">
        <f t="shared" si="58"/>
        <v>0.23974500040041458</v>
      </c>
      <c r="AF129" s="51">
        <f t="shared" si="59"/>
        <v>0.2340304524304081</v>
      </c>
      <c r="AG129" s="51">
        <f>APPLICANTS_PER_YEAR*($H129/Segments!$AH$2)*AE129</f>
        <v>0.28769400048049748</v>
      </c>
      <c r="AH129" s="51">
        <f t="shared" si="60"/>
        <v>0.52172445291090552</v>
      </c>
      <c r="AI129" s="14">
        <f t="shared" si="61"/>
        <v>2188.3128332676529</v>
      </c>
      <c r="AJ129" s="44">
        <f t="shared" si="62"/>
        <v>1141.6963157344799</v>
      </c>
      <c r="AK129" s="44">
        <f t="shared" si="63"/>
        <v>771.39765965197103</v>
      </c>
      <c r="AL129" s="44">
        <f t="shared" si="64"/>
        <v>255.44219930974262</v>
      </c>
      <c r="AM129" s="14">
        <f t="shared" si="65"/>
        <v>2188.3128332676529</v>
      </c>
      <c r="AN129" s="14">
        <f t="shared" si="66"/>
        <v>1359.7414185928474</v>
      </c>
      <c r="AO129" s="14">
        <f t="shared" si="67"/>
        <v>2252.7122182656817</v>
      </c>
      <c r="AP129" s="14">
        <f t="shared" si="68"/>
        <v>1846.225867110631</v>
      </c>
      <c r="AQ129" s="14">
        <f t="shared" si="69"/>
        <v>2252.7122182656817</v>
      </c>
      <c r="AR129" s="33">
        <f t="shared" si="70"/>
        <v>0.73108560605191997</v>
      </c>
      <c r="AS129" s="33">
        <f t="shared" si="71"/>
        <v>0.23991424115641724</v>
      </c>
      <c r="AT129" s="51">
        <f t="shared" si="72"/>
        <v>0.19071261892423788</v>
      </c>
      <c r="AU129" s="51">
        <f>APPLICANTS_PER_YEAR*($H129/Segments!$AH$2)*AS129</f>
        <v>0.2878970893877007</v>
      </c>
      <c r="AV129" s="51">
        <f t="shared" si="73"/>
        <v>0.47860970831193861</v>
      </c>
      <c r="AW129" s="14">
        <f t="shared" si="74"/>
        <v>2252.7122182656813</v>
      </c>
      <c r="AX129" s="44">
        <f t="shared" si="75"/>
        <v>1078.1699376948779</v>
      </c>
      <c r="AY129" s="44">
        <f t="shared" si="76"/>
        <v>728.87969698027052</v>
      </c>
      <c r="AZ129" s="44">
        <f t="shared" si="77"/>
        <v>243.24296480560125</v>
      </c>
    </row>
    <row r="130" spans="1:52" ht="15" customHeight="1" x14ac:dyDescent="0.35">
      <c r="A130" s="61" t="str">
        <f>Segments!$A$110</f>
        <v>Non-greek</v>
      </c>
      <c r="B130" s="61" t="str">
        <f>Segments!$B$110</f>
        <v>Off 1-3mi</v>
      </c>
      <c r="C130" s="61" t="str">
        <f>Segments!$C$110</f>
        <v>No</v>
      </c>
      <c r="D130" s="61" t="str">
        <f>Segments!$D$110</f>
        <v>1.0-2.0</v>
      </c>
      <c r="E130" s="61" t="str">
        <f>Segments!$E$110</f>
        <v>Freshman</v>
      </c>
      <c r="F130" s="61">
        <f>Segments!$F$110</f>
        <v>1</v>
      </c>
      <c r="G130" s="61" t="str">
        <f>Segments!$G$110</f>
        <v>Base</v>
      </c>
      <c r="H130" s="62">
        <f>Segments!$H$110</f>
        <v>14</v>
      </c>
      <c r="I130" s="63">
        <f>Segments!$Y$110</f>
        <v>883.17667144678626</v>
      </c>
      <c r="J130" s="42">
        <v>0</v>
      </c>
      <c r="K130" s="40">
        <f t="shared" si="39"/>
        <v>1477.7807865846094</v>
      </c>
      <c r="L130" s="40">
        <f t="shared" si="40"/>
        <v>883.17667144678626</v>
      </c>
      <c r="M130" s="40">
        <f t="shared" si="41"/>
        <v>1477.7807865846094</v>
      </c>
      <c r="N130" s="40">
        <f t="shared" si="42"/>
        <v>1451.7764839697472</v>
      </c>
      <c r="O130" s="40">
        <f t="shared" si="43"/>
        <v>1477.7807865846094</v>
      </c>
      <c r="P130" s="41">
        <f t="shared" si="44"/>
        <v>0.84104397167814848</v>
      </c>
      <c r="Q130" s="41">
        <f t="shared" si="45"/>
        <v>0.34104397167814848</v>
      </c>
      <c r="R130" s="64">
        <f t="shared" si="46"/>
        <v>0</v>
      </c>
      <c r="S130" s="64">
        <f>APPLICANTS_PER_YEAR*($H130/Segments!$AH$2)*Q130</f>
        <v>5.7295387241928948</v>
      </c>
      <c r="T130" s="64">
        <f t="shared" si="47"/>
        <v>5.7295387241928948</v>
      </c>
      <c r="U130" s="40">
        <f t="shared" si="48"/>
        <v>1477.7807865846091</v>
      </c>
      <c r="V130" s="65">
        <f t="shared" si="49"/>
        <v>8467.0022426047544</v>
      </c>
      <c r="W130" s="65">
        <f t="shared" si="50"/>
        <v>5667.4183320811253</v>
      </c>
      <c r="X130" s="65">
        <f t="shared" si="51"/>
        <v>2154.4377449321455</v>
      </c>
      <c r="Y130" s="40">
        <f t="shared" si="52"/>
        <v>1520.8642101821476</v>
      </c>
      <c r="Z130" s="40">
        <f t="shared" si="53"/>
        <v>909.67197159018986</v>
      </c>
      <c r="AA130" s="40">
        <f t="shared" si="54"/>
        <v>1520.8642101821476</v>
      </c>
      <c r="AB130" s="40">
        <f t="shared" si="55"/>
        <v>1494.7156504163581</v>
      </c>
      <c r="AC130" s="40">
        <f t="shared" si="56"/>
        <v>1520.8642101821476</v>
      </c>
      <c r="AD130" s="41">
        <f t="shared" si="57"/>
        <v>0.84125299860260849</v>
      </c>
      <c r="AE130" s="41">
        <f t="shared" si="58"/>
        <v>0.34125299860260849</v>
      </c>
      <c r="AF130" s="64">
        <f t="shared" si="59"/>
        <v>0</v>
      </c>
      <c r="AG130" s="64">
        <f>APPLICANTS_PER_YEAR*($H130/Segments!$AH$2)*AE130</f>
        <v>5.7330503765238232</v>
      </c>
      <c r="AH130" s="64">
        <f t="shared" si="60"/>
        <v>5.7330503765238232</v>
      </c>
      <c r="AI130" s="40">
        <f t="shared" si="61"/>
        <v>1520.8642101821476</v>
      </c>
      <c r="AJ130" s="65">
        <f t="shared" si="62"/>
        <v>8719.1911328263686</v>
      </c>
      <c r="AK130" s="65">
        <f t="shared" si="63"/>
        <v>5841.0186679469034</v>
      </c>
      <c r="AL130" s="65">
        <f t="shared" si="64"/>
        <v>2211.0860806966789</v>
      </c>
      <c r="AM130" s="40">
        <f t="shared" si="65"/>
        <v>1565.2401364876118</v>
      </c>
      <c r="AN130" s="40">
        <f t="shared" si="66"/>
        <v>936.96213073789545</v>
      </c>
      <c r="AO130" s="40">
        <f t="shared" si="67"/>
        <v>1565.2401364876118</v>
      </c>
      <c r="AP130" s="40">
        <f t="shared" si="68"/>
        <v>1538.9427431073093</v>
      </c>
      <c r="AQ130" s="40">
        <f t="shared" si="69"/>
        <v>1565.2401364876118</v>
      </c>
      <c r="AR130" s="41">
        <f t="shared" si="70"/>
        <v>0.84145601956340332</v>
      </c>
      <c r="AS130" s="41">
        <f t="shared" si="71"/>
        <v>0.34145601956340332</v>
      </c>
      <c r="AT130" s="64">
        <f t="shared" si="72"/>
        <v>0</v>
      </c>
      <c r="AU130" s="64">
        <f>APPLICANTS_PER_YEAR*($H130/Segments!$AH$2)*AS130</f>
        <v>5.7364611286651757</v>
      </c>
      <c r="AV130" s="64">
        <f t="shared" si="73"/>
        <v>5.7364611286651757</v>
      </c>
      <c r="AW130" s="40">
        <f t="shared" si="74"/>
        <v>1565.2401364876118</v>
      </c>
      <c r="AX130" s="65">
        <f t="shared" si="75"/>
        <v>8978.9391999877589</v>
      </c>
      <c r="AY130" s="65">
        <f t="shared" si="76"/>
        <v>6019.8284630503449</v>
      </c>
      <c r="AZ130" s="65">
        <f t="shared" si="77"/>
        <v>2269.4231315871907</v>
      </c>
    </row>
    <row r="131" spans="1:52" ht="15" customHeight="1" x14ac:dyDescent="0.35">
      <c r="A131" s="61" t="str">
        <f>Segments!$A$111</f>
        <v>Non-greek</v>
      </c>
      <c r="B131" s="61" t="str">
        <f>Segments!$B$111</f>
        <v>Off 1-3mi</v>
      </c>
      <c r="C131" s="61" t="str">
        <f>Segments!$C$111</f>
        <v>No</v>
      </c>
      <c r="D131" s="61" t="str">
        <f>Segments!$D$111</f>
        <v>1.0-2.0</v>
      </c>
      <c r="E131" s="61" t="str">
        <f>Segments!$E$111</f>
        <v>Sophomore</v>
      </c>
      <c r="F131" s="61">
        <f>Segments!$F$111</f>
        <v>1</v>
      </c>
      <c r="G131" s="61" t="str">
        <f>Segments!$G$111</f>
        <v>Sophomore</v>
      </c>
      <c r="H131" s="62">
        <f>Segments!$H$111</f>
        <v>11</v>
      </c>
      <c r="I131" s="63">
        <f>Segments!$Y$111</f>
        <v>874.19144644436039</v>
      </c>
      <c r="J131" s="42">
        <v>1</v>
      </c>
      <c r="K131" s="40">
        <f t="shared" si="39"/>
        <v>1426.2297754450396</v>
      </c>
      <c r="L131" s="40">
        <f t="shared" si="40"/>
        <v>874.19144644436039</v>
      </c>
      <c r="M131" s="40">
        <f t="shared" si="41"/>
        <v>1463.1701102456557</v>
      </c>
      <c r="N131" s="40">
        <f t="shared" si="42"/>
        <v>1444.5818695295727</v>
      </c>
      <c r="O131" s="40">
        <f t="shared" si="43"/>
        <v>1463.1701102456557</v>
      </c>
      <c r="P131" s="41">
        <f t="shared" si="44"/>
        <v>0.83579601419684979</v>
      </c>
      <c r="Q131" s="41">
        <f t="shared" si="45"/>
        <v>0.34356622109547297</v>
      </c>
      <c r="R131" s="64">
        <f t="shared" si="46"/>
        <v>11.701144198755896</v>
      </c>
      <c r="S131" s="64">
        <f>APPLICANTS_PER_YEAR*($H131/Segments!$AH$2)*Q131</f>
        <v>4.5350741184602432</v>
      </c>
      <c r="T131" s="64">
        <f t="shared" si="47"/>
        <v>16.236218317216139</v>
      </c>
      <c r="U131" s="40">
        <f t="shared" si="48"/>
        <v>1463.1701102456557</v>
      </c>
      <c r="V131" s="65">
        <f t="shared" si="49"/>
        <v>23756.349345173672</v>
      </c>
      <c r="W131" s="65">
        <f t="shared" si="50"/>
        <v>15896.790756575227</v>
      </c>
      <c r="X131" s="65">
        <f t="shared" si="51"/>
        <v>5160.2967169694421</v>
      </c>
      <c r="Y131" s="40">
        <f t="shared" si="52"/>
        <v>1477.7807865846091</v>
      </c>
      <c r="Z131" s="40">
        <f t="shared" si="53"/>
        <v>900.41718983769124</v>
      </c>
      <c r="AA131" s="40">
        <f t="shared" si="54"/>
        <v>1505.8152135530254</v>
      </c>
      <c r="AB131" s="40">
        <f t="shared" si="55"/>
        <v>1487.3021376654035</v>
      </c>
      <c r="AC131" s="40">
        <f t="shared" si="56"/>
        <v>1505.8152135530254</v>
      </c>
      <c r="AD131" s="41">
        <f t="shared" si="57"/>
        <v>0.83808510161899497</v>
      </c>
      <c r="AE131" s="41">
        <f t="shared" si="58"/>
        <v>0.34377628949129269</v>
      </c>
      <c r="AF131" s="64">
        <f t="shared" si="59"/>
        <v>4.8018410438951689</v>
      </c>
      <c r="AG131" s="64">
        <f>APPLICANTS_PER_YEAR*($H131/Segments!$AH$2)*AE131</f>
        <v>4.5378470212850637</v>
      </c>
      <c r="AH131" s="64">
        <f t="shared" si="60"/>
        <v>9.3396880651802334</v>
      </c>
      <c r="AI131" s="40">
        <f t="shared" si="61"/>
        <v>1505.8152135530252</v>
      </c>
      <c r="AJ131" s="65">
        <f t="shared" si="62"/>
        <v>14063.844378388014</v>
      </c>
      <c r="AK131" s="65">
        <f t="shared" si="63"/>
        <v>9418.7695634034371</v>
      </c>
      <c r="AL131" s="65">
        <f t="shared" si="64"/>
        <v>3197.4670922010228</v>
      </c>
      <c r="AM131" s="40">
        <f t="shared" si="65"/>
        <v>1520.8642101821476</v>
      </c>
      <c r="AN131" s="40">
        <f t="shared" si="66"/>
        <v>927.42970553282191</v>
      </c>
      <c r="AO131" s="40">
        <f t="shared" si="67"/>
        <v>1549.7396699596159</v>
      </c>
      <c r="AP131" s="40">
        <f t="shared" si="68"/>
        <v>1531.303761358012</v>
      </c>
      <c r="AQ131" s="40">
        <f t="shared" si="69"/>
        <v>1549.7396699596159</v>
      </c>
      <c r="AR131" s="41">
        <f t="shared" si="70"/>
        <v>0.83828445735863955</v>
      </c>
      <c r="AS131" s="41">
        <f t="shared" si="71"/>
        <v>0.34398032282463198</v>
      </c>
      <c r="AT131" s="64">
        <f t="shared" si="72"/>
        <v>4.805927023894017</v>
      </c>
      <c r="AU131" s="64">
        <f>APPLICANTS_PER_YEAR*($H131/Segments!$AH$2)*AS131</f>
        <v>4.5405402612851429</v>
      </c>
      <c r="AV131" s="64">
        <f t="shared" si="73"/>
        <v>9.346467285179159</v>
      </c>
      <c r="AW131" s="40">
        <f t="shared" si="74"/>
        <v>1549.7396699596161</v>
      </c>
      <c r="AX131" s="65">
        <f t="shared" si="75"/>
        <v>14484.591125821898</v>
      </c>
      <c r="AY131" s="65">
        <f t="shared" si="76"/>
        <v>9708.3743703137643</v>
      </c>
      <c r="AZ131" s="65">
        <f t="shared" si="77"/>
        <v>3284.3135128247341</v>
      </c>
    </row>
    <row r="132" spans="1:52" ht="15" customHeight="1" x14ac:dyDescent="0.35">
      <c r="A132" s="61" t="str">
        <f>Segments!$A$112</f>
        <v>Non-greek</v>
      </c>
      <c r="B132" s="61" t="str">
        <f>Segments!$B$112</f>
        <v>Off 1-3mi</v>
      </c>
      <c r="C132" s="61" t="str">
        <f>Segments!$C$112</f>
        <v>No</v>
      </c>
      <c r="D132" s="61" t="str">
        <f>Segments!$D$112</f>
        <v>1.0-2.0</v>
      </c>
      <c r="E132" s="61" t="str">
        <f>Segments!$E$112</f>
        <v>Junior</v>
      </c>
      <c r="F132" s="61">
        <f>Segments!$F$112</f>
        <v>2</v>
      </c>
      <c r="G132" s="61" t="str">
        <f>Segments!$G$112</f>
        <v>Base</v>
      </c>
      <c r="H132" s="62">
        <f>Segments!$H$112</f>
        <v>14</v>
      </c>
      <c r="I132" s="63">
        <f>Segments!$Y$112</f>
        <v>1045.0308552692363</v>
      </c>
      <c r="J132" s="42">
        <v>2</v>
      </c>
      <c r="K132" s="40">
        <f t="shared" si="39"/>
        <v>1426.2297754450396</v>
      </c>
      <c r="L132" s="40">
        <f t="shared" si="40"/>
        <v>1045.0308552692363</v>
      </c>
      <c r="M132" s="40">
        <f t="shared" si="41"/>
        <v>1740.9683075756684</v>
      </c>
      <c r="N132" s="40">
        <f t="shared" si="42"/>
        <v>1575.7604000515357</v>
      </c>
      <c r="O132" s="40">
        <f t="shared" si="43"/>
        <v>1740.9683075756684</v>
      </c>
      <c r="P132" s="41">
        <f t="shared" si="44"/>
        <v>0.73137474419951443</v>
      </c>
      <c r="Q132" s="41">
        <f t="shared" si="45"/>
        <v>0.29757835406996846</v>
      </c>
      <c r="R132" s="64">
        <f t="shared" si="46"/>
        <v>8.0451221861946589</v>
      </c>
      <c r="S132" s="64">
        <f>APPLICANTS_PER_YEAR*($H132/Segments!$AH$2)*Q132</f>
        <v>4.9993163483754701</v>
      </c>
      <c r="T132" s="64">
        <f t="shared" si="47"/>
        <v>13.04443853457013</v>
      </c>
      <c r="U132" s="40">
        <f t="shared" si="48"/>
        <v>1740.9683075756682</v>
      </c>
      <c r="V132" s="65">
        <f t="shared" si="49"/>
        <v>22709.954078805389</v>
      </c>
      <c r="W132" s="65">
        <f t="shared" si="50"/>
        <v>15267.661649283466</v>
      </c>
      <c r="X132" s="65">
        <f t="shared" si="51"/>
        <v>4982.6807965673397</v>
      </c>
      <c r="Y132" s="40">
        <f t="shared" si="52"/>
        <v>1463.1701102456557</v>
      </c>
      <c r="Z132" s="40">
        <f t="shared" si="53"/>
        <v>1076.3817809273135</v>
      </c>
      <c r="AA132" s="40">
        <f t="shared" si="54"/>
        <v>1791.9473568029387</v>
      </c>
      <c r="AB132" s="40">
        <f t="shared" si="55"/>
        <v>1622.4674223513575</v>
      </c>
      <c r="AC132" s="40">
        <f t="shared" si="56"/>
        <v>1791.9473568029387</v>
      </c>
      <c r="AD132" s="41">
        <f t="shared" si="57"/>
        <v>0.73036032909494308</v>
      </c>
      <c r="AE132" s="41">
        <f t="shared" si="58"/>
        <v>0.29777092836601837</v>
      </c>
      <c r="AF132" s="64">
        <f t="shared" si="59"/>
        <v>11.858289753419323</v>
      </c>
      <c r="AG132" s="64">
        <f>APPLICANTS_PER_YEAR*($H132/Segments!$AH$2)*AE132</f>
        <v>5.0025515965491092</v>
      </c>
      <c r="AH132" s="64">
        <f t="shared" si="60"/>
        <v>16.860841349968432</v>
      </c>
      <c r="AI132" s="40">
        <f t="shared" si="61"/>
        <v>1791.9473568029387</v>
      </c>
      <c r="AJ132" s="65">
        <f t="shared" si="62"/>
        <v>30213.740090549625</v>
      </c>
      <c r="AK132" s="65">
        <f t="shared" si="63"/>
        <v>20326.546733037339</v>
      </c>
      <c r="AL132" s="65">
        <f t="shared" si="64"/>
        <v>6486.4283129017031</v>
      </c>
      <c r="AM132" s="40">
        <f t="shared" si="65"/>
        <v>1505.8152135530252</v>
      </c>
      <c r="AN132" s="40">
        <f t="shared" si="66"/>
        <v>1108.6732343551328</v>
      </c>
      <c r="AO132" s="40">
        <f t="shared" si="67"/>
        <v>1844.4557775070266</v>
      </c>
      <c r="AP132" s="40">
        <f t="shared" si="68"/>
        <v>1670.5754608244779</v>
      </c>
      <c r="AQ132" s="40">
        <f t="shared" si="69"/>
        <v>1844.4557775070266</v>
      </c>
      <c r="AR132" s="41">
        <f t="shared" si="70"/>
        <v>0.73049140014331482</v>
      </c>
      <c r="AS132" s="41">
        <f t="shared" si="71"/>
        <v>0.29795795797313651</v>
      </c>
      <c r="AT132" s="64">
        <f t="shared" si="72"/>
        <v>6.8225618116353157</v>
      </c>
      <c r="AU132" s="64">
        <f>APPLICANTS_PER_YEAR*($H132/Segments!$AH$2)*AS132</f>
        <v>5.005693693948694</v>
      </c>
      <c r="AV132" s="64">
        <f t="shared" si="73"/>
        <v>11.828255505584011</v>
      </c>
      <c r="AW132" s="40">
        <f t="shared" si="74"/>
        <v>1844.4557775070264</v>
      </c>
      <c r="AX132" s="65">
        <f t="shared" si="75"/>
        <v>21816.694205103722</v>
      </c>
      <c r="AY132" s="65">
        <f t="shared" si="76"/>
        <v>14687.3107227333</v>
      </c>
      <c r="AZ132" s="65">
        <f t="shared" si="77"/>
        <v>4808.2099801231961</v>
      </c>
    </row>
    <row r="133" spans="1:52" ht="15" customHeight="1" x14ac:dyDescent="0.35">
      <c r="A133" s="61" t="str">
        <f>Segments!$A$113</f>
        <v>Non-greek</v>
      </c>
      <c r="B133" s="61" t="str">
        <f>Segments!$B$113</f>
        <v>Off 1-3mi</v>
      </c>
      <c r="C133" s="61" t="str">
        <f>Segments!$C$113</f>
        <v>No</v>
      </c>
      <c r="D133" s="61" t="str">
        <f>Segments!$D$113</f>
        <v>1.0-2.0</v>
      </c>
      <c r="E133" s="61" t="str">
        <f>Segments!$E$113</f>
        <v>Senior</v>
      </c>
      <c r="F133" s="61">
        <f>Segments!$F$113</f>
        <v>3</v>
      </c>
      <c r="G133" s="61" t="str">
        <f>Segments!$G$113</f>
        <v>Base</v>
      </c>
      <c r="H133" s="62">
        <f>Segments!$H$113</f>
        <v>17</v>
      </c>
      <c r="I133" s="63">
        <f>Segments!$Y$113</f>
        <v>976.77723202375114</v>
      </c>
      <c r="J133" s="42">
        <v>3</v>
      </c>
      <c r="K133" s="40">
        <f t="shared" si="39"/>
        <v>1426.2297754450396</v>
      </c>
      <c r="L133" s="40">
        <f t="shared" si="40"/>
        <v>976.77723202375114</v>
      </c>
      <c r="M133" s="40">
        <f t="shared" si="41"/>
        <v>1629.9825951498317</v>
      </c>
      <c r="N133" s="40">
        <f t="shared" si="42"/>
        <v>1524.7064342554168</v>
      </c>
      <c r="O133" s="40">
        <f t="shared" si="43"/>
        <v>1629.9825951498317</v>
      </c>
      <c r="P133" s="41">
        <f t="shared" si="44"/>
        <v>0.77261823640430716</v>
      </c>
      <c r="Q133" s="41">
        <f t="shared" si="45"/>
        <v>0.31547658010447566</v>
      </c>
      <c r="R133" s="64">
        <f t="shared" si="46"/>
        <v>10.8166553096603</v>
      </c>
      <c r="S133" s="64">
        <f>APPLICANTS_PER_YEAR*($H133/Segments!$AH$2)*Q133</f>
        <v>6.435722234131303</v>
      </c>
      <c r="T133" s="64">
        <f t="shared" si="47"/>
        <v>17.252377543791603</v>
      </c>
      <c r="U133" s="40">
        <f t="shared" si="48"/>
        <v>1629.9825951498317</v>
      </c>
      <c r="V133" s="65">
        <f t="shared" si="49"/>
        <v>28121.075121334117</v>
      </c>
      <c r="W133" s="65">
        <f t="shared" si="50"/>
        <v>18873.937133019906</v>
      </c>
      <c r="X133" s="65">
        <f t="shared" si="51"/>
        <v>6187.977837671111</v>
      </c>
      <c r="Y133" s="40">
        <f t="shared" si="52"/>
        <v>1740.9683075756682</v>
      </c>
      <c r="Z133" s="40">
        <f t="shared" si="53"/>
        <v>1006.0805489844637</v>
      </c>
      <c r="AA133" s="40">
        <f t="shared" si="54"/>
        <v>1677.6320730043267</v>
      </c>
      <c r="AB133" s="40">
        <f t="shared" si="55"/>
        <v>1569.8628854785909</v>
      </c>
      <c r="AC133" s="40">
        <f t="shared" si="56"/>
        <v>1677.6320730043267</v>
      </c>
      <c r="AD133" s="41">
        <f t="shared" si="57"/>
        <v>0.81567560500900649</v>
      </c>
      <c r="AE133" s="41">
        <f t="shared" si="58"/>
        <v>0.31567560500900649</v>
      </c>
      <c r="AF133" s="64">
        <f t="shared" si="59"/>
        <v>10.640030293688289</v>
      </c>
      <c r="AG133" s="64">
        <f>APPLICANTS_PER_YEAR*($H133/Segments!$AH$2)*AE133</f>
        <v>6.4397823421837321</v>
      </c>
      <c r="AH133" s="64">
        <f t="shared" si="60"/>
        <v>17.07981263587202</v>
      </c>
      <c r="AI133" s="40">
        <f t="shared" si="61"/>
        <v>1677.6320730043267</v>
      </c>
      <c r="AJ133" s="65">
        <f t="shared" si="62"/>
        <v>28653.64147884347</v>
      </c>
      <c r="AK133" s="65">
        <f t="shared" si="63"/>
        <v>19245.707346039893</v>
      </c>
      <c r="AL133" s="65">
        <f t="shared" si="64"/>
        <v>6296.2545397879521</v>
      </c>
      <c r="AM133" s="40">
        <f t="shared" si="65"/>
        <v>1791.9473568029387</v>
      </c>
      <c r="AN133" s="40">
        <f t="shared" si="66"/>
        <v>1036.2629654539976</v>
      </c>
      <c r="AO133" s="40">
        <f t="shared" si="67"/>
        <v>1726.7110351944564</v>
      </c>
      <c r="AP133" s="40">
        <f t="shared" si="68"/>
        <v>1616.3738155283506</v>
      </c>
      <c r="AQ133" s="40">
        <f t="shared" si="69"/>
        <v>1726.7110351944564</v>
      </c>
      <c r="AR133" s="41">
        <f t="shared" si="70"/>
        <v>0.81586890402266277</v>
      </c>
      <c r="AS133" s="41">
        <f t="shared" si="71"/>
        <v>0.31586890402266277</v>
      </c>
      <c r="AT133" s="64">
        <f t="shared" si="72"/>
        <v>13.756236153098738</v>
      </c>
      <c r="AU133" s="64">
        <f>APPLICANTS_PER_YEAR*($H133/Segments!$AH$2)*AS133</f>
        <v>6.4437256420623203</v>
      </c>
      <c r="AV133" s="64">
        <f t="shared" si="73"/>
        <v>20.199961795161059</v>
      </c>
      <c r="AW133" s="40">
        <f t="shared" si="74"/>
        <v>1726.7110351944564</v>
      </c>
      <c r="AX133" s="65">
        <f t="shared" si="75"/>
        <v>34879.496942211023</v>
      </c>
      <c r="AY133" s="65">
        <f t="shared" si="76"/>
        <v>23444.368989340386</v>
      </c>
      <c r="AZ133" s="65">
        <f t="shared" si="77"/>
        <v>7546.7431251196685</v>
      </c>
    </row>
    <row r="134" spans="1:52" ht="15" customHeight="1" x14ac:dyDescent="0.35">
      <c r="A134" s="61" t="str">
        <f>Segments!$A$114</f>
        <v>Non-greek</v>
      </c>
      <c r="B134" s="61" t="str">
        <f>Segments!$B$114</f>
        <v>Off 1-3mi</v>
      </c>
      <c r="C134" s="61" t="str">
        <f>Segments!$C$114</f>
        <v>No</v>
      </c>
      <c r="D134" s="61" t="str">
        <f>Segments!$D$114</f>
        <v>1.0-2.0</v>
      </c>
      <c r="E134" s="61" t="str">
        <f>Segments!$E$114</f>
        <v>Grad student</v>
      </c>
      <c r="F134" s="61">
        <f>Segments!$F$114</f>
        <v>3</v>
      </c>
      <c r="G134" s="61" t="str">
        <f>Segments!$G$114</f>
        <v>Grad</v>
      </c>
      <c r="H134" s="62">
        <f>Segments!$H$114</f>
        <v>11</v>
      </c>
      <c r="I134" s="63">
        <f>Segments!$Y$114</f>
        <v>1163.0295316866902</v>
      </c>
      <c r="J134" s="42">
        <v>4</v>
      </c>
      <c r="K134" s="40">
        <f t="shared" si="39"/>
        <v>1426.2297754450396</v>
      </c>
      <c r="L134" s="40">
        <f t="shared" si="40"/>
        <v>1163.0295316866902</v>
      </c>
      <c r="M134" s="40">
        <f t="shared" si="41"/>
        <v>1932.8433545661328</v>
      </c>
      <c r="N134" s="40">
        <f t="shared" si="42"/>
        <v>1660.3248909636009</v>
      </c>
      <c r="O134" s="40">
        <f t="shared" si="43"/>
        <v>1782.7872193062994</v>
      </c>
      <c r="P134" s="41">
        <f t="shared" si="44"/>
        <v>0.73812097439205848</v>
      </c>
      <c r="Q134" s="41">
        <f t="shared" si="45"/>
        <v>0.26793218752374093</v>
      </c>
      <c r="R134" s="64">
        <f t="shared" si="46"/>
        <v>4.0596653591563214</v>
      </c>
      <c r="S134" s="64">
        <f>APPLICANTS_PER_YEAR*($H134/Segments!$AH$2)*Q134</f>
        <v>3.5367048753133807</v>
      </c>
      <c r="T134" s="64">
        <f t="shared" si="47"/>
        <v>7.5963702344697026</v>
      </c>
      <c r="U134" s="40">
        <f t="shared" si="48"/>
        <v>1852.6500944378963</v>
      </c>
      <c r="V134" s="65">
        <f t="shared" si="49"/>
        <v>14073.41603227552</v>
      </c>
      <c r="W134" s="65">
        <f t="shared" si="50"/>
        <v>9894.9792662716936</v>
      </c>
      <c r="X134" s="65">
        <f t="shared" si="51"/>
        <v>3139.4770347081908</v>
      </c>
      <c r="Y134" s="40">
        <f t="shared" si="52"/>
        <v>1852.6500944378963</v>
      </c>
      <c r="Z134" s="40">
        <f t="shared" si="53"/>
        <v>1197.9204176372909</v>
      </c>
      <c r="AA134" s="40">
        <f t="shared" si="54"/>
        <v>1989.5786552031168</v>
      </c>
      <c r="AB134" s="40">
        <f t="shared" si="55"/>
        <v>1709.5976743666336</v>
      </c>
      <c r="AC134" s="40">
        <f t="shared" si="56"/>
        <v>1989.5786552031168</v>
      </c>
      <c r="AD134" s="41">
        <f t="shared" si="57"/>
        <v>0.74594208116024319</v>
      </c>
      <c r="AE134" s="41">
        <f t="shared" si="58"/>
        <v>0.26811495036684296</v>
      </c>
      <c r="AF134" s="64">
        <f t="shared" si="59"/>
        <v>2.8332261109820274</v>
      </c>
      <c r="AG134" s="64">
        <f>APPLICANTS_PER_YEAR*($H134/Segments!$AH$2)*AE134</f>
        <v>3.5391173448423272</v>
      </c>
      <c r="AH134" s="64">
        <f t="shared" si="60"/>
        <v>6.372343455824355</v>
      </c>
      <c r="AI134" s="40">
        <f t="shared" si="61"/>
        <v>1989.5786552031166</v>
      </c>
      <c r="AJ134" s="65">
        <f t="shared" si="62"/>
        <v>12678.278523331401</v>
      </c>
      <c r="AK134" s="65">
        <f t="shared" si="63"/>
        <v>8549.5875740008942</v>
      </c>
      <c r="AL134" s="65">
        <f t="shared" si="64"/>
        <v>2858.5667751116898</v>
      </c>
      <c r="AM134" s="40">
        <f t="shared" si="65"/>
        <v>1989.5786552031166</v>
      </c>
      <c r="AN134" s="40">
        <f t="shared" si="66"/>
        <v>1233.8580301664097</v>
      </c>
      <c r="AO134" s="40">
        <f t="shared" si="67"/>
        <v>2048.0160148592099</v>
      </c>
      <c r="AP134" s="40">
        <f t="shared" si="68"/>
        <v>1760.3484750236835</v>
      </c>
      <c r="AQ134" s="40">
        <f t="shared" si="69"/>
        <v>2048.0160148592099</v>
      </c>
      <c r="AR134" s="41">
        <f t="shared" si="70"/>
        <v>0.7594809270756272</v>
      </c>
      <c r="AS134" s="41">
        <f t="shared" si="71"/>
        <v>0.26829244495705429</v>
      </c>
      <c r="AT134" s="64">
        <f t="shared" si="72"/>
        <v>2.4198366577368935</v>
      </c>
      <c r="AU134" s="64">
        <f>APPLICANTS_PER_YEAR*($H134/Segments!$AH$2)*AS134</f>
        <v>3.5414602734331169</v>
      </c>
      <c r="AV134" s="64">
        <f t="shared" si="73"/>
        <v>5.9612969311700104</v>
      </c>
      <c r="AW134" s="40">
        <f t="shared" si="74"/>
        <v>2048.0160148592099</v>
      </c>
      <c r="AX134" s="65">
        <f t="shared" si="75"/>
        <v>12208.831584367243</v>
      </c>
      <c r="AY134" s="65">
        <f t="shared" si="76"/>
        <v>8238.0413793781518</v>
      </c>
      <c r="AZ134" s="65">
        <f t="shared" si="77"/>
        <v>2769.0854723638913</v>
      </c>
    </row>
    <row r="135" spans="1:52" ht="15" customHeight="1" x14ac:dyDescent="0.35">
      <c r="A135" s="59" t="str">
        <f>Segments!$A$115</f>
        <v>Non-greek</v>
      </c>
      <c r="B135" s="59" t="str">
        <f>Segments!$B$115</f>
        <v>Off 1-3mi</v>
      </c>
      <c r="C135" s="59" t="str">
        <f>Segments!$C$115</f>
        <v>No</v>
      </c>
      <c r="D135" s="59" t="str">
        <f>Segments!$D$115</f>
        <v>2.0-3.0</v>
      </c>
      <c r="E135" s="59" t="str">
        <f>Segments!$E$115</f>
        <v>Freshman</v>
      </c>
      <c r="F135" s="59">
        <f>Segments!$F$115</f>
        <v>1</v>
      </c>
      <c r="G135" s="59" t="str">
        <f>Segments!$G$115</f>
        <v>Base</v>
      </c>
      <c r="H135" s="60">
        <f>Segments!$H$115</f>
        <v>24</v>
      </c>
      <c r="I135" s="26">
        <f>Segments!$Y$115</f>
        <v>867.87980379464852</v>
      </c>
      <c r="J135" s="29">
        <v>0</v>
      </c>
      <c r="K135" s="14">
        <f t="shared" si="39"/>
        <v>1452.9068872437631</v>
      </c>
      <c r="L135" s="14">
        <f t="shared" si="40"/>
        <v>867.87980379464852</v>
      </c>
      <c r="M135" s="14">
        <f t="shared" si="41"/>
        <v>1452.9068872437631</v>
      </c>
      <c r="N135" s="14">
        <f t="shared" si="42"/>
        <v>1439.5065347320322</v>
      </c>
      <c r="O135" s="14">
        <f t="shared" si="43"/>
        <v>1452.9068872437631</v>
      </c>
      <c r="P135" s="33">
        <f t="shared" si="44"/>
        <v>0.84534550480028714</v>
      </c>
      <c r="Q135" s="33">
        <f t="shared" si="45"/>
        <v>0.34534550480028714</v>
      </c>
      <c r="R135" s="51">
        <f t="shared" si="46"/>
        <v>0</v>
      </c>
      <c r="S135" s="51">
        <f>APPLICANTS_PER_YEAR*($H135/Segments!$AH$2)*Q135</f>
        <v>9.9459505382482689</v>
      </c>
      <c r="T135" s="51">
        <f t="shared" si="47"/>
        <v>9.9459505382482689</v>
      </c>
      <c r="U135" s="14">
        <f t="shared" si="48"/>
        <v>1452.9068872437631</v>
      </c>
      <c r="V135" s="44">
        <f t="shared" si="49"/>
        <v>14450.540037206723</v>
      </c>
      <c r="W135" s="44">
        <f t="shared" si="50"/>
        <v>9667.7163538885306</v>
      </c>
      <c r="X135" s="44">
        <f t="shared" si="51"/>
        <v>3684.4887425554784</v>
      </c>
      <c r="Y135" s="14">
        <f t="shared" si="52"/>
        <v>1495.244093861076</v>
      </c>
      <c r="Z135" s="14">
        <f t="shared" si="53"/>
        <v>893.91619790848802</v>
      </c>
      <c r="AA135" s="14">
        <f t="shared" si="54"/>
        <v>1495.244093861076</v>
      </c>
      <c r="AB135" s="14">
        <f t="shared" si="55"/>
        <v>1482.0723658680417</v>
      </c>
      <c r="AC135" s="14">
        <f t="shared" si="56"/>
        <v>1495.244093861076</v>
      </c>
      <c r="AD135" s="33">
        <f t="shared" si="57"/>
        <v>0.8455563141529463</v>
      </c>
      <c r="AE135" s="33">
        <f t="shared" si="58"/>
        <v>0.3455563141529463</v>
      </c>
      <c r="AF135" s="51">
        <f t="shared" si="59"/>
        <v>0</v>
      </c>
      <c r="AG135" s="51">
        <f>APPLICANTS_PER_YEAR*($H135/Segments!$AH$2)*AE135</f>
        <v>9.9520218476048523</v>
      </c>
      <c r="AH135" s="51">
        <f t="shared" si="60"/>
        <v>9.9520218476048523</v>
      </c>
      <c r="AI135" s="14">
        <f t="shared" si="61"/>
        <v>1495.244093861076</v>
      </c>
      <c r="AJ135" s="44">
        <f t="shared" si="62"/>
        <v>14880.701889607548</v>
      </c>
      <c r="AK135" s="44">
        <f t="shared" si="63"/>
        <v>9963.8263552947137</v>
      </c>
      <c r="AL135" s="44">
        <f t="shared" si="64"/>
        <v>3781.118206414309</v>
      </c>
      <c r="AM135" s="14">
        <f t="shared" si="65"/>
        <v>1538.8514166769082</v>
      </c>
      <c r="AN135" s="14">
        <f t="shared" si="66"/>
        <v>920.73368384574258</v>
      </c>
      <c r="AO135" s="14">
        <f t="shared" si="67"/>
        <v>1538.8514166769082</v>
      </c>
      <c r="AP135" s="14">
        <f t="shared" si="68"/>
        <v>1525.914916768565</v>
      </c>
      <c r="AQ135" s="14">
        <f t="shared" si="69"/>
        <v>1538.8514166769082</v>
      </c>
      <c r="AR135" s="33">
        <f t="shared" si="70"/>
        <v>0.84576106774821402</v>
      </c>
      <c r="AS135" s="33">
        <f t="shared" si="71"/>
        <v>0.34576106774821402</v>
      </c>
      <c r="AT135" s="51">
        <f t="shared" si="72"/>
        <v>0</v>
      </c>
      <c r="AU135" s="51">
        <f>APPLICANTS_PER_YEAR*($H135/Segments!$AH$2)*AS135</f>
        <v>9.9579187511485632</v>
      </c>
      <c r="AV135" s="51">
        <f t="shared" si="73"/>
        <v>9.9579187511485632</v>
      </c>
      <c r="AW135" s="14">
        <f t="shared" si="74"/>
        <v>1538.8514166769082</v>
      </c>
      <c r="AX135" s="44">
        <f t="shared" si="75"/>
        <v>15323.757377358515</v>
      </c>
      <c r="AY135" s="44">
        <f t="shared" si="76"/>
        <v>10268.822161003409</v>
      </c>
      <c r="AZ135" s="44">
        <f t="shared" si="77"/>
        <v>3880.627996329993</v>
      </c>
    </row>
    <row r="136" spans="1:52" ht="15" customHeight="1" x14ac:dyDescent="0.35">
      <c r="A136" s="59" t="str">
        <f>Segments!$A$116</f>
        <v>Non-greek</v>
      </c>
      <c r="B136" s="59" t="str">
        <f>Segments!$B$116</f>
        <v>Off 1-3mi</v>
      </c>
      <c r="C136" s="59" t="str">
        <f>Segments!$C$116</f>
        <v>No</v>
      </c>
      <c r="D136" s="59" t="str">
        <f>Segments!$D$116</f>
        <v>2.0-3.0</v>
      </c>
      <c r="E136" s="59" t="str">
        <f>Segments!$E$116</f>
        <v>Sophomore</v>
      </c>
      <c r="F136" s="59">
        <f>Segments!$F$116</f>
        <v>1</v>
      </c>
      <c r="G136" s="59" t="str">
        <f>Segments!$G$116</f>
        <v>Sophomore</v>
      </c>
      <c r="H136" s="60">
        <f>Segments!$H$116</f>
        <v>20</v>
      </c>
      <c r="I136" s="26">
        <f>Segments!$Y$116</f>
        <v>859.05020540933162</v>
      </c>
      <c r="J136" s="29">
        <v>1</v>
      </c>
      <c r="K136" s="14">
        <f t="shared" si="39"/>
        <v>1426.2297754450396</v>
      </c>
      <c r="L136" s="14">
        <f t="shared" si="40"/>
        <v>859.05020540933162</v>
      </c>
      <c r="M136" s="14">
        <f t="shared" si="41"/>
        <v>1438.5492719168253</v>
      </c>
      <c r="N136" s="14">
        <f t="shared" si="42"/>
        <v>1432.3762791433537</v>
      </c>
      <c r="O136" s="14">
        <f t="shared" si="43"/>
        <v>1438.5492719168253</v>
      </c>
      <c r="P136" s="33">
        <f t="shared" si="44"/>
        <v>0.84525384976023188</v>
      </c>
      <c r="Q136" s="33">
        <f t="shared" si="45"/>
        <v>0.34784519163597027</v>
      </c>
      <c r="R136" s="51">
        <f t="shared" si="46"/>
        <v>20.286092394245564</v>
      </c>
      <c r="S136" s="51">
        <f>APPLICANTS_PER_YEAR*($H136/Segments!$AH$2)*Q136</f>
        <v>8.3482845992632875</v>
      </c>
      <c r="T136" s="51">
        <f t="shared" si="47"/>
        <v>28.634376993508852</v>
      </c>
      <c r="U136" s="14">
        <f t="shared" si="48"/>
        <v>1438.5492719168253</v>
      </c>
      <c r="V136" s="44">
        <f t="shared" si="49"/>
        <v>41191.962175804052</v>
      </c>
      <c r="W136" s="44">
        <f t="shared" si="50"/>
        <v>27550.171530607066</v>
      </c>
      <c r="X136" s="44">
        <f t="shared" si="51"/>
        <v>8987.0051616995879</v>
      </c>
      <c r="Y136" s="14">
        <f t="shared" si="52"/>
        <v>1452.9068872437631</v>
      </c>
      <c r="Z136" s="14">
        <f t="shared" si="53"/>
        <v>884.82171157161156</v>
      </c>
      <c r="AA136" s="14">
        <f t="shared" si="54"/>
        <v>1480.4557500743301</v>
      </c>
      <c r="AB136" s="14">
        <f t="shared" si="55"/>
        <v>1474.7251181641866</v>
      </c>
      <c r="AC136" s="14">
        <f t="shared" si="56"/>
        <v>1480.4557500743301</v>
      </c>
      <c r="AD136" s="33">
        <f t="shared" si="57"/>
        <v>0.84236868983981572</v>
      </c>
      <c r="AE136" s="33">
        <f t="shared" si="58"/>
        <v>0.3480570508227061</v>
      </c>
      <c r="AF136" s="51">
        <f t="shared" si="59"/>
        <v>8.3781573241158043</v>
      </c>
      <c r="AG136" s="51">
        <f>APPLICANTS_PER_YEAR*($H136/Segments!$AH$2)*AE136</f>
        <v>8.3533692197449465</v>
      </c>
      <c r="AH136" s="51">
        <f t="shared" si="60"/>
        <v>16.731526543860753</v>
      </c>
      <c r="AI136" s="14">
        <f t="shared" si="61"/>
        <v>1480.4557500743299</v>
      </c>
      <c r="AJ136" s="44">
        <f t="shared" si="62"/>
        <v>24770.284679379933</v>
      </c>
      <c r="AK136" s="44">
        <f t="shared" si="63"/>
        <v>16580.94810819409</v>
      </c>
      <c r="AL136" s="44">
        <f t="shared" si="64"/>
        <v>5657.8863380589328</v>
      </c>
      <c r="AM136" s="14">
        <f t="shared" si="65"/>
        <v>1495.244093861076</v>
      </c>
      <c r="AN136" s="14">
        <f t="shared" si="66"/>
        <v>911.36636291875993</v>
      </c>
      <c r="AO136" s="14">
        <f t="shared" si="67"/>
        <v>1523.6194225765601</v>
      </c>
      <c r="AP136" s="14">
        <f t="shared" si="68"/>
        <v>1518.344163353225</v>
      </c>
      <c r="AQ136" s="14">
        <f t="shared" si="69"/>
        <v>1523.6194225765601</v>
      </c>
      <c r="AR136" s="33">
        <f t="shared" si="70"/>
        <v>0.84256970857979496</v>
      </c>
      <c r="AS136" s="33">
        <f t="shared" si="71"/>
        <v>0.3482628249409262</v>
      </c>
      <c r="AT136" s="51">
        <f t="shared" si="72"/>
        <v>8.3852721479161723</v>
      </c>
      <c r="AU136" s="51">
        <f>APPLICANTS_PER_YEAR*($H136/Segments!$AH$2)*AS136</f>
        <v>8.3583077985822278</v>
      </c>
      <c r="AV136" s="51">
        <f t="shared" si="73"/>
        <v>16.7435799464984</v>
      </c>
      <c r="AW136" s="14">
        <f t="shared" si="74"/>
        <v>1523.6194225765601</v>
      </c>
      <c r="AX136" s="44">
        <f t="shared" si="75"/>
        <v>25510.843609948362</v>
      </c>
      <c r="AY136" s="44">
        <f t="shared" si="76"/>
        <v>17090.679825049301</v>
      </c>
      <c r="AZ136" s="44">
        <f t="shared" si="77"/>
        <v>5811.0995397375191</v>
      </c>
    </row>
    <row r="137" spans="1:52" ht="15" customHeight="1" x14ac:dyDescent="0.35">
      <c r="A137" s="59" t="str">
        <f>Segments!$A$117</f>
        <v>Non-greek</v>
      </c>
      <c r="B137" s="59" t="str">
        <f>Segments!$B$117</f>
        <v>Off 1-3mi</v>
      </c>
      <c r="C137" s="59" t="str">
        <f>Segments!$C$117</f>
        <v>No</v>
      </c>
      <c r="D137" s="59" t="str">
        <f>Segments!$D$117</f>
        <v>2.0-3.0</v>
      </c>
      <c r="E137" s="59" t="str">
        <f>Segments!$E$117</f>
        <v>Junior</v>
      </c>
      <c r="F137" s="59">
        <f>Segments!$F$117</f>
        <v>2</v>
      </c>
      <c r="G137" s="59" t="str">
        <f>Segments!$G$117</f>
        <v>Base</v>
      </c>
      <c r="H137" s="60">
        <f>Segments!$H$117</f>
        <v>24</v>
      </c>
      <c r="I137" s="26">
        <f>Segments!$Y$117</f>
        <v>1026.9306277583955</v>
      </c>
      <c r="J137" s="29">
        <v>2</v>
      </c>
      <c r="K137" s="14">
        <f t="shared" si="39"/>
        <v>1426.2297754450396</v>
      </c>
      <c r="L137" s="14">
        <f t="shared" si="40"/>
        <v>1026.9306277583955</v>
      </c>
      <c r="M137" s="14">
        <f t="shared" si="41"/>
        <v>1711.5359265556135</v>
      </c>
      <c r="N137" s="14">
        <f t="shared" si="42"/>
        <v>1562.3839157510329</v>
      </c>
      <c r="O137" s="14">
        <f t="shared" si="43"/>
        <v>1711.5359265556135</v>
      </c>
      <c r="P137" s="33">
        <f t="shared" si="44"/>
        <v>0.74225514841167994</v>
      </c>
      <c r="Q137" s="33">
        <f t="shared" si="45"/>
        <v>0.30226781033108507</v>
      </c>
      <c r="R137" s="51">
        <f t="shared" si="46"/>
        <v>14.845102968233599</v>
      </c>
      <c r="S137" s="51">
        <f>APPLICANTS_PER_YEAR*($H137/Segments!$AH$2)*Q137</f>
        <v>8.7053129375352487</v>
      </c>
      <c r="T137" s="51">
        <f t="shared" si="47"/>
        <v>23.550415905768848</v>
      </c>
      <c r="U137" s="14">
        <f t="shared" si="48"/>
        <v>1711.5359265556137</v>
      </c>
      <c r="V137" s="44">
        <f t="shared" si="49"/>
        <v>40307.382908050145</v>
      </c>
      <c r="W137" s="44">
        <f t="shared" si="50"/>
        <v>27086.800596892412</v>
      </c>
      <c r="X137" s="44">
        <f t="shared" si="51"/>
        <v>8828.2174657327705</v>
      </c>
      <c r="Y137" s="14">
        <f t="shared" si="52"/>
        <v>1438.5492719168253</v>
      </c>
      <c r="Z137" s="14">
        <f t="shared" si="53"/>
        <v>1057.7385465911475</v>
      </c>
      <c r="AA137" s="14">
        <f t="shared" si="54"/>
        <v>1761.6320043522821</v>
      </c>
      <c r="AB137" s="14">
        <f t="shared" si="55"/>
        <v>1608.6847977536415</v>
      </c>
      <c r="AC137" s="14">
        <f t="shared" si="56"/>
        <v>1761.6320043522821</v>
      </c>
      <c r="AD137" s="33">
        <f t="shared" si="57"/>
        <v>0.73508525261793145</v>
      </c>
      <c r="AE137" s="33">
        <f t="shared" si="58"/>
        <v>0.30246203395089721</v>
      </c>
      <c r="AF137" s="51">
        <f t="shared" si="59"/>
        <v>21.048708245830539</v>
      </c>
      <c r="AG137" s="51">
        <f>APPLICANTS_PER_YEAR*($H137/Segments!$AH$2)*AE137</f>
        <v>8.7109065777858383</v>
      </c>
      <c r="AH137" s="51">
        <f t="shared" si="60"/>
        <v>29.759614823616378</v>
      </c>
      <c r="AI137" s="14">
        <f t="shared" si="61"/>
        <v>1761.6320043522821</v>
      </c>
      <c r="AJ137" s="44">
        <f t="shared" si="62"/>
        <v>52425.489910479206</v>
      </c>
      <c r="AK137" s="44">
        <f t="shared" si="63"/>
        <v>35255.238738321677</v>
      </c>
      <c r="AL137" s="44">
        <f t="shared" si="64"/>
        <v>11258.471967499807</v>
      </c>
      <c r="AM137" s="14">
        <f t="shared" si="65"/>
        <v>1480.4557500743299</v>
      </c>
      <c r="AN137" s="14">
        <f t="shared" si="66"/>
        <v>1089.4707029888818</v>
      </c>
      <c r="AO137" s="14">
        <f t="shared" si="67"/>
        <v>1813.2309644828504</v>
      </c>
      <c r="AP137" s="14">
        <f t="shared" si="68"/>
        <v>1656.3745066786087</v>
      </c>
      <c r="AQ137" s="14">
        <f t="shared" si="69"/>
        <v>1813.2309644828504</v>
      </c>
      <c r="AR137" s="33">
        <f t="shared" si="70"/>
        <v>0.73521699662929452</v>
      </c>
      <c r="AS137" s="33">
        <f t="shared" si="71"/>
        <v>0.30265066650935935</v>
      </c>
      <c r="AT137" s="51">
        <f t="shared" si="72"/>
        <v>12.301302694600622</v>
      </c>
      <c r="AU137" s="51">
        <f>APPLICANTS_PER_YEAR*($H137/Segments!$AH$2)*AS137</f>
        <v>8.7163391954695477</v>
      </c>
      <c r="AV137" s="51">
        <f t="shared" si="73"/>
        <v>21.01764189007017</v>
      </c>
      <c r="AW137" s="14">
        <f t="shared" si="74"/>
        <v>1813.2309644828504</v>
      </c>
      <c r="AX137" s="44">
        <f t="shared" si="75"/>
        <v>38109.839075487092</v>
      </c>
      <c r="AY137" s="44">
        <f t="shared" si="76"/>
        <v>25645.877695360519</v>
      </c>
      <c r="AZ137" s="44">
        <f t="shared" si="77"/>
        <v>8394.1866673708355</v>
      </c>
    </row>
    <row r="138" spans="1:52" ht="15" customHeight="1" x14ac:dyDescent="0.35">
      <c r="A138" s="59" t="str">
        <f>Segments!$A$118</f>
        <v>Non-greek</v>
      </c>
      <c r="B138" s="59" t="str">
        <f>Segments!$B$118</f>
        <v>Off 1-3mi</v>
      </c>
      <c r="C138" s="59" t="str">
        <f>Segments!$C$118</f>
        <v>No</v>
      </c>
      <c r="D138" s="59" t="str">
        <f>Segments!$D$118</f>
        <v>2.0-3.0</v>
      </c>
      <c r="E138" s="59" t="str">
        <f>Segments!$E$118</f>
        <v>Senior</v>
      </c>
      <c r="F138" s="59">
        <f>Segments!$F$118</f>
        <v>3</v>
      </c>
      <c r="G138" s="59" t="str">
        <f>Segments!$G$118</f>
        <v>Base</v>
      </c>
      <c r="H138" s="60">
        <f>Segments!$H$118</f>
        <v>16</v>
      </c>
      <c r="I138" s="26">
        <f>Segments!$Y$118</f>
        <v>959.85917641047035</v>
      </c>
      <c r="J138" s="29">
        <v>3</v>
      </c>
      <c r="K138" s="14">
        <f t="shared" si="39"/>
        <v>1426.2297754450396</v>
      </c>
      <c r="L138" s="14">
        <f t="shared" si="40"/>
        <v>959.85917641047035</v>
      </c>
      <c r="M138" s="14">
        <f t="shared" si="41"/>
        <v>1602.4725177969185</v>
      </c>
      <c r="N138" s="14">
        <f t="shared" si="42"/>
        <v>1511.7850439842123</v>
      </c>
      <c r="O138" s="14">
        <f t="shared" si="43"/>
        <v>1602.4725177969185</v>
      </c>
      <c r="P138" s="33">
        <f t="shared" si="44"/>
        <v>0.78293474963015464</v>
      </c>
      <c r="Q138" s="33">
        <f t="shared" si="45"/>
        <v>0.32000649193694053</v>
      </c>
      <c r="R138" s="51">
        <f t="shared" si="46"/>
        <v>18.790433991123713</v>
      </c>
      <c r="S138" s="51">
        <f>APPLICANTS_PER_YEAR*($H138/Segments!$AH$2)*Q138</f>
        <v>6.1441246451892582</v>
      </c>
      <c r="T138" s="51">
        <f t="shared" si="47"/>
        <v>24.934558636312971</v>
      </c>
      <c r="U138" s="14">
        <f t="shared" si="48"/>
        <v>1602.4725177969185</v>
      </c>
      <c r="V138" s="44">
        <f t="shared" si="49"/>
        <v>39956.944958087348</v>
      </c>
      <c r="W138" s="44">
        <f t="shared" si="50"/>
        <v>26805.704706827146</v>
      </c>
      <c r="X138" s="44">
        <f t="shared" si="51"/>
        <v>8548.7595670787086</v>
      </c>
      <c r="Y138" s="14">
        <f t="shared" si="52"/>
        <v>1711.5359265556137</v>
      </c>
      <c r="Z138" s="14">
        <f t="shared" si="53"/>
        <v>988.6549517027845</v>
      </c>
      <c r="AA138" s="14">
        <f t="shared" si="54"/>
        <v>1649.296693330826</v>
      </c>
      <c r="AB138" s="14">
        <f t="shared" si="55"/>
        <v>1556.5488537622628</v>
      </c>
      <c r="AC138" s="14">
        <f t="shared" si="56"/>
        <v>1649.296693330826</v>
      </c>
      <c r="AD138" s="33">
        <f t="shared" si="57"/>
        <v>0.82020721857062606</v>
      </c>
      <c r="AE138" s="33">
        <f t="shared" si="58"/>
        <v>0.32020721857062606</v>
      </c>
      <c r="AF138" s="51">
        <f t="shared" si="59"/>
        <v>19.316221126252099</v>
      </c>
      <c r="AG138" s="51">
        <f>APPLICANTS_PER_YEAR*($H138/Segments!$AH$2)*AE138</f>
        <v>6.1479785965560199</v>
      </c>
      <c r="AH138" s="51">
        <f t="shared" si="60"/>
        <v>25.464199722808118</v>
      </c>
      <c r="AI138" s="14">
        <f t="shared" si="61"/>
        <v>1649.296693330826</v>
      </c>
      <c r="AJ138" s="44">
        <f t="shared" si="62"/>
        <v>41998.020401143163</v>
      </c>
      <c r="AK138" s="44">
        <f t="shared" si="63"/>
        <v>28196.344004755272</v>
      </c>
      <c r="AL138" s="44">
        <f t="shared" si="64"/>
        <v>8955.5037421350189</v>
      </c>
      <c r="AM138" s="14">
        <f t="shared" si="65"/>
        <v>1761.6320043522821</v>
      </c>
      <c r="AN138" s="14">
        <f t="shared" si="66"/>
        <v>1018.314600253868</v>
      </c>
      <c r="AO138" s="14">
        <f t="shared" si="67"/>
        <v>1697.5255941307507</v>
      </c>
      <c r="AP138" s="14">
        <f t="shared" si="68"/>
        <v>1602.6553575667176</v>
      </c>
      <c r="AQ138" s="14">
        <f t="shared" si="69"/>
        <v>1697.5255941307507</v>
      </c>
      <c r="AR138" s="33">
        <f t="shared" si="70"/>
        <v>0.82040217158476514</v>
      </c>
      <c r="AS138" s="33">
        <f t="shared" si="71"/>
        <v>0.32040217158476514</v>
      </c>
      <c r="AT138" s="51">
        <f t="shared" si="72"/>
        <v>24.414852626821045</v>
      </c>
      <c r="AU138" s="51">
        <f>APPLICANTS_PER_YEAR*($H138/Segments!$AH$2)*AS138</f>
        <v>6.1517216944274908</v>
      </c>
      <c r="AV138" s="51">
        <f t="shared" si="73"/>
        <v>30.566574321248535</v>
      </c>
      <c r="AW138" s="14">
        <f t="shared" si="74"/>
        <v>1697.5255941307507</v>
      </c>
      <c r="AX138" s="44">
        <f t="shared" si="75"/>
        <v>51887.542235219167</v>
      </c>
      <c r="AY138" s="44">
        <f t="shared" si="76"/>
        <v>34861.555580401029</v>
      </c>
      <c r="AZ138" s="44">
        <f t="shared" si="77"/>
        <v>10937.364687091183</v>
      </c>
    </row>
    <row r="139" spans="1:52" ht="15" customHeight="1" x14ac:dyDescent="0.35">
      <c r="A139" s="59" t="str">
        <f>Segments!$A$119</f>
        <v>Non-greek</v>
      </c>
      <c r="B139" s="59" t="str">
        <f>Segments!$B$119</f>
        <v>Off 1-3mi</v>
      </c>
      <c r="C139" s="59" t="str">
        <f>Segments!$C$119</f>
        <v>No</v>
      </c>
      <c r="D139" s="59" t="str">
        <f>Segments!$D$119</f>
        <v>2.0-3.0</v>
      </c>
      <c r="E139" s="59" t="str">
        <f>Segments!$E$119</f>
        <v>Grad student</v>
      </c>
      <c r="F139" s="59">
        <f>Segments!$F$119</f>
        <v>3</v>
      </c>
      <c r="G139" s="59" t="str">
        <f>Segments!$G$119</f>
        <v>Grad</v>
      </c>
      <c r="H139" s="60">
        <f>Segments!$H$119</f>
        <v>13</v>
      </c>
      <c r="I139" s="26">
        <f>Segments!$Y$119</f>
        <v>1142.8855340054617</v>
      </c>
      <c r="J139" s="29">
        <v>4</v>
      </c>
      <c r="K139" s="14">
        <f t="shared" si="39"/>
        <v>1426.2297754450396</v>
      </c>
      <c r="L139" s="14">
        <f t="shared" si="40"/>
        <v>1142.8855340054617</v>
      </c>
      <c r="M139" s="14">
        <f t="shared" si="41"/>
        <v>1900.0876439174174</v>
      </c>
      <c r="N139" s="14">
        <f t="shared" si="42"/>
        <v>1646.1960921197185</v>
      </c>
      <c r="O139" s="14">
        <f t="shared" si="43"/>
        <v>1782.7872193062994</v>
      </c>
      <c r="P139" s="33">
        <f t="shared" si="44"/>
        <v>0.73351310550412629</v>
      </c>
      <c r="Q139" s="33">
        <f t="shared" si="45"/>
        <v>0.27288538619030001</v>
      </c>
      <c r="R139" s="51">
        <f t="shared" si="46"/>
        <v>4.7678351857768213</v>
      </c>
      <c r="S139" s="51">
        <f>APPLICANTS_PER_YEAR*($H139/Segments!$AH$2)*Q139</f>
        <v>4.25701202456868</v>
      </c>
      <c r="T139" s="51">
        <f t="shared" si="47"/>
        <v>9.0248472103455022</v>
      </c>
      <c r="U139" s="14">
        <f t="shared" si="48"/>
        <v>1838.1177203572333</v>
      </c>
      <c r="V139" s="44">
        <f t="shared" si="49"/>
        <v>16588.731580852611</v>
      </c>
      <c r="W139" s="44">
        <f t="shared" si="50"/>
        <v>11552.091402111033</v>
      </c>
      <c r="X139" s="44">
        <f t="shared" si="51"/>
        <v>3705.2968717784493</v>
      </c>
      <c r="Y139" s="14">
        <f t="shared" si="52"/>
        <v>1838.1177203572333</v>
      </c>
      <c r="Z139" s="14">
        <f t="shared" si="53"/>
        <v>1177.1721000256257</v>
      </c>
      <c r="AA139" s="14">
        <f t="shared" si="54"/>
        <v>1955.84027323494</v>
      </c>
      <c r="AB139" s="14">
        <f t="shared" si="55"/>
        <v>1695.0404014988258</v>
      </c>
      <c r="AC139" s="14">
        <f t="shared" si="56"/>
        <v>1955.84027323494</v>
      </c>
      <c r="AD139" s="33">
        <f t="shared" si="57"/>
        <v>0.75385616859948423</v>
      </c>
      <c r="AE139" s="33">
        <f t="shared" si="58"/>
        <v>0.27306971813016845</v>
      </c>
      <c r="AF139" s="51">
        <f t="shared" si="59"/>
        <v>3.4017183700934019</v>
      </c>
      <c r="AG139" s="51">
        <f>APPLICANTS_PER_YEAR*($H139/Segments!$AH$2)*AE139</f>
        <v>4.2598876028306281</v>
      </c>
      <c r="AH139" s="51">
        <f t="shared" si="60"/>
        <v>7.66160597292403</v>
      </c>
      <c r="AI139" s="14">
        <f t="shared" si="61"/>
        <v>1955.8402732349402</v>
      </c>
      <c r="AJ139" s="44">
        <f t="shared" si="62"/>
        <v>14984.877519502184</v>
      </c>
      <c r="AK139" s="44">
        <f t="shared" si="63"/>
        <v>10101.312247841761</v>
      </c>
      <c r="AL139" s="44">
        <f t="shared" si="64"/>
        <v>3383.4792513726225</v>
      </c>
      <c r="AM139" s="14">
        <f t="shared" si="65"/>
        <v>1955.8402732349402</v>
      </c>
      <c r="AN139" s="14">
        <f t="shared" si="66"/>
        <v>1212.4872630263944</v>
      </c>
      <c r="AO139" s="14">
        <f t="shared" si="67"/>
        <v>2013.2654814319881</v>
      </c>
      <c r="AP139" s="14">
        <f t="shared" si="68"/>
        <v>1745.3498695910737</v>
      </c>
      <c r="AQ139" s="14">
        <f t="shared" si="69"/>
        <v>2013.2654814319881</v>
      </c>
      <c r="AR139" s="33">
        <f t="shared" si="70"/>
        <v>0.76444047099124102</v>
      </c>
      <c r="AS139" s="33">
        <f t="shared" si="71"/>
        <v>0.27324873754289569</v>
      </c>
      <c r="AT139" s="51">
        <f t="shared" si="72"/>
        <v>2.9284208392456756</v>
      </c>
      <c r="AU139" s="51">
        <f>APPLICANTS_PER_YEAR*($H139/Segments!$AH$2)*AS139</f>
        <v>4.2626803056691731</v>
      </c>
      <c r="AV139" s="51">
        <f t="shared" si="73"/>
        <v>7.1911011449148488</v>
      </c>
      <c r="AW139" s="14">
        <f t="shared" si="74"/>
        <v>2013.2654814319881</v>
      </c>
      <c r="AX139" s="44">
        <f t="shared" si="75"/>
        <v>14477.595708543113</v>
      </c>
      <c r="AY139" s="44">
        <f t="shared" si="76"/>
        <v>9765.4127707850294</v>
      </c>
      <c r="AZ139" s="44">
        <f t="shared" si="77"/>
        <v>3287.0213685771041</v>
      </c>
    </row>
    <row r="140" spans="1:52" ht="15" customHeight="1" x14ac:dyDescent="0.35">
      <c r="A140" s="61" t="str">
        <f>Segments!$A$120</f>
        <v>Non-greek</v>
      </c>
      <c r="B140" s="61" t="str">
        <f>Segments!$B$120</f>
        <v>Off 1-3mi</v>
      </c>
      <c r="C140" s="61" t="str">
        <f>Segments!$C$120</f>
        <v>No</v>
      </c>
      <c r="D140" s="61" t="str">
        <f>Segments!$D$120</f>
        <v>3.0+</v>
      </c>
      <c r="E140" s="61" t="str">
        <f>Segments!$E$120</f>
        <v>Freshman</v>
      </c>
      <c r="F140" s="61">
        <f>Segments!$F$120</f>
        <v>1</v>
      </c>
      <c r="G140" s="61" t="str">
        <f>Segments!$G$120</f>
        <v>Base</v>
      </c>
      <c r="H140" s="62">
        <f>Segments!$H$120</f>
        <v>12</v>
      </c>
      <c r="I140" s="63">
        <f>Segments!$Y$120</f>
        <v>760.73797443325952</v>
      </c>
      <c r="J140" s="42">
        <v>0</v>
      </c>
      <c r="K140" s="40">
        <f t="shared" si="39"/>
        <v>1278.6859199624726</v>
      </c>
      <c r="L140" s="40">
        <f t="shared" si="40"/>
        <v>760.73797443325952</v>
      </c>
      <c r="M140" s="40">
        <f t="shared" si="41"/>
        <v>1278.6859199624726</v>
      </c>
      <c r="N140" s="40">
        <f t="shared" si="42"/>
        <v>1350.4443463145053</v>
      </c>
      <c r="O140" s="40">
        <f t="shared" si="43"/>
        <v>1278.6859199624726</v>
      </c>
      <c r="P140" s="41">
        <f t="shared" si="44"/>
        <v>0.87656845006159212</v>
      </c>
      <c r="Q140" s="41">
        <f t="shared" si="45"/>
        <v>0.37656845006159212</v>
      </c>
      <c r="R140" s="64">
        <f t="shared" si="46"/>
        <v>0</v>
      </c>
      <c r="S140" s="64">
        <f>APPLICANTS_PER_YEAR*($H140/Segments!$AH$2)*Q140</f>
        <v>5.4225856808869262</v>
      </c>
      <c r="T140" s="64">
        <f t="shared" si="47"/>
        <v>5.4225856808869262</v>
      </c>
      <c r="U140" s="40">
        <f t="shared" si="48"/>
        <v>1278.6859199624726</v>
      </c>
      <c r="V140" s="65">
        <f t="shared" si="49"/>
        <v>6933.7839599402296</v>
      </c>
      <c r="W140" s="65">
        <f t="shared" si="50"/>
        <v>4620.1868687169635</v>
      </c>
      <c r="X140" s="65">
        <f t="shared" si="51"/>
        <v>1797.183962666523</v>
      </c>
      <c r="Y140" s="40">
        <f t="shared" si="52"/>
        <v>1315.7964975613468</v>
      </c>
      <c r="Z140" s="40">
        <f t="shared" si="53"/>
        <v>783.56011366625728</v>
      </c>
      <c r="AA140" s="40">
        <f t="shared" si="54"/>
        <v>1315.7964975613468</v>
      </c>
      <c r="AB140" s="40">
        <f t="shared" si="55"/>
        <v>1390.2974457092762</v>
      </c>
      <c r="AC140" s="40">
        <f t="shared" si="56"/>
        <v>1315.7964975613468</v>
      </c>
      <c r="AD140" s="41">
        <f t="shared" si="57"/>
        <v>0.87679316874883628</v>
      </c>
      <c r="AE140" s="41">
        <f t="shared" si="58"/>
        <v>0.37679316874883628</v>
      </c>
      <c r="AF140" s="64">
        <f t="shared" si="59"/>
        <v>0</v>
      </c>
      <c r="AG140" s="64">
        <f>APPLICANTS_PER_YEAR*($H140/Segments!$AH$2)*AE140</f>
        <v>5.4258216299832416</v>
      </c>
      <c r="AH140" s="64">
        <f t="shared" si="60"/>
        <v>5.4258216299832416</v>
      </c>
      <c r="AI140" s="40">
        <f t="shared" si="61"/>
        <v>1315.7964975613468</v>
      </c>
      <c r="AJ140" s="65">
        <f t="shared" si="62"/>
        <v>7139.2770971245473</v>
      </c>
      <c r="AK140" s="65">
        <f t="shared" si="63"/>
        <v>4761.6323026972077</v>
      </c>
      <c r="AL140" s="65">
        <f t="shared" si="64"/>
        <v>1843.3600431051443</v>
      </c>
      <c r="AM140" s="40">
        <f t="shared" si="65"/>
        <v>1354.0203924881871</v>
      </c>
      <c r="AN140" s="40">
        <f t="shared" si="66"/>
        <v>807.06691707624498</v>
      </c>
      <c r="AO140" s="40">
        <f t="shared" si="67"/>
        <v>1354.0203924881871</v>
      </c>
      <c r="AP140" s="40">
        <f t="shared" si="68"/>
        <v>1431.3458289757621</v>
      </c>
      <c r="AQ140" s="40">
        <f t="shared" si="69"/>
        <v>1354.0203924881871</v>
      </c>
      <c r="AR140" s="41">
        <f t="shared" si="70"/>
        <v>0.87701144437711021</v>
      </c>
      <c r="AS140" s="41">
        <f t="shared" si="71"/>
        <v>0.37701144437711015</v>
      </c>
      <c r="AT140" s="64">
        <f t="shared" si="72"/>
        <v>0</v>
      </c>
      <c r="AU140" s="64">
        <f>APPLICANTS_PER_YEAR*($H140/Segments!$AH$2)*AS140</f>
        <v>5.4289647990303855</v>
      </c>
      <c r="AV140" s="64">
        <f t="shared" si="73"/>
        <v>5.4289647990303855</v>
      </c>
      <c r="AW140" s="40">
        <f t="shared" si="74"/>
        <v>1354.0203924881871</v>
      </c>
      <c r="AX140" s="65">
        <f t="shared" si="75"/>
        <v>7350.9290479876745</v>
      </c>
      <c r="AY140" s="65">
        <f t="shared" si="76"/>
        <v>4907.3224292611785</v>
      </c>
      <c r="AZ140" s="65">
        <f t="shared" si="77"/>
        <v>1890.9115227056063</v>
      </c>
    </row>
    <row r="141" spans="1:52" ht="15" customHeight="1" x14ac:dyDescent="0.35">
      <c r="A141" s="61" t="str">
        <f>Segments!$A$121</f>
        <v>Non-greek</v>
      </c>
      <c r="B141" s="61" t="str">
        <f>Segments!$B$121</f>
        <v>Off 1-3mi</v>
      </c>
      <c r="C141" s="61" t="str">
        <f>Segments!$C$121</f>
        <v>No</v>
      </c>
      <c r="D141" s="61" t="str">
        <f>Segments!$D$121</f>
        <v>3.0+</v>
      </c>
      <c r="E141" s="61" t="str">
        <f>Segments!$E$121</f>
        <v>Sophomore</v>
      </c>
      <c r="F141" s="61">
        <f>Segments!$F$121</f>
        <v>1</v>
      </c>
      <c r="G141" s="61" t="str">
        <f>Segments!$G$121</f>
        <v>Sophomore</v>
      </c>
      <c r="H141" s="62">
        <f>Segments!$H$121</f>
        <v>18</v>
      </c>
      <c r="I141" s="63">
        <f>Segments!$Y$121</f>
        <v>752.99841100369667</v>
      </c>
      <c r="J141" s="42">
        <v>1</v>
      </c>
      <c r="K141" s="40">
        <f t="shared" si="39"/>
        <v>1426.2297754450396</v>
      </c>
      <c r="L141" s="40">
        <f t="shared" si="40"/>
        <v>752.99841100369667</v>
      </c>
      <c r="M141" s="40">
        <f t="shared" si="41"/>
        <v>1266.1007864523363</v>
      </c>
      <c r="N141" s="40">
        <f t="shared" si="42"/>
        <v>1343.7822146288081</v>
      </c>
      <c r="O141" s="40">
        <f t="shared" si="43"/>
        <v>1266.1007864523363</v>
      </c>
      <c r="P141" s="41">
        <f t="shared" si="44"/>
        <v>0.87890402452525751</v>
      </c>
      <c r="Q141" s="41">
        <f t="shared" si="45"/>
        <v>0.37890402452525751</v>
      </c>
      <c r="R141" s="64">
        <f t="shared" si="46"/>
        <v>10.546848294303089</v>
      </c>
      <c r="S141" s="64">
        <f>APPLICANTS_PER_YEAR*($H141/Segments!$AH$2)*Q141</f>
        <v>8.184326929745561</v>
      </c>
      <c r="T141" s="64">
        <f t="shared" si="47"/>
        <v>18.731175224048648</v>
      </c>
      <c r="U141" s="40">
        <f t="shared" si="48"/>
        <v>1266.1007864523363</v>
      </c>
      <c r="V141" s="65">
        <f t="shared" si="49"/>
        <v>23715.555682344511</v>
      </c>
      <c r="W141" s="65">
        <f t="shared" si="50"/>
        <v>15797.090601533298</v>
      </c>
      <c r="X141" s="65">
        <f t="shared" si="51"/>
        <v>5424.14809836941</v>
      </c>
      <c r="Y141" s="40">
        <f t="shared" si="52"/>
        <v>1278.6859199624726</v>
      </c>
      <c r="Z141" s="40">
        <f t="shared" si="53"/>
        <v>775.58836333380759</v>
      </c>
      <c r="AA141" s="40">
        <f t="shared" si="54"/>
        <v>1302.8338100459064</v>
      </c>
      <c r="AB141" s="40">
        <f t="shared" si="55"/>
        <v>1383.4321752490428</v>
      </c>
      <c r="AC141" s="40">
        <f t="shared" si="56"/>
        <v>1302.8338100459064</v>
      </c>
      <c r="AD141" s="41">
        <f t="shared" si="57"/>
        <v>0.87346437978393365</v>
      </c>
      <c r="AE141" s="41">
        <f t="shared" si="58"/>
        <v>0.37912985784381775</v>
      </c>
      <c r="AF141" s="64">
        <f t="shared" si="59"/>
        <v>4.7364354385811387</v>
      </c>
      <c r="AG141" s="64">
        <f>APPLICANTS_PER_YEAR*($H141/Segments!$AH$2)*AE141</f>
        <v>8.1892049294264631</v>
      </c>
      <c r="AH141" s="64">
        <f t="shared" si="60"/>
        <v>12.925640368007603</v>
      </c>
      <c r="AI141" s="40">
        <f t="shared" si="61"/>
        <v>1302.8338100459064</v>
      </c>
      <c r="AJ141" s="65">
        <f t="shared" si="62"/>
        <v>16839.961287934515</v>
      </c>
      <c r="AK141" s="65">
        <f t="shared" si="63"/>
        <v>11227.973409032142</v>
      </c>
      <c r="AL141" s="65">
        <f t="shared" si="64"/>
        <v>4019.4166710962363</v>
      </c>
      <c r="AM141" s="40">
        <f t="shared" si="65"/>
        <v>1315.7964975613468</v>
      </c>
      <c r="AN141" s="40">
        <f t="shared" si="66"/>
        <v>798.85601423382172</v>
      </c>
      <c r="AO141" s="40">
        <f t="shared" si="67"/>
        <v>1340.6688243472834</v>
      </c>
      <c r="AP141" s="40">
        <f t="shared" si="68"/>
        <v>1424.2713209530536</v>
      </c>
      <c r="AQ141" s="40">
        <f t="shared" si="69"/>
        <v>1340.6688243472834</v>
      </c>
      <c r="AR141" s="41">
        <f t="shared" si="70"/>
        <v>0.87367835693134166</v>
      </c>
      <c r="AS141" s="41">
        <f t="shared" si="71"/>
        <v>0.37934921716665176</v>
      </c>
      <c r="AT141" s="64">
        <f t="shared" si="72"/>
        <v>4.7404229266862927</v>
      </c>
      <c r="AU141" s="64">
        <f>APPLICANTS_PER_YEAR*($H141/Segments!$AH$2)*AS141</f>
        <v>8.193943090799678</v>
      </c>
      <c r="AV141" s="64">
        <f t="shared" si="73"/>
        <v>12.934366017485971</v>
      </c>
      <c r="AW141" s="40">
        <f t="shared" si="74"/>
        <v>1340.6688243472834</v>
      </c>
      <c r="AX141" s="65">
        <f t="shared" si="75"/>
        <v>17340.701282340371</v>
      </c>
      <c r="AY141" s="65">
        <f t="shared" si="76"/>
        <v>11572.619613374662</v>
      </c>
      <c r="AZ141" s="65">
        <f t="shared" si="77"/>
        <v>4125.416181742924</v>
      </c>
    </row>
    <row r="142" spans="1:52" ht="15" customHeight="1" x14ac:dyDescent="0.35">
      <c r="A142" s="61" t="str">
        <f>Segments!$A$122</f>
        <v>Non-greek</v>
      </c>
      <c r="B142" s="61" t="str">
        <f>Segments!$B$122</f>
        <v>Off 1-3mi</v>
      </c>
      <c r="C142" s="61" t="str">
        <f>Segments!$C$122</f>
        <v>No</v>
      </c>
      <c r="D142" s="61" t="str">
        <f>Segments!$D$122</f>
        <v>3.0+</v>
      </c>
      <c r="E142" s="61" t="str">
        <f>Segments!$E$122</f>
        <v>Junior</v>
      </c>
      <c r="F142" s="61">
        <f>Segments!$F$122</f>
        <v>2</v>
      </c>
      <c r="G142" s="61" t="str">
        <f>Segments!$G$122</f>
        <v>Base</v>
      </c>
      <c r="H142" s="62">
        <f>Segments!$H$122</f>
        <v>15</v>
      </c>
      <c r="I142" s="63">
        <f>Segments!$Y$122</f>
        <v>900.1535952658777</v>
      </c>
      <c r="J142" s="42">
        <v>2</v>
      </c>
      <c r="K142" s="40">
        <f t="shared" si="39"/>
        <v>1426.2297754450396</v>
      </c>
      <c r="L142" s="40">
        <f t="shared" si="40"/>
        <v>900.1535952658777</v>
      </c>
      <c r="M142" s="40">
        <f t="shared" si="41"/>
        <v>1505.3865882295156</v>
      </c>
      <c r="N142" s="40">
        <f t="shared" si="42"/>
        <v>1465.2737545211669</v>
      </c>
      <c r="O142" s="40">
        <f t="shared" si="43"/>
        <v>1505.3865882295156</v>
      </c>
      <c r="P142" s="41">
        <f t="shared" si="44"/>
        <v>0.81966194780227142</v>
      </c>
      <c r="Q142" s="41">
        <f t="shared" si="45"/>
        <v>0.33631217081976017</v>
      </c>
      <c r="R142" s="64">
        <f t="shared" si="46"/>
        <v>14.753915060440885</v>
      </c>
      <c r="S142" s="64">
        <f>APPLICANTS_PER_YEAR*($H142/Segments!$AH$2)*Q142</f>
        <v>6.0536190747556828</v>
      </c>
      <c r="T142" s="64">
        <f t="shared" si="47"/>
        <v>20.807534135196569</v>
      </c>
      <c r="U142" s="40">
        <f t="shared" si="48"/>
        <v>1505.3865882295156</v>
      </c>
      <c r="V142" s="65">
        <f t="shared" si="49"/>
        <v>31323.382821252748</v>
      </c>
      <c r="W142" s="65">
        <f t="shared" si="50"/>
        <v>20977.57385966443</v>
      </c>
      <c r="X142" s="65">
        <f t="shared" si="51"/>
        <v>6806.5668065781583</v>
      </c>
      <c r="Y142" s="40">
        <f t="shared" si="52"/>
        <v>1266.1007864523363</v>
      </c>
      <c r="Z142" s="40">
        <f t="shared" si="53"/>
        <v>927.15820312385404</v>
      </c>
      <c r="AA142" s="40">
        <f t="shared" si="54"/>
        <v>1549.298185876401</v>
      </c>
      <c r="AB142" s="40">
        <f t="shared" si="55"/>
        <v>1508.6234983759546</v>
      </c>
      <c r="AC142" s="40">
        <f t="shared" si="56"/>
        <v>1549.298185876401</v>
      </c>
      <c r="AD142" s="41">
        <f t="shared" si="57"/>
        <v>0.76941622512118668</v>
      </c>
      <c r="AE142" s="41">
        <f t="shared" si="58"/>
        <v>0.33651927152658268</v>
      </c>
      <c r="AF142" s="64">
        <f t="shared" si="59"/>
        <v>14.412070132971008</v>
      </c>
      <c r="AG142" s="64">
        <f>APPLICANTS_PER_YEAR*($H142/Segments!$AH$2)*AE142</f>
        <v>6.0573468874784879</v>
      </c>
      <c r="AH142" s="64">
        <f t="shared" si="60"/>
        <v>20.469417020449498</v>
      </c>
      <c r="AI142" s="40">
        <f t="shared" si="61"/>
        <v>1549.2981858764008</v>
      </c>
      <c r="AJ142" s="65">
        <f t="shared" si="62"/>
        <v>31713.230655729931</v>
      </c>
      <c r="AK142" s="65">
        <f t="shared" si="63"/>
        <v>21255.794452113529</v>
      </c>
      <c r="AL142" s="65">
        <f t="shared" si="64"/>
        <v>6883.0848855687163</v>
      </c>
      <c r="AM142" s="40">
        <f t="shared" si="65"/>
        <v>1302.8338100459064</v>
      </c>
      <c r="AN142" s="40">
        <f t="shared" si="66"/>
        <v>954.97294921756964</v>
      </c>
      <c r="AO142" s="40">
        <f t="shared" si="67"/>
        <v>1594.5271314526931</v>
      </c>
      <c r="AP142" s="40">
        <f t="shared" si="68"/>
        <v>1553.273492613627</v>
      </c>
      <c r="AQ142" s="40">
        <f t="shared" si="69"/>
        <v>1594.5271314526931</v>
      </c>
      <c r="AR142" s="41">
        <f t="shared" si="70"/>
        <v>0.7695529918982712</v>
      </c>
      <c r="AS142" s="41">
        <f t="shared" si="71"/>
        <v>0.33672042012071857</v>
      </c>
      <c r="AT142" s="64">
        <f t="shared" si="72"/>
        <v>9.9469652174013223</v>
      </c>
      <c r="AU142" s="64">
        <f>APPLICANTS_PER_YEAR*($H142/Segments!$AH$2)*AS142</f>
        <v>6.0609675621729338</v>
      </c>
      <c r="AV142" s="64">
        <f t="shared" si="73"/>
        <v>16.007932779574254</v>
      </c>
      <c r="AW142" s="40">
        <f t="shared" si="74"/>
        <v>1594.5271314526933</v>
      </c>
      <c r="AX142" s="65">
        <f t="shared" si="75"/>
        <v>25525.083135502075</v>
      </c>
      <c r="AY142" s="65">
        <f t="shared" si="76"/>
        <v>17121.599910673031</v>
      </c>
      <c r="AZ142" s="65">
        <f t="shared" si="77"/>
        <v>5634.1767599815803</v>
      </c>
    </row>
    <row r="143" spans="1:52" ht="15" customHeight="1" x14ac:dyDescent="0.35">
      <c r="A143" s="61" t="str">
        <f>Segments!$A$123</f>
        <v>Non-greek</v>
      </c>
      <c r="B143" s="61" t="str">
        <f>Segments!$B$123</f>
        <v>Off 1-3mi</v>
      </c>
      <c r="C143" s="61" t="str">
        <f>Segments!$C$123</f>
        <v>No</v>
      </c>
      <c r="D143" s="61" t="str">
        <f>Segments!$D$123</f>
        <v>3.0+</v>
      </c>
      <c r="E143" s="61" t="str">
        <f>Segments!$E$123</f>
        <v>Senior</v>
      </c>
      <c r="F143" s="61">
        <f>Segments!$F$123</f>
        <v>3</v>
      </c>
      <c r="G143" s="61" t="str">
        <f>Segments!$G$123</f>
        <v>Base</v>
      </c>
      <c r="H143" s="62">
        <f>Segments!$H$123</f>
        <v>15</v>
      </c>
      <c r="I143" s="63">
        <f>Segments!$Y$123</f>
        <v>841.36227437371372</v>
      </c>
      <c r="J143" s="42">
        <v>3</v>
      </c>
      <c r="K143" s="40">
        <f t="shared" si="39"/>
        <v>1426.2297754450396</v>
      </c>
      <c r="L143" s="40">
        <f t="shared" si="40"/>
        <v>841.36227437371372</v>
      </c>
      <c r="M143" s="40">
        <f t="shared" si="41"/>
        <v>1409.7873171079723</v>
      </c>
      <c r="N143" s="40">
        <f t="shared" si="42"/>
        <v>1417.9847138471446</v>
      </c>
      <c r="O143" s="40">
        <f t="shared" si="43"/>
        <v>1409.7873171079723</v>
      </c>
      <c r="P143" s="41">
        <f t="shared" si="44"/>
        <v>0.85289050955878487</v>
      </c>
      <c r="Q143" s="41">
        <f t="shared" si="45"/>
        <v>0.35289050955878493</v>
      </c>
      <c r="R143" s="64">
        <f t="shared" si="46"/>
        <v>12.793357643381773</v>
      </c>
      <c r="S143" s="64">
        <f>APPLICANTS_PER_YEAR*($H143/Segments!$AH$2)*Q143</f>
        <v>6.3520291720581286</v>
      </c>
      <c r="T143" s="64">
        <f t="shared" si="47"/>
        <v>19.145386815439903</v>
      </c>
      <c r="U143" s="40">
        <f t="shared" si="48"/>
        <v>1409.7873171079723</v>
      </c>
      <c r="V143" s="65">
        <f t="shared" si="49"/>
        <v>26990.923513533366</v>
      </c>
      <c r="W143" s="65">
        <f t="shared" si="50"/>
        <v>18041.190938179392</v>
      </c>
      <c r="X143" s="65">
        <f t="shared" si="51"/>
        <v>5956.4183654314165</v>
      </c>
      <c r="Y143" s="40">
        <f t="shared" si="52"/>
        <v>1505.3865882295156</v>
      </c>
      <c r="Z143" s="40">
        <f t="shared" si="53"/>
        <v>866.6031426049251</v>
      </c>
      <c r="AA143" s="40">
        <f t="shared" si="54"/>
        <v>1450.8309366212113</v>
      </c>
      <c r="AB143" s="40">
        <f t="shared" si="55"/>
        <v>1459.8954857709391</v>
      </c>
      <c r="AC143" s="40">
        <f t="shared" si="56"/>
        <v>1450.8309366212113</v>
      </c>
      <c r="AD143" s="41">
        <f t="shared" si="57"/>
        <v>0.85310451989134717</v>
      </c>
      <c r="AE143" s="41">
        <f t="shared" si="58"/>
        <v>0.35310451989134722</v>
      </c>
      <c r="AF143" s="64">
        <f t="shared" si="59"/>
        <v>17.751001418529686</v>
      </c>
      <c r="AG143" s="64">
        <f>APPLICANTS_PER_YEAR*($H143/Segments!$AH$2)*AE143</f>
        <v>6.3558813580442504</v>
      </c>
      <c r="AH143" s="64">
        <f t="shared" si="60"/>
        <v>24.106882776573936</v>
      </c>
      <c r="AI143" s="40">
        <f t="shared" si="61"/>
        <v>1450.8309366212113</v>
      </c>
      <c r="AJ143" s="65">
        <f t="shared" si="62"/>
        <v>34975.011317754514</v>
      </c>
      <c r="AK143" s="65">
        <f t="shared" si="63"/>
        <v>23398.032417298022</v>
      </c>
      <c r="AL143" s="65">
        <f t="shared" si="64"/>
        <v>7574.0576541692499</v>
      </c>
      <c r="AM143" s="40">
        <f t="shared" si="65"/>
        <v>1549.2981858764008</v>
      </c>
      <c r="AN143" s="40">
        <f t="shared" si="66"/>
        <v>892.60123688307283</v>
      </c>
      <c r="AO143" s="40">
        <f t="shared" si="67"/>
        <v>1493.1058647198477</v>
      </c>
      <c r="AP143" s="40">
        <f t="shared" si="68"/>
        <v>1503.0633138767985</v>
      </c>
      <c r="AQ143" s="40">
        <f t="shared" si="69"/>
        <v>1493.1058647198477</v>
      </c>
      <c r="AR143" s="41">
        <f t="shared" si="70"/>
        <v>0.85331238513541652</v>
      </c>
      <c r="AS143" s="41">
        <f t="shared" si="71"/>
        <v>0.35331238513541652</v>
      </c>
      <c r="AT143" s="64">
        <f t="shared" si="72"/>
        <v>17.466807060051252</v>
      </c>
      <c r="AU143" s="64">
        <f>APPLICANTS_PER_YEAR*($H143/Segments!$AH$2)*AS143</f>
        <v>6.3596229324374978</v>
      </c>
      <c r="AV143" s="64">
        <f t="shared" si="73"/>
        <v>23.826429992488748</v>
      </c>
      <c r="AW143" s="40">
        <f t="shared" si="74"/>
        <v>1493.1058647198479</v>
      </c>
      <c r="AX143" s="65">
        <f t="shared" si="75"/>
        <v>35575.382357121831</v>
      </c>
      <c r="AY143" s="65">
        <f t="shared" si="76"/>
        <v>23819.600987619811</v>
      </c>
      <c r="AZ143" s="65">
        <f t="shared" si="77"/>
        <v>7691.6120990807622</v>
      </c>
    </row>
    <row r="144" spans="1:52" ht="15" customHeight="1" x14ac:dyDescent="0.35">
      <c r="A144" s="61" t="str">
        <f>Segments!$A$124</f>
        <v>Non-greek</v>
      </c>
      <c r="B144" s="61" t="str">
        <f>Segments!$B$124</f>
        <v>Off 1-3mi</v>
      </c>
      <c r="C144" s="61" t="str">
        <f>Segments!$C$124</f>
        <v>No</v>
      </c>
      <c r="D144" s="61" t="str">
        <f>Segments!$D$124</f>
        <v>3.0+</v>
      </c>
      <c r="E144" s="61" t="str">
        <f>Segments!$E$124</f>
        <v>Grad student</v>
      </c>
      <c r="F144" s="61">
        <f>Segments!$F$124</f>
        <v>3</v>
      </c>
      <c r="G144" s="61" t="str">
        <f>Segments!$G$124</f>
        <v>Grad</v>
      </c>
      <c r="H144" s="62">
        <f>Segments!$H$124</f>
        <v>5</v>
      </c>
      <c r="I144" s="63">
        <f>Segments!$Y$124</f>
        <v>1001.7935920929772</v>
      </c>
      <c r="J144" s="42">
        <v>4</v>
      </c>
      <c r="K144" s="40">
        <f t="shared" si="39"/>
        <v>1426.2297754450396</v>
      </c>
      <c r="L144" s="40">
        <f t="shared" si="40"/>
        <v>1001.7935920929772</v>
      </c>
      <c r="M144" s="40">
        <f t="shared" si="41"/>
        <v>1670.6611468891047</v>
      </c>
      <c r="N144" s="40">
        <f t="shared" si="42"/>
        <v>1543.6148069944136</v>
      </c>
      <c r="O144" s="40">
        <f t="shared" si="43"/>
        <v>1670.6611468891047</v>
      </c>
      <c r="P144" s="41">
        <f t="shared" si="44"/>
        <v>0.7574329189581599</v>
      </c>
      <c r="Q144" s="41">
        <f t="shared" si="45"/>
        <v>0.30884778400705282</v>
      </c>
      <c r="R144" s="64">
        <f t="shared" si="46"/>
        <v>1.8935822973953997</v>
      </c>
      <c r="S144" s="64">
        <f>APPLICANTS_PER_YEAR*($H144/Segments!$AH$2)*Q144</f>
        <v>1.8530867040423169</v>
      </c>
      <c r="T144" s="64">
        <f t="shared" si="47"/>
        <v>3.7466690014377164</v>
      </c>
      <c r="U144" s="40">
        <f t="shared" si="48"/>
        <v>1670.6611468891047</v>
      </c>
      <c r="V144" s="65">
        <f t="shared" si="49"/>
        <v>6259.4143309557921</v>
      </c>
      <c r="W144" s="65">
        <f t="shared" si="50"/>
        <v>4203.7956770137416</v>
      </c>
      <c r="X144" s="65">
        <f t="shared" si="51"/>
        <v>1412.6456547195671</v>
      </c>
      <c r="Y144" s="40">
        <f t="shared" si="52"/>
        <v>1670.6611468891047</v>
      </c>
      <c r="Z144" s="40">
        <f t="shared" si="53"/>
        <v>1031.8473998557665</v>
      </c>
      <c r="AA144" s="40">
        <f t="shared" si="54"/>
        <v>1719.5309812957778</v>
      </c>
      <c r="AB144" s="40">
        <f t="shared" si="55"/>
        <v>1589.3456747617849</v>
      </c>
      <c r="AC144" s="40">
        <f t="shared" si="56"/>
        <v>1719.5309812957778</v>
      </c>
      <c r="AD144" s="41">
        <f t="shared" si="57"/>
        <v>0.80026883211670763</v>
      </c>
      <c r="AE144" s="41">
        <f t="shared" si="58"/>
        <v>0.30904437008220209</v>
      </c>
      <c r="AF144" s="64">
        <f t="shared" si="59"/>
        <v>1.4991712130542163</v>
      </c>
      <c r="AG144" s="64">
        <f>APPLICANTS_PER_YEAR*($H144/Segments!$AH$2)*AE144</f>
        <v>1.8542662204932125</v>
      </c>
      <c r="AH144" s="64">
        <f t="shared" si="60"/>
        <v>3.3534374335474286</v>
      </c>
      <c r="AI144" s="40">
        <f t="shared" si="61"/>
        <v>1719.530981295778</v>
      </c>
      <c r="AJ144" s="65">
        <f t="shared" si="62"/>
        <v>5766.3395608218052</v>
      </c>
      <c r="AK144" s="65">
        <f t="shared" si="63"/>
        <v>3875.4639799510987</v>
      </c>
      <c r="AL144" s="65">
        <f t="shared" si="64"/>
        <v>1314.8599686583905</v>
      </c>
      <c r="AM144" s="40">
        <f t="shared" si="65"/>
        <v>1719.530981295778</v>
      </c>
      <c r="AN144" s="40">
        <f t="shared" si="66"/>
        <v>1062.8028218514394</v>
      </c>
      <c r="AO144" s="40">
        <f t="shared" si="67"/>
        <v>1769.8669107346509</v>
      </c>
      <c r="AP144" s="40">
        <f t="shared" si="68"/>
        <v>1636.4482616516073</v>
      </c>
      <c r="AQ144" s="40">
        <f t="shared" si="69"/>
        <v>1769.8669107346509</v>
      </c>
      <c r="AR144" s="41">
        <f t="shared" si="70"/>
        <v>0.80045338144674838</v>
      </c>
      <c r="AS144" s="41">
        <f t="shared" si="71"/>
        <v>0.30923529872298283</v>
      </c>
      <c r="AT144" s="64">
        <f t="shared" si="72"/>
        <v>1.3421351665765724</v>
      </c>
      <c r="AU144" s="64">
        <f>APPLICANTS_PER_YEAR*($H144/Segments!$AH$2)*AS144</f>
        <v>1.855411792337897</v>
      </c>
      <c r="AV144" s="64">
        <f t="shared" si="73"/>
        <v>3.1975469589144696</v>
      </c>
      <c r="AW144" s="40">
        <f t="shared" si="74"/>
        <v>1769.8669107346507</v>
      </c>
      <c r="AX144" s="65">
        <f t="shared" si="75"/>
        <v>5659.232558102929</v>
      </c>
      <c r="AY144" s="65">
        <f t="shared" si="76"/>
        <v>3806.1653626492016</v>
      </c>
      <c r="AZ144" s="65">
        <f t="shared" si="77"/>
        <v>1294.8653052647908</v>
      </c>
    </row>
    <row r="145" spans="1:52" ht="15" customHeight="1" x14ac:dyDescent="0.35">
      <c r="A145" s="59" t="str">
        <f>Segments!$A$125</f>
        <v>Non-greek</v>
      </c>
      <c r="B145" s="59" t="str">
        <f>Segments!$B$125</f>
        <v>Off 3-6mi</v>
      </c>
      <c r="C145" s="59" t="str">
        <f>Segments!$C$125</f>
        <v>Yes</v>
      </c>
      <c r="D145" s="59" t="str">
        <f>Segments!$D$125</f>
        <v>&lt;1.0</v>
      </c>
      <c r="E145" s="59" t="str">
        <f>Segments!$E$125</f>
        <v>Freshman</v>
      </c>
      <c r="F145" s="59">
        <f>Segments!$F$125</f>
        <v>1</v>
      </c>
      <c r="G145" s="59" t="str">
        <f>Segments!$G$125</f>
        <v>Base</v>
      </c>
      <c r="H145" s="60">
        <f>Segments!$H$125</f>
        <v>11</v>
      </c>
      <c r="I145" s="26">
        <f>Segments!$Y$125</f>
        <v>724.93010578381279</v>
      </c>
      <c r="J145" s="29">
        <v>0</v>
      </c>
      <c r="K145" s="14">
        <f t="shared" si="39"/>
        <v>1220.4595339695134</v>
      </c>
      <c r="L145" s="14">
        <f t="shared" si="40"/>
        <v>724.93010578381279</v>
      </c>
      <c r="M145" s="14">
        <f t="shared" si="41"/>
        <v>1220.4595339695134</v>
      </c>
      <c r="N145" s="14">
        <f t="shared" si="42"/>
        <v>1319.3391251202613</v>
      </c>
      <c r="O145" s="14">
        <f t="shared" si="43"/>
        <v>1220.4595339695134</v>
      </c>
      <c r="P145" s="33">
        <f t="shared" si="44"/>
        <v>0.88747315200014809</v>
      </c>
      <c r="Q145" s="33">
        <f t="shared" si="45"/>
        <v>0.38747315200014809</v>
      </c>
      <c r="R145" s="51">
        <f t="shared" si="46"/>
        <v>0</v>
      </c>
      <c r="S145" s="51">
        <f>APPLICANTS_PER_YEAR*($H145/Segments!$AH$2)*Q145</f>
        <v>5.1146456064019556</v>
      </c>
      <c r="T145" s="51">
        <f t="shared" si="47"/>
        <v>5.1146456064019556</v>
      </c>
      <c r="U145" s="14">
        <f t="shared" si="48"/>
        <v>1220.4595339695134</v>
      </c>
      <c r="V145" s="44">
        <f t="shared" si="49"/>
        <v>6242.2179932085501</v>
      </c>
      <c r="W145" s="44">
        <f t="shared" si="50"/>
        <v>4152.6918501551654</v>
      </c>
      <c r="X145" s="44">
        <f t="shared" si="51"/>
        <v>1628.4158827668034</v>
      </c>
      <c r="Y145" s="14">
        <f t="shared" si="52"/>
        <v>1255.8233199885988</v>
      </c>
      <c r="Z145" s="14">
        <f t="shared" si="53"/>
        <v>746.67800895732717</v>
      </c>
      <c r="AA145" s="14">
        <f t="shared" si="54"/>
        <v>1255.8233199885988</v>
      </c>
      <c r="AB145" s="14">
        <f t="shared" si="55"/>
        <v>1358.2434943764549</v>
      </c>
      <c r="AC145" s="14">
        <f t="shared" si="56"/>
        <v>1255.8233199885988</v>
      </c>
      <c r="AD145" s="33">
        <f t="shared" si="57"/>
        <v>0.88770317134295396</v>
      </c>
      <c r="AE145" s="33">
        <f t="shared" si="58"/>
        <v>0.38770317134295401</v>
      </c>
      <c r="AF145" s="51">
        <f t="shared" si="59"/>
        <v>0</v>
      </c>
      <c r="AG145" s="51">
        <f>APPLICANTS_PER_YEAR*($H145/Segments!$AH$2)*AE145</f>
        <v>5.117681861726993</v>
      </c>
      <c r="AH145" s="51">
        <f t="shared" si="60"/>
        <v>5.117681861726993</v>
      </c>
      <c r="AI145" s="14">
        <f t="shared" si="61"/>
        <v>1255.8233199885988</v>
      </c>
      <c r="AJ145" s="44">
        <f t="shared" si="62"/>
        <v>6426.904226239425</v>
      </c>
      <c r="AK145" s="44">
        <f t="shared" si="63"/>
        <v>4279.8117633502998</v>
      </c>
      <c r="AL145" s="44">
        <f t="shared" si="64"/>
        <v>1669.9222304553459</v>
      </c>
      <c r="AM145" s="14">
        <f t="shared" si="65"/>
        <v>1292.2480195882567</v>
      </c>
      <c r="AN145" s="14">
        <f t="shared" si="66"/>
        <v>769.07834922604695</v>
      </c>
      <c r="AO145" s="14">
        <f t="shared" si="67"/>
        <v>1292.2480195882567</v>
      </c>
      <c r="AP145" s="14">
        <f t="shared" si="68"/>
        <v>1398.3146631952957</v>
      </c>
      <c r="AQ145" s="14">
        <f t="shared" si="69"/>
        <v>1292.2480195882567</v>
      </c>
      <c r="AR145" s="33">
        <f t="shared" si="70"/>
        <v>0.88792660064247109</v>
      </c>
      <c r="AS145" s="33">
        <f t="shared" si="71"/>
        <v>0.38792660064247109</v>
      </c>
      <c r="AT145" s="51">
        <f t="shared" si="72"/>
        <v>0</v>
      </c>
      <c r="AU145" s="51">
        <f>APPLICANTS_PER_YEAR*($H145/Segments!$AH$2)*AS145</f>
        <v>5.1206311284806185</v>
      </c>
      <c r="AV145" s="51">
        <f t="shared" si="73"/>
        <v>5.1206311284806185</v>
      </c>
      <c r="AW145" s="14">
        <f t="shared" si="74"/>
        <v>1292.2480195882567</v>
      </c>
      <c r="AX145" s="44">
        <f t="shared" si="75"/>
        <v>6617.1254348210596</v>
      </c>
      <c r="AY145" s="44">
        <f t="shared" si="76"/>
        <v>4410.7465195218711</v>
      </c>
      <c r="AZ145" s="44">
        <f t="shared" si="77"/>
        <v>1712.664498181545</v>
      </c>
    </row>
    <row r="146" spans="1:52" ht="15" customHeight="1" x14ac:dyDescent="0.35">
      <c r="A146" s="59" t="str">
        <f>Segments!$A$126</f>
        <v>Non-greek</v>
      </c>
      <c r="B146" s="59" t="str">
        <f>Segments!$B$126</f>
        <v>Off 3-6mi</v>
      </c>
      <c r="C146" s="59" t="str">
        <f>Segments!$C$126</f>
        <v>Yes</v>
      </c>
      <c r="D146" s="59" t="str">
        <f>Segments!$D$126</f>
        <v>&lt;1.0</v>
      </c>
      <c r="E146" s="59" t="str">
        <f>Segments!$E$126</f>
        <v>Sophomore</v>
      </c>
      <c r="F146" s="59">
        <f>Segments!$F$126</f>
        <v>1</v>
      </c>
      <c r="G146" s="59" t="str">
        <f>Segments!$G$126</f>
        <v>Sophomore</v>
      </c>
      <c r="H146" s="60">
        <f>Segments!$H$126</f>
        <v>11</v>
      </c>
      <c r="I146" s="26">
        <f>Segments!$Y$126</f>
        <v>717.55484291502614</v>
      </c>
      <c r="J146" s="29">
        <v>1</v>
      </c>
      <c r="K146" s="14">
        <f t="shared" si="39"/>
        <v>1426.2297754450396</v>
      </c>
      <c r="L146" s="14">
        <f t="shared" si="40"/>
        <v>717.55484291502614</v>
      </c>
      <c r="M146" s="14">
        <f t="shared" si="41"/>
        <v>1208.4667815719438</v>
      </c>
      <c r="N146" s="14">
        <f t="shared" si="42"/>
        <v>1312.8409296309067</v>
      </c>
      <c r="O146" s="14">
        <f t="shared" si="43"/>
        <v>1208.4667815719438</v>
      </c>
      <c r="P146" s="33">
        <f t="shared" si="44"/>
        <v>0.88975125458965798</v>
      </c>
      <c r="Q146" s="33">
        <f t="shared" si="45"/>
        <v>0.38975125458965798</v>
      </c>
      <c r="R146" s="51">
        <f t="shared" si="46"/>
        <v>9.7872638004862385</v>
      </c>
      <c r="S146" s="51">
        <f>APPLICANTS_PER_YEAR*($H146/Segments!$AH$2)*Q146</f>
        <v>5.1447165605834861</v>
      </c>
      <c r="T146" s="51">
        <f t="shared" si="47"/>
        <v>14.931980361069725</v>
      </c>
      <c r="U146" s="14">
        <f t="shared" si="48"/>
        <v>1208.4667815719438</v>
      </c>
      <c r="V146" s="44">
        <f t="shared" si="49"/>
        <v>18044.802249437402</v>
      </c>
      <c r="W146" s="44">
        <f t="shared" si="50"/>
        <v>12000.256601085359</v>
      </c>
      <c r="X146" s="44">
        <f t="shared" si="51"/>
        <v>4055.3278136220383</v>
      </c>
      <c r="Y146" s="14">
        <f t="shared" si="52"/>
        <v>1220.4595339695134</v>
      </c>
      <c r="Z146" s="14">
        <f t="shared" si="53"/>
        <v>739.08148820247698</v>
      </c>
      <c r="AA146" s="14">
        <f t="shared" si="54"/>
        <v>1243.4707850191021</v>
      </c>
      <c r="AB146" s="14">
        <f t="shared" si="55"/>
        <v>1351.5470063023959</v>
      </c>
      <c r="AC146" s="14">
        <f t="shared" si="56"/>
        <v>1243.4707850191021</v>
      </c>
      <c r="AD146" s="33">
        <f t="shared" si="57"/>
        <v>0.88432603924854336</v>
      </c>
      <c r="AE146" s="33">
        <f t="shared" si="58"/>
        <v>0.38998241303459064</v>
      </c>
      <c r="AF146" s="51">
        <f t="shared" si="59"/>
        <v>4.5230142912694058</v>
      </c>
      <c r="AG146" s="51">
        <f>APPLICANTS_PER_YEAR*($H146/Segments!$AH$2)*AE146</f>
        <v>5.1477678520565968</v>
      </c>
      <c r="AH146" s="51">
        <f t="shared" si="60"/>
        <v>9.6707821433260026</v>
      </c>
      <c r="AI146" s="14">
        <f t="shared" si="61"/>
        <v>1243.4707850191021</v>
      </c>
      <c r="AJ146" s="44">
        <f t="shared" si="62"/>
        <v>12025.3350635103</v>
      </c>
      <c r="AK146" s="44">
        <f t="shared" si="63"/>
        <v>8005.1955855998813</v>
      </c>
      <c r="AL146" s="44">
        <f t="shared" si="64"/>
        <v>2818.9366287946341</v>
      </c>
      <c r="AM146" s="14">
        <f t="shared" si="65"/>
        <v>1255.8233199885988</v>
      </c>
      <c r="AN146" s="14">
        <f t="shared" si="66"/>
        <v>761.25393284855124</v>
      </c>
      <c r="AO146" s="14">
        <f t="shared" si="67"/>
        <v>1279.5249085696753</v>
      </c>
      <c r="AP146" s="14">
        <f t="shared" si="68"/>
        <v>1391.4139288069264</v>
      </c>
      <c r="AQ146" s="14">
        <f t="shared" si="69"/>
        <v>1279.5249085696753</v>
      </c>
      <c r="AR146" s="33">
        <f t="shared" si="70"/>
        <v>0.8845449459639888</v>
      </c>
      <c r="AS146" s="33">
        <f t="shared" si="71"/>
        <v>0.390206949894914</v>
      </c>
      <c r="AT146" s="51">
        <f t="shared" si="72"/>
        <v>4.5268196258421884</v>
      </c>
      <c r="AU146" s="51">
        <f>APPLICANTS_PER_YEAR*($H146/Segments!$AH$2)*AS146</f>
        <v>5.1507317386128655</v>
      </c>
      <c r="AV146" s="51">
        <f t="shared" si="73"/>
        <v>9.6775513644550539</v>
      </c>
      <c r="AW146" s="14">
        <f t="shared" si="74"/>
        <v>1279.5249085696751</v>
      </c>
      <c r="AX146" s="44">
        <f t="shared" si="75"/>
        <v>12382.668024782688</v>
      </c>
      <c r="AY146" s="44">
        <f t="shared" si="76"/>
        <v>8251.1229209195062</v>
      </c>
      <c r="AZ146" s="44">
        <f t="shared" si="77"/>
        <v>2893.3107119303954</v>
      </c>
    </row>
    <row r="147" spans="1:52" ht="15" customHeight="1" x14ac:dyDescent="0.35">
      <c r="A147" s="59" t="str">
        <f>Segments!$A$127</f>
        <v>Non-greek</v>
      </c>
      <c r="B147" s="59" t="str">
        <f>Segments!$B$127</f>
        <v>Off 3-6mi</v>
      </c>
      <c r="C147" s="59" t="str">
        <f>Segments!$C$127</f>
        <v>Yes</v>
      </c>
      <c r="D147" s="59" t="str">
        <f>Segments!$D$127</f>
        <v>&lt;1.0</v>
      </c>
      <c r="E147" s="59" t="str">
        <f>Segments!$E$127</f>
        <v>Junior</v>
      </c>
      <c r="F147" s="59">
        <f>Segments!$F$127</f>
        <v>2</v>
      </c>
      <c r="G147" s="59" t="str">
        <f>Segments!$G$127</f>
        <v>Base</v>
      </c>
      <c r="H147" s="60">
        <f>Segments!$H$127</f>
        <v>5</v>
      </c>
      <c r="I147" s="26">
        <f>Segments!$Y$127</f>
        <v>857.78344577042151</v>
      </c>
      <c r="J147" s="29">
        <v>2</v>
      </c>
      <c r="K147" s="14">
        <f t="shared" si="39"/>
        <v>1426.2297754450396</v>
      </c>
      <c r="L147" s="14">
        <f t="shared" si="40"/>
        <v>857.78344577042151</v>
      </c>
      <c r="M147" s="14">
        <f t="shared" si="41"/>
        <v>1436.4894219878177</v>
      </c>
      <c r="N147" s="14">
        <f t="shared" si="42"/>
        <v>1431.3504063473974</v>
      </c>
      <c r="O147" s="14">
        <f t="shared" si="43"/>
        <v>1436.4894219878177</v>
      </c>
      <c r="P147" s="33">
        <f t="shared" si="44"/>
        <v>0.84604677345047508</v>
      </c>
      <c r="Q147" s="33">
        <f t="shared" si="45"/>
        <v>0.34820483662923107</v>
      </c>
      <c r="R147" s="51">
        <f t="shared" si="46"/>
        <v>9.3065145079552263</v>
      </c>
      <c r="S147" s="51">
        <f>APPLICANTS_PER_YEAR*($H147/Segments!$AH$2)*Q147</f>
        <v>2.0892290197753862</v>
      </c>
      <c r="T147" s="51">
        <f t="shared" si="47"/>
        <v>11.395743527730612</v>
      </c>
      <c r="U147" s="14">
        <f t="shared" si="48"/>
        <v>1436.4894219878177</v>
      </c>
      <c r="V147" s="44">
        <f t="shared" si="49"/>
        <v>16369.865033271162</v>
      </c>
      <c r="W147" s="44">
        <f t="shared" si="50"/>
        <v>10948.089768372674</v>
      </c>
      <c r="X147" s="44">
        <f t="shared" si="51"/>
        <v>3479.0905258828529</v>
      </c>
      <c r="Y147" s="14">
        <f t="shared" si="52"/>
        <v>1208.4667815719438</v>
      </c>
      <c r="Z147" s="14">
        <f t="shared" si="53"/>
        <v>883.51694914353413</v>
      </c>
      <c r="AA147" s="14">
        <f t="shared" si="54"/>
        <v>1478.334104647452</v>
      </c>
      <c r="AB147" s="14">
        <f t="shared" si="55"/>
        <v>1473.6680228759806</v>
      </c>
      <c r="AC147" s="14">
        <f t="shared" si="56"/>
        <v>1478.334104647452</v>
      </c>
      <c r="AD147" s="33">
        <f t="shared" si="57"/>
        <v>0.78142270427028626</v>
      </c>
      <c r="AE147" s="33">
        <f t="shared" si="58"/>
        <v>0.34841684772315096</v>
      </c>
      <c r="AF147" s="51">
        <f t="shared" si="59"/>
        <v>11.66818847385791</v>
      </c>
      <c r="AG147" s="51">
        <f>APPLICANTS_PER_YEAR*($H147/Segments!$AH$2)*AE147</f>
        <v>2.0905010863389055</v>
      </c>
      <c r="AH147" s="51">
        <f t="shared" si="60"/>
        <v>13.758689560196816</v>
      </c>
      <c r="AI147" s="14">
        <f t="shared" si="61"/>
        <v>1478.334104647452</v>
      </c>
      <c r="AJ147" s="44">
        <f t="shared" si="62"/>
        <v>20339.940012095805</v>
      </c>
      <c r="AK147" s="44">
        <f t="shared" si="63"/>
        <v>13614.759675370655</v>
      </c>
      <c r="AL147" s="44">
        <f t="shared" si="64"/>
        <v>4279.851047459324</v>
      </c>
      <c r="AM147" s="14">
        <f t="shared" si="65"/>
        <v>1243.4707850191021</v>
      </c>
      <c r="AN147" s="14">
        <f t="shared" si="66"/>
        <v>910.02245761784013</v>
      </c>
      <c r="AO147" s="14">
        <f t="shared" si="67"/>
        <v>1521.4341277868755</v>
      </c>
      <c r="AP147" s="14">
        <f t="shared" si="68"/>
        <v>1517.2549083402412</v>
      </c>
      <c r="AQ147" s="14">
        <f t="shared" si="69"/>
        <v>1521.4341277868755</v>
      </c>
      <c r="AR147" s="33">
        <f t="shared" si="70"/>
        <v>0.78156128013929638</v>
      </c>
      <c r="AS147" s="33">
        <f t="shared" si="71"/>
        <v>0.348622769508386</v>
      </c>
      <c r="AT147" s="51">
        <f t="shared" si="72"/>
        <v>7.5583088718861191</v>
      </c>
      <c r="AU147" s="51">
        <f>APPLICANTS_PER_YEAR*($H147/Segments!$AH$2)*AS147</f>
        <v>2.0917366170503158</v>
      </c>
      <c r="AV147" s="51">
        <f t="shared" si="73"/>
        <v>9.6500454889364349</v>
      </c>
      <c r="AW147" s="14">
        <f t="shared" si="74"/>
        <v>1521.4341277868755</v>
      </c>
      <c r="AX147" s="44">
        <f t="shared" si="75"/>
        <v>14681.908541563676</v>
      </c>
      <c r="AY147" s="44">
        <f t="shared" si="76"/>
        <v>9835.5690854017939</v>
      </c>
      <c r="AZ147" s="44">
        <f t="shared" si="77"/>
        <v>3131.5604212037856</v>
      </c>
    </row>
    <row r="148" spans="1:52" ht="15" customHeight="1" x14ac:dyDescent="0.35">
      <c r="A148" s="59" t="str">
        <f>Segments!$A$128</f>
        <v>Non-greek</v>
      </c>
      <c r="B148" s="59" t="str">
        <f>Segments!$B$128</f>
        <v>Off 3-6mi</v>
      </c>
      <c r="C148" s="59" t="str">
        <f>Segments!$C$128</f>
        <v>Yes</v>
      </c>
      <c r="D148" s="59" t="str">
        <f>Segments!$D$128</f>
        <v>&lt;1.0</v>
      </c>
      <c r="E148" s="59" t="str">
        <f>Segments!$E$128</f>
        <v>Senior</v>
      </c>
      <c r="F148" s="59">
        <f>Segments!$F$128</f>
        <v>3</v>
      </c>
      <c r="G148" s="59" t="str">
        <f>Segments!$G$128</f>
        <v>Base</v>
      </c>
      <c r="H148" s="60">
        <f>Segments!$H$128</f>
        <v>4</v>
      </c>
      <c r="I148" s="26">
        <f>Segments!$Y$128</f>
        <v>801.75942711238417</v>
      </c>
      <c r="J148" s="29">
        <v>3</v>
      </c>
      <c r="K148" s="14">
        <f t="shared" si="39"/>
        <v>1426.2297754450396</v>
      </c>
      <c r="L148" s="14">
        <f t="shared" si="40"/>
        <v>801.75942711238417</v>
      </c>
      <c r="M148" s="14">
        <f t="shared" si="41"/>
        <v>1345.3900000368819</v>
      </c>
      <c r="N148" s="14">
        <f t="shared" si="42"/>
        <v>1385.2202993165399</v>
      </c>
      <c r="O148" s="14">
        <f t="shared" si="43"/>
        <v>1345.3900000368819</v>
      </c>
      <c r="P148" s="33">
        <f t="shared" si="44"/>
        <v>0.86437688261546197</v>
      </c>
      <c r="Q148" s="33">
        <f t="shared" si="45"/>
        <v>0.36437688261546197</v>
      </c>
      <c r="R148" s="51">
        <f t="shared" si="46"/>
        <v>4.32188441307731</v>
      </c>
      <c r="S148" s="51">
        <f>APPLICANTS_PER_YEAR*($H148/Segments!$AH$2)*Q148</f>
        <v>1.7490090365542175</v>
      </c>
      <c r="T148" s="51">
        <f t="shared" si="47"/>
        <v>6.0708934496315274</v>
      </c>
      <c r="U148" s="14">
        <f t="shared" si="48"/>
        <v>1345.3900000368819</v>
      </c>
      <c r="V148" s="44">
        <f t="shared" si="49"/>
        <v>8167.7193384236671</v>
      </c>
      <c r="W148" s="44">
        <f t="shared" si="50"/>
        <v>5451.4835807453283</v>
      </c>
      <c r="X148" s="44">
        <f t="shared" si="51"/>
        <v>1791.2005242399553</v>
      </c>
      <c r="Y148" s="14">
        <f t="shared" si="52"/>
        <v>1436.4894219878177</v>
      </c>
      <c r="Z148" s="14">
        <f t="shared" si="53"/>
        <v>825.81220992575572</v>
      </c>
      <c r="AA148" s="14">
        <f t="shared" si="54"/>
        <v>1384.5017000379883</v>
      </c>
      <c r="AB148" s="14">
        <f t="shared" si="55"/>
        <v>1426.1332599763982</v>
      </c>
      <c r="AC148" s="14">
        <f t="shared" si="56"/>
        <v>1384.5017000379883</v>
      </c>
      <c r="AD148" s="33">
        <f t="shared" si="57"/>
        <v>0.8645959571614994</v>
      </c>
      <c r="AE148" s="33">
        <f t="shared" si="58"/>
        <v>0.3645959571614994</v>
      </c>
      <c r="AF148" s="51">
        <f t="shared" si="59"/>
        <v>9.8527137829252105</v>
      </c>
      <c r="AG148" s="51">
        <f>APPLICANTS_PER_YEAR*($H148/Segments!$AH$2)*AE148</f>
        <v>1.750060594375197</v>
      </c>
      <c r="AH148" s="51">
        <f t="shared" si="60"/>
        <v>11.602774377300408</v>
      </c>
      <c r="AI148" s="14">
        <f t="shared" si="61"/>
        <v>1384.5017000379883</v>
      </c>
      <c r="AJ148" s="44">
        <f t="shared" si="62"/>
        <v>16064.060850529626</v>
      </c>
      <c r="AK148" s="44">
        <f t="shared" si="63"/>
        <v>10731.518279762991</v>
      </c>
      <c r="AL148" s="44">
        <f t="shared" si="64"/>
        <v>3396.7181685383557</v>
      </c>
      <c r="AM148" s="14">
        <f t="shared" si="65"/>
        <v>1478.334104647452</v>
      </c>
      <c r="AN148" s="14">
        <f t="shared" si="66"/>
        <v>850.58657622352837</v>
      </c>
      <c r="AO148" s="14">
        <f t="shared" si="67"/>
        <v>1424.7867510391279</v>
      </c>
      <c r="AP148" s="14">
        <f t="shared" si="68"/>
        <v>1468.2733230670274</v>
      </c>
      <c r="AQ148" s="14">
        <f t="shared" si="69"/>
        <v>1424.7867510391279</v>
      </c>
      <c r="AR148" s="33">
        <f t="shared" si="70"/>
        <v>0.86480874553283504</v>
      </c>
      <c r="AS148" s="33">
        <f t="shared" si="71"/>
        <v>0.36480874553283504</v>
      </c>
      <c r="AT148" s="51">
        <f t="shared" si="72"/>
        <v>11.898635058729521</v>
      </c>
      <c r="AU148" s="51">
        <f>APPLICANTS_PER_YEAR*($H148/Segments!$AH$2)*AS148</f>
        <v>1.7510819785576082</v>
      </c>
      <c r="AV148" s="51">
        <f t="shared" si="73"/>
        <v>13.649717037287129</v>
      </c>
      <c r="AW148" s="14">
        <f t="shared" si="74"/>
        <v>1424.7867510391279</v>
      </c>
      <c r="AX148" s="44">
        <f t="shared" si="75"/>
        <v>19447.93599015976</v>
      </c>
      <c r="AY148" s="44">
        <f t="shared" si="76"/>
        <v>13003.498010905947</v>
      </c>
      <c r="AZ148" s="44">
        <f t="shared" si="77"/>
        <v>4079.753436456007</v>
      </c>
    </row>
    <row r="149" spans="1:52" ht="15" customHeight="1" x14ac:dyDescent="0.35">
      <c r="A149" s="59" t="str">
        <f>Segments!$A$129</f>
        <v>Non-greek</v>
      </c>
      <c r="B149" s="59" t="str">
        <f>Segments!$B$129</f>
        <v>Off 3-6mi</v>
      </c>
      <c r="C149" s="59" t="str">
        <f>Segments!$C$129</f>
        <v>Yes</v>
      </c>
      <c r="D149" s="59" t="str">
        <f>Segments!$D$129</f>
        <v>&lt;1.0</v>
      </c>
      <c r="E149" s="59" t="str">
        <f>Segments!$E$129</f>
        <v>Grad student</v>
      </c>
      <c r="F149" s="59">
        <f>Segments!$F$129</f>
        <v>3</v>
      </c>
      <c r="G149" s="59" t="str">
        <f>Segments!$G$129</f>
        <v>Grad</v>
      </c>
      <c r="H149" s="60">
        <f>Segments!$H$129</f>
        <v>2</v>
      </c>
      <c r="I149" s="26">
        <f>Segments!$Y$129</f>
        <v>954.6392570063831</v>
      </c>
      <c r="J149" s="29">
        <v>4</v>
      </c>
      <c r="K149" s="14">
        <f t="shared" si="39"/>
        <v>1426.2297754450396</v>
      </c>
      <c r="L149" s="14">
        <f t="shared" si="40"/>
        <v>954.6392570063831</v>
      </c>
      <c r="M149" s="14">
        <f t="shared" si="41"/>
        <v>1593.9845219027752</v>
      </c>
      <c r="N149" s="14">
        <f t="shared" si="42"/>
        <v>1507.7759073338</v>
      </c>
      <c r="O149" s="14">
        <f t="shared" si="43"/>
        <v>1593.9845219027752</v>
      </c>
      <c r="P149" s="33">
        <f t="shared" si="44"/>
        <v>0.78612565699431258</v>
      </c>
      <c r="Q149" s="33">
        <f t="shared" si="45"/>
        <v>0.32141199360274364</v>
      </c>
      <c r="R149" s="51">
        <f t="shared" si="46"/>
        <v>0.78612565699431258</v>
      </c>
      <c r="S149" s="51">
        <f>APPLICANTS_PER_YEAR*($H149/Segments!$AH$2)*Q149</f>
        <v>0.77138878464658467</v>
      </c>
      <c r="T149" s="51">
        <f t="shared" si="47"/>
        <v>1.5575144416408973</v>
      </c>
      <c r="U149" s="14">
        <f t="shared" si="48"/>
        <v>1593.9845219027752</v>
      </c>
      <c r="V149" s="44">
        <f t="shared" si="49"/>
        <v>2482.6539126156335</v>
      </c>
      <c r="W149" s="44">
        <f t="shared" si="50"/>
        <v>1665.2881608661512</v>
      </c>
      <c r="X149" s="44">
        <f t="shared" si="51"/>
        <v>562.69196034169897</v>
      </c>
      <c r="Y149" s="14">
        <f t="shared" si="52"/>
        <v>1593.9845219027752</v>
      </c>
      <c r="Z149" s="14">
        <f t="shared" si="53"/>
        <v>983.27843471657468</v>
      </c>
      <c r="AA149" s="14">
        <f t="shared" si="54"/>
        <v>1640.5540575598586</v>
      </c>
      <c r="AB149" s="14">
        <f t="shared" si="55"/>
        <v>1552.4178743085308</v>
      </c>
      <c r="AC149" s="14">
        <f t="shared" si="56"/>
        <v>1640.5540575598586</v>
      </c>
      <c r="AD149" s="33">
        <f t="shared" si="57"/>
        <v>0.81284851366529332</v>
      </c>
      <c r="AE149" s="33">
        <f t="shared" si="58"/>
        <v>0.32161325416631625</v>
      </c>
      <c r="AF149" s="51">
        <f t="shared" si="59"/>
        <v>0.63301164945001631</v>
      </c>
      <c r="AG149" s="51">
        <f>APPLICANTS_PER_YEAR*($H149/Segments!$AH$2)*AE149</f>
        <v>0.77187180999915894</v>
      </c>
      <c r="AH149" s="51">
        <f t="shared" si="60"/>
        <v>1.4048834594491753</v>
      </c>
      <c r="AI149" s="14">
        <f t="shared" si="61"/>
        <v>1640.5540575598586</v>
      </c>
      <c r="AJ149" s="44">
        <f t="shared" si="62"/>
        <v>2304.7872597980754</v>
      </c>
      <c r="AK149" s="44">
        <f t="shared" si="63"/>
        <v>1547.1586020423586</v>
      </c>
      <c r="AL149" s="44">
        <f t="shared" si="64"/>
        <v>527.31966658415547</v>
      </c>
      <c r="AM149" s="14">
        <f t="shared" si="65"/>
        <v>1640.5540575598586</v>
      </c>
      <c r="AN149" s="14">
        <f t="shared" si="66"/>
        <v>1012.7767877580718</v>
      </c>
      <c r="AO149" s="14">
        <f t="shared" si="67"/>
        <v>1688.5206792866543</v>
      </c>
      <c r="AP149" s="14">
        <f t="shared" si="68"/>
        <v>1598.3988782625061</v>
      </c>
      <c r="AQ149" s="14">
        <f t="shared" si="69"/>
        <v>1688.5206792866543</v>
      </c>
      <c r="AR149" s="33">
        <f t="shared" si="70"/>
        <v>0.81303730745427005</v>
      </c>
      <c r="AS149" s="33">
        <f t="shared" si="71"/>
        <v>0.32180872614158973</v>
      </c>
      <c r="AT149" s="51">
        <f t="shared" si="72"/>
        <v>0.57111133257879887</v>
      </c>
      <c r="AU149" s="51">
        <f>APPLICANTS_PER_YEAR*($H149/Segments!$AH$2)*AS149</f>
        <v>0.77234094273981535</v>
      </c>
      <c r="AV149" s="51">
        <f t="shared" si="73"/>
        <v>1.3434522753186142</v>
      </c>
      <c r="AW149" s="14">
        <f t="shared" si="74"/>
        <v>1688.5206792866545</v>
      </c>
      <c r="AX149" s="44">
        <f t="shared" si="75"/>
        <v>2268.4469485101881</v>
      </c>
      <c r="AY149" s="44">
        <f t="shared" si="76"/>
        <v>1523.891353491874</v>
      </c>
      <c r="AZ149" s="44">
        <f t="shared" si="77"/>
        <v>520.55802020795068</v>
      </c>
    </row>
    <row r="150" spans="1:52" ht="15" customHeight="1" x14ac:dyDescent="0.35">
      <c r="A150" s="61" t="str">
        <f>Segments!$A$130</f>
        <v>Non-greek</v>
      </c>
      <c r="B150" s="61" t="str">
        <f>Segments!$B$130</f>
        <v>Off 3-6mi</v>
      </c>
      <c r="C150" s="61" t="str">
        <f>Segments!$C$130</f>
        <v>Yes</v>
      </c>
      <c r="D150" s="61" t="str">
        <f>Segments!$D$130</f>
        <v>1.0-2.0</v>
      </c>
      <c r="E150" s="61" t="str">
        <f>Segments!$E$130</f>
        <v>Freshman</v>
      </c>
      <c r="F150" s="61">
        <f>Segments!$F$130</f>
        <v>1</v>
      </c>
      <c r="G150" s="61" t="str">
        <f>Segments!$G$130</f>
        <v>Base</v>
      </c>
      <c r="H150" s="62">
        <f>Segments!$H$130</f>
        <v>16</v>
      </c>
      <c r="I150" s="63">
        <f>Segments!$Y$130</f>
        <v>657.81686142677847</v>
      </c>
      <c r="J150" s="42">
        <v>0</v>
      </c>
      <c r="K150" s="40">
        <f t="shared" si="39"/>
        <v>1111.3281665198383</v>
      </c>
      <c r="L150" s="40">
        <f t="shared" si="40"/>
        <v>657.81686142677847</v>
      </c>
      <c r="M150" s="40">
        <f t="shared" si="41"/>
        <v>1111.3281665198383</v>
      </c>
      <c r="N150" s="40">
        <f t="shared" si="42"/>
        <v>1258.971533189427</v>
      </c>
      <c r="O150" s="40">
        <f t="shared" si="43"/>
        <v>1111.3281665198383</v>
      </c>
      <c r="P150" s="41">
        <f t="shared" si="44"/>
        <v>0.90863649922868195</v>
      </c>
      <c r="Q150" s="41">
        <f t="shared" si="45"/>
        <v>0.40863649922868189</v>
      </c>
      <c r="R150" s="64">
        <f t="shared" si="46"/>
        <v>0</v>
      </c>
      <c r="S150" s="64">
        <f>APPLICANTS_PER_YEAR*($H150/Segments!$AH$2)*Q150</f>
        <v>7.8458207851906918</v>
      </c>
      <c r="T150" s="64">
        <f t="shared" si="47"/>
        <v>7.8458207851906918</v>
      </c>
      <c r="U150" s="40">
        <f t="shared" si="48"/>
        <v>1111.3281665198383</v>
      </c>
      <c r="V150" s="65">
        <f t="shared" si="49"/>
        <v>8719.2816280492098</v>
      </c>
      <c r="W150" s="65">
        <f t="shared" si="50"/>
        <v>5780.4467887388591</v>
      </c>
      <c r="X150" s="65">
        <f t="shared" si="51"/>
        <v>2306.1810200166042</v>
      </c>
      <c r="Y150" s="40">
        <f t="shared" si="52"/>
        <v>1143.4180115154336</v>
      </c>
      <c r="Z150" s="40">
        <f t="shared" si="53"/>
        <v>677.55136726958187</v>
      </c>
      <c r="AA150" s="40">
        <f t="shared" si="54"/>
        <v>1143.4180115154336</v>
      </c>
      <c r="AB150" s="40">
        <f t="shared" si="55"/>
        <v>1296.0324526097231</v>
      </c>
      <c r="AC150" s="40">
        <f t="shared" si="56"/>
        <v>1143.4180115154336</v>
      </c>
      <c r="AD150" s="41">
        <f t="shared" si="57"/>
        <v>0.90887755387103975</v>
      </c>
      <c r="AE150" s="41">
        <f t="shared" si="58"/>
        <v>0.40887755387103975</v>
      </c>
      <c r="AF150" s="64">
        <f t="shared" si="59"/>
        <v>0</v>
      </c>
      <c r="AG150" s="64">
        <f>APPLICANTS_PER_YEAR*($H150/Segments!$AH$2)*AE150</f>
        <v>7.8504490343239626</v>
      </c>
      <c r="AH150" s="64">
        <f t="shared" si="60"/>
        <v>7.8504490343239626</v>
      </c>
      <c r="AI150" s="40">
        <f t="shared" si="61"/>
        <v>1143.4180115154336</v>
      </c>
      <c r="AJ150" s="65">
        <f t="shared" si="62"/>
        <v>8976.3448243299608</v>
      </c>
      <c r="AK150" s="65">
        <f t="shared" si="63"/>
        <v>5957.3723741127342</v>
      </c>
      <c r="AL150" s="65">
        <f t="shared" si="64"/>
        <v>2363.9714471944894</v>
      </c>
      <c r="AM150" s="40">
        <f t="shared" si="65"/>
        <v>1176.4705518608964</v>
      </c>
      <c r="AN150" s="40">
        <f t="shared" si="66"/>
        <v>697.87790828766924</v>
      </c>
      <c r="AO150" s="40">
        <f t="shared" si="67"/>
        <v>1176.4705518608964</v>
      </c>
      <c r="AP150" s="40">
        <f t="shared" si="68"/>
        <v>1334.2048180305987</v>
      </c>
      <c r="AQ150" s="40">
        <f t="shared" si="69"/>
        <v>1176.4705518608964</v>
      </c>
      <c r="AR150" s="41">
        <f t="shared" si="70"/>
        <v>0.90911171359826581</v>
      </c>
      <c r="AS150" s="41">
        <f t="shared" si="71"/>
        <v>0.40911171359826581</v>
      </c>
      <c r="AT150" s="64">
        <f t="shared" si="72"/>
        <v>0</v>
      </c>
      <c r="AU150" s="64">
        <f>APPLICANTS_PER_YEAR*($H150/Segments!$AH$2)*AS150</f>
        <v>7.8549449010867036</v>
      </c>
      <c r="AV150" s="64">
        <f t="shared" si="73"/>
        <v>7.8549449010867036</v>
      </c>
      <c r="AW150" s="40">
        <f t="shared" si="74"/>
        <v>1176.4705518608964</v>
      </c>
      <c r="AX150" s="65">
        <f t="shared" si="75"/>
        <v>9241.1113626184087</v>
      </c>
      <c r="AY150" s="65">
        <f t="shared" si="76"/>
        <v>6139.6076193595163</v>
      </c>
      <c r="AZ150" s="65">
        <f t="shared" si="77"/>
        <v>2423.4814657754255</v>
      </c>
    </row>
    <row r="151" spans="1:52" ht="15" customHeight="1" x14ac:dyDescent="0.35">
      <c r="A151" s="61" t="str">
        <f>Segments!$A$131</f>
        <v>Non-greek</v>
      </c>
      <c r="B151" s="61" t="str">
        <f>Segments!$B$131</f>
        <v>Off 3-6mi</v>
      </c>
      <c r="C151" s="61" t="str">
        <f>Segments!$C$131</f>
        <v>Yes</v>
      </c>
      <c r="D151" s="61" t="str">
        <f>Segments!$D$131</f>
        <v>1.0-2.0</v>
      </c>
      <c r="E151" s="61" t="str">
        <f>Segments!$E$131</f>
        <v>Sophomore</v>
      </c>
      <c r="F151" s="61">
        <f>Segments!$F$131</f>
        <v>1</v>
      </c>
      <c r="G151" s="61" t="str">
        <f>Segments!$G$131</f>
        <v>Sophomore</v>
      </c>
      <c r="H151" s="62">
        <f>Segments!$H$131</f>
        <v>33</v>
      </c>
      <c r="I151" s="63">
        <f>Segments!$Y$131</f>
        <v>651.12439240964886</v>
      </c>
      <c r="J151" s="42">
        <v>1</v>
      </c>
      <c r="K151" s="40">
        <f t="shared" si="39"/>
        <v>1426.2297754450396</v>
      </c>
      <c r="L151" s="40">
        <f t="shared" si="40"/>
        <v>651.12439240964886</v>
      </c>
      <c r="M151" s="40">
        <f t="shared" si="41"/>
        <v>1100.4456901554338</v>
      </c>
      <c r="N151" s="40">
        <f t="shared" si="42"/>
        <v>1252.7922451707011</v>
      </c>
      <c r="O151" s="40">
        <f t="shared" si="43"/>
        <v>1100.4456901554338</v>
      </c>
      <c r="P151" s="41">
        <f t="shared" si="44"/>
        <v>0.91080280094426547</v>
      </c>
      <c r="Q151" s="41">
        <f t="shared" si="45"/>
        <v>0.41080280094426552</v>
      </c>
      <c r="R151" s="64">
        <f t="shared" si="46"/>
        <v>14.572844815108247</v>
      </c>
      <c r="S151" s="64">
        <f>APPLICANTS_PER_YEAR*($H151/Segments!$AH$2)*Q151</f>
        <v>16.267790917392915</v>
      </c>
      <c r="T151" s="64">
        <f t="shared" si="47"/>
        <v>30.840635732501163</v>
      </c>
      <c r="U151" s="40">
        <f t="shared" si="48"/>
        <v>1100.4456901554338</v>
      </c>
      <c r="V151" s="65">
        <f t="shared" si="49"/>
        <v>33938.444673484577</v>
      </c>
      <c r="W151" s="65">
        <f t="shared" si="50"/>
        <v>22490.821027194383</v>
      </c>
      <c r="X151" s="65">
        <f t="shared" si="51"/>
        <v>8064.4372449922466</v>
      </c>
      <c r="Y151" s="40">
        <f t="shared" si="52"/>
        <v>1111.3281665198383</v>
      </c>
      <c r="Z151" s="40">
        <f t="shared" si="53"/>
        <v>670.65812418193832</v>
      </c>
      <c r="AA151" s="40">
        <f t="shared" si="54"/>
        <v>1132.2090608600968</v>
      </c>
      <c r="AB151" s="40">
        <f t="shared" si="55"/>
        <v>1289.664290761807</v>
      </c>
      <c r="AC151" s="40">
        <f t="shared" si="56"/>
        <v>1132.2090608600968</v>
      </c>
      <c r="AD151" s="41">
        <f t="shared" si="57"/>
        <v>0.90540830488668889</v>
      </c>
      <c r="AE151" s="41">
        <f t="shared" si="58"/>
        <v>0.41104504522207913</v>
      </c>
      <c r="AF151" s="64">
        <f t="shared" si="59"/>
        <v>7.1036712975642544</v>
      </c>
      <c r="AG151" s="64">
        <f>APPLICANTS_PER_YEAR*($H151/Segments!$AH$2)*AE151</f>
        <v>16.277383790794335</v>
      </c>
      <c r="AH151" s="64">
        <f t="shared" si="60"/>
        <v>23.38105508835859</v>
      </c>
      <c r="AI151" s="40">
        <f t="shared" si="61"/>
        <v>1132.2090608600968</v>
      </c>
      <c r="AJ151" s="65">
        <f t="shared" si="62"/>
        <v>26472.242423508666</v>
      </c>
      <c r="AK151" s="65">
        <f t="shared" si="63"/>
        <v>17562.377892587516</v>
      </c>
      <c r="AL151" s="65">
        <f t="shared" si="64"/>
        <v>6522.8385641063796</v>
      </c>
      <c r="AM151" s="40">
        <f t="shared" si="65"/>
        <v>1143.4180115154336</v>
      </c>
      <c r="AN151" s="40">
        <f t="shared" si="66"/>
        <v>690.7778679073964</v>
      </c>
      <c r="AO151" s="40">
        <f t="shared" si="67"/>
        <v>1164.9253326858995</v>
      </c>
      <c r="AP151" s="40">
        <f t="shared" si="68"/>
        <v>1327.6421104581391</v>
      </c>
      <c r="AQ151" s="40">
        <f t="shared" si="69"/>
        <v>1164.9253326858995</v>
      </c>
      <c r="AR151" s="41">
        <f t="shared" si="70"/>
        <v>0.90563745931631012</v>
      </c>
      <c r="AS151" s="41">
        <f t="shared" si="71"/>
        <v>0.41128036181229954</v>
      </c>
      <c r="AT151" s="64">
        <f t="shared" si="72"/>
        <v>7.1096607179373335</v>
      </c>
      <c r="AU151" s="64">
        <f>APPLICANTS_PER_YEAR*($H151/Segments!$AH$2)*AS151</f>
        <v>16.286702327767063</v>
      </c>
      <c r="AV151" s="64">
        <f t="shared" si="73"/>
        <v>23.396363045704398</v>
      </c>
      <c r="AW151" s="40">
        <f t="shared" si="74"/>
        <v>1164.9253326858995</v>
      </c>
      <c r="AX151" s="65">
        <f t="shared" si="75"/>
        <v>27255.016004657282</v>
      </c>
      <c r="AY151" s="65">
        <f t="shared" si="76"/>
        <v>18101.092555278974</v>
      </c>
      <c r="AZ151" s="65">
        <f t="shared" si="77"/>
        <v>6690.3405684520503</v>
      </c>
    </row>
    <row r="152" spans="1:52" ht="15" customHeight="1" x14ac:dyDescent="0.35">
      <c r="A152" s="61" t="str">
        <f>Segments!$A$132</f>
        <v>Non-greek</v>
      </c>
      <c r="B152" s="61" t="str">
        <f>Segments!$B$132</f>
        <v>Off 3-6mi</v>
      </c>
      <c r="C152" s="61" t="str">
        <f>Segments!$C$132</f>
        <v>Yes</v>
      </c>
      <c r="D152" s="61" t="str">
        <f>Segments!$D$132</f>
        <v>1.0-2.0</v>
      </c>
      <c r="E152" s="61" t="str">
        <f>Segments!$E$132</f>
        <v>Junior</v>
      </c>
      <c r="F152" s="61">
        <f>Segments!$F$132</f>
        <v>2</v>
      </c>
      <c r="G152" s="61" t="str">
        <f>Segments!$G$132</f>
        <v>Base</v>
      </c>
      <c r="H152" s="62">
        <f>Segments!$H$132</f>
        <v>27</v>
      </c>
      <c r="I152" s="63">
        <f>Segments!$Y$132</f>
        <v>778.37078302941904</v>
      </c>
      <c r="J152" s="42">
        <v>2</v>
      </c>
      <c r="K152" s="40">
        <f t="shared" si="39"/>
        <v>1426.2297754450396</v>
      </c>
      <c r="L152" s="40">
        <f t="shared" si="40"/>
        <v>778.37078302941904</v>
      </c>
      <c r="M152" s="40">
        <f t="shared" si="41"/>
        <v>1307.3582413874401</v>
      </c>
      <c r="N152" s="40">
        <f t="shared" si="42"/>
        <v>1365.5010988791735</v>
      </c>
      <c r="O152" s="40">
        <f t="shared" si="43"/>
        <v>1307.3582413874401</v>
      </c>
      <c r="P152" s="41">
        <f t="shared" si="44"/>
        <v>0.87128993434697999</v>
      </c>
      <c r="Q152" s="41">
        <f t="shared" si="45"/>
        <v>0.37128993434697999</v>
      </c>
      <c r="R152" s="64">
        <f t="shared" si="46"/>
        <v>28.752567833450339</v>
      </c>
      <c r="S152" s="64">
        <f>APPLICANTS_PER_YEAR*($H152/Segments!$AH$2)*Q152</f>
        <v>12.02979387284215</v>
      </c>
      <c r="T152" s="64">
        <f t="shared" si="47"/>
        <v>40.782361706292491</v>
      </c>
      <c r="U152" s="40">
        <f t="shared" si="48"/>
        <v>1307.3582413874401</v>
      </c>
      <c r="V152" s="65">
        <f t="shared" si="49"/>
        <v>53317.156679965032</v>
      </c>
      <c r="W152" s="65">
        <f t="shared" si="50"/>
        <v>35553.054672929786</v>
      </c>
      <c r="X152" s="65">
        <f t="shared" si="51"/>
        <v>11743.788449125126</v>
      </c>
      <c r="Y152" s="40">
        <f t="shared" si="52"/>
        <v>1100.4456901554338</v>
      </c>
      <c r="Z152" s="40">
        <f t="shared" si="53"/>
        <v>801.72190652030167</v>
      </c>
      <c r="AA152" s="40">
        <f t="shared" si="54"/>
        <v>1345.3289886290634</v>
      </c>
      <c r="AB152" s="40">
        <f t="shared" si="55"/>
        <v>1405.8131843145786</v>
      </c>
      <c r="AC152" s="40">
        <f t="shared" si="56"/>
        <v>1345.3289886290634</v>
      </c>
      <c r="AD152" s="41">
        <f t="shared" si="57"/>
        <v>0.80475286893728604</v>
      </c>
      <c r="AE152" s="41">
        <f t="shared" si="58"/>
        <v>0.3715121740073184</v>
      </c>
      <c r="AF152" s="64">
        <f t="shared" si="59"/>
        <v>24.81909008558009</v>
      </c>
      <c r="AG152" s="64">
        <f>APPLICANTS_PER_YEAR*($H152/Segments!$AH$2)*AE152</f>
        <v>12.036994437837116</v>
      </c>
      <c r="AH152" s="64">
        <f t="shared" si="60"/>
        <v>36.856084523417209</v>
      </c>
      <c r="AI152" s="40">
        <f t="shared" si="61"/>
        <v>1345.3289886290634</v>
      </c>
      <c r="AJ152" s="65">
        <f t="shared" si="62"/>
        <v>49583.558916716145</v>
      </c>
      <c r="AK152" s="65">
        <f t="shared" si="63"/>
        <v>33094.129993105926</v>
      </c>
      <c r="AL152" s="65">
        <f t="shared" si="64"/>
        <v>10976.119301035242</v>
      </c>
      <c r="AM152" s="40">
        <f t="shared" si="65"/>
        <v>1132.2090608600968</v>
      </c>
      <c r="AN152" s="40">
        <f t="shared" si="66"/>
        <v>825.77356371591065</v>
      </c>
      <c r="AO152" s="40">
        <f t="shared" si="67"/>
        <v>1384.4388582879353</v>
      </c>
      <c r="AP152" s="40">
        <f t="shared" si="68"/>
        <v>1447.3343333250853</v>
      </c>
      <c r="AQ152" s="40">
        <f t="shared" si="69"/>
        <v>1384.4388582879353</v>
      </c>
      <c r="AR152" s="41">
        <f t="shared" si="70"/>
        <v>0.80489502969653226</v>
      </c>
      <c r="AS152" s="41">
        <f t="shared" si="71"/>
        <v>0.37172803946848088</v>
      </c>
      <c r="AT152" s="64">
        <f t="shared" si="72"/>
        <v>18.819295029680642</v>
      </c>
      <c r="AU152" s="64">
        <f>APPLICANTS_PER_YEAR*($H152/Segments!$AH$2)*AS152</f>
        <v>12.043988478778779</v>
      </c>
      <c r="AV152" s="64">
        <f t="shared" si="73"/>
        <v>30.863283508459421</v>
      </c>
      <c r="AW152" s="40">
        <f t="shared" si="74"/>
        <v>1384.4388582879353</v>
      </c>
      <c r="AX152" s="65">
        <f t="shared" si="75"/>
        <v>42728.328983468426</v>
      </c>
      <c r="AY152" s="65">
        <f t="shared" si="76"/>
        <v>28544.413644045639</v>
      </c>
      <c r="AZ152" s="65">
        <f t="shared" si="77"/>
        <v>9577.6153580719638</v>
      </c>
    </row>
    <row r="153" spans="1:52" ht="15" customHeight="1" x14ac:dyDescent="0.35">
      <c r="A153" s="61" t="str">
        <f>Segments!$A$133</f>
        <v>Non-greek</v>
      </c>
      <c r="B153" s="61" t="str">
        <f>Segments!$B$133</f>
        <v>Off 3-6mi</v>
      </c>
      <c r="C153" s="61" t="str">
        <f>Segments!$C$133</f>
        <v>Yes</v>
      </c>
      <c r="D153" s="61" t="str">
        <f>Segments!$D$133</f>
        <v>1.0-2.0</v>
      </c>
      <c r="E153" s="61" t="str">
        <f>Segments!$E$133</f>
        <v>Senior</v>
      </c>
      <c r="F153" s="61">
        <f>Segments!$F$133</f>
        <v>3</v>
      </c>
      <c r="G153" s="61" t="str">
        <f>Segments!$G$133</f>
        <v>Base</v>
      </c>
      <c r="H153" s="62">
        <f>Segments!$H$133</f>
        <v>25</v>
      </c>
      <c r="I153" s="63">
        <f>Segments!$Y$133</f>
        <v>727.53340736504583</v>
      </c>
      <c r="J153" s="42">
        <v>3</v>
      </c>
      <c r="K153" s="40">
        <f t="shared" ref="K153:K216" si="78">IF($J153=0,M153,CURRENT_FLAT)</f>
        <v>1426.2297754450396</v>
      </c>
      <c r="L153" s="40">
        <f t="shared" ref="L153:L216" si="79">$I153*(1+LOSS_TREND)^0</f>
        <v>727.53340736504583</v>
      </c>
      <c r="M153" s="40">
        <f t="shared" ref="M153:M216" si="80">L153*GROSS_MULT+POLICY_FEE</f>
        <v>1224.6927052930823</v>
      </c>
      <c r="N153" s="40">
        <f t="shared" ref="N153:N216" si="81">M153^MARKET_RISK_WEIGHT*(CURRENT_FLAT*(1+LOSS_TREND)^0)^(1-MARKET_RISK_WEIGHT)</f>
        <v>1321.6252124030211</v>
      </c>
      <c r="O153" s="40">
        <f t="shared" ref="O153:O216" si="82">MIN(M153,K153*(1+CAP_UP))</f>
        <v>1224.6927052930823</v>
      </c>
      <c r="P153" s="41">
        <f t="shared" ref="P153:P216" si="83">MEDIAN(RET_FLOOR,BASE_RETENTION-ELAST_MARKET*(O153/N153-1)-ELAST_INCREASE*MAX(O153/K153-1,0),RET_CEIL)</f>
        <v>0.88667170775809168</v>
      </c>
      <c r="Q153" s="41">
        <f t="shared" ref="Q153:Q216" si="84">MEDIAN(CONV_FLOOR,BASE_CONVERSION-ELAST_MARKET*(M153/N153-1),CONV_CEIL)</f>
        <v>0.38667170775809162</v>
      </c>
      <c r="R153" s="64">
        <f t="shared" ref="R153:R216" si="85">IF($J153=0,0,IF($J153=4,$H153*GRAD_CONTINUE,$H152)*P153)</f>
        <v>23.940136109468476</v>
      </c>
      <c r="S153" s="64">
        <f>APPLICANTS_PER_YEAR*($H153/Segments!$AH$2)*Q153</f>
        <v>11.600151232742748</v>
      </c>
      <c r="T153" s="64">
        <f t="shared" ref="T153:T216" si="86">R153+S153</f>
        <v>35.540287342211222</v>
      </c>
      <c r="U153" s="40">
        <f t="shared" ref="U153:U216" si="87">IFERROR((R153*O153+S153*M153)/T153,M153)</f>
        <v>1224.6927052930823</v>
      </c>
      <c r="V153" s="65">
        <f t="shared" ref="V153:V216" si="88">R153*O153+S153*M153</f>
        <v>43525.930652026153</v>
      </c>
      <c r="W153" s="65">
        <f t="shared" ref="W153:W216" si="89">T153*L153*(1+LAE_RATIO)</f>
        <v>28959.555910669151</v>
      </c>
      <c r="X153" s="65">
        <f t="shared" ref="X153:X216" si="90">R153*O153*(PREMIUM_TAX+OTHER_VARIABLE+COMMISSION_RN)+S153*M153*(PREMIUM_TAX+OTHER_VARIABLE+COMMISSION_NB)+T153*FIXED_PER_POLICY+S153*NB_ACQUISITION</f>
        <v>9724.4421417220165</v>
      </c>
      <c r="Y153" s="40">
        <f t="shared" ref="Y153:Y216" si="91">IF($J153=0,AA153,IF($J153=4,U153,U152))</f>
        <v>1307.3582413874401</v>
      </c>
      <c r="Z153" s="40">
        <f t="shared" ref="Z153:Z216" si="92">$I153*(1+LOSS_TREND)^1</f>
        <v>749.35940958599724</v>
      </c>
      <c r="AA153" s="40">
        <f t="shared" ref="AA153:AA216" si="93">Z153*GROSS_MULT+POLICY_FEE</f>
        <v>1260.1834864518748</v>
      </c>
      <c r="AB153" s="40">
        <f t="shared" ref="AB153:AB216" si="94">AA153^MARKET_RISK_WEIGHT*(CURRENT_FLAT*(1+LOSS_TREND)^1)^(1-MARKET_RISK_WEIGHT)</f>
        <v>1360.5993338337553</v>
      </c>
      <c r="AC153" s="40">
        <f t="shared" ref="AC153:AC216" si="95">MIN(AA153,Y153*(1+CAP_UP))</f>
        <v>1260.1834864518748</v>
      </c>
      <c r="AD153" s="41">
        <f t="shared" ref="AD153:AD216" si="96">MEDIAN(RET_FLOOR,BASE_RETENTION-ELAST_MARKET*(AC153/AB153-1)-ELAST_INCREASE*MAX(AC153/Y153-1,0),RET_CEIL)</f>
        <v>0.88690132902642949</v>
      </c>
      <c r="AE153" s="41">
        <f t="shared" ref="AE153:AE216" si="97">MEDIAN(CONV_FLOOR,BASE_CONVERSION-ELAST_MARKET*(AA153/AB153-1),CONV_CEIL)</f>
        <v>0.38690132902642949</v>
      </c>
      <c r="AF153" s="64">
        <f t="shared" ref="AF153:AF216" si="98">IF($J153=0,0,IF($J153=4,T153*GRAD_CONTINUE,T152)*AD153)</f>
        <v>36.169930798147377</v>
      </c>
      <c r="AG153" s="64">
        <f>APPLICANTS_PER_YEAR*($H153/Segments!$AH$2)*AE153</f>
        <v>11.607039870792885</v>
      </c>
      <c r="AH153" s="64">
        <f t="shared" ref="AH153:AH216" si="99">AF153+AG153</f>
        <v>47.776970668940265</v>
      </c>
      <c r="AI153" s="40">
        <f t="shared" ref="AI153:AI216" si="100">IFERROR((AF153*AC153+AG153*AA153)/AH153,AA153)</f>
        <v>1260.1834864518746</v>
      </c>
      <c r="AJ153" s="65">
        <f t="shared" ref="AJ153:AJ216" si="101">AF153*AC153+AG153*AA153</f>
        <v>60207.749469694099</v>
      </c>
      <c r="AK153" s="65">
        <f t="shared" ref="AK153:AK216" si="102">AH153*Z153*(1+LAE_RATIO)</f>
        <v>40098.37723615874</v>
      </c>
      <c r="AL153" s="65">
        <f t="shared" ref="AL153:AL216" si="103">AF153*AC153*(PREMIUM_TAX+OTHER_VARIABLE+COMMISSION_RN)+AG153*AA153*(PREMIUM_TAX+OTHER_VARIABLE+COMMISSION_NB)+AH153*FIXED_PER_POLICY+AG153*NB_ACQUISITION</f>
        <v>13136.925058932473</v>
      </c>
      <c r="AM153" s="40">
        <f t="shared" ref="AM153:AM216" si="104">IF($J153=0,AO153,IF($J153=4,AI153,AI152))</f>
        <v>1345.3289886290634</v>
      </c>
      <c r="AN153" s="40">
        <f t="shared" ref="AN153:AN216" si="105">$I153*(1+LOSS_TREND)^2</f>
        <v>771.84019187357706</v>
      </c>
      <c r="AO153" s="40">
        <f t="shared" ref="AO153:AO216" si="106">AN153*GROSS_MULT+POLICY_FEE</f>
        <v>1296.7389910454308</v>
      </c>
      <c r="AP153" s="40">
        <f t="shared" ref="AP153:AP216" si="107">AO153^MARKET_RISK_WEIGHT*(CURRENT_FLAT*(1+LOSS_TREND)^2)^(1-MARKET_RISK_WEIGHT)</f>
        <v>1400.7423491114039</v>
      </c>
      <c r="AQ153" s="40">
        <f t="shared" ref="AQ153:AQ216" si="108">MIN(AO153,AM153*(1+CAP_UP))</f>
        <v>1296.7389910454308</v>
      </c>
      <c r="AR153" s="41">
        <f t="shared" ref="AR153:AR216" si="109">MEDIAN(RET_FLOOR,BASE_RETENTION-ELAST_MARKET*(AQ153/AP153-1)-ELAST_INCREASE*MAX(AQ153/AM153-1,0),RET_CEIL)</f>
        <v>0.8871243712778264</v>
      </c>
      <c r="AS153" s="41">
        <f t="shared" ref="AS153:AS216" si="110">MEDIAN(CONV_FLOOR,BASE_CONVERSION-ELAST_MARKET*(AO153/AP153-1),CONV_CEIL)</f>
        <v>0.3871243712778264</v>
      </c>
      <c r="AT153" s="64">
        <f t="shared" ref="AT153:AT216" si="111">IF($J153=0,0,IF($J153=4,AH153*GRAD_CONTINUE,AH152)*AR153)</f>
        <v>32.695930810598917</v>
      </c>
      <c r="AU153" s="64">
        <f>APPLICANTS_PER_YEAR*($H153/Segments!$AH$2)*AS153</f>
        <v>11.613731138334792</v>
      </c>
      <c r="AV153" s="64">
        <f t="shared" ref="AV153:AV216" si="112">AT153+AU153</f>
        <v>44.309661948933709</v>
      </c>
      <c r="AW153" s="40">
        <f t="shared" ref="AW153:AW216" si="113">IFERROR((AT153*AQ153+AU153*AO153)/AV153,AO153)</f>
        <v>1296.7389910454308</v>
      </c>
      <c r="AX153" s="65">
        <f t="shared" ref="AX153:AX216" si="114">AT153*AQ153+AU153*AO153</f>
        <v>57458.066329224413</v>
      </c>
      <c r="AY153" s="65">
        <f t="shared" ref="AY153:AY216" si="115">AV153*AN153*(1+LAE_RATIO)</f>
        <v>38303.975338180528</v>
      </c>
      <c r="AZ153" s="65">
        <f t="shared" ref="AZ153:AZ216" si="116">AT153*AQ153*(PREMIUM_TAX+OTHER_VARIABLE+COMMISSION_RN)+AU153*AO153*(PREMIUM_TAX+OTHER_VARIABLE+COMMISSION_NB)+AV153*FIXED_PER_POLICY+AU153*NB_ACQUISITION</f>
        <v>12563.210283611357</v>
      </c>
    </row>
    <row r="154" spans="1:52" ht="15" customHeight="1" x14ac:dyDescent="0.35">
      <c r="A154" s="61" t="str">
        <f>Segments!$A$134</f>
        <v>Non-greek</v>
      </c>
      <c r="B154" s="61" t="str">
        <f>Segments!$B$134</f>
        <v>Off 3-6mi</v>
      </c>
      <c r="C154" s="61" t="str">
        <f>Segments!$C$134</f>
        <v>Yes</v>
      </c>
      <c r="D154" s="61" t="str">
        <f>Segments!$D$134</f>
        <v>1.0-2.0</v>
      </c>
      <c r="E154" s="61" t="str">
        <f>Segments!$E$134</f>
        <v>Grad student</v>
      </c>
      <c r="F154" s="61">
        <f>Segments!$F$134</f>
        <v>3</v>
      </c>
      <c r="G154" s="61" t="str">
        <f>Segments!$G$134</f>
        <v>Grad</v>
      </c>
      <c r="H154" s="62">
        <f>Segments!$H$134</f>
        <v>13</v>
      </c>
      <c r="I154" s="63">
        <f>Segments!$Y$134</f>
        <v>866.25978812087692</v>
      </c>
      <c r="J154" s="42">
        <v>4</v>
      </c>
      <c r="K154" s="40">
        <f t="shared" si="78"/>
        <v>1426.2297754450396</v>
      </c>
      <c r="L154" s="40">
        <f t="shared" si="79"/>
        <v>866.25978812087692</v>
      </c>
      <c r="M154" s="40">
        <f t="shared" si="80"/>
        <v>1450.2726154623531</v>
      </c>
      <c r="N154" s="40">
        <f t="shared" si="81"/>
        <v>1438.2009549033689</v>
      </c>
      <c r="O154" s="40">
        <f t="shared" si="82"/>
        <v>1450.2726154623531</v>
      </c>
      <c r="P154" s="41">
        <f t="shared" si="83"/>
        <v>0.84074592189730424</v>
      </c>
      <c r="Q154" s="41">
        <f t="shared" si="84"/>
        <v>0.34580320798778941</v>
      </c>
      <c r="R154" s="64">
        <f t="shared" si="85"/>
        <v>5.4648484923324778</v>
      </c>
      <c r="S154" s="64">
        <f>APPLICANTS_PER_YEAR*($H154/Segments!$AH$2)*Q154</f>
        <v>5.3945300446095148</v>
      </c>
      <c r="T154" s="64">
        <f t="shared" si="86"/>
        <v>10.859378536941993</v>
      </c>
      <c r="U154" s="40">
        <f t="shared" si="87"/>
        <v>1450.2726154623531</v>
      </c>
      <c r="V154" s="65">
        <f t="shared" si="88"/>
        <v>15749.059313066606</v>
      </c>
      <c r="W154" s="65">
        <f t="shared" si="89"/>
        <v>10535.888104600062</v>
      </c>
      <c r="X154" s="65">
        <f t="shared" si="90"/>
        <v>3602.446903918179</v>
      </c>
      <c r="Y154" s="40">
        <f t="shared" si="91"/>
        <v>1450.2726154623531</v>
      </c>
      <c r="Z154" s="40">
        <f t="shared" si="92"/>
        <v>892.24758176450325</v>
      </c>
      <c r="AA154" s="40">
        <f t="shared" si="93"/>
        <v>1492.5307939262239</v>
      </c>
      <c r="AB154" s="40">
        <f t="shared" si="94"/>
        <v>1480.7270561579508</v>
      </c>
      <c r="AC154" s="40">
        <f t="shared" si="95"/>
        <v>1492.5307939262239</v>
      </c>
      <c r="AD154" s="41">
        <f t="shared" si="96"/>
        <v>0.83727278086582502</v>
      </c>
      <c r="AE154" s="41">
        <f t="shared" si="97"/>
        <v>0.3460142087904774</v>
      </c>
      <c r="AF154" s="64">
        <f t="shared" si="98"/>
        <v>4.5461310330500382</v>
      </c>
      <c r="AG154" s="64">
        <f>APPLICANTS_PER_YEAR*($H154/Segments!$AH$2)*AE154</f>
        <v>5.3978216571314475</v>
      </c>
      <c r="AH154" s="64">
        <f t="shared" si="99"/>
        <v>9.9439526901814865</v>
      </c>
      <c r="AI154" s="40">
        <f t="shared" si="100"/>
        <v>1492.5307939262236</v>
      </c>
      <c r="AJ154" s="65">
        <f t="shared" si="101"/>
        <v>14841.655603441381</v>
      </c>
      <c r="AK154" s="65">
        <f t="shared" si="102"/>
        <v>9937.163869914466</v>
      </c>
      <c r="AL154" s="65">
        <f t="shared" si="103"/>
        <v>3420.8720308010065</v>
      </c>
      <c r="AM154" s="40">
        <f t="shared" si="104"/>
        <v>1492.5307939262236</v>
      </c>
      <c r="AN154" s="40">
        <f t="shared" si="105"/>
        <v>919.01500921743832</v>
      </c>
      <c r="AO154" s="40">
        <f t="shared" si="106"/>
        <v>1536.0567177440105</v>
      </c>
      <c r="AP154" s="40">
        <f t="shared" si="107"/>
        <v>1524.5286845844767</v>
      </c>
      <c r="AQ154" s="40">
        <f t="shared" si="108"/>
        <v>1536.0567177440105</v>
      </c>
      <c r="AR154" s="41">
        <f t="shared" si="109"/>
        <v>0.83747039958707714</v>
      </c>
      <c r="AS154" s="41">
        <f t="shared" si="110"/>
        <v>0.34621914848959501</v>
      </c>
      <c r="AT154" s="64">
        <f t="shared" si="111"/>
        <v>4.1638830164606402</v>
      </c>
      <c r="AU154" s="64">
        <f>APPLICANTS_PER_YEAR*($H154/Segments!$AH$2)*AS154</f>
        <v>5.4010187164376822</v>
      </c>
      <c r="AV154" s="64">
        <f t="shared" si="112"/>
        <v>9.5649017328983224</v>
      </c>
      <c r="AW154" s="40">
        <f t="shared" si="113"/>
        <v>1536.0567177440105</v>
      </c>
      <c r="AX154" s="65">
        <f t="shared" si="114"/>
        <v>14692.231561379795</v>
      </c>
      <c r="AY154" s="65">
        <f t="shared" si="115"/>
        <v>9845.1228447302583</v>
      </c>
      <c r="AZ154" s="65">
        <f t="shared" si="116"/>
        <v>3393.524755541273</v>
      </c>
    </row>
    <row r="155" spans="1:52" ht="15" customHeight="1" x14ac:dyDescent="0.35">
      <c r="A155" s="59" t="str">
        <f>Segments!$A$135</f>
        <v>Non-greek</v>
      </c>
      <c r="B155" s="59" t="str">
        <f>Segments!$B$135</f>
        <v>Off 3-6mi</v>
      </c>
      <c r="C155" s="59" t="str">
        <f>Segments!$C$135</f>
        <v>Yes</v>
      </c>
      <c r="D155" s="59" t="str">
        <f>Segments!$D$135</f>
        <v>2.0-3.0</v>
      </c>
      <c r="E155" s="59" t="str">
        <f>Segments!$E$135</f>
        <v>Freshman</v>
      </c>
      <c r="F155" s="59">
        <f>Segments!$F$135</f>
        <v>1</v>
      </c>
      <c r="G155" s="59" t="str">
        <f>Segments!$G$135</f>
        <v>Base</v>
      </c>
      <c r="H155" s="60">
        <f>Segments!$H$135</f>
        <v>46</v>
      </c>
      <c r="I155" s="26">
        <f>Segments!$Y$135</f>
        <v>646.42328889037287</v>
      </c>
      <c r="J155" s="29">
        <v>0</v>
      </c>
      <c r="K155" s="14">
        <f t="shared" si="78"/>
        <v>1092.8013293366992</v>
      </c>
      <c r="L155" s="14">
        <f t="shared" si="79"/>
        <v>646.42328889037287</v>
      </c>
      <c r="M155" s="14">
        <f t="shared" si="80"/>
        <v>1092.8013293366992</v>
      </c>
      <c r="N155" s="14">
        <f t="shared" si="81"/>
        <v>1248.433336043988</v>
      </c>
      <c r="O155" s="14">
        <f t="shared" si="82"/>
        <v>1092.8013293366992</v>
      </c>
      <c r="P155" s="33">
        <f t="shared" si="83"/>
        <v>0.91233092397246152</v>
      </c>
      <c r="Q155" s="33">
        <f t="shared" si="84"/>
        <v>0.41233092397246157</v>
      </c>
      <c r="R155" s="51">
        <f t="shared" si="85"/>
        <v>0</v>
      </c>
      <c r="S155" s="51">
        <f>APPLICANTS_PER_YEAR*($H155/Segments!$AH$2)*Q155</f>
        <v>22.760667003279877</v>
      </c>
      <c r="T155" s="51">
        <f t="shared" si="86"/>
        <v>22.760667003279877</v>
      </c>
      <c r="U155" s="14">
        <f t="shared" si="87"/>
        <v>1092.8013293366992</v>
      </c>
      <c r="V155" s="44">
        <f t="shared" si="88"/>
        <v>24872.887157774196</v>
      </c>
      <c r="W155" s="44">
        <f t="shared" si="89"/>
        <v>16478.588248190619</v>
      </c>
      <c r="X155" s="44">
        <f t="shared" si="90"/>
        <v>6595.7567384890144</v>
      </c>
      <c r="Y155" s="14">
        <f t="shared" si="91"/>
        <v>1124.3353692168002</v>
      </c>
      <c r="Z155" s="14">
        <f t="shared" si="92"/>
        <v>665.8159875570841</v>
      </c>
      <c r="AA155" s="14">
        <f t="shared" si="93"/>
        <v>1124.3353692168002</v>
      </c>
      <c r="AB155" s="14">
        <f t="shared" si="94"/>
        <v>1285.1721280038259</v>
      </c>
      <c r="AC155" s="14">
        <f t="shared" si="95"/>
        <v>1124.3353692168002</v>
      </c>
      <c r="AD155" s="33">
        <f t="shared" si="96"/>
        <v>0.91257401451618891</v>
      </c>
      <c r="AE155" s="33">
        <f t="shared" si="97"/>
        <v>0.41257401451618891</v>
      </c>
      <c r="AF155" s="51">
        <f t="shared" si="98"/>
        <v>0</v>
      </c>
      <c r="AG155" s="51">
        <f>APPLICANTS_PER_YEAR*($H155/Segments!$AH$2)*AE155</f>
        <v>22.774085601293628</v>
      </c>
      <c r="AH155" s="51">
        <f t="shared" si="99"/>
        <v>22.774085601293628</v>
      </c>
      <c r="AI155" s="14">
        <f t="shared" si="100"/>
        <v>1124.3353692168002</v>
      </c>
      <c r="AJ155" s="44">
        <f t="shared" si="101"/>
        <v>25605.709943105485</v>
      </c>
      <c r="AK155" s="44">
        <f t="shared" si="102"/>
        <v>16982.952330775075</v>
      </c>
      <c r="AL155" s="44">
        <f t="shared" si="103"/>
        <v>6760.5128793138419</v>
      </c>
      <c r="AM155" s="14">
        <f t="shared" si="104"/>
        <v>1156.8154302933042</v>
      </c>
      <c r="AN155" s="14">
        <f t="shared" si="105"/>
        <v>685.79046718379652</v>
      </c>
      <c r="AO155" s="14">
        <f t="shared" si="106"/>
        <v>1156.8154302933042</v>
      </c>
      <c r="AP155" s="14">
        <f t="shared" si="107"/>
        <v>1323.0126923848959</v>
      </c>
      <c r="AQ155" s="14">
        <f t="shared" si="108"/>
        <v>1156.8154302933042</v>
      </c>
      <c r="AR155" s="33">
        <f t="shared" si="109"/>
        <v>0.91281015407040433</v>
      </c>
      <c r="AS155" s="33">
        <f t="shared" si="110"/>
        <v>0.41281015407040439</v>
      </c>
      <c r="AT155" s="51">
        <f t="shared" si="111"/>
        <v>0</v>
      </c>
      <c r="AU155" s="51">
        <f>APPLICANTS_PER_YEAR*($H155/Segments!$AH$2)*AS155</f>
        <v>22.787120504686321</v>
      </c>
      <c r="AV155" s="51">
        <f t="shared" si="112"/>
        <v>22.787120504686321</v>
      </c>
      <c r="AW155" s="14">
        <f t="shared" si="113"/>
        <v>1156.8154302933042</v>
      </c>
      <c r="AX155" s="44">
        <f t="shared" si="114"/>
        <v>26360.49261177408</v>
      </c>
      <c r="AY155" s="44">
        <f t="shared" si="115"/>
        <v>17502.452818684178</v>
      </c>
      <c r="AZ155" s="44">
        <f t="shared" si="116"/>
        <v>6930.1707677482791</v>
      </c>
    </row>
    <row r="156" spans="1:52" ht="15" customHeight="1" x14ac:dyDescent="0.35">
      <c r="A156" s="59" t="str">
        <f>Segments!$A$136</f>
        <v>Non-greek</v>
      </c>
      <c r="B156" s="59" t="str">
        <f>Segments!$B$136</f>
        <v>Off 3-6mi</v>
      </c>
      <c r="C156" s="59" t="str">
        <f>Segments!$C$136</f>
        <v>Yes</v>
      </c>
      <c r="D156" s="59" t="str">
        <f>Segments!$D$136</f>
        <v>2.0-3.0</v>
      </c>
      <c r="E156" s="59" t="str">
        <f>Segments!$E$136</f>
        <v>Sophomore</v>
      </c>
      <c r="F156" s="59">
        <f>Segments!$F$136</f>
        <v>1</v>
      </c>
      <c r="G156" s="59" t="str">
        <f>Segments!$G$136</f>
        <v>Sophomore</v>
      </c>
      <c r="H156" s="60">
        <f>Segments!$H$136</f>
        <v>52</v>
      </c>
      <c r="I156" s="26">
        <f>Segments!$Y$136</f>
        <v>639.84673531364251</v>
      </c>
      <c r="J156" s="29">
        <v>1</v>
      </c>
      <c r="K156" s="14">
        <f t="shared" si="78"/>
        <v>1426.2297754450396</v>
      </c>
      <c r="L156" s="14">
        <f t="shared" si="79"/>
        <v>639.84673531364251</v>
      </c>
      <c r="M156" s="14">
        <f t="shared" si="80"/>
        <v>1082.1073405151112</v>
      </c>
      <c r="N156" s="14">
        <f t="shared" si="81"/>
        <v>1242.3098282112624</v>
      </c>
      <c r="O156" s="14">
        <f t="shared" si="82"/>
        <v>1082.1073405151112</v>
      </c>
      <c r="P156" s="33">
        <f t="shared" si="83"/>
        <v>0.91447767056903118</v>
      </c>
      <c r="Q156" s="33">
        <f t="shared" si="84"/>
        <v>0.41447767056903123</v>
      </c>
      <c r="R156" s="51">
        <f t="shared" si="85"/>
        <v>42.065972846175434</v>
      </c>
      <c r="S156" s="51">
        <f>APPLICANTS_PER_YEAR*($H156/Segments!$AH$2)*Q156</f>
        <v>25.863406643507549</v>
      </c>
      <c r="T156" s="51">
        <f t="shared" si="86"/>
        <v>67.929379489682987</v>
      </c>
      <c r="U156" s="14">
        <f t="shared" si="87"/>
        <v>1082.1073405151112</v>
      </c>
      <c r="V156" s="44">
        <f t="shared" si="88"/>
        <v>73506.880182422596</v>
      </c>
      <c r="W156" s="44">
        <f t="shared" si="89"/>
        <v>48680.118702157793</v>
      </c>
      <c r="X156" s="44">
        <f t="shared" si="90"/>
        <v>16877.517486647557</v>
      </c>
      <c r="Y156" s="14">
        <f t="shared" si="91"/>
        <v>1092.8013293366992</v>
      </c>
      <c r="Z156" s="14">
        <f t="shared" si="92"/>
        <v>659.04213737305179</v>
      </c>
      <c r="AA156" s="14">
        <f t="shared" si="93"/>
        <v>1113.3205607305645</v>
      </c>
      <c r="AB156" s="14">
        <f t="shared" si="94"/>
        <v>1278.8613925398527</v>
      </c>
      <c r="AC156" s="14">
        <f t="shared" si="95"/>
        <v>1113.3205607305645</v>
      </c>
      <c r="AD156" s="33">
        <f t="shared" si="96"/>
        <v>0.90908894213720093</v>
      </c>
      <c r="AE156" s="33">
        <f t="shared" si="97"/>
        <v>0.41472196000870731</v>
      </c>
      <c r="AF156" s="51">
        <f t="shared" si="98"/>
        <v>20.691470688348797</v>
      </c>
      <c r="AG156" s="51">
        <f>APPLICANTS_PER_YEAR*($H156/Segments!$AH$2)*AE156</f>
        <v>25.878650304543335</v>
      </c>
      <c r="AH156" s="51">
        <f t="shared" si="99"/>
        <v>46.570120992892129</v>
      </c>
      <c r="AI156" s="14">
        <f t="shared" si="100"/>
        <v>1113.3205607305645</v>
      </c>
      <c r="AJ156" s="44">
        <f t="shared" si="101"/>
        <v>51847.4732170969</v>
      </c>
      <c r="AK156" s="44">
        <f t="shared" si="102"/>
        <v>34374.67272610253</v>
      </c>
      <c r="AL156" s="44">
        <f t="shared" si="103"/>
        <v>12385.934286882894</v>
      </c>
      <c r="AM156" s="14">
        <f t="shared" si="104"/>
        <v>1124.3353692168002</v>
      </c>
      <c r="AN156" s="14">
        <f t="shared" si="105"/>
        <v>678.81340149424329</v>
      </c>
      <c r="AO156" s="14">
        <f t="shared" si="106"/>
        <v>1145.4701775524813</v>
      </c>
      <c r="AP156" s="14">
        <f t="shared" si="107"/>
        <v>1316.5091066388202</v>
      </c>
      <c r="AQ156" s="14">
        <f t="shared" si="108"/>
        <v>1145.4701775524813</v>
      </c>
      <c r="AR156" s="33">
        <f t="shared" si="109"/>
        <v>0.90931998498333177</v>
      </c>
      <c r="AS156" s="33">
        <f t="shared" si="110"/>
        <v>0.41495926546342637</v>
      </c>
      <c r="AT156" s="51">
        <f t="shared" si="111"/>
        <v>20.708931176977433</v>
      </c>
      <c r="AU156" s="51">
        <f>APPLICANTS_PER_YEAR*($H156/Segments!$AH$2)*AS156</f>
        <v>25.893458164917806</v>
      </c>
      <c r="AV156" s="51">
        <f t="shared" si="112"/>
        <v>46.60238934189524</v>
      </c>
      <c r="AW156" s="14">
        <f t="shared" si="113"/>
        <v>1145.4701775524813</v>
      </c>
      <c r="AX156" s="44">
        <f t="shared" si="114"/>
        <v>53381.647193830606</v>
      </c>
      <c r="AY156" s="44">
        <f t="shared" si="115"/>
        <v>35430.445598162696</v>
      </c>
      <c r="AZ156" s="44">
        <f t="shared" si="116"/>
        <v>12706.622004851401</v>
      </c>
    </row>
    <row r="157" spans="1:52" ht="15" customHeight="1" x14ac:dyDescent="0.35">
      <c r="A157" s="59" t="str">
        <f>Segments!$A$137</f>
        <v>Non-greek</v>
      </c>
      <c r="B157" s="59" t="str">
        <f>Segments!$B$137</f>
        <v>Off 3-6mi</v>
      </c>
      <c r="C157" s="59" t="str">
        <f>Segments!$C$137</f>
        <v>Yes</v>
      </c>
      <c r="D157" s="59" t="str">
        <f>Segments!$D$137</f>
        <v>2.0-3.0</v>
      </c>
      <c r="E157" s="59" t="str">
        <f>Segments!$E$137</f>
        <v>Junior</v>
      </c>
      <c r="F157" s="59">
        <f>Segments!$F$137</f>
        <v>2</v>
      </c>
      <c r="G157" s="59" t="str">
        <f>Segments!$G$137</f>
        <v>Base</v>
      </c>
      <c r="H157" s="60">
        <f>Segments!$H$137</f>
        <v>38</v>
      </c>
      <c r="I157" s="26">
        <f>Segments!$Y$137</f>
        <v>764.88918275935407</v>
      </c>
      <c r="J157" s="29">
        <v>2</v>
      </c>
      <c r="K157" s="14">
        <f t="shared" si="78"/>
        <v>1426.2297754450396</v>
      </c>
      <c r="L157" s="14">
        <f t="shared" si="79"/>
        <v>764.88918275935407</v>
      </c>
      <c r="M157" s="14">
        <f t="shared" si="80"/>
        <v>1285.4361083274566</v>
      </c>
      <c r="N157" s="14">
        <f t="shared" si="81"/>
        <v>1354.0041551372042</v>
      </c>
      <c r="O157" s="14">
        <f t="shared" si="82"/>
        <v>1285.4361083274566</v>
      </c>
      <c r="P157" s="33">
        <f t="shared" si="83"/>
        <v>0.87532047134035551</v>
      </c>
      <c r="Q157" s="33">
        <f t="shared" si="84"/>
        <v>0.37532047134035545</v>
      </c>
      <c r="R157" s="51">
        <f t="shared" si="85"/>
        <v>45.516664509698487</v>
      </c>
      <c r="S157" s="51">
        <f>APPLICANTS_PER_YEAR*($H157/Segments!$AH$2)*Q157</f>
        <v>17.11461349312021</v>
      </c>
      <c r="T157" s="51">
        <f t="shared" si="86"/>
        <v>62.631278002818696</v>
      </c>
      <c r="U157" s="14">
        <f t="shared" si="87"/>
        <v>1285.4361083274566</v>
      </c>
      <c r="V157" s="44">
        <f t="shared" si="88"/>
        <v>80508.50625551831</v>
      </c>
      <c r="W157" s="44">
        <f t="shared" si="89"/>
        <v>53654.705492359899</v>
      </c>
      <c r="X157" s="44">
        <f t="shared" si="90"/>
        <v>17666.589555421717</v>
      </c>
      <c r="Y157" s="14">
        <f t="shared" si="91"/>
        <v>1082.1073405151112</v>
      </c>
      <c r="Z157" s="14">
        <f t="shared" si="92"/>
        <v>787.83585824213469</v>
      </c>
      <c r="AA157" s="14">
        <f t="shared" si="93"/>
        <v>1322.7491915772803</v>
      </c>
      <c r="AB157" s="14">
        <f t="shared" si="94"/>
        <v>1393.9657854293171</v>
      </c>
      <c r="AC157" s="14">
        <f t="shared" si="95"/>
        <v>1322.7491915772803</v>
      </c>
      <c r="AD157" s="33">
        <f t="shared" si="96"/>
        <v>0.80882981694490064</v>
      </c>
      <c r="AE157" s="33">
        <f t="shared" si="97"/>
        <v>0.37554459894082093</v>
      </c>
      <c r="AF157" s="51">
        <f t="shared" si="98"/>
        <v>54.943307577820981</v>
      </c>
      <c r="AG157" s="51">
        <f>APPLICANTS_PER_YEAR*($H157/Segments!$AH$2)*AE157</f>
        <v>17.124833711701434</v>
      </c>
      <c r="AH157" s="51">
        <f t="shared" si="99"/>
        <v>72.068141289522416</v>
      </c>
      <c r="AI157" s="14">
        <f t="shared" si="100"/>
        <v>1322.7491915772803</v>
      </c>
      <c r="AJ157" s="44">
        <f t="shared" si="101"/>
        <v>95328.075629192987</v>
      </c>
      <c r="AK157" s="44">
        <f t="shared" si="102"/>
        <v>63591.209858115879</v>
      </c>
      <c r="AL157" s="44">
        <f t="shared" si="103"/>
        <v>20679.305060682156</v>
      </c>
      <c r="AM157" s="14">
        <f t="shared" si="104"/>
        <v>1113.3205607305645</v>
      </c>
      <c r="AN157" s="14">
        <f t="shared" si="105"/>
        <v>811.47093398939865</v>
      </c>
      <c r="AO157" s="14">
        <f t="shared" si="106"/>
        <v>1361.1816673245985</v>
      </c>
      <c r="AP157" s="14">
        <f t="shared" si="107"/>
        <v>1435.1259579539765</v>
      </c>
      <c r="AQ157" s="14">
        <f t="shared" si="108"/>
        <v>1361.1816673245985</v>
      </c>
      <c r="AR157" s="33">
        <f t="shared" si="109"/>
        <v>0.80897261271778398</v>
      </c>
      <c r="AS157" s="33">
        <f t="shared" si="110"/>
        <v>0.3757622998941495</v>
      </c>
      <c r="AT157" s="51">
        <f t="shared" si="111"/>
        <v>37.673952454203267</v>
      </c>
      <c r="AU157" s="51">
        <f>APPLICANTS_PER_YEAR*($H157/Segments!$AH$2)*AS157</f>
        <v>17.134760875173217</v>
      </c>
      <c r="AV157" s="51">
        <f t="shared" si="112"/>
        <v>54.808713329376488</v>
      </c>
      <c r="AW157" s="14">
        <f t="shared" si="113"/>
        <v>1361.1816673245985</v>
      </c>
      <c r="AX157" s="44">
        <f t="shared" si="114"/>
        <v>74604.615793596633</v>
      </c>
      <c r="AY157" s="44">
        <f t="shared" si="115"/>
        <v>49812.75913168391</v>
      </c>
      <c r="AZ157" s="44">
        <f t="shared" si="116"/>
        <v>16441.138956661303</v>
      </c>
    </row>
    <row r="158" spans="1:52" ht="15" customHeight="1" x14ac:dyDescent="0.35">
      <c r="A158" s="59" t="str">
        <f>Segments!$A$138</f>
        <v>Non-greek</v>
      </c>
      <c r="B158" s="59" t="str">
        <f>Segments!$B$138</f>
        <v>Off 3-6mi</v>
      </c>
      <c r="C158" s="59" t="str">
        <f>Segments!$C$138</f>
        <v>Yes</v>
      </c>
      <c r="D158" s="59" t="str">
        <f>Segments!$D$138</f>
        <v>2.0-3.0</v>
      </c>
      <c r="E158" s="59" t="str">
        <f>Segments!$E$138</f>
        <v>Senior</v>
      </c>
      <c r="F158" s="59">
        <f>Segments!$F$138</f>
        <v>3</v>
      </c>
      <c r="G158" s="59" t="str">
        <f>Segments!$G$138</f>
        <v>Base</v>
      </c>
      <c r="H158" s="60">
        <f>Segments!$H$138</f>
        <v>44</v>
      </c>
      <c r="I158" s="26">
        <f>Segments!$Y$138</f>
        <v>714.9323246997385</v>
      </c>
      <c r="J158" s="29">
        <v>3</v>
      </c>
      <c r="K158" s="14">
        <f t="shared" si="78"/>
        <v>1426.2297754450396</v>
      </c>
      <c r="L158" s="14">
        <f t="shared" si="79"/>
        <v>714.9323246997385</v>
      </c>
      <c r="M158" s="14">
        <f t="shared" si="80"/>
        <v>1204.20236250328</v>
      </c>
      <c r="N158" s="14">
        <f t="shared" si="81"/>
        <v>1310.5225160459622</v>
      </c>
      <c r="O158" s="14">
        <f t="shared" si="82"/>
        <v>1204.20236250328</v>
      </c>
      <c r="P158" s="33">
        <f t="shared" si="83"/>
        <v>0.89056403161369002</v>
      </c>
      <c r="Q158" s="33">
        <f t="shared" si="84"/>
        <v>0.39056403161369008</v>
      </c>
      <c r="R158" s="51">
        <f t="shared" si="85"/>
        <v>33.841433201320221</v>
      </c>
      <c r="S158" s="51">
        <f>APPLICANTS_PER_YEAR*($H158/Segments!$AH$2)*Q158</f>
        <v>20.621780869202837</v>
      </c>
      <c r="T158" s="51">
        <f t="shared" si="86"/>
        <v>54.463214070523058</v>
      </c>
      <c r="U158" s="14">
        <f t="shared" si="87"/>
        <v>1204.20236250328</v>
      </c>
      <c r="V158" s="44">
        <f t="shared" si="88"/>
        <v>65584.731053245749</v>
      </c>
      <c r="W158" s="44">
        <f t="shared" si="89"/>
        <v>43610.013715585585</v>
      </c>
      <c r="X158" s="44">
        <f t="shared" si="90"/>
        <v>14869.470875664147</v>
      </c>
      <c r="Y158" s="14">
        <f t="shared" si="91"/>
        <v>1285.4361083274566</v>
      </c>
      <c r="Z158" s="14">
        <f t="shared" si="92"/>
        <v>736.38029444073072</v>
      </c>
      <c r="AA158" s="14">
        <f t="shared" si="93"/>
        <v>1239.0784333783786</v>
      </c>
      <c r="AB158" s="14">
        <f t="shared" si="94"/>
        <v>1349.1578382346215</v>
      </c>
      <c r="AC158" s="14">
        <f t="shared" si="95"/>
        <v>1239.0784333783786</v>
      </c>
      <c r="AD158" s="33">
        <f t="shared" si="96"/>
        <v>0.89079559920145535</v>
      </c>
      <c r="AE158" s="33">
        <f t="shared" si="97"/>
        <v>0.39079559920145529</v>
      </c>
      <c r="AF158" s="51">
        <f t="shared" si="98"/>
        <v>55.791666817273807</v>
      </c>
      <c r="AG158" s="51">
        <f>APPLICANTS_PER_YEAR*($H158/Segments!$AH$2)*AE158</f>
        <v>20.634007637836842</v>
      </c>
      <c r="AH158" s="51">
        <f t="shared" si="99"/>
        <v>76.425674455110652</v>
      </c>
      <c r="AI158" s="14">
        <f t="shared" si="100"/>
        <v>1239.0784333783786</v>
      </c>
      <c r="AJ158" s="44">
        <f t="shared" si="101"/>
        <v>94697.404973724479</v>
      </c>
      <c r="AK158" s="44">
        <f t="shared" si="102"/>
        <v>63031.763937056123</v>
      </c>
      <c r="AL158" s="44">
        <f t="shared" si="103"/>
        <v>20837.02360511935</v>
      </c>
      <c r="AM158" s="14">
        <f t="shared" si="104"/>
        <v>1322.7491915772803</v>
      </c>
      <c r="AN158" s="14">
        <f t="shared" si="105"/>
        <v>758.47170327395258</v>
      </c>
      <c r="AO158" s="14">
        <f t="shared" si="106"/>
        <v>1275.00078637973</v>
      </c>
      <c r="AP158" s="14">
        <f t="shared" si="107"/>
        <v>1388.9518818311792</v>
      </c>
      <c r="AQ158" s="14">
        <f t="shared" si="108"/>
        <v>1275.00078637973</v>
      </c>
      <c r="AR158" s="33">
        <f t="shared" si="109"/>
        <v>0.89102053387955282</v>
      </c>
      <c r="AS158" s="33">
        <f t="shared" si="110"/>
        <v>0.39102053387955282</v>
      </c>
      <c r="AT158" s="51">
        <f t="shared" si="111"/>
        <v>64.214193727497303</v>
      </c>
      <c r="AU158" s="51">
        <f>APPLICANTS_PER_YEAR*($H158/Segments!$AH$2)*AS158</f>
        <v>20.645884188840391</v>
      </c>
      <c r="AV158" s="51">
        <f t="shared" si="112"/>
        <v>84.860077916337701</v>
      </c>
      <c r="AW158" s="14">
        <f t="shared" si="113"/>
        <v>1275.0007863797298</v>
      </c>
      <c r="AX158" s="44">
        <f t="shared" si="114"/>
        <v>108196.66607557572</v>
      </c>
      <c r="AY158" s="44">
        <f t="shared" si="115"/>
        <v>72087.643977624786</v>
      </c>
      <c r="AZ158" s="44">
        <f t="shared" si="116"/>
        <v>23583.841701501246</v>
      </c>
    </row>
    <row r="159" spans="1:52" ht="15" customHeight="1" x14ac:dyDescent="0.35">
      <c r="A159" s="59" t="str">
        <f>Segments!$A$139</f>
        <v>Non-greek</v>
      </c>
      <c r="B159" s="59" t="str">
        <f>Segments!$B$139</f>
        <v>Off 3-6mi</v>
      </c>
      <c r="C159" s="59" t="str">
        <f>Segments!$C$139</f>
        <v>Yes</v>
      </c>
      <c r="D159" s="59" t="str">
        <f>Segments!$D$139</f>
        <v>2.0-3.0</v>
      </c>
      <c r="E159" s="59" t="str">
        <f>Segments!$E$139</f>
        <v>Grad student</v>
      </c>
      <c r="F159" s="59">
        <f>Segments!$F$139</f>
        <v>3</v>
      </c>
      <c r="G159" s="59" t="str">
        <f>Segments!$G$139</f>
        <v>Grad</v>
      </c>
      <c r="H159" s="60">
        <f>Segments!$H$139</f>
        <v>19</v>
      </c>
      <c r="I159" s="26">
        <f>Segments!$Y$139</f>
        <v>851.25592563258613</v>
      </c>
      <c r="J159" s="29">
        <v>4</v>
      </c>
      <c r="K159" s="14">
        <f t="shared" si="78"/>
        <v>1426.2297754450396</v>
      </c>
      <c r="L159" s="14">
        <f t="shared" si="79"/>
        <v>851.25592563258613</v>
      </c>
      <c r="M159" s="14">
        <f t="shared" si="80"/>
        <v>1425.8751653605025</v>
      </c>
      <c r="N159" s="14">
        <f t="shared" si="81"/>
        <v>1426.0524593803582</v>
      </c>
      <c r="O159" s="14">
        <f t="shared" si="82"/>
        <v>1425.8751653605025</v>
      </c>
      <c r="P159" s="33">
        <f t="shared" si="83"/>
        <v>0.85006216251677469</v>
      </c>
      <c r="Q159" s="33">
        <f t="shared" si="84"/>
        <v>0.35006216251677469</v>
      </c>
      <c r="R159" s="51">
        <f t="shared" si="85"/>
        <v>8.0755905439093603</v>
      </c>
      <c r="S159" s="51">
        <f>APPLICANTS_PER_YEAR*($H159/Segments!$AH$2)*Q159</f>
        <v>7.9814173053824629</v>
      </c>
      <c r="T159" s="51">
        <f t="shared" si="86"/>
        <v>16.057007849291821</v>
      </c>
      <c r="U159" s="14">
        <f t="shared" si="87"/>
        <v>1425.8751653605025</v>
      </c>
      <c r="V159" s="44">
        <f t="shared" si="88"/>
        <v>22895.288722303863</v>
      </c>
      <c r="W159" s="44">
        <f t="shared" si="89"/>
        <v>15308.857849195245</v>
      </c>
      <c r="X159" s="44">
        <f t="shared" si="90"/>
        <v>5246.202823340147</v>
      </c>
      <c r="Y159" s="14">
        <f t="shared" si="91"/>
        <v>1425.8751653605025</v>
      </c>
      <c r="Z159" s="14">
        <f t="shared" si="92"/>
        <v>876.7936034015637</v>
      </c>
      <c r="AA159" s="14">
        <f t="shared" si="93"/>
        <v>1467.4014203213176</v>
      </c>
      <c r="AB159" s="14">
        <f t="shared" si="94"/>
        <v>1468.2088223881449</v>
      </c>
      <c r="AC159" s="14">
        <f t="shared" si="95"/>
        <v>1467.4014203213176</v>
      </c>
      <c r="AD159" s="33">
        <f t="shared" si="96"/>
        <v>0.84153795796600428</v>
      </c>
      <c r="AE159" s="33">
        <f t="shared" si="97"/>
        <v>0.35027496159078853</v>
      </c>
      <c r="AF159" s="51">
        <f t="shared" si="98"/>
        <v>6.7562907982685712</v>
      </c>
      <c r="AG159" s="51">
        <f>APPLICANTS_PER_YEAR*($H159/Segments!$AH$2)*AE159</f>
        <v>7.9862691242699784</v>
      </c>
      <c r="AH159" s="51">
        <f t="shared" si="99"/>
        <v>14.74255992253855</v>
      </c>
      <c r="AI159" s="14">
        <f t="shared" si="100"/>
        <v>1467.4014203213173</v>
      </c>
      <c r="AJ159" s="44">
        <f t="shared" si="101"/>
        <v>21633.253369505201</v>
      </c>
      <c r="AK159" s="44">
        <f t="shared" si="102"/>
        <v>14477.324106387581</v>
      </c>
      <c r="AL159" s="44">
        <f t="shared" si="103"/>
        <v>4993.3600063547756</v>
      </c>
      <c r="AM159" s="14">
        <f t="shared" si="104"/>
        <v>1467.4014203213173</v>
      </c>
      <c r="AN159" s="14">
        <f t="shared" si="105"/>
        <v>903.0974115036106</v>
      </c>
      <c r="AO159" s="14">
        <f t="shared" si="106"/>
        <v>1510.1734629309572</v>
      </c>
      <c r="AP159" s="14">
        <f t="shared" si="107"/>
        <v>1511.6296138198832</v>
      </c>
      <c r="AQ159" s="14">
        <f t="shared" si="108"/>
        <v>1510.1734629309572</v>
      </c>
      <c r="AR159" s="33">
        <f t="shared" si="109"/>
        <v>0.84173720315936962</v>
      </c>
      <c r="AS159" s="33">
        <f t="shared" si="110"/>
        <v>0.35048164936556325</v>
      </c>
      <c r="AT159" s="51">
        <f t="shared" si="111"/>
        <v>6.2046805783035062</v>
      </c>
      <c r="AU159" s="51">
        <f>APPLICANTS_PER_YEAR*($H159/Segments!$AH$2)*AS159</f>
        <v>7.9909816055348424</v>
      </c>
      <c r="AV159" s="51">
        <f t="shared" si="112"/>
        <v>14.195662183838348</v>
      </c>
      <c r="AW159" s="14">
        <f t="shared" si="113"/>
        <v>1510.1734629309574</v>
      </c>
      <c r="AX159" s="44">
        <f t="shared" si="114"/>
        <v>21437.912318765193</v>
      </c>
      <c r="AY159" s="44">
        <f t="shared" si="115"/>
        <v>14358.473665540598</v>
      </c>
      <c r="AZ159" s="44">
        <f t="shared" si="116"/>
        <v>4957.8251047824433</v>
      </c>
    </row>
    <row r="160" spans="1:52" ht="15" customHeight="1" x14ac:dyDescent="0.35">
      <c r="A160" s="61" t="str">
        <f>Segments!$A$140</f>
        <v>Non-greek</v>
      </c>
      <c r="B160" s="61" t="str">
        <f>Segments!$B$140</f>
        <v>Off 3-6mi</v>
      </c>
      <c r="C160" s="61" t="str">
        <f>Segments!$C$140</f>
        <v>Yes</v>
      </c>
      <c r="D160" s="61" t="str">
        <f>Segments!$D$140</f>
        <v>3.0+</v>
      </c>
      <c r="E160" s="61" t="str">
        <f>Segments!$E$140</f>
        <v>Freshman</v>
      </c>
      <c r="F160" s="61">
        <f>Segments!$F$140</f>
        <v>1</v>
      </c>
      <c r="G160" s="61" t="str">
        <f>Segments!$G$140</f>
        <v>Base</v>
      </c>
      <c r="H160" s="62">
        <f>Segments!$H$140</f>
        <v>26</v>
      </c>
      <c r="I160" s="63">
        <f>Segments!$Y$140</f>
        <v>566.62079387816289</v>
      </c>
      <c r="J160" s="42">
        <v>0</v>
      </c>
      <c r="K160" s="40">
        <f t="shared" si="78"/>
        <v>963.03625107215032</v>
      </c>
      <c r="L160" s="40">
        <f t="shared" si="79"/>
        <v>566.62079387816289</v>
      </c>
      <c r="M160" s="40">
        <f t="shared" si="80"/>
        <v>963.03625107215032</v>
      </c>
      <c r="N160" s="40">
        <f t="shared" si="81"/>
        <v>1171.9688460501268</v>
      </c>
      <c r="O160" s="40">
        <f t="shared" si="82"/>
        <v>963.03625107215032</v>
      </c>
      <c r="P160" s="41">
        <f t="shared" si="83"/>
        <v>0.93913743555647389</v>
      </c>
      <c r="Q160" s="41">
        <f t="shared" si="84"/>
        <v>0.43913743555647383</v>
      </c>
      <c r="R160" s="64">
        <f t="shared" si="85"/>
        <v>0</v>
      </c>
      <c r="S160" s="64">
        <f>APPLICANTS_PER_YEAR*($H160/Segments!$AH$2)*Q160</f>
        <v>13.701087989361984</v>
      </c>
      <c r="T160" s="64">
        <f t="shared" si="86"/>
        <v>13.701087989361984</v>
      </c>
      <c r="U160" s="40">
        <f t="shared" si="87"/>
        <v>963.03625107215032</v>
      </c>
      <c r="V160" s="65">
        <f t="shared" si="88"/>
        <v>13194.644412884831</v>
      </c>
      <c r="W160" s="65">
        <f t="shared" si="89"/>
        <v>8694.9199159500731</v>
      </c>
      <c r="X160" s="65">
        <f t="shared" si="90"/>
        <v>3572.1493080074915</v>
      </c>
      <c r="Y160" s="40">
        <f t="shared" si="91"/>
        <v>990.67733860431485</v>
      </c>
      <c r="Z160" s="40">
        <f t="shared" si="92"/>
        <v>583.61941769450777</v>
      </c>
      <c r="AA160" s="40">
        <f t="shared" si="93"/>
        <v>990.67733860431485</v>
      </c>
      <c r="AB160" s="40">
        <f t="shared" si="94"/>
        <v>1206.367076689929</v>
      </c>
      <c r="AC160" s="40">
        <f t="shared" si="95"/>
        <v>990.67733860431485</v>
      </c>
      <c r="AD160" s="41">
        <f t="shared" si="96"/>
        <v>0.93939639611080517</v>
      </c>
      <c r="AE160" s="41">
        <f t="shared" si="97"/>
        <v>0.43939639611080522</v>
      </c>
      <c r="AF160" s="64">
        <f t="shared" si="98"/>
        <v>0</v>
      </c>
      <c r="AG160" s="64">
        <f>APPLICANTS_PER_YEAR*($H160/Segments!$AH$2)*AE160</f>
        <v>13.709167558657123</v>
      </c>
      <c r="AH160" s="64">
        <f t="shared" si="99"/>
        <v>13.709167558657123</v>
      </c>
      <c r="AI160" s="40">
        <f t="shared" si="100"/>
        <v>990.67733860431485</v>
      </c>
      <c r="AJ160" s="65">
        <f t="shared" si="101"/>
        <v>13581.361631491051</v>
      </c>
      <c r="AK160" s="65">
        <f t="shared" si="102"/>
        <v>8961.0487541790972</v>
      </c>
      <c r="AL160" s="65">
        <f t="shared" si="103"/>
        <v>3659.1375455935658</v>
      </c>
      <c r="AM160" s="40">
        <f t="shared" si="104"/>
        <v>1019.1476587624442</v>
      </c>
      <c r="AN160" s="40">
        <f t="shared" si="105"/>
        <v>601.12800022534293</v>
      </c>
      <c r="AO160" s="40">
        <f t="shared" si="106"/>
        <v>1019.1476587624442</v>
      </c>
      <c r="AP160" s="40">
        <f t="shared" si="107"/>
        <v>1241.7967811019146</v>
      </c>
      <c r="AQ160" s="40">
        <f t="shared" si="108"/>
        <v>1019.1476587624442</v>
      </c>
      <c r="AR160" s="41">
        <f t="shared" si="109"/>
        <v>0.93964797047625681</v>
      </c>
      <c r="AS160" s="41">
        <f t="shared" si="110"/>
        <v>0.43964797047625681</v>
      </c>
      <c r="AT160" s="64">
        <f t="shared" si="111"/>
        <v>0</v>
      </c>
      <c r="AU160" s="64">
        <f>APPLICANTS_PER_YEAR*($H160/Segments!$AH$2)*AS160</f>
        <v>13.717016678859212</v>
      </c>
      <c r="AV160" s="64">
        <f t="shared" si="112"/>
        <v>13.717016678859212</v>
      </c>
      <c r="AW160" s="40">
        <f t="shared" si="113"/>
        <v>1019.1476587624442</v>
      </c>
      <c r="AX160" s="65">
        <f t="shared" si="114"/>
        <v>13979.665433464763</v>
      </c>
      <c r="AY160" s="65">
        <f t="shared" si="115"/>
        <v>9235.164741846751</v>
      </c>
      <c r="AZ160" s="65">
        <f t="shared" si="116"/>
        <v>3748.7108076447716</v>
      </c>
    </row>
    <row r="161" spans="1:52" ht="15" customHeight="1" x14ac:dyDescent="0.35">
      <c r="A161" s="61" t="str">
        <f>Segments!$A$141</f>
        <v>Non-greek</v>
      </c>
      <c r="B161" s="61" t="str">
        <f>Segments!$B$141</f>
        <v>Off 3-6mi</v>
      </c>
      <c r="C161" s="61" t="str">
        <f>Segments!$C$141</f>
        <v>Yes</v>
      </c>
      <c r="D161" s="61" t="str">
        <f>Segments!$D$141</f>
        <v>3.0+</v>
      </c>
      <c r="E161" s="61" t="str">
        <f>Segments!$E$141</f>
        <v>Sophomore</v>
      </c>
      <c r="F161" s="61">
        <f>Segments!$F$141</f>
        <v>1</v>
      </c>
      <c r="G161" s="61" t="str">
        <f>Segments!$G$141</f>
        <v>Sophomore</v>
      </c>
      <c r="H161" s="62">
        <f>Segments!$H$141</f>
        <v>29</v>
      </c>
      <c r="I161" s="63">
        <f>Segments!$Y$141</f>
        <v>560.85613150805261</v>
      </c>
      <c r="J161" s="42">
        <v>1</v>
      </c>
      <c r="K161" s="40">
        <f t="shared" si="78"/>
        <v>1426.2297754450396</v>
      </c>
      <c r="L161" s="40">
        <f t="shared" si="79"/>
        <v>560.85613150805261</v>
      </c>
      <c r="M161" s="40">
        <f t="shared" si="80"/>
        <v>953.66246064728193</v>
      </c>
      <c r="N161" s="40">
        <f t="shared" si="81"/>
        <v>1166.2511723892658</v>
      </c>
      <c r="O161" s="40">
        <f t="shared" si="82"/>
        <v>953.66246064728193</v>
      </c>
      <c r="P161" s="41">
        <f t="shared" si="83"/>
        <v>0.94114190698152067</v>
      </c>
      <c r="Q161" s="41">
        <f t="shared" si="84"/>
        <v>0.44114190698152067</v>
      </c>
      <c r="R161" s="64">
        <f t="shared" si="85"/>
        <v>24.469689581519539</v>
      </c>
      <c r="S161" s="64">
        <f>APPLICANTS_PER_YEAR*($H161/Segments!$AH$2)*Q161</f>
        <v>15.351738362956919</v>
      </c>
      <c r="T161" s="64">
        <f t="shared" si="86"/>
        <v>39.821427944476454</v>
      </c>
      <c r="U161" s="40">
        <f t="shared" si="87"/>
        <v>953.66246064728216</v>
      </c>
      <c r="V161" s="65">
        <f t="shared" si="88"/>
        <v>37976.200960017857</v>
      </c>
      <c r="W161" s="65">
        <f t="shared" si="89"/>
        <v>25014.183071433617</v>
      </c>
      <c r="X161" s="65">
        <f t="shared" si="90"/>
        <v>8870.1371797919037</v>
      </c>
      <c r="Y161" s="40">
        <f t="shared" si="91"/>
        <v>963.03625107215032</v>
      </c>
      <c r="Z161" s="40">
        <f t="shared" si="92"/>
        <v>577.68181545329423</v>
      </c>
      <c r="AA161" s="40">
        <f t="shared" si="93"/>
        <v>981.0223344667005</v>
      </c>
      <c r="AB161" s="40">
        <f t="shared" si="94"/>
        <v>1200.4741403740445</v>
      </c>
      <c r="AC161" s="40">
        <f t="shared" si="95"/>
        <v>981.0223344667005</v>
      </c>
      <c r="AD161" s="41">
        <f t="shared" si="96"/>
        <v>0.93579920759655999</v>
      </c>
      <c r="AE161" s="41">
        <f t="shared" si="97"/>
        <v>0.44140213792483984</v>
      </c>
      <c r="AF161" s="64">
        <f t="shared" si="98"/>
        <v>12.821467283655689</v>
      </c>
      <c r="AG161" s="64">
        <f>APPLICANTS_PER_YEAR*($H161/Segments!$AH$2)*AE161</f>
        <v>15.360794399784425</v>
      </c>
      <c r="AH161" s="64">
        <f t="shared" si="99"/>
        <v>28.182261683440114</v>
      </c>
      <c r="AI161" s="40">
        <f t="shared" si="100"/>
        <v>981.0223344667005</v>
      </c>
      <c r="AJ161" s="65">
        <f t="shared" si="101"/>
        <v>27647.428147239865</v>
      </c>
      <c r="AK161" s="65">
        <f t="shared" si="102"/>
        <v>18234.025704013839</v>
      </c>
      <c r="AL161" s="65">
        <f t="shared" si="103"/>
        <v>6700.4538968386314</v>
      </c>
      <c r="AM161" s="40">
        <f t="shared" si="104"/>
        <v>990.67733860431485</v>
      </c>
      <c r="AN161" s="40">
        <f t="shared" si="105"/>
        <v>595.01226991689305</v>
      </c>
      <c r="AO161" s="40">
        <f t="shared" si="106"/>
        <v>1009.2030045007015</v>
      </c>
      <c r="AP161" s="40">
        <f t="shared" si="107"/>
        <v>1235.7233172493684</v>
      </c>
      <c r="AQ161" s="40">
        <f t="shared" si="108"/>
        <v>1009.2030045007015</v>
      </c>
      <c r="AR161" s="41">
        <f t="shared" si="109"/>
        <v>0.93604494809306804</v>
      </c>
      <c r="AS161" s="41">
        <f t="shared" si="110"/>
        <v>0.4416549479914666</v>
      </c>
      <c r="AT161" s="64">
        <f t="shared" si="111"/>
        <v>12.83239703584238</v>
      </c>
      <c r="AU161" s="64">
        <f>APPLICANTS_PER_YEAR*($H161/Segments!$AH$2)*AS161</f>
        <v>15.369592190103036</v>
      </c>
      <c r="AV161" s="64">
        <f t="shared" si="112"/>
        <v>28.201989225945418</v>
      </c>
      <c r="AW161" s="40">
        <f t="shared" si="113"/>
        <v>1009.2030045007015</v>
      </c>
      <c r="AX161" s="65">
        <f t="shared" si="114"/>
        <v>28461.532259720527</v>
      </c>
      <c r="AY161" s="65">
        <f t="shared" si="115"/>
        <v>18794.193180561731</v>
      </c>
      <c r="AZ161" s="65">
        <f t="shared" si="116"/>
        <v>6870.3955379257513</v>
      </c>
    </row>
    <row r="162" spans="1:52" ht="15" customHeight="1" x14ac:dyDescent="0.35">
      <c r="A162" s="61" t="str">
        <f>Segments!$A$142</f>
        <v>Non-greek</v>
      </c>
      <c r="B162" s="61" t="str">
        <f>Segments!$B$142</f>
        <v>Off 3-6mi</v>
      </c>
      <c r="C162" s="61" t="str">
        <f>Segments!$C$142</f>
        <v>Yes</v>
      </c>
      <c r="D162" s="61" t="str">
        <f>Segments!$D$142</f>
        <v>3.0+</v>
      </c>
      <c r="E162" s="61" t="str">
        <f>Segments!$E$142</f>
        <v>Junior</v>
      </c>
      <c r="F162" s="61">
        <f>Segments!$F$142</f>
        <v>2</v>
      </c>
      <c r="G162" s="61" t="str">
        <f>Segments!$G$142</f>
        <v>Base</v>
      </c>
      <c r="H162" s="62">
        <f>Segments!$H$142</f>
        <v>24</v>
      </c>
      <c r="I162" s="63">
        <f>Segments!$Y$142</f>
        <v>670.46179092323086</v>
      </c>
      <c r="J162" s="42">
        <v>2</v>
      </c>
      <c r="K162" s="40">
        <f t="shared" si="78"/>
        <v>1426.2297754450396</v>
      </c>
      <c r="L162" s="40">
        <f t="shared" si="79"/>
        <v>670.46179092323086</v>
      </c>
      <c r="M162" s="40">
        <f t="shared" si="80"/>
        <v>1131.889807675366</v>
      </c>
      <c r="N162" s="40">
        <f t="shared" si="81"/>
        <v>1270.5648138640415</v>
      </c>
      <c r="O162" s="40">
        <f t="shared" si="82"/>
        <v>1131.889807675366</v>
      </c>
      <c r="P162" s="41">
        <f t="shared" si="83"/>
        <v>0.90457218894915603</v>
      </c>
      <c r="Q162" s="41">
        <f t="shared" si="84"/>
        <v>0.40457218894915603</v>
      </c>
      <c r="R162" s="64">
        <f t="shared" si="85"/>
        <v>26.232593479525526</v>
      </c>
      <c r="S162" s="64">
        <f>APPLICANTS_PER_YEAR*($H162/Segments!$AH$2)*Q162</f>
        <v>11.651679041735692</v>
      </c>
      <c r="T162" s="64">
        <f t="shared" si="86"/>
        <v>37.884272521261217</v>
      </c>
      <c r="U162" s="40">
        <f t="shared" si="87"/>
        <v>1131.889807675366</v>
      </c>
      <c r="V162" s="65">
        <f t="shared" si="88"/>
        <v>42880.821938011512</v>
      </c>
      <c r="W162" s="65">
        <f t="shared" si="89"/>
        <v>28447.952066719965</v>
      </c>
      <c r="X162" s="65">
        <f t="shared" si="90"/>
        <v>9615.0473589903777</v>
      </c>
      <c r="Y162" s="40">
        <f t="shared" si="91"/>
        <v>953.66246064728216</v>
      </c>
      <c r="Z162" s="40">
        <f t="shared" si="92"/>
        <v>690.57564465092776</v>
      </c>
      <c r="AA162" s="40">
        <f t="shared" si="93"/>
        <v>1164.5965019056271</v>
      </c>
      <c r="AB162" s="40">
        <f t="shared" si="94"/>
        <v>1307.9799974077773</v>
      </c>
      <c r="AC162" s="40">
        <f t="shared" si="95"/>
        <v>1164.5965019056271</v>
      </c>
      <c r="AD162" s="41">
        <f t="shared" si="96"/>
        <v>0.83845610602436949</v>
      </c>
      <c r="AE162" s="41">
        <f t="shared" si="97"/>
        <v>0.40481104290062347</v>
      </c>
      <c r="AF162" s="64">
        <f t="shared" si="98"/>
        <v>33.388519410655739</v>
      </c>
      <c r="AG162" s="64">
        <f>APPLICANTS_PER_YEAR*($H162/Segments!$AH$2)*AE162</f>
        <v>11.658558035537954</v>
      </c>
      <c r="AH162" s="64">
        <f t="shared" si="99"/>
        <v>45.047077446193697</v>
      </c>
      <c r="AI162" s="40">
        <f t="shared" si="100"/>
        <v>1164.5965019056268</v>
      </c>
      <c r="AJ162" s="65">
        <f t="shared" si="101"/>
        <v>52461.668814909041</v>
      </c>
      <c r="AK162" s="65">
        <f t="shared" si="102"/>
        <v>34841.424292690943</v>
      </c>
      <c r="AL162" s="65">
        <f t="shared" si="103"/>
        <v>11582.873962520925</v>
      </c>
      <c r="AM162" s="40">
        <f t="shared" si="104"/>
        <v>981.0223344667005</v>
      </c>
      <c r="AN162" s="40">
        <f t="shared" si="105"/>
        <v>711.29291399045565</v>
      </c>
      <c r="AO162" s="40">
        <f t="shared" si="106"/>
        <v>1198.2843969627959</v>
      </c>
      <c r="AP162" s="40">
        <f t="shared" si="107"/>
        <v>1346.5172652369799</v>
      </c>
      <c r="AQ162" s="40">
        <f t="shared" si="108"/>
        <v>1198.2843969627959</v>
      </c>
      <c r="AR162" s="41">
        <f t="shared" si="109"/>
        <v>0.83860357753611381</v>
      </c>
      <c r="AS162" s="41">
        <f t="shared" si="110"/>
        <v>0.40504306261089634</v>
      </c>
      <c r="AT162" s="64">
        <f t="shared" si="111"/>
        <v>23.633745470791819</v>
      </c>
      <c r="AU162" s="64">
        <f>APPLICANTS_PER_YEAR*($H162/Segments!$AH$2)*AS162</f>
        <v>11.665240203193813</v>
      </c>
      <c r="AV162" s="64">
        <f t="shared" si="112"/>
        <v>35.298985673985634</v>
      </c>
      <c r="AW162" s="40">
        <f t="shared" si="113"/>
        <v>1198.2843969627959</v>
      </c>
      <c r="AX162" s="65">
        <f t="shared" si="114"/>
        <v>42298.223761750247</v>
      </c>
      <c r="AY162" s="65">
        <f t="shared" si="115"/>
        <v>28120.868586671382</v>
      </c>
      <c r="AZ162" s="65">
        <f t="shared" si="116"/>
        <v>9481.2146458112147</v>
      </c>
    </row>
    <row r="163" spans="1:52" ht="15" customHeight="1" x14ac:dyDescent="0.35">
      <c r="A163" s="61" t="str">
        <f>Segments!$A$143</f>
        <v>Non-greek</v>
      </c>
      <c r="B163" s="61" t="str">
        <f>Segments!$B$143</f>
        <v>Off 3-6mi</v>
      </c>
      <c r="C163" s="61" t="str">
        <f>Segments!$C$143</f>
        <v>Yes</v>
      </c>
      <c r="D163" s="61" t="str">
        <f>Segments!$D$143</f>
        <v>3.0+</v>
      </c>
      <c r="E163" s="61" t="str">
        <f>Segments!$E$143</f>
        <v>Senior</v>
      </c>
      <c r="F163" s="61">
        <f>Segments!$F$143</f>
        <v>3</v>
      </c>
      <c r="G163" s="61" t="str">
        <f>Segments!$G$143</f>
        <v>Base</v>
      </c>
      <c r="H163" s="62">
        <f>Segments!$H$143</f>
        <v>24</v>
      </c>
      <c r="I163" s="63">
        <f>Segments!$Y$143</f>
        <v>626.67222600519062</v>
      </c>
      <c r="J163" s="42">
        <v>3</v>
      </c>
      <c r="K163" s="40">
        <f t="shared" si="78"/>
        <v>1426.2297754450396</v>
      </c>
      <c r="L163" s="40">
        <f t="shared" si="79"/>
        <v>626.67222600519062</v>
      </c>
      <c r="M163" s="40">
        <f t="shared" si="80"/>
        <v>1060.6845612994148</v>
      </c>
      <c r="N163" s="40">
        <f t="shared" si="81"/>
        <v>1229.9511793888751</v>
      </c>
      <c r="O163" s="40">
        <f t="shared" si="82"/>
        <v>1060.6845612994148</v>
      </c>
      <c r="P163" s="41">
        <f t="shared" si="83"/>
        <v>0.91881029951675142</v>
      </c>
      <c r="Q163" s="41">
        <f t="shared" si="84"/>
        <v>0.41881029951675142</v>
      </c>
      <c r="R163" s="64">
        <f t="shared" si="85"/>
        <v>22.051447188402033</v>
      </c>
      <c r="S163" s="64">
        <f>APPLICANTS_PER_YEAR*($H163/Segments!$AH$2)*Q163</f>
        <v>12.061736626082439</v>
      </c>
      <c r="T163" s="64">
        <f t="shared" si="86"/>
        <v>34.113183814484472</v>
      </c>
      <c r="U163" s="40">
        <f t="shared" si="87"/>
        <v>1060.6845612994148</v>
      </c>
      <c r="V163" s="65">
        <f t="shared" si="88"/>
        <v>36183.327408792757</v>
      </c>
      <c r="W163" s="65">
        <f t="shared" si="89"/>
        <v>23943.119017604895</v>
      </c>
      <c r="X163" s="65">
        <f t="shared" si="90"/>
        <v>8270.235395964668</v>
      </c>
      <c r="Y163" s="40">
        <f t="shared" si="91"/>
        <v>1131.889807675366</v>
      </c>
      <c r="Z163" s="40">
        <f t="shared" si="92"/>
        <v>645.47239278534641</v>
      </c>
      <c r="AA163" s="40">
        <f t="shared" si="93"/>
        <v>1091.2550981383974</v>
      </c>
      <c r="AB163" s="40">
        <f t="shared" si="94"/>
        <v>1266.12476832985</v>
      </c>
      <c r="AC163" s="40">
        <f t="shared" si="95"/>
        <v>1091.2550981383974</v>
      </c>
      <c r="AD163" s="41">
        <f t="shared" si="96"/>
        <v>0.91905704499491137</v>
      </c>
      <c r="AE163" s="41">
        <f t="shared" si="97"/>
        <v>0.41905704499491142</v>
      </c>
      <c r="AF163" s="64">
        <f t="shared" si="98"/>
        <v>34.817807555172251</v>
      </c>
      <c r="AG163" s="64">
        <f>APPLICANTS_PER_YEAR*($H163/Segments!$AH$2)*AE163</f>
        <v>12.068842895853448</v>
      </c>
      <c r="AH163" s="64">
        <f t="shared" si="99"/>
        <v>46.886650451025702</v>
      </c>
      <c r="AI163" s="40">
        <f t="shared" si="100"/>
        <v>1091.2550981383972</v>
      </c>
      <c r="AJ163" s="65">
        <f t="shared" si="101"/>
        <v>51165.29633931478</v>
      </c>
      <c r="AK163" s="65">
        <f t="shared" si="102"/>
        <v>33895.723071071348</v>
      </c>
      <c r="AL163" s="65">
        <f t="shared" si="103"/>
        <v>11370.651611402945</v>
      </c>
      <c r="AM163" s="40">
        <f t="shared" si="104"/>
        <v>1164.5965019056268</v>
      </c>
      <c r="AN163" s="40">
        <f t="shared" si="105"/>
        <v>664.83656456890674</v>
      </c>
      <c r="AO163" s="40">
        <f t="shared" si="106"/>
        <v>1122.7427510825491</v>
      </c>
      <c r="AP163" s="40">
        <f t="shared" si="107"/>
        <v>1303.3831556730102</v>
      </c>
      <c r="AQ163" s="40">
        <f t="shared" si="108"/>
        <v>1122.7427510825491</v>
      </c>
      <c r="AR163" s="41">
        <f t="shared" si="109"/>
        <v>0.91929673895362951</v>
      </c>
      <c r="AS163" s="41">
        <f t="shared" si="110"/>
        <v>0.41929673895362951</v>
      </c>
      <c r="AT163" s="64">
        <f t="shared" si="111"/>
        <v>41.41163139567746</v>
      </c>
      <c r="AU163" s="64">
        <f>APPLICANTS_PER_YEAR*($H163/Segments!$AH$2)*AS163</f>
        <v>12.075746081864528</v>
      </c>
      <c r="AV163" s="64">
        <f t="shared" si="112"/>
        <v>53.48737747754199</v>
      </c>
      <c r="AW163" s="40">
        <f t="shared" si="113"/>
        <v>1122.7427510825491</v>
      </c>
      <c r="AX163" s="65">
        <f t="shared" si="114"/>
        <v>60052.565337326276</v>
      </c>
      <c r="AY163" s="65">
        <f t="shared" si="115"/>
        <v>39827.608004765658</v>
      </c>
      <c r="AZ163" s="65">
        <f t="shared" si="116"/>
        <v>13196.104523558561</v>
      </c>
    </row>
    <row r="164" spans="1:52" ht="15" customHeight="1" x14ac:dyDescent="0.35">
      <c r="A164" s="61" t="str">
        <f>Segments!$A$144</f>
        <v>Non-greek</v>
      </c>
      <c r="B164" s="61" t="str">
        <f>Segments!$B$144</f>
        <v>Off 3-6mi</v>
      </c>
      <c r="C164" s="61" t="str">
        <f>Segments!$C$144</f>
        <v>Yes</v>
      </c>
      <c r="D164" s="61" t="str">
        <f>Segments!$D$144</f>
        <v>3.0+</v>
      </c>
      <c r="E164" s="61" t="str">
        <f>Segments!$E$144</f>
        <v>Grad student</v>
      </c>
      <c r="F164" s="61">
        <f>Segments!$F$144</f>
        <v>3</v>
      </c>
      <c r="G164" s="61" t="str">
        <f>Segments!$G$144</f>
        <v>Grad</v>
      </c>
      <c r="H164" s="62">
        <f>Segments!$H$144</f>
        <v>9</v>
      </c>
      <c r="I164" s="63">
        <f>Segments!$Y$144</f>
        <v>746.16635363399848</v>
      </c>
      <c r="J164" s="42">
        <v>4</v>
      </c>
      <c r="K164" s="40">
        <f t="shared" si="78"/>
        <v>1426.2297754450396</v>
      </c>
      <c r="L164" s="40">
        <f t="shared" si="79"/>
        <v>746.16635363399848</v>
      </c>
      <c r="M164" s="40">
        <f t="shared" si="80"/>
        <v>1254.9913285443956</v>
      </c>
      <c r="N164" s="40">
        <f t="shared" si="81"/>
        <v>1337.8736863752667</v>
      </c>
      <c r="O164" s="40">
        <f t="shared" si="82"/>
        <v>1254.9913285443956</v>
      </c>
      <c r="P164" s="41">
        <f t="shared" si="83"/>
        <v>0.8809754047317524</v>
      </c>
      <c r="Q164" s="41">
        <f t="shared" si="84"/>
        <v>0.38097540473175245</v>
      </c>
      <c r="R164" s="64">
        <f t="shared" si="85"/>
        <v>3.9643893212928858</v>
      </c>
      <c r="S164" s="64">
        <f>APPLICANTS_PER_YEAR*($H164/Segments!$AH$2)*Q164</f>
        <v>4.1145343711029261</v>
      </c>
      <c r="T164" s="64">
        <f t="shared" si="86"/>
        <v>8.0789236923958114</v>
      </c>
      <c r="U164" s="40">
        <f t="shared" si="87"/>
        <v>1254.9913285443956</v>
      </c>
      <c r="V164" s="65">
        <f t="shared" si="88"/>
        <v>10138.979177928613</v>
      </c>
      <c r="W164" s="65">
        <f t="shared" si="89"/>
        <v>6751.6075567833786</v>
      </c>
      <c r="X164" s="65">
        <f t="shared" si="90"/>
        <v>2361.4385712396188</v>
      </c>
      <c r="Y164" s="40">
        <f t="shared" si="91"/>
        <v>1254.9913285443956</v>
      </c>
      <c r="Z164" s="40">
        <f t="shared" si="92"/>
        <v>768.55134424301843</v>
      </c>
      <c r="AA164" s="40">
        <f t="shared" si="93"/>
        <v>1291.3910684007276</v>
      </c>
      <c r="AB164" s="40">
        <f t="shared" si="94"/>
        <v>1377.3434594543971</v>
      </c>
      <c r="AC164" s="40">
        <f t="shared" si="95"/>
        <v>1291.3910684007276</v>
      </c>
      <c r="AD164" s="41">
        <f t="shared" si="96"/>
        <v>0.87250104273795148</v>
      </c>
      <c r="AE164" s="41">
        <f t="shared" si="97"/>
        <v>0.38120223589246127</v>
      </c>
      <c r="AF164" s="64">
        <f t="shared" si="98"/>
        <v>3.5244346729078435</v>
      </c>
      <c r="AG164" s="64">
        <f>APPLICANTS_PER_YEAR*($H164/Segments!$AH$2)*AE164</f>
        <v>4.1169841476385809</v>
      </c>
      <c r="AH164" s="64">
        <f t="shared" si="99"/>
        <v>7.6414188205464244</v>
      </c>
      <c r="AI164" s="40">
        <f t="shared" si="100"/>
        <v>1291.3910684007278</v>
      </c>
      <c r="AJ164" s="65">
        <f t="shared" si="101"/>
        <v>9868.0600147628757</v>
      </c>
      <c r="AK164" s="65">
        <f t="shared" si="102"/>
        <v>6577.5614312294374</v>
      </c>
      <c r="AL164" s="65">
        <f t="shared" si="103"/>
        <v>2306.8986023873504</v>
      </c>
      <c r="AM164" s="40">
        <f t="shared" si="104"/>
        <v>1291.3910684007278</v>
      </c>
      <c r="AN164" s="40">
        <f t="shared" si="105"/>
        <v>791.60788457030901</v>
      </c>
      <c r="AO164" s="40">
        <f t="shared" si="106"/>
        <v>1328.8828004527495</v>
      </c>
      <c r="AP164" s="40">
        <f t="shared" si="107"/>
        <v>1417.9970078119786</v>
      </c>
      <c r="AQ164" s="40">
        <f t="shared" si="108"/>
        <v>1328.8828004527495</v>
      </c>
      <c r="AR164" s="41">
        <f t="shared" si="109"/>
        <v>0.87271294991401094</v>
      </c>
      <c r="AS164" s="41">
        <f t="shared" si="110"/>
        <v>0.38142256537506225</v>
      </c>
      <c r="AT164" s="64">
        <f t="shared" si="111"/>
        <v>3.3343825802037563</v>
      </c>
      <c r="AU164" s="64">
        <f>APPLICANTS_PER_YEAR*($H164/Segments!$AH$2)*AS164</f>
        <v>4.119363706050672</v>
      </c>
      <c r="AV164" s="64">
        <f t="shared" si="112"/>
        <v>7.4537462862544288</v>
      </c>
      <c r="AW164" s="40">
        <f t="shared" si="113"/>
        <v>1328.8828004527495</v>
      </c>
      <c r="AX164" s="65">
        <f t="shared" si="114"/>
        <v>9905.155238742067</v>
      </c>
      <c r="AY164" s="65">
        <f t="shared" si="115"/>
        <v>6608.4976493599452</v>
      </c>
      <c r="AZ164" s="65">
        <f t="shared" si="116"/>
        <v>2315.7286637209077</v>
      </c>
    </row>
    <row r="165" spans="1:52" ht="15" customHeight="1" x14ac:dyDescent="0.35">
      <c r="A165" s="59" t="str">
        <f>Segments!$A$145</f>
        <v>Non-greek</v>
      </c>
      <c r="B165" s="59" t="str">
        <f>Segments!$B$145</f>
        <v>Off 3-6mi</v>
      </c>
      <c r="C165" s="59" t="str">
        <f>Segments!$C$145</f>
        <v>No</v>
      </c>
      <c r="D165" s="59" t="str">
        <f>Segments!$D$145</f>
        <v>&lt;1.0</v>
      </c>
      <c r="E165" s="59" t="str">
        <f>Segments!$E$145</f>
        <v>Freshman</v>
      </c>
      <c r="F165" s="59">
        <f>Segments!$F$145</f>
        <v>1</v>
      </c>
      <c r="G165" s="59" t="str">
        <f>Segments!$G$145</f>
        <v>Base</v>
      </c>
      <c r="H165" s="60">
        <f>Segments!$H$145</f>
        <v>1</v>
      </c>
      <c r="I165" s="26">
        <f>Segments!$Y$145</f>
        <v>1116.4465552030069</v>
      </c>
      <c r="J165" s="29">
        <v>0</v>
      </c>
      <c r="K165" s="14">
        <f t="shared" si="78"/>
        <v>1857.0958032110539</v>
      </c>
      <c r="L165" s="14">
        <f t="shared" si="79"/>
        <v>1116.4465552030069</v>
      </c>
      <c r="M165" s="14">
        <f t="shared" si="80"/>
        <v>1857.0958032110539</v>
      </c>
      <c r="N165" s="14">
        <f t="shared" si="81"/>
        <v>1627.4659229592573</v>
      </c>
      <c r="O165" s="14">
        <f t="shared" si="82"/>
        <v>1857.0958032110539</v>
      </c>
      <c r="P165" s="33">
        <f t="shared" si="83"/>
        <v>0.77945170863109214</v>
      </c>
      <c r="Q165" s="33">
        <f t="shared" si="84"/>
        <v>0.27945170863109214</v>
      </c>
      <c r="R165" s="51">
        <f t="shared" si="85"/>
        <v>0</v>
      </c>
      <c r="S165" s="51">
        <f>APPLICANTS_PER_YEAR*($H165/Segments!$AH$2)*Q165</f>
        <v>0.33534205035731057</v>
      </c>
      <c r="T165" s="51">
        <f t="shared" si="86"/>
        <v>0.33534205035731057</v>
      </c>
      <c r="U165" s="14">
        <f t="shared" si="87"/>
        <v>1857.0958032110539</v>
      </c>
      <c r="V165" s="44">
        <f t="shared" si="88"/>
        <v>622.76231435875138</v>
      </c>
      <c r="W165" s="44">
        <f t="shared" si="89"/>
        <v>419.31845416846863</v>
      </c>
      <c r="X165" s="44">
        <f t="shared" si="90"/>
        <v>154.58915068243928</v>
      </c>
      <c r="Y165" s="14">
        <f t="shared" si="91"/>
        <v>1911.5586773073856</v>
      </c>
      <c r="Z165" s="14">
        <f t="shared" si="92"/>
        <v>1149.9399518590972</v>
      </c>
      <c r="AA165" s="14">
        <f t="shared" si="93"/>
        <v>1911.5586773073856</v>
      </c>
      <c r="AB165" s="14">
        <f t="shared" si="94"/>
        <v>1675.7420923813763</v>
      </c>
      <c r="AC165" s="14">
        <f t="shared" si="95"/>
        <v>1911.5586773073856</v>
      </c>
      <c r="AD165" s="33">
        <f t="shared" si="96"/>
        <v>0.77963816269874409</v>
      </c>
      <c r="AE165" s="33">
        <f t="shared" si="97"/>
        <v>0.27963816269874409</v>
      </c>
      <c r="AF165" s="51">
        <f t="shared" si="98"/>
        <v>0</v>
      </c>
      <c r="AG165" s="51">
        <f>APPLICANTS_PER_YEAR*($H165/Segments!$AH$2)*AE165</f>
        <v>0.33556579523849289</v>
      </c>
      <c r="AH165" s="51">
        <f t="shared" si="99"/>
        <v>0.33556579523849289</v>
      </c>
      <c r="AI165" s="14">
        <f t="shared" si="100"/>
        <v>1911.5586773073856</v>
      </c>
      <c r="AJ165" s="44">
        <f t="shared" si="101"/>
        <v>641.45370769569445</v>
      </c>
      <c r="AK165" s="44">
        <f t="shared" si="102"/>
        <v>432.18617615276571</v>
      </c>
      <c r="AL165" s="44">
        <f t="shared" si="103"/>
        <v>158.78609130956775</v>
      </c>
      <c r="AM165" s="14">
        <f t="shared" si="104"/>
        <v>1967.655437626607</v>
      </c>
      <c r="AN165" s="14">
        <f t="shared" si="105"/>
        <v>1184.4381504148701</v>
      </c>
      <c r="AO165" s="14">
        <f t="shared" si="106"/>
        <v>1967.655437626607</v>
      </c>
      <c r="AP165" s="14">
        <f t="shared" si="107"/>
        <v>1725.4663703569061</v>
      </c>
      <c r="AQ165" s="14">
        <f t="shared" si="108"/>
        <v>1967.655437626607</v>
      </c>
      <c r="AR165" s="33">
        <f t="shared" si="109"/>
        <v>0.77981924439952865</v>
      </c>
      <c r="AS165" s="33">
        <f t="shared" si="110"/>
        <v>0.27981924439952865</v>
      </c>
      <c r="AT165" s="51">
        <f t="shared" si="111"/>
        <v>0</v>
      </c>
      <c r="AU165" s="51">
        <f>APPLICANTS_PER_YEAR*($H165/Segments!$AH$2)*AS165</f>
        <v>0.3357830932794344</v>
      </c>
      <c r="AV165" s="51">
        <f t="shared" si="112"/>
        <v>0.3357830932794344</v>
      </c>
      <c r="AW165" s="14">
        <f t="shared" si="113"/>
        <v>1967.655437626607</v>
      </c>
      <c r="AX165" s="44">
        <f t="shared" si="114"/>
        <v>660.70542935436129</v>
      </c>
      <c r="AY165" s="44">
        <f t="shared" si="115"/>
        <v>445.44002265781438</v>
      </c>
      <c r="AZ165" s="44">
        <f t="shared" si="116"/>
        <v>163.10825537295148</v>
      </c>
    </row>
    <row r="166" spans="1:52" ht="15" customHeight="1" x14ac:dyDescent="0.35">
      <c r="A166" s="59" t="str">
        <f>Segments!$A$146</f>
        <v>Non-greek</v>
      </c>
      <c r="B166" s="59" t="str">
        <f>Segments!$B$146</f>
        <v>Off 3-6mi</v>
      </c>
      <c r="C166" s="59" t="str">
        <f>Segments!$C$146</f>
        <v>No</v>
      </c>
      <c r="D166" s="59" t="str">
        <f>Segments!$D$146</f>
        <v>&lt;1.0</v>
      </c>
      <c r="E166" s="59" t="str">
        <f>Segments!$E$146</f>
        <v>Sophomore</v>
      </c>
      <c r="F166" s="59">
        <f>Segments!$F$146</f>
        <v>1</v>
      </c>
      <c r="G166" s="59" t="str">
        <f>Segments!$G$146</f>
        <v>Sophomore</v>
      </c>
      <c r="H166" s="60">
        <f>Segments!$H$146</f>
        <v>4</v>
      </c>
      <c r="I166" s="26">
        <f>Segments!$Y$146</f>
        <v>1105.0880990458159</v>
      </c>
      <c r="J166" s="29">
        <v>1</v>
      </c>
      <c r="K166" s="14">
        <f t="shared" si="78"/>
        <v>1426.2297754450396</v>
      </c>
      <c r="L166" s="14">
        <f t="shared" si="79"/>
        <v>1105.0880990458159</v>
      </c>
      <c r="M166" s="14">
        <f t="shared" si="80"/>
        <v>1838.6260679981783</v>
      </c>
      <c r="N166" s="14">
        <f t="shared" si="81"/>
        <v>1619.3527238030749</v>
      </c>
      <c r="O166" s="14">
        <f t="shared" si="82"/>
        <v>1782.7872193062994</v>
      </c>
      <c r="P166" s="33">
        <f t="shared" si="83"/>
        <v>0.72453709185748116</v>
      </c>
      <c r="Q166" s="33">
        <f t="shared" si="84"/>
        <v>0.28229599056092713</v>
      </c>
      <c r="R166" s="51">
        <f t="shared" si="85"/>
        <v>0.72453709185748116</v>
      </c>
      <c r="S166" s="51">
        <f>APPLICANTS_PER_YEAR*($H166/Segments!$AH$2)*Q166</f>
        <v>1.3550207546924502</v>
      </c>
      <c r="T166" s="51">
        <f t="shared" si="86"/>
        <v>2.0795578465499314</v>
      </c>
      <c r="U166" s="14">
        <f t="shared" si="87"/>
        <v>1819.1712992303828</v>
      </c>
      <c r="V166" s="44">
        <f t="shared" si="88"/>
        <v>3783.0719495329759</v>
      </c>
      <c r="W166" s="44">
        <f t="shared" si="89"/>
        <v>2573.8659827996353</v>
      </c>
      <c r="X166" s="44">
        <f t="shared" si="90"/>
        <v>877.66545113900588</v>
      </c>
      <c r="Y166" s="14">
        <f t="shared" si="91"/>
        <v>1857.0958032110539</v>
      </c>
      <c r="Z166" s="14">
        <f t="shared" si="92"/>
        <v>1138.2407420171903</v>
      </c>
      <c r="AA166" s="14">
        <f t="shared" si="93"/>
        <v>1892.5348500381235</v>
      </c>
      <c r="AB166" s="14">
        <f t="shared" si="94"/>
        <v>1667.3827517452426</v>
      </c>
      <c r="AC166" s="14">
        <f t="shared" si="95"/>
        <v>1892.5348500381235</v>
      </c>
      <c r="AD166" s="33">
        <f t="shared" si="96"/>
        <v>0.77675846494555267</v>
      </c>
      <c r="AE166" s="33">
        <f t="shared" si="97"/>
        <v>0.28248337909900556</v>
      </c>
      <c r="AF166" s="51">
        <f t="shared" si="98"/>
        <v>0.26047977626723878</v>
      </c>
      <c r="AG166" s="51">
        <f>APPLICANTS_PER_YEAR*($H166/Segments!$AH$2)*AE166</f>
        <v>1.3559202196752267</v>
      </c>
      <c r="AH166" s="51">
        <f t="shared" si="99"/>
        <v>1.6163999959424655</v>
      </c>
      <c r="AI166" s="14">
        <f t="shared" si="100"/>
        <v>1892.5348500381235</v>
      </c>
      <c r="AJ166" s="44">
        <f t="shared" si="101"/>
        <v>3059.0933239225974</v>
      </c>
      <c r="AK166" s="44">
        <f t="shared" si="102"/>
        <v>2060.6346104715117</v>
      </c>
      <c r="AL166" s="44">
        <f t="shared" si="103"/>
        <v>734.20906306833592</v>
      </c>
      <c r="AM166" s="14">
        <f t="shared" si="104"/>
        <v>1911.5586773073856</v>
      </c>
      <c r="AN166" s="14">
        <f t="shared" si="105"/>
        <v>1172.387964277706</v>
      </c>
      <c r="AO166" s="14">
        <f t="shared" si="106"/>
        <v>1948.0608955392672</v>
      </c>
      <c r="AP166" s="14">
        <f t="shared" si="107"/>
        <v>1716.8535013280443</v>
      </c>
      <c r="AQ166" s="14">
        <f t="shared" si="108"/>
        <v>1948.0608955392672</v>
      </c>
      <c r="AR166" s="33">
        <f t="shared" si="109"/>
        <v>0.77693671116439944</v>
      </c>
      <c r="AS166" s="33">
        <f t="shared" si="110"/>
        <v>0.28266536893439764</v>
      </c>
      <c r="AT166" s="51">
        <f t="shared" si="111"/>
        <v>0.26071338533186095</v>
      </c>
      <c r="AU166" s="51">
        <f>APPLICANTS_PER_YEAR*($H166/Segments!$AH$2)*AS166</f>
        <v>1.3567937708851086</v>
      </c>
      <c r="AV166" s="51">
        <f t="shared" si="112"/>
        <v>1.6175071562169694</v>
      </c>
      <c r="AW166" s="14">
        <f t="shared" si="113"/>
        <v>1948.0608955392672</v>
      </c>
      <c r="AX166" s="44">
        <f t="shared" si="114"/>
        <v>3151.0024392812029</v>
      </c>
      <c r="AY166" s="44">
        <f t="shared" si="115"/>
        <v>2123.9074327316544</v>
      </c>
      <c r="AZ166" s="44">
        <f t="shared" si="116"/>
        <v>754.3185395136536</v>
      </c>
    </row>
    <row r="167" spans="1:52" ht="15" customHeight="1" x14ac:dyDescent="0.35">
      <c r="A167" s="59" t="str">
        <f>Segments!$A$147</f>
        <v>Non-greek</v>
      </c>
      <c r="B167" s="59" t="str">
        <f>Segments!$B$147</f>
        <v>Off 3-6mi</v>
      </c>
      <c r="C167" s="59" t="str">
        <f>Segments!$C$147</f>
        <v>No</v>
      </c>
      <c r="D167" s="59" t="str">
        <f>Segments!$D$147</f>
        <v>&lt;1.0</v>
      </c>
      <c r="E167" s="59" t="str">
        <f>Segments!$E$147</f>
        <v>Junior</v>
      </c>
      <c r="F167" s="59">
        <f>Segments!$F$147</f>
        <v>2</v>
      </c>
      <c r="G167" s="59" t="str">
        <f>Segments!$G$147</f>
        <v>Base</v>
      </c>
      <c r="H167" s="60">
        <f>Segments!$H$147</f>
        <v>4</v>
      </c>
      <c r="I167" s="26">
        <f>Segments!$Y$147</f>
        <v>1321.0506302605493</v>
      </c>
      <c r="J167" s="29">
        <v>2</v>
      </c>
      <c r="K167" s="14">
        <f t="shared" si="78"/>
        <v>1426.2297754450396</v>
      </c>
      <c r="L167" s="14">
        <f t="shared" si="79"/>
        <v>1321.0506302605493</v>
      </c>
      <c r="M167" s="14">
        <f t="shared" si="80"/>
        <v>2189.7979801169927</v>
      </c>
      <c r="N167" s="14">
        <f t="shared" si="81"/>
        <v>1767.2450541597959</v>
      </c>
      <c r="O167" s="14">
        <f t="shared" si="82"/>
        <v>1782.7872193062994</v>
      </c>
      <c r="P167" s="33">
        <f t="shared" si="83"/>
        <v>0.77060271363897159</v>
      </c>
      <c r="Q167" s="33">
        <f t="shared" si="84"/>
        <v>0.23044868905911531</v>
      </c>
      <c r="R167" s="51">
        <f t="shared" si="85"/>
        <v>3.0824108545558864</v>
      </c>
      <c r="S167" s="51">
        <f>APPLICANTS_PER_YEAR*($H167/Segments!$AH$2)*Q167</f>
        <v>1.1061537074837535</v>
      </c>
      <c r="T167" s="51">
        <f t="shared" si="86"/>
        <v>4.1885645620396401</v>
      </c>
      <c r="U167" s="14">
        <f t="shared" si="87"/>
        <v>1890.2742725409039</v>
      </c>
      <c r="V167" s="44">
        <f t="shared" si="88"/>
        <v>7917.53583050009</v>
      </c>
      <c r="W167" s="44">
        <f t="shared" si="89"/>
        <v>6197.302557117805</v>
      </c>
      <c r="X167" s="44">
        <f t="shared" si="90"/>
        <v>1692.6182662945434</v>
      </c>
      <c r="Y167" s="14">
        <f t="shared" si="91"/>
        <v>1819.1712992303828</v>
      </c>
      <c r="Z167" s="14">
        <f t="shared" si="92"/>
        <v>1360.6821491683659</v>
      </c>
      <c r="AA167" s="14">
        <f t="shared" si="93"/>
        <v>2254.2419195205025</v>
      </c>
      <c r="AB167" s="14">
        <f t="shared" si="94"/>
        <v>1819.7579385942561</v>
      </c>
      <c r="AC167" s="14">
        <f t="shared" si="95"/>
        <v>2254.2419195205025</v>
      </c>
      <c r="AD167" s="33">
        <f t="shared" si="96"/>
        <v>0.65887278514145242</v>
      </c>
      <c r="AE167" s="33">
        <f t="shared" si="97"/>
        <v>0.23062039139615431</v>
      </c>
      <c r="AF167" s="51">
        <f t="shared" si="98"/>
        <v>1.3701640702191145</v>
      </c>
      <c r="AG167" s="51">
        <f>APPLICANTS_PER_YEAR*($H167/Segments!$AH$2)*AE167</f>
        <v>1.1069778787015407</v>
      </c>
      <c r="AH167" s="51">
        <f t="shared" si="99"/>
        <v>2.4771419489206554</v>
      </c>
      <c r="AI167" s="14">
        <f t="shared" si="100"/>
        <v>2254.2419195205025</v>
      </c>
      <c r="AJ167" s="44">
        <f t="shared" si="101"/>
        <v>5584.0772218596567</v>
      </c>
      <c r="AK167" s="44">
        <f t="shared" si="102"/>
        <v>3775.0751705547691</v>
      </c>
      <c r="AL167" s="44">
        <f t="shared" si="103"/>
        <v>1219.9467387127079</v>
      </c>
      <c r="AM167" s="14">
        <f t="shared" si="104"/>
        <v>1892.5348500381235</v>
      </c>
      <c r="AN167" s="14">
        <f t="shared" si="105"/>
        <v>1401.5026136434167</v>
      </c>
      <c r="AO167" s="14">
        <f t="shared" si="106"/>
        <v>2320.6191771061176</v>
      </c>
      <c r="AP167" s="14">
        <f t="shared" si="107"/>
        <v>1873.8460717145456</v>
      </c>
      <c r="AQ167" s="14">
        <f t="shared" si="108"/>
        <v>2320.6191771061176</v>
      </c>
      <c r="AR167" s="33">
        <f t="shared" si="109"/>
        <v>0.6629282567474547</v>
      </c>
      <c r="AS167" s="33">
        <f t="shared" si="110"/>
        <v>0.23078713824589114</v>
      </c>
      <c r="AT167" s="51">
        <f t="shared" si="111"/>
        <v>1.0715572315167314</v>
      </c>
      <c r="AU167" s="51">
        <f>APPLICANTS_PER_YEAR*($H167/Segments!$AH$2)*AS167</f>
        <v>1.1077782635802775</v>
      </c>
      <c r="AV167" s="51">
        <f t="shared" si="112"/>
        <v>2.1793354950970087</v>
      </c>
      <c r="AW167" s="14">
        <f t="shared" si="113"/>
        <v>2320.6191771061176</v>
      </c>
      <c r="AX167" s="44">
        <f t="shared" si="114"/>
        <v>5057.4077432701743</v>
      </c>
      <c r="AY167" s="44">
        <f t="shared" si="115"/>
        <v>3420.8657194704469</v>
      </c>
      <c r="AZ167" s="44">
        <f t="shared" si="116"/>
        <v>1117.1068318551097</v>
      </c>
    </row>
    <row r="168" spans="1:52" ht="15" customHeight="1" x14ac:dyDescent="0.35">
      <c r="A168" s="59" t="str">
        <f>Segments!$A$148</f>
        <v>Non-greek</v>
      </c>
      <c r="B168" s="59" t="str">
        <f>Segments!$B$148</f>
        <v>Off 3-6mi</v>
      </c>
      <c r="C168" s="59" t="str">
        <f>Segments!$C$148</f>
        <v>No</v>
      </c>
      <c r="D168" s="59" t="str">
        <f>Segments!$D$148</f>
        <v>&lt;1.0</v>
      </c>
      <c r="E168" s="59" t="str">
        <f>Segments!$E$148</f>
        <v>Senior</v>
      </c>
      <c r="F168" s="59">
        <f>Segments!$F$148</f>
        <v>3</v>
      </c>
      <c r="G168" s="59" t="str">
        <f>Segments!$G$148</f>
        <v>Base</v>
      </c>
      <c r="H168" s="60">
        <f>Segments!$H$148</f>
        <v>1</v>
      </c>
      <c r="I168" s="26">
        <f>Segments!$Y$148</f>
        <v>1234.7694534403834</v>
      </c>
      <c r="J168" s="29">
        <v>3</v>
      </c>
      <c r="K168" s="14">
        <f t="shared" si="78"/>
        <v>1426.2297754450396</v>
      </c>
      <c r="L168" s="14">
        <f t="shared" si="79"/>
        <v>1234.7694534403834</v>
      </c>
      <c r="M168" s="14">
        <f t="shared" si="80"/>
        <v>2049.4980601569318</v>
      </c>
      <c r="N168" s="14">
        <f t="shared" si="81"/>
        <v>1709.6944633801284</v>
      </c>
      <c r="O168" s="14">
        <f t="shared" si="82"/>
        <v>1782.7872193062994</v>
      </c>
      <c r="P168" s="33">
        <f t="shared" si="83"/>
        <v>0.75362402976328768</v>
      </c>
      <c r="Q168" s="33">
        <f t="shared" si="84"/>
        <v>0.25062446710361352</v>
      </c>
      <c r="R168" s="51">
        <f t="shared" si="85"/>
        <v>3.0144961190531507</v>
      </c>
      <c r="S168" s="51">
        <f>APPLICANTS_PER_YEAR*($H168/Segments!$AH$2)*Q168</f>
        <v>0.30074936052433621</v>
      </c>
      <c r="T168" s="51">
        <f t="shared" si="86"/>
        <v>3.3152454795774871</v>
      </c>
      <c r="U168" s="14">
        <f t="shared" si="87"/>
        <v>1806.9824456703388</v>
      </c>
      <c r="V168" s="44">
        <f t="shared" si="88"/>
        <v>5990.5903846844631</v>
      </c>
      <c r="W168" s="44">
        <f t="shared" si="89"/>
        <v>4584.7915106992268</v>
      </c>
      <c r="X168" s="44">
        <f t="shared" si="90"/>
        <v>1227.6187093946037</v>
      </c>
      <c r="Y168" s="14">
        <f t="shared" si="91"/>
        <v>1890.2742725409039</v>
      </c>
      <c r="Z168" s="14">
        <f t="shared" si="92"/>
        <v>1271.8125370435948</v>
      </c>
      <c r="AA168" s="14">
        <f t="shared" si="93"/>
        <v>2109.7330019616397</v>
      </c>
      <c r="AB168" s="14">
        <f t="shared" si="94"/>
        <v>1760.4638441063878</v>
      </c>
      <c r="AC168" s="14">
        <f t="shared" si="95"/>
        <v>2109.7330019616397</v>
      </c>
      <c r="AD168" s="33">
        <f t="shared" si="96"/>
        <v>0.71597228630064325</v>
      </c>
      <c r="AE168" s="33">
        <f t="shared" si="97"/>
        <v>0.2508019508538839</v>
      </c>
      <c r="AF168" s="51">
        <f t="shared" si="98"/>
        <v>2.9988961458013734</v>
      </c>
      <c r="AG168" s="51">
        <f>APPLICANTS_PER_YEAR*($H168/Segments!$AH$2)*AE168</f>
        <v>0.30096234102466068</v>
      </c>
      <c r="AH168" s="51">
        <f t="shared" si="99"/>
        <v>3.2998584868260341</v>
      </c>
      <c r="AI168" s="14">
        <f t="shared" si="100"/>
        <v>2109.7330019616397</v>
      </c>
      <c r="AJ168" s="44">
        <f t="shared" si="101"/>
        <v>6961.8203514600827</v>
      </c>
      <c r="AK168" s="44">
        <f t="shared" si="102"/>
        <v>4700.4175612968629</v>
      </c>
      <c r="AL168" s="44">
        <f t="shared" si="103"/>
        <v>1411.5285311003504</v>
      </c>
      <c r="AM168" s="14">
        <f t="shared" si="104"/>
        <v>2254.2419195205025</v>
      </c>
      <c r="AN168" s="14">
        <f t="shared" si="105"/>
        <v>1309.9669131549026</v>
      </c>
      <c r="AO168" s="14">
        <f t="shared" si="106"/>
        <v>2171.7749920204888</v>
      </c>
      <c r="AP168" s="14">
        <f t="shared" si="107"/>
        <v>1812.7561540044469</v>
      </c>
      <c r="AQ168" s="14">
        <f t="shared" si="108"/>
        <v>2171.7749920204888</v>
      </c>
      <c r="AR168" s="33">
        <f t="shared" si="109"/>
        <v>0.75097431548557825</v>
      </c>
      <c r="AS168" s="33">
        <f t="shared" si="110"/>
        <v>0.25097431548557825</v>
      </c>
      <c r="AT168" s="51">
        <f t="shared" si="111"/>
        <v>1.8602699794513005</v>
      </c>
      <c r="AU168" s="51">
        <f>APPLICANTS_PER_YEAR*($H168/Segments!$AH$2)*AS168</f>
        <v>0.30116917858269387</v>
      </c>
      <c r="AV168" s="51">
        <f t="shared" si="112"/>
        <v>2.1614391580339944</v>
      </c>
      <c r="AW168" s="14">
        <f t="shared" si="113"/>
        <v>2171.7749920204888</v>
      </c>
      <c r="AX168" s="44">
        <f t="shared" si="114"/>
        <v>4694.1595101920502</v>
      </c>
      <c r="AY168" s="44">
        <f t="shared" si="115"/>
        <v>3171.1834356405543</v>
      </c>
      <c r="AZ168" s="44">
        <f t="shared" si="116"/>
        <v>960.84666921600842</v>
      </c>
    </row>
    <row r="169" spans="1:52" ht="15" customHeight="1" x14ac:dyDescent="0.35">
      <c r="A169" s="59" t="str">
        <f>Segments!$A$149</f>
        <v>Non-greek</v>
      </c>
      <c r="B169" s="59" t="str">
        <f>Segments!$B$149</f>
        <v>Off 3-6mi</v>
      </c>
      <c r="C169" s="59" t="str">
        <f>Segments!$C$149</f>
        <v>No</v>
      </c>
      <c r="D169" s="59" t="str">
        <f>Segments!$D$149</f>
        <v>&lt;1.0</v>
      </c>
      <c r="E169" s="59" t="str">
        <f>Segments!$E$149</f>
        <v>Grad student</v>
      </c>
      <c r="F169" s="59">
        <f>Segments!$F$149</f>
        <v>3</v>
      </c>
      <c r="G169" s="59" t="str">
        <f>Segments!$G$149</f>
        <v>Grad</v>
      </c>
      <c r="H169" s="60">
        <f>Segments!$H$149</f>
        <v>4</v>
      </c>
      <c r="I169" s="26">
        <f>Segments!$Y$149</f>
        <v>1470.2158200395893</v>
      </c>
      <c r="J169" s="29">
        <v>4</v>
      </c>
      <c r="K169" s="14">
        <f t="shared" si="78"/>
        <v>1426.2297754450396</v>
      </c>
      <c r="L169" s="14">
        <f t="shared" si="79"/>
        <v>1470.2158200395893</v>
      </c>
      <c r="M169" s="14">
        <f t="shared" si="80"/>
        <v>2432.3522075639144</v>
      </c>
      <c r="N169" s="14">
        <f t="shared" si="81"/>
        <v>1862.5501718872242</v>
      </c>
      <c r="O169" s="14">
        <f t="shared" si="82"/>
        <v>1782.7872193062994</v>
      </c>
      <c r="P169" s="33">
        <f t="shared" si="83"/>
        <v>0.79641229637323141</v>
      </c>
      <c r="Q169" s="33">
        <f t="shared" si="84"/>
        <v>0.19703713105904153</v>
      </c>
      <c r="R169" s="51">
        <f t="shared" si="85"/>
        <v>1.5928245927464628</v>
      </c>
      <c r="S169" s="51">
        <f>APPLICANTS_PER_YEAR*($H169/Segments!$AH$2)*Q169</f>
        <v>0.94577822908339926</v>
      </c>
      <c r="T169" s="51">
        <f t="shared" si="86"/>
        <v>2.538602821829862</v>
      </c>
      <c r="U169" s="14">
        <f t="shared" si="87"/>
        <v>2024.7882204026575</v>
      </c>
      <c r="V169" s="44">
        <f t="shared" si="88"/>
        <v>5140.1330899220511</v>
      </c>
      <c r="W169" s="44">
        <f t="shared" si="89"/>
        <v>4180.1693129855748</v>
      </c>
      <c r="X169" s="44">
        <f t="shared" si="90"/>
        <v>1126.4179678771413</v>
      </c>
      <c r="Y169" s="14">
        <f t="shared" si="91"/>
        <v>2024.7882204026575</v>
      </c>
      <c r="Z169" s="14">
        <f t="shared" si="92"/>
        <v>1514.322294640777</v>
      </c>
      <c r="AA169" s="14">
        <f t="shared" si="93"/>
        <v>2504.0727737908319</v>
      </c>
      <c r="AB169" s="14">
        <f t="shared" si="94"/>
        <v>1917.9480296289539</v>
      </c>
      <c r="AC169" s="14">
        <f t="shared" si="95"/>
        <v>2504.0727737908319</v>
      </c>
      <c r="AD169" s="33">
        <f t="shared" si="96"/>
        <v>0.62618749958962316</v>
      </c>
      <c r="AE169" s="33">
        <f t="shared" si="97"/>
        <v>0.19720004528087509</v>
      </c>
      <c r="AF169" s="51">
        <f t="shared" si="98"/>
        <v>0.79482067672640144</v>
      </c>
      <c r="AG169" s="51">
        <f>APPLICANTS_PER_YEAR*($H169/Segments!$AH$2)*AE169</f>
        <v>0.94656021734820039</v>
      </c>
      <c r="AH169" s="51">
        <f t="shared" si="99"/>
        <v>1.7413808940746018</v>
      </c>
      <c r="AI169" s="14">
        <f t="shared" si="100"/>
        <v>2504.0727737908319</v>
      </c>
      <c r="AJ169" s="44">
        <f t="shared" si="101"/>
        <v>4360.544485651747</v>
      </c>
      <c r="AK169" s="44">
        <f t="shared" si="102"/>
        <v>2953.4533407216982</v>
      </c>
      <c r="AL169" s="44">
        <f t="shared" si="103"/>
        <v>965.593479518908</v>
      </c>
      <c r="AM169" s="14">
        <f t="shared" si="104"/>
        <v>2504.0727737908319</v>
      </c>
      <c r="AN169" s="14">
        <f t="shared" si="105"/>
        <v>1559.7519634800003</v>
      </c>
      <c r="AO169" s="14">
        <f t="shared" si="106"/>
        <v>2577.9449570045567</v>
      </c>
      <c r="AP169" s="14">
        <f t="shared" si="107"/>
        <v>1975.0077053616787</v>
      </c>
      <c r="AQ169" s="14">
        <f t="shared" si="108"/>
        <v>2577.9449570045567</v>
      </c>
      <c r="AR169" s="33">
        <f t="shared" si="109"/>
        <v>0.68850800936693679</v>
      </c>
      <c r="AS169" s="33">
        <f t="shared" si="110"/>
        <v>0.19735825333591206</v>
      </c>
      <c r="AT169" s="51">
        <f t="shared" si="111"/>
        <v>0.59947734646446038</v>
      </c>
      <c r="AU169" s="51">
        <f>APPLICANTS_PER_YEAR*($H169/Segments!$AH$2)*AS169</f>
        <v>0.9473196160123778</v>
      </c>
      <c r="AV169" s="51">
        <f t="shared" si="112"/>
        <v>1.5467969624768383</v>
      </c>
      <c r="AW169" s="14">
        <f t="shared" si="113"/>
        <v>2577.9449570045563</v>
      </c>
      <c r="AX169" s="44">
        <f t="shared" si="114"/>
        <v>3987.5574289271312</v>
      </c>
      <c r="AY169" s="44">
        <f t="shared" si="115"/>
        <v>2702.133951247527</v>
      </c>
      <c r="AZ169" s="44">
        <f t="shared" si="116"/>
        <v>893.74210765404507</v>
      </c>
    </row>
    <row r="170" spans="1:52" ht="15" customHeight="1" x14ac:dyDescent="0.35">
      <c r="A170" s="61" t="str">
        <f>Segments!$A$150</f>
        <v>Non-greek</v>
      </c>
      <c r="B170" s="61" t="str">
        <f>Segments!$B$150</f>
        <v>Off 3-6mi</v>
      </c>
      <c r="C170" s="61" t="str">
        <f>Segments!$C$150</f>
        <v>No</v>
      </c>
      <c r="D170" s="61" t="str">
        <f>Segments!$D$150</f>
        <v>1.0-2.0</v>
      </c>
      <c r="E170" s="61" t="str">
        <f>Segments!$E$150</f>
        <v>Freshman</v>
      </c>
      <c r="F170" s="61">
        <f>Segments!$F$150</f>
        <v>1</v>
      </c>
      <c r="G170" s="61" t="str">
        <f>Segments!$G$150</f>
        <v>Base</v>
      </c>
      <c r="H170" s="62">
        <f>Segments!$H$150</f>
        <v>14</v>
      </c>
      <c r="I170" s="63">
        <f>Segments!$Y$150</f>
        <v>1013.0871418290872</v>
      </c>
      <c r="J170" s="42">
        <v>0</v>
      </c>
      <c r="K170" s="40">
        <f t="shared" si="78"/>
        <v>1689.0253392012203</v>
      </c>
      <c r="L170" s="40">
        <f t="shared" si="79"/>
        <v>1013.0871418290872</v>
      </c>
      <c r="M170" s="40">
        <f t="shared" si="80"/>
        <v>1689.0253392012203</v>
      </c>
      <c r="N170" s="40">
        <f t="shared" si="81"/>
        <v>1552.0754589419739</v>
      </c>
      <c r="O170" s="40">
        <f t="shared" si="82"/>
        <v>1689.0253392012203</v>
      </c>
      <c r="P170" s="41">
        <f t="shared" si="83"/>
        <v>0.80588169393754761</v>
      </c>
      <c r="Q170" s="41">
        <f t="shared" si="84"/>
        <v>0.30588169393754761</v>
      </c>
      <c r="R170" s="64">
        <f t="shared" si="85"/>
        <v>0</v>
      </c>
      <c r="S170" s="64">
        <f>APPLICANTS_PER_YEAR*($H170/Segments!$AH$2)*Q170</f>
        <v>5.1388124581507997</v>
      </c>
      <c r="T170" s="64">
        <f t="shared" si="86"/>
        <v>5.1388124581507997</v>
      </c>
      <c r="U170" s="40">
        <f t="shared" si="87"/>
        <v>1689.02533920122</v>
      </c>
      <c r="V170" s="65">
        <f t="shared" si="88"/>
        <v>8679.5844552196104</v>
      </c>
      <c r="W170" s="65">
        <f t="shared" si="89"/>
        <v>5830.792604698544</v>
      </c>
      <c r="X170" s="65">
        <f t="shared" si="90"/>
        <v>2175.4734785859787</v>
      </c>
      <c r="Y170" s="40">
        <f t="shared" si="91"/>
        <v>1738.4460993772568</v>
      </c>
      <c r="Z170" s="40">
        <f t="shared" si="92"/>
        <v>1043.4797560839597</v>
      </c>
      <c r="AA170" s="40">
        <f t="shared" si="93"/>
        <v>1738.4460993772568</v>
      </c>
      <c r="AB170" s="40">
        <f t="shared" si="94"/>
        <v>1598.0632958791944</v>
      </c>
      <c r="AC170" s="40">
        <f t="shared" si="95"/>
        <v>1738.4460993772568</v>
      </c>
      <c r="AD170" s="41">
        <f t="shared" si="96"/>
        <v>0.80607720799918969</v>
      </c>
      <c r="AE170" s="41">
        <f t="shared" si="97"/>
        <v>0.30607720799918969</v>
      </c>
      <c r="AF170" s="64">
        <f t="shared" si="98"/>
        <v>0</v>
      </c>
      <c r="AG170" s="64">
        <f>APPLICANTS_PER_YEAR*($H170/Segments!$AH$2)*AE170</f>
        <v>5.1420970943863873</v>
      </c>
      <c r="AH170" s="64">
        <f t="shared" si="99"/>
        <v>5.1420970943863873</v>
      </c>
      <c r="AI170" s="40">
        <f t="shared" si="100"/>
        <v>1738.446099377257</v>
      </c>
      <c r="AJ170" s="65">
        <f t="shared" si="101"/>
        <v>8939.2586363551418</v>
      </c>
      <c r="AK170" s="65">
        <f t="shared" si="102"/>
        <v>6009.5551284275871</v>
      </c>
      <c r="AL170" s="65">
        <f t="shared" si="103"/>
        <v>2233.7883037909392</v>
      </c>
      <c r="AM170" s="40">
        <f t="shared" si="104"/>
        <v>1789.3494823585745</v>
      </c>
      <c r="AN170" s="40">
        <f t="shared" si="105"/>
        <v>1074.7841487664784</v>
      </c>
      <c r="AO170" s="40">
        <f t="shared" si="106"/>
        <v>1789.3494823585745</v>
      </c>
      <c r="AP170" s="40">
        <f t="shared" si="107"/>
        <v>1645.430564381664</v>
      </c>
      <c r="AQ170" s="40">
        <f t="shared" si="108"/>
        <v>1789.3494823585745</v>
      </c>
      <c r="AR170" s="41">
        <f t="shared" si="109"/>
        <v>0.80626709473729941</v>
      </c>
      <c r="AS170" s="41">
        <f t="shared" si="110"/>
        <v>0.30626709473729941</v>
      </c>
      <c r="AT170" s="64">
        <f t="shared" si="111"/>
        <v>0</v>
      </c>
      <c r="AU170" s="64">
        <f>APPLICANTS_PER_YEAR*($H170/Segments!$AH$2)*AS170</f>
        <v>5.1452871915866298</v>
      </c>
      <c r="AV170" s="64">
        <f t="shared" si="112"/>
        <v>5.1452871915866298</v>
      </c>
      <c r="AW170" s="40">
        <f t="shared" si="113"/>
        <v>1789.3494823585745</v>
      </c>
      <c r="AX170" s="65">
        <f t="shared" si="114"/>
        <v>9206.7169728517401</v>
      </c>
      <c r="AY170" s="65">
        <f t="shared" si="115"/>
        <v>6193.6818880927212</v>
      </c>
      <c r="AZ170" s="65">
        <f t="shared" si="116"/>
        <v>2293.8425255401885</v>
      </c>
    </row>
    <row r="171" spans="1:52" ht="15" customHeight="1" x14ac:dyDescent="0.35">
      <c r="A171" s="61" t="str">
        <f>Segments!$A$151</f>
        <v>Non-greek</v>
      </c>
      <c r="B171" s="61" t="str">
        <f>Segments!$B$151</f>
        <v>Off 3-6mi</v>
      </c>
      <c r="C171" s="61" t="str">
        <f>Segments!$C$151</f>
        <v>No</v>
      </c>
      <c r="D171" s="61" t="str">
        <f>Segments!$D$151</f>
        <v>1.0-2.0</v>
      </c>
      <c r="E171" s="61" t="str">
        <f>Segments!$E$151</f>
        <v>Sophomore</v>
      </c>
      <c r="F171" s="61">
        <f>Segments!$F$151</f>
        <v>1</v>
      </c>
      <c r="G171" s="61" t="str">
        <f>Segments!$G$151</f>
        <v>Sophomore</v>
      </c>
      <c r="H171" s="62">
        <f>Segments!$H$151</f>
        <v>11</v>
      </c>
      <c r="I171" s="63">
        <f>Segments!$Y$151</f>
        <v>1002.7802392458395</v>
      </c>
      <c r="J171" s="42">
        <v>1</v>
      </c>
      <c r="K171" s="40">
        <f t="shared" si="78"/>
        <v>1426.2297754450396</v>
      </c>
      <c r="L171" s="40">
        <f t="shared" si="79"/>
        <v>1002.7802392458395</v>
      </c>
      <c r="M171" s="40">
        <f t="shared" si="80"/>
        <v>1672.265512078327</v>
      </c>
      <c r="N171" s="40">
        <f t="shared" si="81"/>
        <v>1544.3558093185509</v>
      </c>
      <c r="O171" s="40">
        <f t="shared" si="82"/>
        <v>1672.265512078327</v>
      </c>
      <c r="P171" s="41">
        <f t="shared" si="83"/>
        <v>0.75683567247410743</v>
      </c>
      <c r="Q171" s="41">
        <f t="shared" si="84"/>
        <v>0.30858800737887715</v>
      </c>
      <c r="R171" s="64">
        <f t="shared" si="85"/>
        <v>10.595699414637505</v>
      </c>
      <c r="S171" s="64">
        <f>APPLICANTS_PER_YEAR*($H171/Segments!$AH$2)*Q171</f>
        <v>4.0733616974011788</v>
      </c>
      <c r="T171" s="64">
        <f t="shared" si="86"/>
        <v>14.669061112038683</v>
      </c>
      <c r="U171" s="40">
        <f t="shared" si="87"/>
        <v>1672.265512078327</v>
      </c>
      <c r="V171" s="65">
        <f t="shared" si="88"/>
        <v>24530.564992231641</v>
      </c>
      <c r="W171" s="65">
        <f t="shared" si="89"/>
        <v>16475.025964815031</v>
      </c>
      <c r="X171" s="65">
        <f t="shared" si="90"/>
        <v>5269.9030281750529</v>
      </c>
      <c r="Y171" s="40">
        <f t="shared" si="91"/>
        <v>1689.02533920122</v>
      </c>
      <c r="Z171" s="40">
        <f t="shared" si="92"/>
        <v>1032.8636464232147</v>
      </c>
      <c r="AA171" s="40">
        <f t="shared" si="93"/>
        <v>1721.1834774406766</v>
      </c>
      <c r="AB171" s="40">
        <f t="shared" si="94"/>
        <v>1590.1091843850932</v>
      </c>
      <c r="AC171" s="40">
        <f t="shared" si="95"/>
        <v>1721.1834774406766</v>
      </c>
      <c r="AD171" s="41">
        <f t="shared" si="96"/>
        <v>0.80307265970003794</v>
      </c>
      <c r="AE171" s="41">
        <f t="shared" si="97"/>
        <v>0.30878449909517658</v>
      </c>
      <c r="AF171" s="64">
        <f t="shared" si="98"/>
        <v>4.1268397884668522</v>
      </c>
      <c r="AG171" s="64">
        <f>APPLICANTS_PER_YEAR*($H171/Segments!$AH$2)*AE171</f>
        <v>4.0759553880563315</v>
      </c>
      <c r="AH171" s="64">
        <f t="shared" si="99"/>
        <v>8.2027951765231837</v>
      </c>
      <c r="AI171" s="40">
        <f t="shared" si="100"/>
        <v>1721.1834774406764</v>
      </c>
      <c r="AJ171" s="65">
        <f t="shared" si="101"/>
        <v>14118.51552666178</v>
      </c>
      <c r="AK171" s="65">
        <f t="shared" si="102"/>
        <v>9489.0532093128732</v>
      </c>
      <c r="AL171" s="65">
        <f t="shared" si="103"/>
        <v>3179.8955701757236</v>
      </c>
      <c r="AM171" s="40">
        <f t="shared" si="104"/>
        <v>1738.446099377257</v>
      </c>
      <c r="AN171" s="40">
        <f t="shared" si="105"/>
        <v>1063.8495558159111</v>
      </c>
      <c r="AO171" s="40">
        <f t="shared" si="106"/>
        <v>1771.568981763897</v>
      </c>
      <c r="AP171" s="40">
        <f t="shared" si="107"/>
        <v>1637.2349540909677</v>
      </c>
      <c r="AQ171" s="40">
        <f t="shared" si="108"/>
        <v>1771.568981763897</v>
      </c>
      <c r="AR171" s="41">
        <f t="shared" si="109"/>
        <v>0.80325938963120069</v>
      </c>
      <c r="AS171" s="41">
        <f t="shared" si="110"/>
        <v>0.30897533602698002</v>
      </c>
      <c r="AT171" s="64">
        <f t="shared" si="111"/>
        <v>4.1304377734611801</v>
      </c>
      <c r="AU171" s="64">
        <f>APPLICANTS_PER_YEAR*($H171/Segments!$AH$2)*AS171</f>
        <v>4.0784744355561369</v>
      </c>
      <c r="AV171" s="64">
        <f t="shared" si="112"/>
        <v>8.208912209017317</v>
      </c>
      <c r="AW171" s="40">
        <f t="shared" si="113"/>
        <v>1771.568981763897</v>
      </c>
      <c r="AX171" s="65">
        <f t="shared" si="114"/>
        <v>14542.654243518031</v>
      </c>
      <c r="AY171" s="65">
        <f t="shared" si="115"/>
        <v>9781.0133201702683</v>
      </c>
      <c r="AZ171" s="65">
        <f t="shared" si="116"/>
        <v>3267.5872151973472</v>
      </c>
    </row>
    <row r="172" spans="1:52" ht="15" customHeight="1" x14ac:dyDescent="0.35">
      <c r="A172" s="61" t="str">
        <f>Segments!$A$152</f>
        <v>Non-greek</v>
      </c>
      <c r="B172" s="61" t="str">
        <f>Segments!$B$152</f>
        <v>Off 3-6mi</v>
      </c>
      <c r="C172" s="61" t="str">
        <f>Segments!$C$152</f>
        <v>No</v>
      </c>
      <c r="D172" s="61" t="str">
        <f>Segments!$D$152</f>
        <v>1.0-2.0</v>
      </c>
      <c r="E172" s="61" t="str">
        <f>Segments!$E$152</f>
        <v>Junior</v>
      </c>
      <c r="F172" s="61">
        <f>Segments!$F$152</f>
        <v>2</v>
      </c>
      <c r="G172" s="61" t="str">
        <f>Segments!$G$152</f>
        <v>Base</v>
      </c>
      <c r="H172" s="62">
        <f>Segments!$H$152</f>
        <v>16</v>
      </c>
      <c r="I172" s="63">
        <f>Segments!$Y$152</f>
        <v>1198.7491931298221</v>
      </c>
      <c r="J172" s="42">
        <v>2</v>
      </c>
      <c r="K172" s="40">
        <f t="shared" si="78"/>
        <v>1426.2297754450396</v>
      </c>
      <c r="L172" s="40">
        <f t="shared" si="79"/>
        <v>1198.7491931298221</v>
      </c>
      <c r="M172" s="40">
        <f t="shared" si="80"/>
        <v>1990.9263087650208</v>
      </c>
      <c r="N172" s="40">
        <f t="shared" si="81"/>
        <v>1685.0870548068303</v>
      </c>
      <c r="O172" s="40">
        <f t="shared" si="82"/>
        <v>1782.7872193062994</v>
      </c>
      <c r="P172" s="41">
        <f t="shared" si="83"/>
        <v>0.74601035100211222</v>
      </c>
      <c r="Q172" s="41">
        <f t="shared" si="84"/>
        <v>0.25925120067661711</v>
      </c>
      <c r="R172" s="64">
        <f t="shared" si="85"/>
        <v>8.2061138610232351</v>
      </c>
      <c r="S172" s="64">
        <f>APPLICANTS_PER_YEAR*($H172/Segments!$AH$2)*Q172</f>
        <v>4.9776230529910483</v>
      </c>
      <c r="T172" s="64">
        <f t="shared" si="86"/>
        <v>13.183736914014283</v>
      </c>
      <c r="U172" s="40">
        <f t="shared" si="87"/>
        <v>1861.3717615097314</v>
      </c>
      <c r="V172" s="65">
        <f t="shared" si="88"/>
        <v>24539.835602919637</v>
      </c>
      <c r="W172" s="65">
        <f t="shared" si="89"/>
        <v>17700.47326668373</v>
      </c>
      <c r="X172" s="65">
        <f t="shared" si="90"/>
        <v>5372.9970677529027</v>
      </c>
      <c r="Y172" s="40">
        <f t="shared" si="91"/>
        <v>1672.265512078327</v>
      </c>
      <c r="Z172" s="40">
        <f t="shared" si="92"/>
        <v>1234.7116689237168</v>
      </c>
      <c r="AA172" s="40">
        <f t="shared" si="93"/>
        <v>2049.4040980279715</v>
      </c>
      <c r="AB172" s="40">
        <f t="shared" si="94"/>
        <v>1735.1105961645137</v>
      </c>
      <c r="AC172" s="40">
        <f t="shared" si="95"/>
        <v>2049.4040980279715</v>
      </c>
      <c r="AD172" s="41">
        <f t="shared" si="96"/>
        <v>0.69177361442069796</v>
      </c>
      <c r="AE172" s="41">
        <f t="shared" si="97"/>
        <v>0.25943127701536484</v>
      </c>
      <c r="AF172" s="64">
        <f t="shared" si="98"/>
        <v>10.147669425633103</v>
      </c>
      <c r="AG172" s="64">
        <f>APPLICANTS_PER_YEAR*($H172/Segments!$AH$2)*AE172</f>
        <v>4.9810805186950047</v>
      </c>
      <c r="AH172" s="64">
        <f t="shared" si="99"/>
        <v>15.128749944328106</v>
      </c>
      <c r="AI172" s="40">
        <f t="shared" si="100"/>
        <v>2049.4040980279719</v>
      </c>
      <c r="AJ172" s="65">
        <f t="shared" si="101"/>
        <v>31004.922133946471</v>
      </c>
      <c r="AK172" s="65">
        <f t="shared" si="102"/>
        <v>20921.201383589858</v>
      </c>
      <c r="AL172" s="65">
        <f t="shared" si="103"/>
        <v>6644.3209341365491</v>
      </c>
      <c r="AM172" s="40">
        <f t="shared" si="104"/>
        <v>1721.1834774406764</v>
      </c>
      <c r="AN172" s="40">
        <f t="shared" si="105"/>
        <v>1271.7530189914282</v>
      </c>
      <c r="AO172" s="40">
        <f t="shared" si="106"/>
        <v>2109.6362209688104</v>
      </c>
      <c r="AP172" s="40">
        <f t="shared" si="107"/>
        <v>1786.6346847410039</v>
      </c>
      <c r="AQ172" s="40">
        <f t="shared" si="108"/>
        <v>2109.6362209688104</v>
      </c>
      <c r="AR172" s="41">
        <f t="shared" si="109"/>
        <v>0.69189936236236549</v>
      </c>
      <c r="AS172" s="41">
        <f t="shared" si="110"/>
        <v>0.25960616096103895</v>
      </c>
      <c r="AT172" s="64">
        <f t="shared" si="111"/>
        <v>5.6755087522254781</v>
      </c>
      <c r="AU172" s="64">
        <f>APPLICANTS_PER_YEAR*($H172/Segments!$AH$2)*AS172</f>
        <v>4.9844382904519478</v>
      </c>
      <c r="AV172" s="64">
        <f t="shared" si="112"/>
        <v>10.659947042677427</v>
      </c>
      <c r="AW172" s="40">
        <f t="shared" si="113"/>
        <v>2109.63622096881</v>
      </c>
      <c r="AX172" s="65">
        <f t="shared" si="114"/>
        <v>22488.610394841649</v>
      </c>
      <c r="AY172" s="65">
        <f t="shared" si="115"/>
        <v>15183.638213871418</v>
      </c>
      <c r="AZ172" s="65">
        <f t="shared" si="116"/>
        <v>4956.1945672951642</v>
      </c>
    </row>
    <row r="173" spans="1:52" ht="15" customHeight="1" x14ac:dyDescent="0.35">
      <c r="A173" s="61" t="str">
        <f>Segments!$A$153</f>
        <v>Non-greek</v>
      </c>
      <c r="B173" s="61" t="str">
        <f>Segments!$B$153</f>
        <v>Off 3-6mi</v>
      </c>
      <c r="C173" s="61" t="str">
        <f>Segments!$C$153</f>
        <v>No</v>
      </c>
      <c r="D173" s="61" t="str">
        <f>Segments!$D$153</f>
        <v>1.0-2.0</v>
      </c>
      <c r="E173" s="61" t="str">
        <f>Segments!$E$153</f>
        <v>Senior</v>
      </c>
      <c r="F173" s="61">
        <f>Segments!$F$153</f>
        <v>3</v>
      </c>
      <c r="G173" s="61" t="str">
        <f>Segments!$G$153</f>
        <v>Base</v>
      </c>
      <c r="H173" s="62">
        <f>Segments!$H$153</f>
        <v>9</v>
      </c>
      <c r="I173" s="63">
        <f>Segments!$Y$153</f>
        <v>1120.4558342484397</v>
      </c>
      <c r="J173" s="42">
        <v>3</v>
      </c>
      <c r="K173" s="40">
        <f t="shared" si="78"/>
        <v>1426.2297754450396</v>
      </c>
      <c r="L173" s="40">
        <f t="shared" si="79"/>
        <v>1120.4558342484397</v>
      </c>
      <c r="M173" s="40">
        <f t="shared" si="80"/>
        <v>1863.6152035009245</v>
      </c>
      <c r="N173" s="40">
        <f t="shared" si="81"/>
        <v>1630.3200585176783</v>
      </c>
      <c r="O173" s="40">
        <f t="shared" si="82"/>
        <v>1782.7872193062994</v>
      </c>
      <c r="P173" s="41">
        <f t="shared" si="83"/>
        <v>0.72824011380708664</v>
      </c>
      <c r="Q173" s="41">
        <f t="shared" si="84"/>
        <v>0.27845112106534364</v>
      </c>
      <c r="R173" s="64">
        <f t="shared" si="85"/>
        <v>11.651841820913386</v>
      </c>
      <c r="S173" s="64">
        <f>APPLICANTS_PER_YEAR*($H173/Segments!$AH$2)*Q173</f>
        <v>3.0072721075057109</v>
      </c>
      <c r="T173" s="64">
        <f t="shared" si="86"/>
        <v>14.659113928419098</v>
      </c>
      <c r="U173" s="40">
        <f t="shared" si="87"/>
        <v>1799.3688315075099</v>
      </c>
      <c r="V173" s="65">
        <f t="shared" si="88"/>
        <v>26377.152700314935</v>
      </c>
      <c r="W173" s="65">
        <f t="shared" si="89"/>
        <v>18395.876493130916</v>
      </c>
      <c r="X173" s="65">
        <f t="shared" si="90"/>
        <v>5549.7998723369637</v>
      </c>
      <c r="Y173" s="40">
        <f t="shared" si="91"/>
        <v>1861.3717615097314</v>
      </c>
      <c r="Z173" s="40">
        <f t="shared" si="92"/>
        <v>1154.0695092758929</v>
      </c>
      <c r="AA173" s="40">
        <f t="shared" si="93"/>
        <v>1918.2736596059522</v>
      </c>
      <c r="AB173" s="40">
        <f t="shared" si="94"/>
        <v>1678.6828113450706</v>
      </c>
      <c r="AC173" s="40">
        <f t="shared" si="95"/>
        <v>1918.2736596059522</v>
      </c>
      <c r="AD173" s="41">
        <f t="shared" si="96"/>
        <v>0.76946628675068396</v>
      </c>
      <c r="AE173" s="41">
        <f t="shared" si="97"/>
        <v>0.27863724860895378</v>
      </c>
      <c r="AF173" s="64">
        <f t="shared" si="98"/>
        <v>10.144441088724491</v>
      </c>
      <c r="AG173" s="64">
        <f>APPLICANTS_PER_YEAR*($H173/Segments!$AH$2)*AE173</f>
        <v>3.0092822849767007</v>
      </c>
      <c r="AH173" s="64">
        <f t="shared" si="99"/>
        <v>13.153723373701192</v>
      </c>
      <c r="AI173" s="40">
        <f t="shared" si="100"/>
        <v>1918.2736596059519</v>
      </c>
      <c r="AJ173" s="65">
        <f t="shared" si="101"/>
        <v>25232.441073514135</v>
      </c>
      <c r="AK173" s="65">
        <f t="shared" si="102"/>
        <v>17001.94840852276</v>
      </c>
      <c r="AL173" s="65">
        <f t="shared" si="103"/>
        <v>5309.2798304482494</v>
      </c>
      <c r="AM173" s="40">
        <f t="shared" si="104"/>
        <v>2049.4040980279719</v>
      </c>
      <c r="AN173" s="40">
        <f t="shared" si="105"/>
        <v>1188.6915945541696</v>
      </c>
      <c r="AO173" s="40">
        <f t="shared" si="106"/>
        <v>1974.5718693941305</v>
      </c>
      <c r="AP173" s="40">
        <f t="shared" si="107"/>
        <v>1728.4962711541339</v>
      </c>
      <c r="AQ173" s="40">
        <f t="shared" si="108"/>
        <v>1974.5718693941305</v>
      </c>
      <c r="AR173" s="41">
        <f t="shared" si="109"/>
        <v>0.77881801299007436</v>
      </c>
      <c r="AS173" s="41">
        <f t="shared" si="110"/>
        <v>0.27881801299007436</v>
      </c>
      <c r="AT173" s="64">
        <f t="shared" si="111"/>
        <v>11.782542970665315</v>
      </c>
      <c r="AU173" s="64">
        <f>APPLICANTS_PER_YEAR*($H173/Segments!$AH$2)*AS173</f>
        <v>3.0112345402928029</v>
      </c>
      <c r="AV173" s="64">
        <f t="shared" si="112"/>
        <v>14.793777510958117</v>
      </c>
      <c r="AW173" s="40">
        <f t="shared" si="113"/>
        <v>1974.5718693941305</v>
      </c>
      <c r="AX173" s="65">
        <f t="shared" si="114"/>
        <v>29211.376915213415</v>
      </c>
      <c r="AY173" s="65">
        <f t="shared" si="115"/>
        <v>19695.46765645807</v>
      </c>
      <c r="AZ173" s="65">
        <f t="shared" si="116"/>
        <v>6100.2131162411724</v>
      </c>
    </row>
    <row r="174" spans="1:52" ht="15" customHeight="1" x14ac:dyDescent="0.35">
      <c r="A174" s="61" t="str">
        <f>Segments!$A$154</f>
        <v>Non-greek</v>
      </c>
      <c r="B174" s="61" t="str">
        <f>Segments!$B$154</f>
        <v>Off 3-6mi</v>
      </c>
      <c r="C174" s="61" t="str">
        <f>Segments!$C$154</f>
        <v>No</v>
      </c>
      <c r="D174" s="61" t="str">
        <f>Segments!$D$154</f>
        <v>1.0-2.0</v>
      </c>
      <c r="E174" s="61" t="str">
        <f>Segments!$E$154</f>
        <v>Grad student</v>
      </c>
      <c r="F174" s="61">
        <f>Segments!$F$154</f>
        <v>3</v>
      </c>
      <c r="G174" s="61" t="str">
        <f>Segments!$G$154</f>
        <v>Grad</v>
      </c>
      <c r="H174" s="62">
        <f>Segments!$H$154</f>
        <v>3</v>
      </c>
      <c r="I174" s="63">
        <f>Segments!$Y$154</f>
        <v>1334.1048311309291</v>
      </c>
      <c r="J174" s="42">
        <v>4</v>
      </c>
      <c r="K174" s="40">
        <f t="shared" si="78"/>
        <v>1426.2297754450396</v>
      </c>
      <c r="L174" s="40">
        <f t="shared" si="79"/>
        <v>1334.1048311309291</v>
      </c>
      <c r="M174" s="40">
        <f t="shared" si="80"/>
        <v>2211.0251284331803</v>
      </c>
      <c r="N174" s="40">
        <f t="shared" si="81"/>
        <v>1775.7899291381834</v>
      </c>
      <c r="O174" s="40">
        <f t="shared" si="82"/>
        <v>1782.7872193062994</v>
      </c>
      <c r="P174" s="41">
        <f t="shared" si="83"/>
        <v>0.77302980914203301</v>
      </c>
      <c r="Q174" s="41">
        <f t="shared" si="84"/>
        <v>0.22745307253031255</v>
      </c>
      <c r="R174" s="64">
        <f t="shared" si="85"/>
        <v>1.1595447137130495</v>
      </c>
      <c r="S174" s="64">
        <f>APPLICANTS_PER_YEAR*($H174/Segments!$AH$2)*Q174</f>
        <v>0.81883106110912507</v>
      </c>
      <c r="T174" s="64">
        <f t="shared" si="86"/>
        <v>1.9783757748221746</v>
      </c>
      <c r="U174" s="40">
        <f t="shared" si="87"/>
        <v>1960.0308481457373</v>
      </c>
      <c r="V174" s="65">
        <f t="shared" si="88"/>
        <v>3877.6775478756872</v>
      </c>
      <c r="W174" s="65">
        <f t="shared" si="89"/>
        <v>2956.0839604605781</v>
      </c>
      <c r="X174" s="65">
        <f t="shared" si="90"/>
        <v>856.28531039456232</v>
      </c>
      <c r="Y174" s="40">
        <f t="shared" si="91"/>
        <v>1960.0308481457373</v>
      </c>
      <c r="Z174" s="40">
        <f t="shared" si="92"/>
        <v>1374.127976064857</v>
      </c>
      <c r="AA174" s="40">
        <f t="shared" si="93"/>
        <v>2276.1058822861755</v>
      </c>
      <c r="AB174" s="40">
        <f t="shared" si="94"/>
        <v>1828.5615879219411</v>
      </c>
      <c r="AC174" s="40">
        <f t="shared" si="95"/>
        <v>2276.1058822861755</v>
      </c>
      <c r="AD174" s="41">
        <f t="shared" si="96"/>
        <v>0.67924587808918191</v>
      </c>
      <c r="AE174" s="41">
        <f t="shared" si="97"/>
        <v>0.22762394843018552</v>
      </c>
      <c r="AF174" s="64">
        <f t="shared" si="98"/>
        <v>0.67190179517972681</v>
      </c>
      <c r="AG174" s="64">
        <f>APPLICANTS_PER_YEAR*($H174/Segments!$AH$2)*AE174</f>
        <v>0.81944621434866782</v>
      </c>
      <c r="AH174" s="64">
        <f t="shared" si="99"/>
        <v>1.4913480095283946</v>
      </c>
      <c r="AI174" s="40">
        <f t="shared" si="100"/>
        <v>2276.1058822861755</v>
      </c>
      <c r="AJ174" s="65">
        <f t="shared" si="101"/>
        <v>3394.4659770233584</v>
      </c>
      <c r="AK174" s="65">
        <f t="shared" si="102"/>
        <v>2295.2193845745987</v>
      </c>
      <c r="AL174" s="65">
        <f t="shared" si="103"/>
        <v>757.14730741106428</v>
      </c>
      <c r="AM174" s="40">
        <f t="shared" si="104"/>
        <v>2276.1058822861755</v>
      </c>
      <c r="AN174" s="40">
        <f t="shared" si="105"/>
        <v>1415.3518153468026</v>
      </c>
      <c r="AO174" s="40">
        <f t="shared" si="106"/>
        <v>2343.1390587547603</v>
      </c>
      <c r="AP174" s="40">
        <f t="shared" si="107"/>
        <v>1882.9162606034304</v>
      </c>
      <c r="AQ174" s="40">
        <f t="shared" si="108"/>
        <v>2343.1390587547603</v>
      </c>
      <c r="AR174" s="41">
        <f t="shared" si="109"/>
        <v>0.71895464733602499</v>
      </c>
      <c r="AS174" s="41">
        <f t="shared" si="110"/>
        <v>0.22778989225897928</v>
      </c>
      <c r="AT174" s="64">
        <f t="shared" si="111"/>
        <v>0.53610579112288492</v>
      </c>
      <c r="AU174" s="64">
        <f>APPLICANTS_PER_YEAR*($H174/Segments!$AH$2)*AS174</f>
        <v>0.82004361213232535</v>
      </c>
      <c r="AV174" s="64">
        <f t="shared" si="112"/>
        <v>1.3561494032552104</v>
      </c>
      <c r="AW174" s="40">
        <f t="shared" si="113"/>
        <v>2343.1390587547598</v>
      </c>
      <c r="AX174" s="65">
        <f t="shared" si="114"/>
        <v>3177.6466362742431</v>
      </c>
      <c r="AY174" s="65">
        <f t="shared" si="115"/>
        <v>2149.7599421521945</v>
      </c>
      <c r="AZ174" s="65">
        <f t="shared" si="116"/>
        <v>715.4509602356801</v>
      </c>
    </row>
    <row r="175" spans="1:52" ht="15" customHeight="1" x14ac:dyDescent="0.35">
      <c r="A175" s="59" t="str">
        <f>Segments!$A$155</f>
        <v>Non-greek</v>
      </c>
      <c r="B175" s="59" t="str">
        <f>Segments!$B$155</f>
        <v>Off 3-6mi</v>
      </c>
      <c r="C175" s="59" t="str">
        <f>Segments!$C$155</f>
        <v>No</v>
      </c>
      <c r="D175" s="59" t="str">
        <f>Segments!$D$155</f>
        <v>2.0-3.0</v>
      </c>
      <c r="E175" s="59" t="str">
        <f>Segments!$E$155</f>
        <v>Freshman</v>
      </c>
      <c r="F175" s="59">
        <f>Segments!$F$155</f>
        <v>1</v>
      </c>
      <c r="G175" s="59" t="str">
        <f>Segments!$G$155</f>
        <v>Base</v>
      </c>
      <c r="H175" s="60">
        <f>Segments!$H$155</f>
        <v>24</v>
      </c>
      <c r="I175" s="26">
        <f>Segments!$Y$155</f>
        <v>995.54018839421497</v>
      </c>
      <c r="J175" s="29">
        <v>0</v>
      </c>
      <c r="K175" s="14">
        <f t="shared" si="78"/>
        <v>1660.4926249617445</v>
      </c>
      <c r="L175" s="14">
        <f t="shared" si="79"/>
        <v>995.54018839421497</v>
      </c>
      <c r="M175" s="14">
        <f t="shared" si="80"/>
        <v>1660.4926249617445</v>
      </c>
      <c r="N175" s="14">
        <f t="shared" si="81"/>
        <v>1538.9100115430185</v>
      </c>
      <c r="O175" s="14">
        <f t="shared" si="82"/>
        <v>1660.4926249617445</v>
      </c>
      <c r="P175" s="33">
        <f t="shared" si="83"/>
        <v>0.81049716601140998</v>
      </c>
      <c r="Q175" s="33">
        <f t="shared" si="84"/>
        <v>0.31049716601140998</v>
      </c>
      <c r="R175" s="51">
        <f t="shared" si="85"/>
        <v>0</v>
      </c>
      <c r="S175" s="51">
        <f>APPLICANTS_PER_YEAR*($H175/Segments!$AH$2)*Q175</f>
        <v>8.9423183811286062</v>
      </c>
      <c r="T175" s="51">
        <f t="shared" si="86"/>
        <v>8.9423183811286062</v>
      </c>
      <c r="U175" s="14">
        <f t="shared" si="87"/>
        <v>1660.4926249617445</v>
      </c>
      <c r="V175" s="44">
        <f t="shared" si="88"/>
        <v>14848.653721923896</v>
      </c>
      <c r="W175" s="44">
        <f t="shared" si="89"/>
        <v>9970.7298049294041</v>
      </c>
      <c r="X175" s="44">
        <f t="shared" si="90"/>
        <v>3728.5027608617402</v>
      </c>
      <c r="Y175" s="14">
        <f t="shared" si="91"/>
        <v>1709.0574037105969</v>
      </c>
      <c r="Z175" s="14">
        <f t="shared" si="92"/>
        <v>1025.4063940460414</v>
      </c>
      <c r="AA175" s="14">
        <f t="shared" si="93"/>
        <v>1709.0574037105969</v>
      </c>
      <c r="AB175" s="14">
        <f t="shared" si="94"/>
        <v>1584.497969020583</v>
      </c>
      <c r="AC175" s="14">
        <f t="shared" si="95"/>
        <v>1709.0574037105969</v>
      </c>
      <c r="AD175" s="33">
        <f t="shared" si="96"/>
        <v>0.81069435331400042</v>
      </c>
      <c r="AE175" s="33">
        <f t="shared" si="97"/>
        <v>0.31069435331400042</v>
      </c>
      <c r="AF175" s="51">
        <f t="shared" si="98"/>
        <v>0</v>
      </c>
      <c r="AG175" s="51">
        <f>APPLICANTS_PER_YEAR*($H175/Segments!$AH$2)*AE175</f>
        <v>8.9479973754432116</v>
      </c>
      <c r="AH175" s="51">
        <f t="shared" si="99"/>
        <v>8.9479973754432116</v>
      </c>
      <c r="AI175" s="14">
        <f t="shared" si="100"/>
        <v>1709.0574037105969</v>
      </c>
      <c r="AJ175" s="44">
        <f t="shared" si="101"/>
        <v>15292.641162884211</v>
      </c>
      <c r="AK175" s="44">
        <f t="shared" si="102"/>
        <v>10276.373769409067</v>
      </c>
      <c r="AL175" s="44">
        <f t="shared" si="103"/>
        <v>3828.2115023810079</v>
      </c>
      <c r="AM175" s="14">
        <f t="shared" si="104"/>
        <v>1759.0791258219144</v>
      </c>
      <c r="AN175" s="14">
        <f t="shared" si="105"/>
        <v>1056.1685858674225</v>
      </c>
      <c r="AO175" s="14">
        <f t="shared" si="106"/>
        <v>1759.0791258219144</v>
      </c>
      <c r="AP175" s="14">
        <f t="shared" si="107"/>
        <v>1631.4533564069977</v>
      </c>
      <c r="AQ175" s="14">
        <f t="shared" si="108"/>
        <v>1759.0791258219144</v>
      </c>
      <c r="AR175" s="33">
        <f t="shared" si="109"/>
        <v>0.81088586630021986</v>
      </c>
      <c r="AS175" s="33">
        <f t="shared" si="110"/>
        <v>0.31088586630021986</v>
      </c>
      <c r="AT175" s="51">
        <f t="shared" si="111"/>
        <v>0</v>
      </c>
      <c r="AU175" s="51">
        <f>APPLICANTS_PER_YEAR*($H175/Segments!$AH$2)*AS175</f>
        <v>8.9535129494463312</v>
      </c>
      <c r="AV175" s="51">
        <f t="shared" si="112"/>
        <v>8.9535129494463312</v>
      </c>
      <c r="AW175" s="14">
        <f t="shared" si="113"/>
        <v>1759.0791258219144</v>
      </c>
      <c r="AX175" s="44">
        <f t="shared" si="114"/>
        <v>15749.937732147244</v>
      </c>
      <c r="AY175" s="44">
        <f t="shared" si="115"/>
        <v>10591.189403605875</v>
      </c>
      <c r="AZ175" s="44">
        <f t="shared" si="116"/>
        <v>3930.8941347260679</v>
      </c>
    </row>
    <row r="176" spans="1:52" ht="15" customHeight="1" x14ac:dyDescent="0.35">
      <c r="A176" s="59" t="str">
        <f>Segments!$A$156</f>
        <v>Non-greek</v>
      </c>
      <c r="B176" s="59" t="str">
        <f>Segments!$B$156</f>
        <v>Off 3-6mi</v>
      </c>
      <c r="C176" s="59" t="str">
        <f>Segments!$C$156</f>
        <v>No</v>
      </c>
      <c r="D176" s="59" t="str">
        <f>Segments!$D$156</f>
        <v>2.0-3.0</v>
      </c>
      <c r="E176" s="59" t="str">
        <f>Segments!$E$156</f>
        <v>Sophomore</v>
      </c>
      <c r="F176" s="59">
        <f>Segments!$F$156</f>
        <v>1</v>
      </c>
      <c r="G176" s="59" t="str">
        <f>Segments!$G$156</f>
        <v>Sophomore</v>
      </c>
      <c r="H176" s="60">
        <f>Segments!$H$156</f>
        <v>18</v>
      </c>
      <c r="I176" s="26">
        <f>Segments!$Y$156</f>
        <v>985.41180425446419</v>
      </c>
      <c r="J176" s="29">
        <v>1</v>
      </c>
      <c r="K176" s="14">
        <f t="shared" si="78"/>
        <v>1426.2297754450396</v>
      </c>
      <c r="L176" s="14">
        <f t="shared" si="79"/>
        <v>985.41180425446419</v>
      </c>
      <c r="M176" s="14">
        <f t="shared" si="80"/>
        <v>1644.0230827452126</v>
      </c>
      <c r="N176" s="14">
        <f t="shared" si="81"/>
        <v>1531.2591786272392</v>
      </c>
      <c r="O176" s="14">
        <f t="shared" si="82"/>
        <v>1644.0230827452126</v>
      </c>
      <c r="P176" s="33">
        <f t="shared" si="83"/>
        <v>0.7673676669705084</v>
      </c>
      <c r="Q176" s="33">
        <f t="shared" si="84"/>
        <v>0.31317935405975317</v>
      </c>
      <c r="R176" s="51">
        <f t="shared" si="85"/>
        <v>18.416824007292202</v>
      </c>
      <c r="S176" s="51">
        <f>APPLICANTS_PER_YEAR*($H176/Segments!$AH$2)*Q176</f>
        <v>6.7646740476906677</v>
      </c>
      <c r="T176" s="51">
        <f t="shared" si="86"/>
        <v>25.181498054982871</v>
      </c>
      <c r="U176" s="14">
        <f t="shared" si="87"/>
        <v>1644.0230827452126</v>
      </c>
      <c r="V176" s="44">
        <f t="shared" si="88"/>
        <v>41398.964060495513</v>
      </c>
      <c r="W176" s="44">
        <f t="shared" si="89"/>
        <v>27791.842884053869</v>
      </c>
      <c r="X176" s="44">
        <f t="shared" si="90"/>
        <v>8886.3958295833581</v>
      </c>
      <c r="Y176" s="14">
        <f t="shared" si="91"/>
        <v>1660.4926249617445</v>
      </c>
      <c r="Z176" s="14">
        <f t="shared" si="92"/>
        <v>1014.9741583820982</v>
      </c>
      <c r="AA176" s="14">
        <f t="shared" si="93"/>
        <v>1692.093775227569</v>
      </c>
      <c r="AB176" s="14">
        <f t="shared" si="94"/>
        <v>1576.6147154035471</v>
      </c>
      <c r="AC176" s="14">
        <f t="shared" si="95"/>
        <v>1692.093775227569</v>
      </c>
      <c r="AD176" s="33">
        <f t="shared" si="96"/>
        <v>0.80766817002576752</v>
      </c>
      <c r="AE176" s="33">
        <f t="shared" si="97"/>
        <v>0.31337752695830179</v>
      </c>
      <c r="AF176" s="51">
        <f t="shared" si="98"/>
        <v>7.2224259226739251</v>
      </c>
      <c r="AG176" s="51">
        <f>APPLICANTS_PER_YEAR*($H176/Segments!$AH$2)*AE176</f>
        <v>6.768954582299318</v>
      </c>
      <c r="AH176" s="51">
        <f t="shared" si="99"/>
        <v>13.991380504973243</v>
      </c>
      <c r="AI176" s="14">
        <f t="shared" si="100"/>
        <v>1692.093775227569</v>
      </c>
      <c r="AJ176" s="44">
        <f t="shared" si="101"/>
        <v>23674.727859305585</v>
      </c>
      <c r="AK176" s="44">
        <f t="shared" si="102"/>
        <v>15904.996410955584</v>
      </c>
      <c r="AL176" s="44">
        <f t="shared" si="103"/>
        <v>5324.4547470384414</v>
      </c>
      <c r="AM176" s="14">
        <f t="shared" si="104"/>
        <v>1709.0574037105969</v>
      </c>
      <c r="AN176" s="14">
        <f t="shared" si="105"/>
        <v>1045.4233831335609</v>
      </c>
      <c r="AO176" s="14">
        <f t="shared" si="106"/>
        <v>1741.6065884843958</v>
      </c>
      <c r="AP176" s="14">
        <f t="shared" si="107"/>
        <v>1623.3307063196985</v>
      </c>
      <c r="AQ176" s="14">
        <f t="shared" si="108"/>
        <v>1741.6065884843958</v>
      </c>
      <c r="AR176" s="33">
        <f t="shared" si="109"/>
        <v>0.80785646513317122</v>
      </c>
      <c r="AS176" s="33">
        <f t="shared" si="110"/>
        <v>0.31356999787404871</v>
      </c>
      <c r="AT176" s="51">
        <f t="shared" si="111"/>
        <v>7.2286975297464462</v>
      </c>
      <c r="AU176" s="51">
        <f>APPLICANTS_PER_YEAR*($H176/Segments!$AH$2)*AS176</f>
        <v>6.7731119540794511</v>
      </c>
      <c r="AV176" s="51">
        <f t="shared" si="112"/>
        <v>14.001809483825898</v>
      </c>
      <c r="AW176" s="14">
        <f t="shared" si="113"/>
        <v>1741.6065884843958</v>
      </c>
      <c r="AX176" s="44">
        <f t="shared" si="114"/>
        <v>24385.643647734483</v>
      </c>
      <c r="AY176" s="44">
        <f t="shared" si="115"/>
        <v>16394.357325441593</v>
      </c>
      <c r="AZ176" s="44">
        <f t="shared" si="116"/>
        <v>5471.1140120821728</v>
      </c>
    </row>
    <row r="177" spans="1:52" ht="15" customHeight="1" x14ac:dyDescent="0.35">
      <c r="A177" s="59" t="str">
        <f>Segments!$A$157</f>
        <v>Non-greek</v>
      </c>
      <c r="B177" s="59" t="str">
        <f>Segments!$B$157</f>
        <v>Off 3-6mi</v>
      </c>
      <c r="C177" s="59" t="str">
        <f>Segments!$C$157</f>
        <v>No</v>
      </c>
      <c r="D177" s="59" t="str">
        <f>Segments!$D$157</f>
        <v>2.0-3.0</v>
      </c>
      <c r="E177" s="59" t="str">
        <f>Segments!$E$157</f>
        <v>Junior</v>
      </c>
      <c r="F177" s="59">
        <f>Segments!$F$157</f>
        <v>2</v>
      </c>
      <c r="G177" s="59" t="str">
        <f>Segments!$G$157</f>
        <v>Base</v>
      </c>
      <c r="H177" s="60">
        <f>Segments!$H$157</f>
        <v>15</v>
      </c>
      <c r="I177" s="26">
        <f>Segments!$Y$157</f>
        <v>1177.9865208941812</v>
      </c>
      <c r="J177" s="29">
        <v>2</v>
      </c>
      <c r="K177" s="14">
        <f t="shared" si="78"/>
        <v>1426.2297754450396</v>
      </c>
      <c r="L177" s="14">
        <f t="shared" si="79"/>
        <v>1177.9865208941812</v>
      </c>
      <c r="M177" s="14">
        <f t="shared" si="80"/>
        <v>1957.1645850591783</v>
      </c>
      <c r="N177" s="14">
        <f t="shared" si="81"/>
        <v>1670.7382819154939</v>
      </c>
      <c r="O177" s="14">
        <f t="shared" si="82"/>
        <v>1782.7872193062994</v>
      </c>
      <c r="P177" s="33">
        <f t="shared" si="83"/>
        <v>0.74146723828511851</v>
      </c>
      <c r="Q177" s="33">
        <f t="shared" si="84"/>
        <v>0.26428151666720112</v>
      </c>
      <c r="R177" s="51">
        <f t="shared" si="85"/>
        <v>13.346410289132134</v>
      </c>
      <c r="S177" s="51">
        <f>APPLICANTS_PER_YEAR*($H177/Segments!$AH$2)*Q177</f>
        <v>4.75706730000962</v>
      </c>
      <c r="T177" s="51">
        <f t="shared" si="86"/>
        <v>18.103477589141754</v>
      </c>
      <c r="U177" s="14">
        <f t="shared" si="87"/>
        <v>1828.6085185787872</v>
      </c>
      <c r="V177" s="44">
        <f t="shared" si="88"/>
        <v>33104.173335404776</v>
      </c>
      <c r="W177" s="44">
        <f t="shared" si="89"/>
        <v>23884.730891077143</v>
      </c>
      <c r="X177" s="44">
        <f t="shared" si="90"/>
        <v>7063.5477223658445</v>
      </c>
      <c r="Y177" s="14">
        <f t="shared" si="91"/>
        <v>1644.0230827452126</v>
      </c>
      <c r="Z177" s="14">
        <f t="shared" si="92"/>
        <v>1213.3261165210067</v>
      </c>
      <c r="AA177" s="14">
        <f t="shared" si="93"/>
        <v>2014.6295226109537</v>
      </c>
      <c r="AB177" s="14">
        <f t="shared" si="94"/>
        <v>1720.3268148777775</v>
      </c>
      <c r="AC177" s="14">
        <f t="shared" si="95"/>
        <v>2014.6295226109537</v>
      </c>
      <c r="AD177" s="33">
        <f t="shared" si="96"/>
        <v>0.69683517718301136</v>
      </c>
      <c r="AE177" s="33">
        <f t="shared" si="97"/>
        <v>0.26446314003014437</v>
      </c>
      <c r="AF177" s="51">
        <f t="shared" si="98"/>
        <v>17.547353658877643</v>
      </c>
      <c r="AG177" s="51">
        <f>APPLICANTS_PER_YEAR*($H177/Segments!$AH$2)*AE177</f>
        <v>4.7603365205425989</v>
      </c>
      <c r="AH177" s="51">
        <f t="shared" si="99"/>
        <v>22.307690179420241</v>
      </c>
      <c r="AI177" s="14">
        <f t="shared" si="100"/>
        <v>2014.6295226109535</v>
      </c>
      <c r="AJ177" s="44">
        <f t="shared" si="101"/>
        <v>44941.731216718457</v>
      </c>
      <c r="AK177" s="44">
        <f t="shared" si="102"/>
        <v>30314.483465223737</v>
      </c>
      <c r="AL177" s="44">
        <f t="shared" si="103"/>
        <v>9394.8104237764455</v>
      </c>
      <c r="AM177" s="14">
        <f t="shared" si="104"/>
        <v>1692.093775227569</v>
      </c>
      <c r="AN177" s="14">
        <f t="shared" si="105"/>
        <v>1249.7259000166368</v>
      </c>
      <c r="AO177" s="14">
        <f t="shared" si="106"/>
        <v>2073.8184082892822</v>
      </c>
      <c r="AP177" s="14">
        <f t="shared" si="107"/>
        <v>1771.4028406719904</v>
      </c>
      <c r="AQ177" s="14">
        <f t="shared" si="108"/>
        <v>2073.8184082892822</v>
      </c>
      <c r="AR177" s="33">
        <f t="shared" si="109"/>
        <v>0.6969616056727147</v>
      </c>
      <c r="AS177" s="33">
        <f t="shared" si="110"/>
        <v>0.26463952730747309</v>
      </c>
      <c r="AT177" s="51">
        <f t="shared" si="111"/>
        <v>9.7514550223240697</v>
      </c>
      <c r="AU177" s="51">
        <f>APPLICANTS_PER_YEAR*($H177/Segments!$AH$2)*AS177</f>
        <v>4.7635114915345156</v>
      </c>
      <c r="AV177" s="51">
        <f t="shared" si="112"/>
        <v>14.514966513858585</v>
      </c>
      <c r="AW177" s="14">
        <f t="shared" si="113"/>
        <v>2073.8184082892822</v>
      </c>
      <c r="AX177" s="44">
        <f t="shared" si="114"/>
        <v>30101.40475214244</v>
      </c>
      <c r="AY177" s="44">
        <f t="shared" si="115"/>
        <v>20316.497141072461</v>
      </c>
      <c r="AZ177" s="44">
        <f t="shared" si="116"/>
        <v>6444.3056393939196</v>
      </c>
    </row>
    <row r="178" spans="1:52" ht="15" customHeight="1" x14ac:dyDescent="0.35">
      <c r="A178" s="59" t="str">
        <f>Segments!$A$158</f>
        <v>Non-greek</v>
      </c>
      <c r="B178" s="59" t="str">
        <f>Segments!$B$158</f>
        <v>Off 3-6mi</v>
      </c>
      <c r="C178" s="59" t="str">
        <f>Segments!$C$158</f>
        <v>No</v>
      </c>
      <c r="D178" s="59" t="str">
        <f>Segments!$D$158</f>
        <v>2.0-3.0</v>
      </c>
      <c r="E178" s="59" t="str">
        <f>Segments!$E$158</f>
        <v>Senior</v>
      </c>
      <c r="F178" s="59">
        <f>Segments!$F$158</f>
        <v>3</v>
      </c>
      <c r="G178" s="59" t="str">
        <f>Segments!$G$158</f>
        <v>Base</v>
      </c>
      <c r="H178" s="60">
        <f>Segments!$H$158</f>
        <v>29</v>
      </c>
      <c r="I178" s="26">
        <f>Segments!$Y$158</f>
        <v>1101.0492249473959</v>
      </c>
      <c r="J178" s="29">
        <v>3</v>
      </c>
      <c r="K178" s="14">
        <f t="shared" si="78"/>
        <v>1426.2297754450396</v>
      </c>
      <c r="L178" s="14">
        <f t="shared" si="79"/>
        <v>1101.0492249473959</v>
      </c>
      <c r="M178" s="14">
        <f t="shared" si="80"/>
        <v>1832.0585438449305</v>
      </c>
      <c r="N178" s="14">
        <f t="shared" si="81"/>
        <v>1616.4579937598508</v>
      </c>
      <c r="O178" s="14">
        <f t="shared" si="82"/>
        <v>1782.7872193062994</v>
      </c>
      <c r="P178" s="33">
        <f t="shared" si="83"/>
        <v>0.72355133069076238</v>
      </c>
      <c r="Q178" s="33">
        <f t="shared" si="84"/>
        <v>0.28331080952385379</v>
      </c>
      <c r="R178" s="51">
        <f t="shared" si="85"/>
        <v>10.853269960361436</v>
      </c>
      <c r="S178" s="51">
        <f>APPLICANTS_PER_YEAR*($H178/Segments!$AH$2)*Q178</f>
        <v>9.859216171430111</v>
      </c>
      <c r="T178" s="51">
        <f t="shared" si="86"/>
        <v>20.712486131791547</v>
      </c>
      <c r="U178" s="14">
        <f t="shared" si="87"/>
        <v>1806.2405429000053</v>
      </c>
      <c r="V178" s="44">
        <f t="shared" si="88"/>
        <v>37411.732195495992</v>
      </c>
      <c r="W178" s="44">
        <f t="shared" si="89"/>
        <v>25542.122818399901</v>
      </c>
      <c r="X178" s="44">
        <f t="shared" si="90"/>
        <v>8363.7406546572201</v>
      </c>
      <c r="Y178" s="14">
        <f t="shared" si="91"/>
        <v>1828.6085185787872</v>
      </c>
      <c r="Z178" s="14">
        <f t="shared" si="92"/>
        <v>1134.0807016958179</v>
      </c>
      <c r="AA178" s="14">
        <f t="shared" si="93"/>
        <v>1885.7703001602786</v>
      </c>
      <c r="AB178" s="14">
        <f t="shared" si="94"/>
        <v>1664.4001935504198</v>
      </c>
      <c r="AC178" s="14">
        <f t="shared" si="95"/>
        <v>1885.7703001602786</v>
      </c>
      <c r="AD178" s="33">
        <f t="shared" si="96"/>
        <v>0.77412061917290231</v>
      </c>
      <c r="AE178" s="33">
        <f t="shared" si="97"/>
        <v>0.28349853374576861</v>
      </c>
      <c r="AF178" s="51">
        <f t="shared" si="98"/>
        <v>14.014275280489175</v>
      </c>
      <c r="AG178" s="51">
        <f>APPLICANTS_PER_YEAR*($H178/Segments!$AH$2)*AE178</f>
        <v>9.865748974352746</v>
      </c>
      <c r="AH178" s="51">
        <f t="shared" si="99"/>
        <v>23.880024254841921</v>
      </c>
      <c r="AI178" s="14">
        <f t="shared" si="100"/>
        <v>1885.7703001602783</v>
      </c>
      <c r="AJ178" s="44">
        <f t="shared" si="101"/>
        <v>45032.240506887974</v>
      </c>
      <c r="AK178" s="44">
        <f t="shared" si="102"/>
        <v>30331.699623057593</v>
      </c>
      <c r="AL178" s="44">
        <f t="shared" si="103"/>
        <v>9886.4964394209746</v>
      </c>
      <c r="AM178" s="14">
        <f t="shared" si="104"/>
        <v>2014.6295226109535</v>
      </c>
      <c r="AN178" s="14">
        <f t="shared" si="105"/>
        <v>1168.1031227466924</v>
      </c>
      <c r="AO178" s="14">
        <f t="shared" si="106"/>
        <v>1941.0934091650868</v>
      </c>
      <c r="AP178" s="14">
        <f t="shared" si="107"/>
        <v>1713.7804791720014</v>
      </c>
      <c r="AQ178" s="14">
        <f t="shared" si="108"/>
        <v>1941.0934091650868</v>
      </c>
      <c r="AR178" s="33">
        <f t="shared" si="109"/>
        <v>0.78368084980670638</v>
      </c>
      <c r="AS178" s="33">
        <f t="shared" si="110"/>
        <v>0.28368084980670638</v>
      </c>
      <c r="AT178" s="51">
        <f t="shared" si="111"/>
        <v>17.482109597032775</v>
      </c>
      <c r="AU178" s="51">
        <f>APPLICANTS_PER_YEAR*($H178/Segments!$AH$2)*AS178</f>
        <v>9.8720935732733821</v>
      </c>
      <c r="AV178" s="51">
        <f t="shared" si="112"/>
        <v>27.354203170306157</v>
      </c>
      <c r="AW178" s="14">
        <f t="shared" si="113"/>
        <v>1941.093409165087</v>
      </c>
      <c r="AX178" s="44">
        <f t="shared" si="114"/>
        <v>53097.06348684401</v>
      </c>
      <c r="AY178" s="44">
        <f t="shared" si="115"/>
        <v>35786.833760699948</v>
      </c>
      <c r="AZ178" s="44">
        <f t="shared" si="116"/>
        <v>11499.924353692444</v>
      </c>
    </row>
    <row r="179" spans="1:52" ht="15" customHeight="1" x14ac:dyDescent="0.35">
      <c r="A179" s="59" t="str">
        <f>Segments!$A$159</f>
        <v>Non-greek</v>
      </c>
      <c r="B179" s="59" t="str">
        <f>Segments!$B$159</f>
        <v>Off 3-6mi</v>
      </c>
      <c r="C179" s="59" t="str">
        <f>Segments!$C$159</f>
        <v>No</v>
      </c>
      <c r="D179" s="59" t="str">
        <f>Segments!$D$159</f>
        <v>2.0-3.0</v>
      </c>
      <c r="E179" s="59" t="str">
        <f>Segments!$E$159</f>
        <v>Grad student</v>
      </c>
      <c r="F179" s="59">
        <f>Segments!$F$159</f>
        <v>3</v>
      </c>
      <c r="G179" s="59" t="str">
        <f>Segments!$G$159</f>
        <v>Grad</v>
      </c>
      <c r="H179" s="60">
        <f>Segments!$H$159</f>
        <v>9</v>
      </c>
      <c r="I179" s="26">
        <f>Segments!$Y$159</f>
        <v>1310.9977612822013</v>
      </c>
      <c r="J179" s="29">
        <v>4</v>
      </c>
      <c r="K179" s="14">
        <f t="shared" si="78"/>
        <v>1426.2297754450396</v>
      </c>
      <c r="L179" s="14">
        <f t="shared" si="79"/>
        <v>1310.9977612822013</v>
      </c>
      <c r="M179" s="14">
        <f t="shared" si="80"/>
        <v>2173.4512314400372</v>
      </c>
      <c r="N179" s="14">
        <f t="shared" si="81"/>
        <v>1760.6364933618379</v>
      </c>
      <c r="O179" s="14">
        <f t="shared" si="82"/>
        <v>1782.7872193062994</v>
      </c>
      <c r="P179" s="33">
        <f t="shared" si="83"/>
        <v>0.76870945506696675</v>
      </c>
      <c r="Q179" s="33">
        <f t="shared" si="84"/>
        <v>0.23276548292772448</v>
      </c>
      <c r="R179" s="51">
        <f t="shared" si="85"/>
        <v>3.4591925478013503</v>
      </c>
      <c r="S179" s="51">
        <f>APPLICANTS_PER_YEAR*($H179/Segments!$AH$2)*Q179</f>
        <v>2.5138672156194239</v>
      </c>
      <c r="T179" s="51">
        <f t="shared" si="86"/>
        <v>5.9730597634207747</v>
      </c>
      <c r="U179" s="14">
        <f t="shared" si="87"/>
        <v>1947.2050371958221</v>
      </c>
      <c r="V179" s="44">
        <f t="shared" si="88"/>
        <v>11630.772058804618</v>
      </c>
      <c r="W179" s="44">
        <f t="shared" si="89"/>
        <v>8770.3481351913633</v>
      </c>
      <c r="X179" s="44">
        <f t="shared" si="90"/>
        <v>2571.7556676142408</v>
      </c>
      <c r="Y179" s="14">
        <f t="shared" si="91"/>
        <v>1947.2050371958221</v>
      </c>
      <c r="Z179" s="14">
        <f t="shared" si="92"/>
        <v>1350.3276941206673</v>
      </c>
      <c r="AA179" s="14">
        <f t="shared" si="93"/>
        <v>2237.4047683832382</v>
      </c>
      <c r="AB179" s="14">
        <f t="shared" si="94"/>
        <v>1812.9492269235268</v>
      </c>
      <c r="AC179" s="14">
        <f t="shared" si="95"/>
        <v>2237.4047683832382</v>
      </c>
      <c r="AD179" s="33">
        <f t="shared" si="96"/>
        <v>0.688227633678136</v>
      </c>
      <c r="AE179" s="33">
        <f t="shared" si="97"/>
        <v>0.23293782993029855</v>
      </c>
      <c r="AF179" s="51">
        <f t="shared" si="98"/>
        <v>2.0554123933985835</v>
      </c>
      <c r="AG179" s="51">
        <f>APPLICANTS_PER_YEAR*($H179/Segments!$AH$2)*AE179</f>
        <v>2.5157285632472242</v>
      </c>
      <c r="AH179" s="51">
        <f t="shared" si="99"/>
        <v>4.5711409566458077</v>
      </c>
      <c r="AI179" s="14">
        <f t="shared" si="100"/>
        <v>2237.4047683832382</v>
      </c>
      <c r="AJ179" s="44">
        <f t="shared" si="101"/>
        <v>10227.492573351246</v>
      </c>
      <c r="AK179" s="44">
        <f t="shared" si="102"/>
        <v>6913.2428147866449</v>
      </c>
      <c r="AL179" s="44">
        <f t="shared" si="103"/>
        <v>2284.3167374953364</v>
      </c>
      <c r="AM179" s="14">
        <f t="shared" si="104"/>
        <v>2237.4047683832382</v>
      </c>
      <c r="AN179" s="14">
        <f t="shared" si="105"/>
        <v>1390.8375249442872</v>
      </c>
      <c r="AO179" s="14">
        <f t="shared" si="106"/>
        <v>2303.2769114347352</v>
      </c>
      <c r="AP179" s="14">
        <f t="shared" si="107"/>
        <v>1866.8312030859324</v>
      </c>
      <c r="AQ179" s="14">
        <f t="shared" si="108"/>
        <v>2303.2769114347352</v>
      </c>
      <c r="AR179" s="33">
        <f t="shared" si="109"/>
        <v>0.7242728080829508</v>
      </c>
      <c r="AS179" s="33">
        <f t="shared" si="110"/>
        <v>0.23310520318405226</v>
      </c>
      <c r="AT179" s="51">
        <f t="shared" si="111"/>
        <v>1.6553765484064227</v>
      </c>
      <c r="AU179" s="51">
        <f>APPLICANTS_PER_YEAR*($H179/Segments!$AH$2)*AS179</f>
        <v>2.5175361943877643</v>
      </c>
      <c r="AV179" s="51">
        <f t="shared" si="112"/>
        <v>4.1729127427941872</v>
      </c>
      <c r="AW179" s="14">
        <f t="shared" si="113"/>
        <v>2303.2769114347352</v>
      </c>
      <c r="AX179" s="44">
        <f t="shared" si="114"/>
        <v>9611.3735739096446</v>
      </c>
      <c r="AY179" s="44">
        <f t="shared" si="115"/>
        <v>6500.3048667159064</v>
      </c>
      <c r="AZ179" s="44">
        <f t="shared" si="116"/>
        <v>2165.8966698427121</v>
      </c>
    </row>
    <row r="180" spans="1:52" ht="15" customHeight="1" x14ac:dyDescent="0.35">
      <c r="A180" s="61" t="str">
        <f>Segments!$A$160</f>
        <v>Non-greek</v>
      </c>
      <c r="B180" s="61" t="str">
        <f>Segments!$B$160</f>
        <v>Off 3-6mi</v>
      </c>
      <c r="C180" s="61" t="str">
        <f>Segments!$C$160</f>
        <v>No</v>
      </c>
      <c r="D180" s="61" t="str">
        <f>Segments!$D$160</f>
        <v>3.0+</v>
      </c>
      <c r="E180" s="61" t="str">
        <f>Segments!$E$160</f>
        <v>Freshman</v>
      </c>
      <c r="F180" s="61">
        <f>Segments!$F$160</f>
        <v>1</v>
      </c>
      <c r="G180" s="61" t="str">
        <f>Segments!$G$160</f>
        <v>Base</v>
      </c>
      <c r="H180" s="62">
        <f>Segments!$H$160</f>
        <v>12</v>
      </c>
      <c r="I180" s="63">
        <f>Segments!$Y$160</f>
        <v>872.63838042383838</v>
      </c>
      <c r="J180" s="42">
        <v>0</v>
      </c>
      <c r="K180" s="40">
        <f t="shared" si="78"/>
        <v>1460.6447038198012</v>
      </c>
      <c r="L180" s="40">
        <f t="shared" si="79"/>
        <v>872.63838042383838</v>
      </c>
      <c r="M180" s="40">
        <f t="shared" si="80"/>
        <v>1460.6447038198012</v>
      </c>
      <c r="N180" s="40">
        <f t="shared" si="81"/>
        <v>1443.334669414513</v>
      </c>
      <c r="O180" s="40">
        <f t="shared" si="82"/>
        <v>1460.6447038198012</v>
      </c>
      <c r="P180" s="41">
        <f t="shared" si="83"/>
        <v>0.84400345783548936</v>
      </c>
      <c r="Q180" s="41">
        <f t="shared" si="84"/>
        <v>0.34400345783548936</v>
      </c>
      <c r="R180" s="64">
        <f t="shared" si="85"/>
        <v>0</v>
      </c>
      <c r="S180" s="64">
        <f>APPLICANTS_PER_YEAR*($H180/Segments!$AH$2)*Q180</f>
        <v>4.9536497928310466</v>
      </c>
      <c r="T180" s="64">
        <f t="shared" si="86"/>
        <v>4.9536497928310466</v>
      </c>
      <c r="U180" s="40">
        <f t="shared" si="87"/>
        <v>1460.6447038198012</v>
      </c>
      <c r="V180" s="65">
        <f t="shared" si="88"/>
        <v>7235.5223344767237</v>
      </c>
      <c r="W180" s="65">
        <f t="shared" si="89"/>
        <v>4841.4743242913228</v>
      </c>
      <c r="X180" s="65">
        <f t="shared" si="90"/>
        <v>1843.6712436001833</v>
      </c>
      <c r="Y180" s="40">
        <f t="shared" si="91"/>
        <v>1503.2140449343954</v>
      </c>
      <c r="Z180" s="40">
        <f t="shared" si="92"/>
        <v>898.8175318365536</v>
      </c>
      <c r="AA180" s="40">
        <f t="shared" si="93"/>
        <v>1503.2140449343954</v>
      </c>
      <c r="AB180" s="40">
        <f t="shared" si="94"/>
        <v>1486.0169880069307</v>
      </c>
      <c r="AC180" s="40">
        <f t="shared" si="95"/>
        <v>1503.2140449343954</v>
      </c>
      <c r="AD180" s="41">
        <f t="shared" si="96"/>
        <v>0.8442137078289631</v>
      </c>
      <c r="AE180" s="41">
        <f t="shared" si="97"/>
        <v>0.3442137078289631</v>
      </c>
      <c r="AF180" s="64">
        <f t="shared" si="98"/>
        <v>0</v>
      </c>
      <c r="AG180" s="64">
        <f>APPLICANTS_PER_YEAR*($H180/Segments!$AH$2)*AE180</f>
        <v>4.9566773927370678</v>
      </c>
      <c r="AH180" s="64">
        <f t="shared" si="99"/>
        <v>4.9566773927370678</v>
      </c>
      <c r="AI180" s="40">
        <f t="shared" si="100"/>
        <v>1503.2140449343954</v>
      </c>
      <c r="AJ180" s="65">
        <f t="shared" si="101"/>
        <v>7450.9470729711602</v>
      </c>
      <c r="AK180" s="65">
        <f t="shared" si="102"/>
        <v>4989.7663650799723</v>
      </c>
      <c r="AL180" s="65">
        <f t="shared" si="103"/>
        <v>1892.0626270187079</v>
      </c>
      <c r="AM180" s="40">
        <f t="shared" si="104"/>
        <v>1547.0604662824271</v>
      </c>
      <c r="AN180" s="40">
        <f t="shared" si="105"/>
        <v>925.78205779165012</v>
      </c>
      <c r="AO180" s="40">
        <f t="shared" si="106"/>
        <v>1547.0604662824271</v>
      </c>
      <c r="AP180" s="40">
        <f t="shared" si="107"/>
        <v>1529.9795230141874</v>
      </c>
      <c r="AQ180" s="40">
        <f t="shared" si="108"/>
        <v>1547.0604662824271</v>
      </c>
      <c r="AR180" s="41">
        <f t="shared" si="109"/>
        <v>0.8444179176873593</v>
      </c>
      <c r="AS180" s="41">
        <f t="shared" si="110"/>
        <v>0.3444179176873593</v>
      </c>
      <c r="AT180" s="64">
        <f t="shared" si="111"/>
        <v>0</v>
      </c>
      <c r="AU180" s="64">
        <f>APPLICANTS_PER_YEAR*($H180/Segments!$AH$2)*AS180</f>
        <v>4.9596180146979734</v>
      </c>
      <c r="AV180" s="64">
        <f t="shared" si="112"/>
        <v>4.9596180146979734</v>
      </c>
      <c r="AW180" s="40">
        <f t="shared" si="113"/>
        <v>1547.0604662824271</v>
      </c>
      <c r="AX180" s="65">
        <f t="shared" si="114"/>
        <v>7672.8289584013719</v>
      </c>
      <c r="AY180" s="65">
        <f t="shared" si="115"/>
        <v>5142.5084160885435</v>
      </c>
      <c r="AZ180" s="65">
        <f t="shared" si="116"/>
        <v>1941.896497343316</v>
      </c>
    </row>
    <row r="181" spans="1:52" ht="15" customHeight="1" x14ac:dyDescent="0.35">
      <c r="A181" s="61" t="str">
        <f>Segments!$A$161</f>
        <v>Non-greek</v>
      </c>
      <c r="B181" s="61" t="str">
        <f>Segments!$B$161</f>
        <v>Off 3-6mi</v>
      </c>
      <c r="C181" s="61" t="str">
        <f>Segments!$C$161</f>
        <v>No</v>
      </c>
      <c r="D181" s="61" t="str">
        <f>Segments!$D$161</f>
        <v>3.0+</v>
      </c>
      <c r="E181" s="61" t="str">
        <f>Segments!$E$161</f>
        <v>Sophomore</v>
      </c>
      <c r="F181" s="61">
        <f>Segments!$F$161</f>
        <v>1</v>
      </c>
      <c r="G181" s="61" t="str">
        <f>Segments!$G$161</f>
        <v>Sophomore</v>
      </c>
      <c r="H181" s="62">
        <f>Segments!$H$161</f>
        <v>13</v>
      </c>
      <c r="I181" s="63">
        <f>Segments!$Y$161</f>
        <v>863.76036943537292</v>
      </c>
      <c r="J181" s="42">
        <v>1</v>
      </c>
      <c r="K181" s="40">
        <f t="shared" si="78"/>
        <v>1426.2297754450396</v>
      </c>
      <c r="L181" s="40">
        <f t="shared" si="79"/>
        <v>863.76036943537292</v>
      </c>
      <c r="M181" s="40">
        <f t="shared" si="80"/>
        <v>1446.2083658259141</v>
      </c>
      <c r="N181" s="40">
        <f t="shared" si="81"/>
        <v>1436.1843310796255</v>
      </c>
      <c r="O181" s="40">
        <f t="shared" si="82"/>
        <v>1446.2083658259141</v>
      </c>
      <c r="P181" s="41">
        <f t="shared" si="83"/>
        <v>0.8423077928112026</v>
      </c>
      <c r="Q181" s="41">
        <f t="shared" si="84"/>
        <v>0.34651018517283461</v>
      </c>
      <c r="R181" s="64">
        <f t="shared" si="85"/>
        <v>10.107693513734432</v>
      </c>
      <c r="S181" s="64">
        <f>APPLICANTS_PER_YEAR*($H181/Segments!$AH$2)*Q181</f>
        <v>5.4055588886962198</v>
      </c>
      <c r="T181" s="64">
        <f t="shared" si="86"/>
        <v>15.513252402430652</v>
      </c>
      <c r="U181" s="40">
        <f t="shared" si="87"/>
        <v>1446.2083658259141</v>
      </c>
      <c r="V181" s="65">
        <f t="shared" si="88"/>
        <v>22435.39540556417</v>
      </c>
      <c r="W181" s="65">
        <f t="shared" si="89"/>
        <v>15007.70054141981</v>
      </c>
      <c r="X181" s="65">
        <f t="shared" si="90"/>
        <v>4959.3085089555452</v>
      </c>
      <c r="Y181" s="40">
        <f t="shared" si="91"/>
        <v>1460.6447038198012</v>
      </c>
      <c r="Z181" s="40">
        <f t="shared" si="92"/>
        <v>889.67318051843415</v>
      </c>
      <c r="AA181" s="40">
        <f t="shared" si="93"/>
        <v>1488.3446168006917</v>
      </c>
      <c r="AB181" s="40">
        <f t="shared" si="94"/>
        <v>1478.6490627808271</v>
      </c>
      <c r="AC181" s="40">
        <f t="shared" si="95"/>
        <v>1488.3446168006917</v>
      </c>
      <c r="AD181" s="41">
        <f t="shared" si="96"/>
        <v>0.84103223168385344</v>
      </c>
      <c r="AE181" s="41">
        <f t="shared" si="97"/>
        <v>0.34672148237742406</v>
      </c>
      <c r="AF181" s="64">
        <f t="shared" si="98"/>
        <v>4.1661791402449531</v>
      </c>
      <c r="AG181" s="64">
        <f>APPLICANTS_PER_YEAR*($H181/Segments!$AH$2)*AE181</f>
        <v>5.4088551250878156</v>
      </c>
      <c r="AH181" s="64">
        <f t="shared" si="99"/>
        <v>9.5750342653327678</v>
      </c>
      <c r="AI181" s="40">
        <f t="shared" si="100"/>
        <v>1488.3446168006917</v>
      </c>
      <c r="AJ181" s="65">
        <f t="shared" si="101"/>
        <v>14250.950704490191</v>
      </c>
      <c r="AK181" s="65">
        <f t="shared" si="102"/>
        <v>9540.8893310209842</v>
      </c>
      <c r="AL181" s="65">
        <f t="shared" si="103"/>
        <v>3301.9101608792721</v>
      </c>
      <c r="AM181" s="40">
        <f t="shared" si="104"/>
        <v>1503.2140449343954</v>
      </c>
      <c r="AN181" s="40">
        <f t="shared" si="105"/>
        <v>916.36337593398707</v>
      </c>
      <c r="AO181" s="40">
        <f t="shared" si="106"/>
        <v>1531.7449553047122</v>
      </c>
      <c r="AP181" s="40">
        <f t="shared" si="107"/>
        <v>1522.3874794871342</v>
      </c>
      <c r="AQ181" s="40">
        <f t="shared" si="108"/>
        <v>1531.7449553047122</v>
      </c>
      <c r="AR181" s="41">
        <f t="shared" si="109"/>
        <v>0.84123272860342235</v>
      </c>
      <c r="AS181" s="41">
        <f t="shared" si="110"/>
        <v>0.34692671020234267</v>
      </c>
      <c r="AT181" s="64">
        <f t="shared" si="111"/>
        <v>4.169719247899101</v>
      </c>
      <c r="AU181" s="64">
        <f>APPLICANTS_PER_YEAR*($H181/Segments!$AH$2)*AS181</f>
        <v>5.4120566791565459</v>
      </c>
      <c r="AV181" s="64">
        <f t="shared" si="112"/>
        <v>9.5817759270556468</v>
      </c>
      <c r="AW181" s="40">
        <f t="shared" si="113"/>
        <v>1531.7449553047124</v>
      </c>
      <c r="AX181" s="65">
        <f t="shared" si="114"/>
        <v>14676.836939127621</v>
      </c>
      <c r="AY181" s="65">
        <f t="shared" si="115"/>
        <v>9834.0351602748888</v>
      </c>
      <c r="AZ181" s="65">
        <f t="shared" si="116"/>
        <v>3391.0052850793895</v>
      </c>
    </row>
    <row r="182" spans="1:52" ht="15" customHeight="1" x14ac:dyDescent="0.35">
      <c r="A182" s="61" t="str">
        <f>Segments!$A$162</f>
        <v>Non-greek</v>
      </c>
      <c r="B182" s="61" t="str">
        <f>Segments!$B$162</f>
        <v>Off 3-6mi</v>
      </c>
      <c r="C182" s="61" t="str">
        <f>Segments!$C$162</f>
        <v>No</v>
      </c>
      <c r="D182" s="61" t="str">
        <f>Segments!$D$162</f>
        <v>3.0+</v>
      </c>
      <c r="E182" s="61" t="str">
        <f>Segments!$E$162</f>
        <v>Junior</v>
      </c>
      <c r="F182" s="61">
        <f>Segments!$F$162</f>
        <v>2</v>
      </c>
      <c r="G182" s="61" t="str">
        <f>Segments!$G$162</f>
        <v>Base</v>
      </c>
      <c r="H182" s="62">
        <f>Segments!$H$162</f>
        <v>13</v>
      </c>
      <c r="I182" s="63">
        <f>Segments!$Y$162</f>
        <v>1032.5612785278729</v>
      </c>
      <c r="J182" s="42">
        <v>2</v>
      </c>
      <c r="K182" s="40">
        <f t="shared" si="78"/>
        <v>1426.2297754450396</v>
      </c>
      <c r="L182" s="40">
        <f t="shared" si="79"/>
        <v>1032.5612785278729</v>
      </c>
      <c r="M182" s="40">
        <f t="shared" si="80"/>
        <v>1720.6918036703551</v>
      </c>
      <c r="N182" s="40">
        <f t="shared" si="81"/>
        <v>1566.5573352925485</v>
      </c>
      <c r="O182" s="40">
        <f t="shared" si="82"/>
        <v>1720.6918036703551</v>
      </c>
      <c r="P182" s="41">
        <f t="shared" si="83"/>
        <v>0.73886616229710234</v>
      </c>
      <c r="Q182" s="41">
        <f t="shared" si="84"/>
        <v>0.30080471524873276</v>
      </c>
      <c r="R182" s="64">
        <f t="shared" si="85"/>
        <v>9.6052601098623303</v>
      </c>
      <c r="S182" s="64">
        <f>APPLICANTS_PER_YEAR*($H182/Segments!$AH$2)*Q182</f>
        <v>4.6925535578802311</v>
      </c>
      <c r="T182" s="64">
        <f t="shared" si="86"/>
        <v>14.297813667742561</v>
      </c>
      <c r="U182" s="40">
        <f t="shared" si="87"/>
        <v>1720.6918036703551</v>
      </c>
      <c r="V182" s="65">
        <f t="shared" si="88"/>
        <v>24602.130788490602</v>
      </c>
      <c r="W182" s="65">
        <f t="shared" si="89"/>
        <v>16534.973012227663</v>
      </c>
      <c r="X182" s="65">
        <f t="shared" si="90"/>
        <v>5335.6781769130839</v>
      </c>
      <c r="Y182" s="40">
        <f t="shared" si="91"/>
        <v>1446.2083658259141</v>
      </c>
      <c r="Z182" s="40">
        <f t="shared" si="92"/>
        <v>1063.5381168837091</v>
      </c>
      <c r="AA182" s="40">
        <f t="shared" si="93"/>
        <v>1771.0625577804658</v>
      </c>
      <c r="AB182" s="40">
        <f t="shared" si="94"/>
        <v>1612.9849406317537</v>
      </c>
      <c r="AC182" s="40">
        <f t="shared" si="95"/>
        <v>1771.0625577804658</v>
      </c>
      <c r="AD182" s="41">
        <f t="shared" si="96"/>
        <v>0.73361099639863825</v>
      </c>
      <c r="AE182" s="41">
        <f t="shared" si="97"/>
        <v>0.30099842126027587</v>
      </c>
      <c r="AF182" s="64">
        <f t="shared" si="98"/>
        <v>11.38069255233072</v>
      </c>
      <c r="AG182" s="64">
        <f>APPLICANTS_PER_YEAR*($H182/Segments!$AH$2)*AE182</f>
        <v>4.6955753716603033</v>
      </c>
      <c r="AH182" s="64">
        <f t="shared" si="99"/>
        <v>16.076267923991022</v>
      </c>
      <c r="AI182" s="40">
        <f t="shared" si="100"/>
        <v>1771.0625577804658</v>
      </c>
      <c r="AJ182" s="65">
        <f t="shared" si="101"/>
        <v>28472.076189027597</v>
      </c>
      <c r="AK182" s="65">
        <f t="shared" si="102"/>
        <v>19149.450560127316</v>
      </c>
      <c r="AL182" s="65">
        <f t="shared" si="103"/>
        <v>6111.2026629769725</v>
      </c>
      <c r="AM182" s="40">
        <f t="shared" si="104"/>
        <v>1488.3446168006917</v>
      </c>
      <c r="AN182" s="40">
        <f t="shared" si="105"/>
        <v>1095.4442603902203</v>
      </c>
      <c r="AO182" s="40">
        <f t="shared" si="106"/>
        <v>1822.9444345138797</v>
      </c>
      <c r="AP182" s="40">
        <f t="shared" si="107"/>
        <v>1660.8051761850284</v>
      </c>
      <c r="AQ182" s="40">
        <f t="shared" si="108"/>
        <v>1822.9444345138797</v>
      </c>
      <c r="AR182" s="41">
        <f t="shared" si="109"/>
        <v>0.73374252994645794</v>
      </c>
      <c r="AS182" s="41">
        <f t="shared" si="110"/>
        <v>0.30118655076048861</v>
      </c>
      <c r="AT182" s="64">
        <f t="shared" si="111"/>
        <v>7.0256098661692894</v>
      </c>
      <c r="AU182" s="64">
        <f>APPLICANTS_PER_YEAR*($H182/Segments!$AH$2)*AS182</f>
        <v>4.6985101918636225</v>
      </c>
      <c r="AV182" s="64">
        <f t="shared" si="112"/>
        <v>11.724120058032913</v>
      </c>
      <c r="AW182" s="40">
        <f t="shared" si="113"/>
        <v>1822.9444345138795</v>
      </c>
      <c r="AX182" s="65">
        <f t="shared" si="114"/>
        <v>21372.41940936364</v>
      </c>
      <c r="AY182" s="65">
        <f t="shared" si="115"/>
        <v>14384.294428781772</v>
      </c>
      <c r="AZ182" s="65">
        <f t="shared" si="116"/>
        <v>4691.1117294937349</v>
      </c>
    </row>
    <row r="183" spans="1:52" ht="15" customHeight="1" x14ac:dyDescent="0.35">
      <c r="A183" s="61" t="str">
        <f>Segments!$A$163</f>
        <v>Non-greek</v>
      </c>
      <c r="B183" s="61" t="str">
        <f>Segments!$B$163</f>
        <v>Off 3-6mi</v>
      </c>
      <c r="C183" s="61" t="str">
        <f>Segments!$C$163</f>
        <v>No</v>
      </c>
      <c r="D183" s="61" t="str">
        <f>Segments!$D$163</f>
        <v>3.0+</v>
      </c>
      <c r="E183" s="61" t="str">
        <f>Segments!$E$163</f>
        <v>Senior</v>
      </c>
      <c r="F183" s="61">
        <f>Segments!$F$163</f>
        <v>3</v>
      </c>
      <c r="G183" s="61" t="str">
        <f>Segments!$G$163</f>
        <v>Base</v>
      </c>
      <c r="H183" s="62">
        <f>Segments!$H$163</f>
        <v>13</v>
      </c>
      <c r="I183" s="63">
        <f>Segments!$Y$163</f>
        <v>965.12207505635354</v>
      </c>
      <c r="J183" s="42">
        <v>3</v>
      </c>
      <c r="K183" s="40">
        <f t="shared" si="78"/>
        <v>1426.2297754450396</v>
      </c>
      <c r="L183" s="40">
        <f t="shared" si="79"/>
        <v>965.12207505635354</v>
      </c>
      <c r="M183" s="40">
        <f t="shared" si="80"/>
        <v>1611.0304012888685</v>
      </c>
      <c r="N183" s="40">
        <f t="shared" si="81"/>
        <v>1515.8164557311532</v>
      </c>
      <c r="O183" s="40">
        <f t="shared" si="82"/>
        <v>1611.0304012888685</v>
      </c>
      <c r="P183" s="41">
        <f t="shared" si="83"/>
        <v>0.77972133268993871</v>
      </c>
      <c r="Q183" s="41">
        <f t="shared" si="84"/>
        <v>0.31859318118703595</v>
      </c>
      <c r="R183" s="64">
        <f t="shared" si="85"/>
        <v>10.136377324969203</v>
      </c>
      <c r="S183" s="64">
        <f>APPLICANTS_PER_YEAR*($H183/Segments!$AH$2)*Q183</f>
        <v>4.9700536265177604</v>
      </c>
      <c r="T183" s="64">
        <f t="shared" si="86"/>
        <v>15.106430951486963</v>
      </c>
      <c r="U183" s="40">
        <f t="shared" si="87"/>
        <v>1611.0304012888685</v>
      </c>
      <c r="V183" s="65">
        <f t="shared" si="88"/>
        <v>24336.919517816626</v>
      </c>
      <c r="W183" s="65">
        <f t="shared" si="89"/>
        <v>16329.095984985981</v>
      </c>
      <c r="X183" s="65">
        <f t="shared" si="90"/>
        <v>5306.2995106524895</v>
      </c>
      <c r="Y183" s="40">
        <f t="shared" si="91"/>
        <v>1720.6918036703551</v>
      </c>
      <c r="Z183" s="40">
        <f t="shared" si="92"/>
        <v>994.07573730804415</v>
      </c>
      <c r="AA183" s="40">
        <f t="shared" si="93"/>
        <v>1658.1113133275346</v>
      </c>
      <c r="AB183" s="40">
        <f t="shared" si="94"/>
        <v>1560.7027769092067</v>
      </c>
      <c r="AC183" s="40">
        <f t="shared" si="95"/>
        <v>1658.1113133275346</v>
      </c>
      <c r="AD183" s="41">
        <f t="shared" si="96"/>
        <v>0.81879337377382178</v>
      </c>
      <c r="AE183" s="41">
        <f t="shared" si="97"/>
        <v>0.31879337377382178</v>
      </c>
      <c r="AF183" s="64">
        <f t="shared" si="98"/>
        <v>11.706955090600392</v>
      </c>
      <c r="AG183" s="64">
        <f>APPLICANTS_PER_YEAR*($H183/Segments!$AH$2)*AE183</f>
        <v>4.9731766308716194</v>
      </c>
      <c r="AH183" s="64">
        <f t="shared" si="99"/>
        <v>16.680131721472012</v>
      </c>
      <c r="AI183" s="40">
        <f t="shared" si="100"/>
        <v>1658.1113133275346</v>
      </c>
      <c r="AJ183" s="65">
        <f t="shared" si="101"/>
        <v>27657.515115166228</v>
      </c>
      <c r="AK183" s="65">
        <f t="shared" si="102"/>
        <v>18571.071948147695</v>
      </c>
      <c r="AL183" s="65">
        <f t="shared" si="103"/>
        <v>5973.8152221865003</v>
      </c>
      <c r="AM183" s="40">
        <f t="shared" si="104"/>
        <v>1771.0625577804658</v>
      </c>
      <c r="AN183" s="40">
        <f t="shared" si="105"/>
        <v>1023.8980094272854</v>
      </c>
      <c r="AO183" s="40">
        <f t="shared" si="106"/>
        <v>1706.6046527273604</v>
      </c>
      <c r="AP183" s="40">
        <f t="shared" si="107"/>
        <v>1606.9354692097445</v>
      </c>
      <c r="AQ183" s="40">
        <f t="shared" si="108"/>
        <v>1706.6046527273604</v>
      </c>
      <c r="AR183" s="41">
        <f t="shared" si="109"/>
        <v>0.8189878077161894</v>
      </c>
      <c r="AS183" s="41">
        <f t="shared" si="110"/>
        <v>0.3189878077161894</v>
      </c>
      <c r="AT183" s="64">
        <f t="shared" si="111"/>
        <v>13.166267423327502</v>
      </c>
      <c r="AU183" s="64">
        <f>APPLICANTS_PER_YEAR*($H183/Segments!$AH$2)*AS183</f>
        <v>4.9762098003725548</v>
      </c>
      <c r="AV183" s="64">
        <f t="shared" si="112"/>
        <v>18.142477223700055</v>
      </c>
      <c r="AW183" s="40">
        <f t="shared" si="113"/>
        <v>1706.6046527273606</v>
      </c>
      <c r="AX183" s="65">
        <f t="shared" si="114"/>
        <v>30962.036041966683</v>
      </c>
      <c r="AY183" s="65">
        <f t="shared" si="115"/>
        <v>20805.171873277512</v>
      </c>
      <c r="AZ183" s="65">
        <f t="shared" si="116"/>
        <v>6636.3143993542344</v>
      </c>
    </row>
    <row r="184" spans="1:52" ht="15" customHeight="1" x14ac:dyDescent="0.35">
      <c r="A184" s="61" t="str">
        <f>Segments!$A$164</f>
        <v>Non-greek</v>
      </c>
      <c r="B184" s="61" t="str">
        <f>Segments!$B$164</f>
        <v>Off 3-6mi</v>
      </c>
      <c r="C184" s="61" t="str">
        <f>Segments!$C$164</f>
        <v>No</v>
      </c>
      <c r="D184" s="61" t="str">
        <f>Segments!$D$164</f>
        <v>3.0+</v>
      </c>
      <c r="E184" s="61" t="str">
        <f>Segments!$E$164</f>
        <v>Grad student</v>
      </c>
      <c r="F184" s="61">
        <f>Segments!$F$164</f>
        <v>3</v>
      </c>
      <c r="G184" s="61" t="str">
        <f>Segments!$G$164</f>
        <v>Grad</v>
      </c>
      <c r="H184" s="62">
        <f>Segments!$H$164</f>
        <v>3</v>
      </c>
      <c r="I184" s="63">
        <f>Segments!$Y$164</f>
        <v>1149.1519644122745</v>
      </c>
      <c r="J184" s="42">
        <v>4</v>
      </c>
      <c r="K184" s="40">
        <f t="shared" si="78"/>
        <v>1426.2297754450396</v>
      </c>
      <c r="L184" s="40">
        <f t="shared" si="79"/>
        <v>1149.1519644122745</v>
      </c>
      <c r="M184" s="40">
        <f t="shared" si="80"/>
        <v>1910.2773482876253</v>
      </c>
      <c r="N184" s="40">
        <f t="shared" si="81"/>
        <v>1650.6042631369901</v>
      </c>
      <c r="O184" s="40">
        <f t="shared" si="82"/>
        <v>1782.7872193062994</v>
      </c>
      <c r="P184" s="41">
        <f t="shared" si="83"/>
        <v>0.73495922247344303</v>
      </c>
      <c r="Q184" s="41">
        <f t="shared" si="84"/>
        <v>0.27133999319221314</v>
      </c>
      <c r="R184" s="64">
        <f t="shared" si="85"/>
        <v>1.1024388337101645</v>
      </c>
      <c r="S184" s="64">
        <f>APPLICANTS_PER_YEAR*($H184/Segments!$AH$2)*Q184</f>
        <v>0.9768239754919672</v>
      </c>
      <c r="T184" s="64">
        <f t="shared" si="86"/>
        <v>2.0792628092021319</v>
      </c>
      <c r="U184" s="40">
        <f t="shared" si="87"/>
        <v>1842.6812423592628</v>
      </c>
      <c r="V184" s="65">
        <f t="shared" si="88"/>
        <v>3831.4185764519952</v>
      </c>
      <c r="W184" s="65">
        <f t="shared" si="89"/>
        <v>2676.1156147308961</v>
      </c>
      <c r="X184" s="65">
        <f t="shared" si="90"/>
        <v>855.45413149839885</v>
      </c>
      <c r="Y184" s="40">
        <f t="shared" si="91"/>
        <v>1842.6812423592628</v>
      </c>
      <c r="Z184" s="40">
        <f t="shared" si="92"/>
        <v>1183.6265233446427</v>
      </c>
      <c r="AA184" s="40">
        <f t="shared" si="93"/>
        <v>1966.3356687362539</v>
      </c>
      <c r="AB184" s="40">
        <f t="shared" si="94"/>
        <v>1699.5822644548327</v>
      </c>
      <c r="AC184" s="40">
        <f t="shared" si="95"/>
        <v>1966.3356687362539</v>
      </c>
      <c r="AD184" s="41">
        <f t="shared" si="96"/>
        <v>0.75139212078105466</v>
      </c>
      <c r="AE184" s="41">
        <f t="shared" si="97"/>
        <v>0.27152383269103286</v>
      </c>
      <c r="AF184" s="64">
        <f t="shared" si="98"/>
        <v>0.78117084593378161</v>
      </c>
      <c r="AG184" s="64">
        <f>APPLICANTS_PER_YEAR*($H184/Segments!$AH$2)*AE184</f>
        <v>0.97748579768771826</v>
      </c>
      <c r="AH184" s="64">
        <f t="shared" si="99"/>
        <v>1.7586566436214999</v>
      </c>
      <c r="AI184" s="40">
        <f t="shared" si="100"/>
        <v>1966.3356687362539</v>
      </c>
      <c r="AJ184" s="65">
        <f t="shared" si="101"/>
        <v>3458.1092874129376</v>
      </c>
      <c r="AK184" s="65">
        <f t="shared" si="102"/>
        <v>2331.3837667082753</v>
      </c>
      <c r="AL184" s="65">
        <f t="shared" si="103"/>
        <v>780.46521477434464</v>
      </c>
      <c r="AM184" s="40">
        <f t="shared" si="104"/>
        <v>1966.3356687362539</v>
      </c>
      <c r="AN184" s="40">
        <f t="shared" si="105"/>
        <v>1219.135319044982</v>
      </c>
      <c r="AO184" s="40">
        <f t="shared" si="106"/>
        <v>2024.0757387983415</v>
      </c>
      <c r="AP184" s="40">
        <f t="shared" si="107"/>
        <v>1750.029436607769</v>
      </c>
      <c r="AQ184" s="40">
        <f t="shared" si="108"/>
        <v>2024.0757387983415</v>
      </c>
      <c r="AR184" s="41">
        <f t="shared" si="109"/>
        <v>0.7628930836183645</v>
      </c>
      <c r="AS184" s="41">
        <f t="shared" si="110"/>
        <v>0.27170237355499005</v>
      </c>
      <c r="AT184" s="64">
        <f t="shared" si="111"/>
        <v>0.67083349493916455</v>
      </c>
      <c r="AU184" s="64">
        <f>APPLICANTS_PER_YEAR*($H184/Segments!$AH$2)*AS184</f>
        <v>0.97812854479796407</v>
      </c>
      <c r="AV184" s="64">
        <f t="shared" si="112"/>
        <v>1.6489620397371287</v>
      </c>
      <c r="AW184" s="40">
        <f t="shared" si="113"/>
        <v>2024.0757387983413</v>
      </c>
      <c r="AX184" s="65">
        <f t="shared" si="114"/>
        <v>3337.6240588313485</v>
      </c>
      <c r="AY184" s="65">
        <f t="shared" si="115"/>
        <v>2251.5448058969478</v>
      </c>
      <c r="AZ184" s="65">
        <f t="shared" si="116"/>
        <v>757.53662052712559</v>
      </c>
    </row>
    <row r="185" spans="1:52" ht="15" customHeight="1" x14ac:dyDescent="0.35">
      <c r="A185" s="59" t="str">
        <f>Segments!$A$165</f>
        <v>Non-greek</v>
      </c>
      <c r="B185" s="59" t="str">
        <f>Segments!$B$165</f>
        <v>Off 6+mi</v>
      </c>
      <c r="C185" s="59" t="str">
        <f>Segments!$C$165</f>
        <v>Yes</v>
      </c>
      <c r="D185" s="59" t="str">
        <f>Segments!$D$165</f>
        <v>&lt;1.0</v>
      </c>
      <c r="E185" s="59" t="str">
        <f>Segments!$E$165</f>
        <v>Freshman</v>
      </c>
      <c r="F185" s="59">
        <f>Segments!$F$165</f>
        <v>1</v>
      </c>
      <c r="G185" s="59" t="str">
        <f>Segments!$G$165</f>
        <v>Base</v>
      </c>
      <c r="H185" s="60">
        <f>Segments!$H$165</f>
        <v>4</v>
      </c>
      <c r="I185" s="26">
        <f>Segments!$Y$165</f>
        <v>826.43754042827356</v>
      </c>
      <c r="J185" s="29">
        <v>0</v>
      </c>
      <c r="K185" s="14">
        <f t="shared" si="78"/>
        <v>1385.5185361856304</v>
      </c>
      <c r="L185" s="14">
        <f t="shared" si="79"/>
        <v>826.43754042827356</v>
      </c>
      <c r="M185" s="14">
        <f t="shared" si="80"/>
        <v>1385.5185361856304</v>
      </c>
      <c r="N185" s="14">
        <f t="shared" si="81"/>
        <v>1405.7267838164612</v>
      </c>
      <c r="O185" s="14">
        <f t="shared" si="82"/>
        <v>1385.5185361856304</v>
      </c>
      <c r="P185" s="33">
        <f t="shared" si="83"/>
        <v>0.85718782905166202</v>
      </c>
      <c r="Q185" s="33">
        <f t="shared" si="84"/>
        <v>0.35718782905166202</v>
      </c>
      <c r="R185" s="51">
        <f t="shared" si="85"/>
        <v>0</v>
      </c>
      <c r="S185" s="51">
        <f>APPLICANTS_PER_YEAR*($H185/Segments!$AH$2)*Q185</f>
        <v>1.7145015794479777</v>
      </c>
      <c r="T185" s="51">
        <f t="shared" si="86"/>
        <v>1.7145015794479777</v>
      </c>
      <c r="U185" s="14">
        <f t="shared" si="87"/>
        <v>1385.5185361856304</v>
      </c>
      <c r="V185" s="44">
        <f t="shared" si="88"/>
        <v>2375.4737186447132</v>
      </c>
      <c r="W185" s="44">
        <f t="shared" si="89"/>
        <v>1586.9598845849023</v>
      </c>
      <c r="X185" s="44">
        <f t="shared" si="90"/>
        <v>609.25868405157485</v>
      </c>
      <c r="Y185" s="14">
        <f t="shared" si="91"/>
        <v>1425.8340922711993</v>
      </c>
      <c r="Z185" s="14">
        <f t="shared" si="92"/>
        <v>851.23066664112184</v>
      </c>
      <c r="AA185" s="14">
        <f t="shared" si="93"/>
        <v>1425.8340922711993</v>
      </c>
      <c r="AB185" s="14">
        <f t="shared" si="94"/>
        <v>1447.2643325802958</v>
      </c>
      <c r="AC185" s="14">
        <f t="shared" si="95"/>
        <v>1425.8340922711993</v>
      </c>
      <c r="AD185" s="33">
        <f t="shared" si="96"/>
        <v>0.85740370636747776</v>
      </c>
      <c r="AE185" s="33">
        <f t="shared" si="97"/>
        <v>0.35740370636747776</v>
      </c>
      <c r="AF185" s="51">
        <f t="shared" si="98"/>
        <v>0</v>
      </c>
      <c r="AG185" s="51">
        <f>APPLICANTS_PER_YEAR*($H185/Segments!$AH$2)*AE185</f>
        <v>1.7155377905638931</v>
      </c>
      <c r="AH185" s="51">
        <f t="shared" si="99"/>
        <v>1.7155377905638931</v>
      </c>
      <c r="AI185" s="14">
        <f t="shared" si="100"/>
        <v>1425.8340922711993</v>
      </c>
      <c r="AJ185" s="44">
        <f t="shared" si="101"/>
        <v>2446.0722683656072</v>
      </c>
      <c r="AK185" s="44">
        <f t="shared" si="102"/>
        <v>1635.5565823629088</v>
      </c>
      <c r="AL185" s="44">
        <f t="shared" si="103"/>
        <v>625.11938868927132</v>
      </c>
      <c r="AM185" s="14">
        <f t="shared" si="104"/>
        <v>1467.3591150393352</v>
      </c>
      <c r="AN185" s="14">
        <f t="shared" si="105"/>
        <v>876.76758664035538</v>
      </c>
      <c r="AO185" s="14">
        <f t="shared" si="106"/>
        <v>1467.3591150393352</v>
      </c>
      <c r="AP185" s="14">
        <f t="shared" si="107"/>
        <v>1490.0477337800946</v>
      </c>
      <c r="AQ185" s="14">
        <f t="shared" si="108"/>
        <v>1467.3591150393352</v>
      </c>
      <c r="AR185" s="33">
        <f t="shared" si="109"/>
        <v>0.85761338654675201</v>
      </c>
      <c r="AS185" s="33">
        <f t="shared" si="110"/>
        <v>0.35761338654675201</v>
      </c>
      <c r="AT185" s="51">
        <f t="shared" si="111"/>
        <v>0</v>
      </c>
      <c r="AU185" s="51">
        <f>APPLICANTS_PER_YEAR*($H185/Segments!$AH$2)*AS185</f>
        <v>1.7165442554244097</v>
      </c>
      <c r="AV185" s="51">
        <f t="shared" si="112"/>
        <v>1.7165442554244097</v>
      </c>
      <c r="AW185" s="14">
        <f t="shared" si="113"/>
        <v>1467.3591150393352</v>
      </c>
      <c r="AX185" s="44">
        <f t="shared" si="114"/>
        <v>2518.7868595654163</v>
      </c>
      <c r="AY185" s="44">
        <f t="shared" si="115"/>
        <v>1685.6116078926045</v>
      </c>
      <c r="AZ185" s="44">
        <f t="shared" si="116"/>
        <v>641.45274803675181</v>
      </c>
    </row>
    <row r="186" spans="1:52" ht="15" customHeight="1" x14ac:dyDescent="0.35">
      <c r="A186" s="59" t="str">
        <f>Segments!$A$166</f>
        <v>Non-greek</v>
      </c>
      <c r="B186" s="59" t="str">
        <f>Segments!$B$166</f>
        <v>Off 6+mi</v>
      </c>
      <c r="C186" s="59" t="str">
        <f>Segments!$C$166</f>
        <v>Yes</v>
      </c>
      <c r="D186" s="59" t="str">
        <f>Segments!$D$166</f>
        <v>&lt;1.0</v>
      </c>
      <c r="E186" s="59" t="str">
        <f>Segments!$E$166</f>
        <v>Sophomore</v>
      </c>
      <c r="F186" s="59">
        <f>Segments!$F$166</f>
        <v>1</v>
      </c>
      <c r="G186" s="59" t="str">
        <f>Segments!$G$166</f>
        <v>Sophomore</v>
      </c>
      <c r="H186" s="60">
        <f>Segments!$H$166</f>
        <v>11</v>
      </c>
      <c r="I186" s="26">
        <f>Segments!$Y$166</f>
        <v>818.02956556743959</v>
      </c>
      <c r="J186" s="29">
        <v>1</v>
      </c>
      <c r="K186" s="14">
        <f t="shared" si="78"/>
        <v>1426.2297754450396</v>
      </c>
      <c r="L186" s="14">
        <f t="shared" si="79"/>
        <v>818.02956556743959</v>
      </c>
      <c r="M186" s="14">
        <f t="shared" si="80"/>
        <v>1371.8465135791248</v>
      </c>
      <c r="N186" s="14">
        <f t="shared" si="81"/>
        <v>1398.7738720061279</v>
      </c>
      <c r="O186" s="14">
        <f t="shared" si="82"/>
        <v>1371.8465135791248</v>
      </c>
      <c r="P186" s="33">
        <f t="shared" si="83"/>
        <v>0.85962534365486243</v>
      </c>
      <c r="Q186" s="33">
        <f t="shared" si="84"/>
        <v>0.35962534365486243</v>
      </c>
      <c r="R186" s="51">
        <f t="shared" si="85"/>
        <v>3.4385013746194497</v>
      </c>
      <c r="S186" s="51">
        <f>APPLICANTS_PER_YEAR*($H186/Segments!$AH$2)*Q186</f>
        <v>4.7470545362441845</v>
      </c>
      <c r="T186" s="51">
        <f t="shared" si="86"/>
        <v>8.1855559108636342</v>
      </c>
      <c r="U186" s="14">
        <f t="shared" si="87"/>
        <v>1371.8465135791248</v>
      </c>
      <c r="V186" s="44">
        <f t="shared" si="88"/>
        <v>11229.326338025274</v>
      </c>
      <c r="W186" s="44">
        <f t="shared" si="89"/>
        <v>7499.5499551747789</v>
      </c>
      <c r="X186" s="44">
        <f t="shared" si="90"/>
        <v>2632.6582170462329</v>
      </c>
      <c r="Y186" s="14">
        <f t="shared" si="91"/>
        <v>1385.5185361856304</v>
      </c>
      <c r="Z186" s="14">
        <f t="shared" si="92"/>
        <v>842.57045253446279</v>
      </c>
      <c r="AA186" s="14">
        <f t="shared" si="93"/>
        <v>1411.7519089864986</v>
      </c>
      <c r="AB186" s="14">
        <f t="shared" si="94"/>
        <v>1440.0996793215593</v>
      </c>
      <c r="AC186" s="14">
        <f t="shared" si="95"/>
        <v>1411.7519089864986</v>
      </c>
      <c r="AD186" s="33">
        <f t="shared" si="96"/>
        <v>0.85416210212366661</v>
      </c>
      <c r="AE186" s="33">
        <f t="shared" si="97"/>
        <v>0.35984229450992428</v>
      </c>
      <c r="AF186" s="51">
        <f t="shared" si="98"/>
        <v>1.4644622731956312</v>
      </c>
      <c r="AG186" s="51">
        <f>APPLICANTS_PER_YEAR*($H186/Segments!$AH$2)*AE186</f>
        <v>4.7499182875310009</v>
      </c>
      <c r="AH186" s="51">
        <f t="shared" si="99"/>
        <v>6.2143805607266316</v>
      </c>
      <c r="AI186" s="14">
        <f t="shared" si="100"/>
        <v>1411.7519089864986</v>
      </c>
      <c r="AJ186" s="44">
        <f t="shared" si="101"/>
        <v>8773.1636197744101</v>
      </c>
      <c r="AK186" s="44">
        <f t="shared" si="102"/>
        <v>5864.3798542255436</v>
      </c>
      <c r="AL186" s="44">
        <f t="shared" si="103"/>
        <v>2135.8632098884832</v>
      </c>
      <c r="AM186" s="14">
        <f t="shared" si="104"/>
        <v>1425.8340922711993</v>
      </c>
      <c r="AN186" s="14">
        <f t="shared" si="105"/>
        <v>867.84756611049659</v>
      </c>
      <c r="AO186" s="14">
        <f t="shared" si="106"/>
        <v>1452.8544662560935</v>
      </c>
      <c r="AP186" s="14">
        <f t="shared" si="107"/>
        <v>1482.6649827192125</v>
      </c>
      <c r="AQ186" s="14">
        <f t="shared" si="108"/>
        <v>1452.8544662560935</v>
      </c>
      <c r="AR186" s="33">
        <f t="shared" si="109"/>
        <v>0.85436784622216266</v>
      </c>
      <c r="AS186" s="33">
        <f t="shared" si="110"/>
        <v>0.36005301831855718</v>
      </c>
      <c r="AT186" s="51">
        <f t="shared" si="111"/>
        <v>1.465700327236801</v>
      </c>
      <c r="AU186" s="51">
        <f>APPLICANTS_PER_YEAR*($H186/Segments!$AH$2)*AS186</f>
        <v>4.7526998418049553</v>
      </c>
      <c r="AV186" s="51">
        <f t="shared" si="112"/>
        <v>6.2184001690417565</v>
      </c>
      <c r="AW186" s="14">
        <f t="shared" si="113"/>
        <v>1452.8544662560935</v>
      </c>
      <c r="AX186" s="44">
        <f t="shared" si="114"/>
        <v>9034.4304585599621</v>
      </c>
      <c r="AY186" s="44">
        <f t="shared" si="115"/>
        <v>6044.218266020468</v>
      </c>
      <c r="AZ186" s="44">
        <f t="shared" si="116"/>
        <v>2192.3671978117254</v>
      </c>
    </row>
    <row r="187" spans="1:52" ht="15" customHeight="1" x14ac:dyDescent="0.35">
      <c r="A187" s="59" t="str">
        <f>Segments!$A$167</f>
        <v>Non-greek</v>
      </c>
      <c r="B187" s="59" t="str">
        <f>Segments!$B$167</f>
        <v>Off 6+mi</v>
      </c>
      <c r="C187" s="59" t="str">
        <f>Segments!$C$167</f>
        <v>Yes</v>
      </c>
      <c r="D187" s="59" t="str">
        <f>Segments!$D$167</f>
        <v>&lt;1.0</v>
      </c>
      <c r="E187" s="59" t="str">
        <f>Segments!$E$167</f>
        <v>Junior</v>
      </c>
      <c r="F187" s="59">
        <f>Segments!$F$167</f>
        <v>2</v>
      </c>
      <c r="G187" s="59" t="str">
        <f>Segments!$G$167</f>
        <v>Base</v>
      </c>
      <c r="H187" s="60">
        <f>Segments!$H$167</f>
        <v>6</v>
      </c>
      <c r="I187" s="26">
        <f>Segments!$Y$167</f>
        <v>977.89350378283871</v>
      </c>
      <c r="J187" s="29">
        <v>2</v>
      </c>
      <c r="K187" s="14">
        <f t="shared" si="78"/>
        <v>1426.2297754450396</v>
      </c>
      <c r="L187" s="14">
        <f t="shared" si="79"/>
        <v>977.89350378283871</v>
      </c>
      <c r="M187" s="14">
        <f t="shared" si="80"/>
        <v>1631.7977400542652</v>
      </c>
      <c r="N187" s="14">
        <f t="shared" si="81"/>
        <v>1525.5551528441433</v>
      </c>
      <c r="O187" s="14">
        <f t="shared" si="82"/>
        <v>1631.7977400542652</v>
      </c>
      <c r="P187" s="33">
        <f t="shared" si="83"/>
        <v>0.77193889091427825</v>
      </c>
      <c r="Q187" s="33">
        <f t="shared" si="84"/>
        <v>0.31517904088487059</v>
      </c>
      <c r="R187" s="51">
        <f t="shared" si="85"/>
        <v>8.4913278000570607</v>
      </c>
      <c r="S187" s="51">
        <f>APPLICANTS_PER_YEAR*($H187/Segments!$AH$2)*Q187</f>
        <v>2.269289094371068</v>
      </c>
      <c r="T187" s="51">
        <f t="shared" si="86"/>
        <v>10.760616894428129</v>
      </c>
      <c r="U187" s="14">
        <f t="shared" si="87"/>
        <v>1631.7977400542654</v>
      </c>
      <c r="V187" s="44">
        <f t="shared" si="88"/>
        <v>17559.150329917567</v>
      </c>
      <c r="W187" s="44">
        <f t="shared" si="89"/>
        <v>11785.465840687988</v>
      </c>
      <c r="X187" s="44">
        <f t="shared" si="90"/>
        <v>3720.2297061526174</v>
      </c>
      <c r="Y187" s="14">
        <f t="shared" si="91"/>
        <v>1371.8465135791248</v>
      </c>
      <c r="Z187" s="14">
        <f t="shared" si="92"/>
        <v>1007.2303088963239</v>
      </c>
      <c r="AA187" s="14">
        <f t="shared" si="93"/>
        <v>1679.5016722558933</v>
      </c>
      <c r="AB187" s="14">
        <f t="shared" si="94"/>
        <v>1570.7373910579463</v>
      </c>
      <c r="AC187" s="14">
        <f t="shared" si="95"/>
        <v>1679.5016722558933</v>
      </c>
      <c r="AD187" s="33">
        <f t="shared" si="96"/>
        <v>0.74809889232297289</v>
      </c>
      <c r="AE187" s="33">
        <f t="shared" si="97"/>
        <v>0.31537795502382149</v>
      </c>
      <c r="AF187" s="51">
        <f t="shared" si="98"/>
        <v>6.123605309964848</v>
      </c>
      <c r="AG187" s="51">
        <f>APPLICANTS_PER_YEAR*($H187/Segments!$AH$2)*AE187</f>
        <v>2.2707212761715145</v>
      </c>
      <c r="AH187" s="51">
        <f t="shared" si="99"/>
        <v>8.3943265861363621</v>
      </c>
      <c r="AI187" s="14">
        <f t="shared" si="100"/>
        <v>1679.5016722558933</v>
      </c>
      <c r="AJ187" s="44">
        <f t="shared" si="101"/>
        <v>14098.285538878124</v>
      </c>
      <c r="AK187" s="44">
        <f t="shared" si="102"/>
        <v>9469.6225795704431</v>
      </c>
      <c r="AL187" s="44">
        <f t="shared" si="103"/>
        <v>3022.7093367944794</v>
      </c>
      <c r="AM187" s="14">
        <f t="shared" si="104"/>
        <v>1411.7519089864986</v>
      </c>
      <c r="AN187" s="14">
        <f t="shared" si="105"/>
        <v>1037.4472181632136</v>
      </c>
      <c r="AO187" s="14">
        <f t="shared" si="106"/>
        <v>1728.6367224235701</v>
      </c>
      <c r="AP187" s="14">
        <f t="shared" si="107"/>
        <v>1617.2748820664699</v>
      </c>
      <c r="AQ187" s="14">
        <f t="shared" si="108"/>
        <v>1728.6367224235701</v>
      </c>
      <c r="AR187" s="33">
        <f t="shared" si="109"/>
        <v>0.74823251313538386</v>
      </c>
      <c r="AS187" s="33">
        <f t="shared" si="110"/>
        <v>0.31557114637964079</v>
      </c>
      <c r="AT187" s="51">
        <f t="shared" si="111"/>
        <v>4.6498015845321632</v>
      </c>
      <c r="AU187" s="51">
        <f>APPLICANTS_PER_YEAR*($H187/Segments!$AH$2)*AS187</f>
        <v>2.2721122539334133</v>
      </c>
      <c r="AV187" s="51">
        <f t="shared" si="112"/>
        <v>6.9219138384655761</v>
      </c>
      <c r="AW187" s="14">
        <f t="shared" si="113"/>
        <v>1728.6367224235703</v>
      </c>
      <c r="AX187" s="44">
        <f t="shared" si="114"/>
        <v>11965.474450623487</v>
      </c>
      <c r="AY187" s="44">
        <f t="shared" si="115"/>
        <v>8042.8546868113517</v>
      </c>
      <c r="AZ187" s="44">
        <f t="shared" si="116"/>
        <v>2594.1837380721117</v>
      </c>
    </row>
    <row r="188" spans="1:52" ht="15" customHeight="1" x14ac:dyDescent="0.35">
      <c r="A188" s="59" t="str">
        <f>Segments!$A$168</f>
        <v>Non-greek</v>
      </c>
      <c r="B188" s="59" t="str">
        <f>Segments!$B$168</f>
        <v>Off 6+mi</v>
      </c>
      <c r="C188" s="59" t="str">
        <f>Segments!$C$168</f>
        <v>Yes</v>
      </c>
      <c r="D188" s="59" t="str">
        <f>Segments!$D$168</f>
        <v>&lt;1.0</v>
      </c>
      <c r="E188" s="59" t="str">
        <f>Segments!$E$168</f>
        <v>Senior</v>
      </c>
      <c r="F188" s="59">
        <f>Segments!$F$168</f>
        <v>3</v>
      </c>
      <c r="G188" s="59" t="str">
        <f>Segments!$G$168</f>
        <v>Base</v>
      </c>
      <c r="H188" s="60">
        <f>Segments!$H$168</f>
        <v>10</v>
      </c>
      <c r="I188" s="26">
        <f>Segments!$Y$168</f>
        <v>914.02479173011602</v>
      </c>
      <c r="J188" s="29">
        <v>3</v>
      </c>
      <c r="K188" s="14">
        <f t="shared" si="78"/>
        <v>1426.2297754450396</v>
      </c>
      <c r="L188" s="14">
        <f t="shared" si="79"/>
        <v>914.02479173011602</v>
      </c>
      <c r="M188" s="14">
        <f t="shared" si="80"/>
        <v>1527.9422350740085</v>
      </c>
      <c r="N188" s="14">
        <f t="shared" si="81"/>
        <v>1476.2102529188026</v>
      </c>
      <c r="O188" s="14">
        <f t="shared" si="82"/>
        <v>1527.9422350740085</v>
      </c>
      <c r="P188" s="33">
        <f t="shared" si="83"/>
        <v>0.8110834259800439</v>
      </c>
      <c r="Q188" s="33">
        <f t="shared" si="84"/>
        <v>0.33247811175511066</v>
      </c>
      <c r="R188" s="51">
        <f t="shared" si="85"/>
        <v>4.866500555880263</v>
      </c>
      <c r="S188" s="51">
        <f>APPLICANTS_PER_YEAR*($H188/Segments!$AH$2)*Q188</f>
        <v>3.9897373410613279</v>
      </c>
      <c r="T188" s="51">
        <f t="shared" si="86"/>
        <v>8.8562378969415914</v>
      </c>
      <c r="U188" s="14">
        <f t="shared" si="87"/>
        <v>1527.9422350740083</v>
      </c>
      <c r="V188" s="44">
        <f t="shared" si="88"/>
        <v>13531.81992660007</v>
      </c>
      <c r="W188" s="44">
        <f t="shared" si="89"/>
        <v>9066.1995191761271</v>
      </c>
      <c r="X188" s="44">
        <f t="shared" si="90"/>
        <v>3047.7452442518606</v>
      </c>
      <c r="Y188" s="14">
        <f t="shared" si="91"/>
        <v>1631.7977400542654</v>
      </c>
      <c r="Z188" s="14">
        <f t="shared" si="92"/>
        <v>941.44553548201952</v>
      </c>
      <c r="AA188" s="14">
        <f t="shared" si="93"/>
        <v>1572.5305021262288</v>
      </c>
      <c r="AB188" s="14">
        <f t="shared" si="94"/>
        <v>1519.8926013622822</v>
      </c>
      <c r="AC188" s="14">
        <f t="shared" si="95"/>
        <v>1572.5305021262288</v>
      </c>
      <c r="AD188" s="33">
        <f t="shared" si="96"/>
        <v>0.83268367754512151</v>
      </c>
      <c r="AE188" s="33">
        <f t="shared" si="97"/>
        <v>0.33268367754512151</v>
      </c>
      <c r="AF188" s="51">
        <f t="shared" si="98"/>
        <v>8.9601900483065791</v>
      </c>
      <c r="AG188" s="51">
        <f>APPLICANTS_PER_YEAR*($H188/Segments!$AH$2)*AE188</f>
        <v>3.9922041305414582</v>
      </c>
      <c r="AH188" s="51">
        <f t="shared" si="99"/>
        <v>12.952394178848037</v>
      </c>
      <c r="AI188" s="14">
        <f t="shared" si="100"/>
        <v>1572.5305021262288</v>
      </c>
      <c r="AJ188" s="44">
        <f t="shared" si="101"/>
        <v>20368.034921800747</v>
      </c>
      <c r="AK188" s="44">
        <f t="shared" si="102"/>
        <v>13657.250514297357</v>
      </c>
      <c r="AL188" s="44">
        <f t="shared" si="103"/>
        <v>4428.1367838705155</v>
      </c>
      <c r="AM188" s="14">
        <f t="shared" si="104"/>
        <v>1679.5016722558933</v>
      </c>
      <c r="AN188" s="14">
        <f t="shared" si="105"/>
        <v>969.68890154648</v>
      </c>
      <c r="AO188" s="14">
        <f t="shared" si="106"/>
        <v>1618.4564171900154</v>
      </c>
      <c r="AP188" s="14">
        <f t="shared" si="107"/>
        <v>1564.8851836678307</v>
      </c>
      <c r="AQ188" s="14">
        <f t="shared" si="108"/>
        <v>1618.4564171900154</v>
      </c>
      <c r="AR188" s="33">
        <f t="shared" si="109"/>
        <v>0.83288333416365323</v>
      </c>
      <c r="AS188" s="33">
        <f t="shared" si="110"/>
        <v>0.33288333416365323</v>
      </c>
      <c r="AT188" s="51">
        <f t="shared" si="111"/>
        <v>6.9914947151198499</v>
      </c>
      <c r="AU188" s="51">
        <f>APPLICANTS_PER_YEAR*($H188/Segments!$AH$2)*AS188</f>
        <v>3.9946000099638388</v>
      </c>
      <c r="AV188" s="51">
        <f t="shared" si="112"/>
        <v>10.986094725083689</v>
      </c>
      <c r="AW188" s="14">
        <f t="shared" si="113"/>
        <v>1618.4564171900156</v>
      </c>
      <c r="AX188" s="44">
        <f t="shared" si="114"/>
        <v>17780.515507669075</v>
      </c>
      <c r="AY188" s="44">
        <f t="shared" si="115"/>
        <v>11931.465421402219</v>
      </c>
      <c r="AZ188" s="44">
        <f t="shared" si="116"/>
        <v>3906.3823364083896</v>
      </c>
    </row>
    <row r="189" spans="1:52" ht="15" customHeight="1" x14ac:dyDescent="0.35">
      <c r="A189" s="59" t="str">
        <f>Segments!$A$169</f>
        <v>Non-greek</v>
      </c>
      <c r="B189" s="59" t="str">
        <f>Segments!$B$169</f>
        <v>Off 6+mi</v>
      </c>
      <c r="C189" s="59" t="str">
        <f>Segments!$C$169</f>
        <v>Yes</v>
      </c>
      <c r="D189" s="59" t="str">
        <f>Segments!$D$169</f>
        <v>&lt;1.0</v>
      </c>
      <c r="E189" s="59" t="str">
        <f>Segments!$E$169</f>
        <v>Grad student</v>
      </c>
      <c r="F189" s="59">
        <f>Segments!$F$169</f>
        <v>3</v>
      </c>
      <c r="G189" s="59" t="str">
        <f>Segments!$G$169</f>
        <v>Grad</v>
      </c>
      <c r="H189" s="60">
        <f>Segments!$H$169</f>
        <v>3</v>
      </c>
      <c r="I189" s="26">
        <f>Segments!$Y$169</f>
        <v>1088.3114292840651</v>
      </c>
      <c r="J189" s="29">
        <v>4</v>
      </c>
      <c r="K189" s="14">
        <f t="shared" si="78"/>
        <v>1426.2297754450396</v>
      </c>
      <c r="L189" s="14">
        <f t="shared" si="79"/>
        <v>1088.3114292840651</v>
      </c>
      <c r="M189" s="14">
        <f t="shared" si="80"/>
        <v>1811.3458950622444</v>
      </c>
      <c r="N189" s="14">
        <f t="shared" si="81"/>
        <v>1607.294450051987</v>
      </c>
      <c r="O189" s="14">
        <f t="shared" si="82"/>
        <v>1782.7872193062994</v>
      </c>
      <c r="P189" s="33">
        <f t="shared" si="83"/>
        <v>0.72040739898385264</v>
      </c>
      <c r="Q189" s="33">
        <f t="shared" si="84"/>
        <v>0.28652331562407329</v>
      </c>
      <c r="R189" s="51">
        <f t="shared" si="85"/>
        <v>1.0806110984757789</v>
      </c>
      <c r="S189" s="51">
        <f>APPLICANTS_PER_YEAR*($H189/Segments!$AH$2)*Q189</f>
        <v>1.0314839362466637</v>
      </c>
      <c r="T189" s="51">
        <f t="shared" si="86"/>
        <v>2.1120950347224428</v>
      </c>
      <c r="U189" s="14">
        <f t="shared" si="87"/>
        <v>1796.7344209229184</v>
      </c>
      <c r="V189" s="44">
        <f t="shared" si="88"/>
        <v>3794.8738491461995</v>
      </c>
      <c r="W189" s="44">
        <f t="shared" si="89"/>
        <v>2574.4512259452658</v>
      </c>
      <c r="X189" s="44">
        <f t="shared" si="90"/>
        <v>850.65325337025365</v>
      </c>
      <c r="Y189" s="14">
        <f t="shared" si="91"/>
        <v>1796.7344209229184</v>
      </c>
      <c r="Z189" s="14">
        <f t="shared" si="92"/>
        <v>1120.9607721625871</v>
      </c>
      <c r="AA189" s="14">
        <f t="shared" si="93"/>
        <v>1864.4362719141118</v>
      </c>
      <c r="AB189" s="14">
        <f t="shared" si="94"/>
        <v>1654.9585980278662</v>
      </c>
      <c r="AC189" s="14">
        <f t="shared" si="95"/>
        <v>1864.4362719141118</v>
      </c>
      <c r="AD189" s="33">
        <f t="shared" si="96"/>
        <v>0.77540796052079863</v>
      </c>
      <c r="AE189" s="33">
        <f t="shared" si="97"/>
        <v>0.28671211046129186</v>
      </c>
      <c r="AF189" s="51">
        <f t="shared" si="98"/>
        <v>0.81886765165011732</v>
      </c>
      <c r="AG189" s="51">
        <f>APPLICANTS_PER_YEAR*($H189/Segments!$AH$2)*AE189</f>
        <v>1.0321635976606507</v>
      </c>
      <c r="AH189" s="51">
        <f t="shared" si="99"/>
        <v>1.8510312493107679</v>
      </c>
      <c r="AI189" s="14">
        <f t="shared" si="100"/>
        <v>1864.436271914112</v>
      </c>
      <c r="AJ189" s="44">
        <f t="shared" si="101"/>
        <v>3451.1298016614892</v>
      </c>
      <c r="AK189" s="44">
        <f t="shared" si="102"/>
        <v>2323.9254287474141</v>
      </c>
      <c r="AL189" s="44">
        <f t="shared" si="103"/>
        <v>782.44236119272898</v>
      </c>
      <c r="AM189" s="14">
        <f t="shared" si="104"/>
        <v>1864.436271914112</v>
      </c>
      <c r="AN189" s="14">
        <f t="shared" si="105"/>
        <v>1154.5895953274646</v>
      </c>
      <c r="AO189" s="14">
        <f t="shared" si="106"/>
        <v>1919.1193600715351</v>
      </c>
      <c r="AP189" s="14">
        <f t="shared" si="107"/>
        <v>1704.0524871792086</v>
      </c>
      <c r="AQ189" s="14">
        <f t="shared" si="108"/>
        <v>1919.1193600715351</v>
      </c>
      <c r="AR189" s="33">
        <f t="shared" si="109"/>
        <v>0.77809660016132187</v>
      </c>
      <c r="AS189" s="33">
        <f t="shared" si="110"/>
        <v>0.28689546697932522</v>
      </c>
      <c r="AT189" s="51">
        <f t="shared" si="111"/>
        <v>0.72014056094053636</v>
      </c>
      <c r="AU189" s="51">
        <f>APPLICANTS_PER_YEAR*($H189/Segments!$AH$2)*AS189</f>
        <v>1.0328236811255707</v>
      </c>
      <c r="AV189" s="51">
        <f t="shared" si="112"/>
        <v>1.7529642420661071</v>
      </c>
      <c r="AW189" s="14">
        <f t="shared" si="113"/>
        <v>1919.1193600715351</v>
      </c>
      <c r="AX189" s="44">
        <f t="shared" si="114"/>
        <v>3364.1476144621911</v>
      </c>
      <c r="AY189" s="44">
        <f t="shared" si="115"/>
        <v>2266.8287878550973</v>
      </c>
      <c r="AZ189" s="44">
        <f t="shared" si="116"/>
        <v>766.07769327241056</v>
      </c>
    </row>
    <row r="190" spans="1:52" ht="15" customHeight="1" x14ac:dyDescent="0.35">
      <c r="A190" s="61" t="str">
        <f>Segments!$A$170</f>
        <v>Non-greek</v>
      </c>
      <c r="B190" s="61" t="str">
        <f>Segments!$B$170</f>
        <v>Off 6+mi</v>
      </c>
      <c r="C190" s="61" t="str">
        <f>Segments!$C$170</f>
        <v>Yes</v>
      </c>
      <c r="D190" s="61" t="str">
        <f>Segments!$D$170</f>
        <v>1.0-2.0</v>
      </c>
      <c r="E190" s="61" t="str">
        <f>Segments!$E$170</f>
        <v>Freshman</v>
      </c>
      <c r="F190" s="61">
        <f>Segments!$F$170</f>
        <v>1</v>
      </c>
      <c r="G190" s="61" t="str">
        <f>Segments!$G$170</f>
        <v>Base</v>
      </c>
      <c r="H190" s="62">
        <f>Segments!$H$170</f>
        <v>28</v>
      </c>
      <c r="I190" s="63">
        <f>Segments!$Y$170</f>
        <v>749.92684766759828</v>
      </c>
      <c r="J190" s="42">
        <v>0</v>
      </c>
      <c r="K190" s="40">
        <f t="shared" si="78"/>
        <v>1261.1061850098331</v>
      </c>
      <c r="L190" s="40">
        <f t="shared" si="79"/>
        <v>749.92684766759828</v>
      </c>
      <c r="M190" s="40">
        <f t="shared" si="80"/>
        <v>1261.1061850098331</v>
      </c>
      <c r="N190" s="40">
        <f t="shared" si="81"/>
        <v>1341.1290732285706</v>
      </c>
      <c r="O190" s="40">
        <f t="shared" si="82"/>
        <v>1261.1061850098331</v>
      </c>
      <c r="P190" s="41">
        <f t="shared" si="83"/>
        <v>0.87983414863496101</v>
      </c>
      <c r="Q190" s="41">
        <f t="shared" si="84"/>
        <v>0.37983414863496107</v>
      </c>
      <c r="R190" s="64">
        <f t="shared" si="85"/>
        <v>0</v>
      </c>
      <c r="S190" s="64">
        <f>APPLICANTS_PER_YEAR*($H190/Segments!$AH$2)*Q190</f>
        <v>12.762427394134692</v>
      </c>
      <c r="T190" s="64">
        <f t="shared" si="86"/>
        <v>12.762427394134692</v>
      </c>
      <c r="U190" s="40">
        <f t="shared" si="87"/>
        <v>1261.1061850098331</v>
      </c>
      <c r="V190" s="65">
        <f t="shared" si="88"/>
        <v>16094.776122482186</v>
      </c>
      <c r="W190" s="65">
        <f t="shared" si="89"/>
        <v>10719.393377582435</v>
      </c>
      <c r="X190" s="65">
        <f t="shared" si="90"/>
        <v>4179.5390841720709</v>
      </c>
      <c r="Y190" s="40">
        <f t="shared" si="91"/>
        <v>1297.6893705601281</v>
      </c>
      <c r="Z190" s="40">
        <f t="shared" si="92"/>
        <v>772.42465309762622</v>
      </c>
      <c r="AA190" s="40">
        <f t="shared" si="93"/>
        <v>1297.6893705601281</v>
      </c>
      <c r="AB190" s="40">
        <f t="shared" si="94"/>
        <v>1380.6981263688772</v>
      </c>
      <c r="AC190" s="40">
        <f t="shared" si="95"/>
        <v>1297.6893705601281</v>
      </c>
      <c r="AD190" s="41">
        <f t="shared" si="96"/>
        <v>0.88006042893208503</v>
      </c>
      <c r="AE190" s="41">
        <f t="shared" si="97"/>
        <v>0.38006042893208497</v>
      </c>
      <c r="AF190" s="64">
        <f t="shared" si="98"/>
        <v>0</v>
      </c>
      <c r="AG190" s="64">
        <f>APPLICANTS_PER_YEAR*($H190/Segments!$AH$2)*AE190</f>
        <v>12.770030412118055</v>
      </c>
      <c r="AH190" s="64">
        <f t="shared" si="99"/>
        <v>12.770030412118055</v>
      </c>
      <c r="AI190" s="40">
        <f t="shared" si="100"/>
        <v>1297.6893705601283</v>
      </c>
      <c r="AJ190" s="65">
        <f t="shared" si="101"/>
        <v>16571.532727535174</v>
      </c>
      <c r="AK190" s="65">
        <f t="shared" si="102"/>
        <v>11047.552668461598</v>
      </c>
      <c r="AL190" s="65">
        <f t="shared" si="103"/>
        <v>4286.6746995131916</v>
      </c>
      <c r="AM190" s="40">
        <f t="shared" si="104"/>
        <v>1335.370051676932</v>
      </c>
      <c r="AN190" s="40">
        <f t="shared" si="105"/>
        <v>795.59739269055501</v>
      </c>
      <c r="AO190" s="40">
        <f t="shared" si="106"/>
        <v>1335.370051676932</v>
      </c>
      <c r="AP190" s="40">
        <f t="shared" si="107"/>
        <v>1421.4539355011193</v>
      </c>
      <c r="AQ190" s="40">
        <f t="shared" si="108"/>
        <v>1335.370051676932</v>
      </c>
      <c r="AR190" s="41">
        <f t="shared" si="109"/>
        <v>0.88028022283178642</v>
      </c>
      <c r="AS190" s="41">
        <f t="shared" si="110"/>
        <v>0.38028022283178642</v>
      </c>
      <c r="AT190" s="64">
        <f t="shared" si="111"/>
        <v>0</v>
      </c>
      <c r="AU190" s="64">
        <f>APPLICANTS_PER_YEAR*($H190/Segments!$AH$2)*AS190</f>
        <v>12.777415487148025</v>
      </c>
      <c r="AV190" s="64">
        <f t="shared" si="112"/>
        <v>12.777415487148025</v>
      </c>
      <c r="AW190" s="40">
        <f t="shared" si="113"/>
        <v>1335.370051676932</v>
      </c>
      <c r="AX190" s="65">
        <f t="shared" si="114"/>
        <v>17062.57797937049</v>
      </c>
      <c r="AY190" s="65">
        <f t="shared" si="115"/>
        <v>11385.559860526753</v>
      </c>
      <c r="AZ190" s="65">
        <f t="shared" si="116"/>
        <v>4397.001164300651</v>
      </c>
    </row>
    <row r="191" spans="1:52" ht="15" customHeight="1" x14ac:dyDescent="0.35">
      <c r="A191" s="61" t="str">
        <f>Segments!$A$171</f>
        <v>Non-greek</v>
      </c>
      <c r="B191" s="61" t="str">
        <f>Segments!$B$171</f>
        <v>Off 6+mi</v>
      </c>
      <c r="C191" s="61" t="str">
        <f>Segments!$C$171</f>
        <v>Yes</v>
      </c>
      <c r="D191" s="61" t="str">
        <f>Segments!$D$171</f>
        <v>1.0-2.0</v>
      </c>
      <c r="E191" s="61" t="str">
        <f>Segments!$E$171</f>
        <v>Sophomore</v>
      </c>
      <c r="F191" s="61">
        <f>Segments!$F$171</f>
        <v>1</v>
      </c>
      <c r="G191" s="61" t="str">
        <f>Segments!$G$171</f>
        <v>Sophomore</v>
      </c>
      <c r="H191" s="62">
        <f>Segments!$H$171</f>
        <v>25</v>
      </c>
      <c r="I191" s="63">
        <f>Segments!$Y$171</f>
        <v>742.2972740165925</v>
      </c>
      <c r="J191" s="42">
        <v>1</v>
      </c>
      <c r="K191" s="40">
        <f t="shared" si="78"/>
        <v>1426.2297754450396</v>
      </c>
      <c r="L191" s="40">
        <f t="shared" si="79"/>
        <v>742.2972740165925</v>
      </c>
      <c r="M191" s="40">
        <f t="shared" si="80"/>
        <v>1248.6999034543953</v>
      </c>
      <c r="N191" s="40">
        <f t="shared" si="81"/>
        <v>1334.5160107327317</v>
      </c>
      <c r="O191" s="40">
        <f t="shared" si="82"/>
        <v>1248.6999034543953</v>
      </c>
      <c r="P191" s="41">
        <f t="shared" si="83"/>
        <v>0.8821525206847155</v>
      </c>
      <c r="Q191" s="41">
        <f t="shared" si="84"/>
        <v>0.3821525206847155</v>
      </c>
      <c r="R191" s="64">
        <f t="shared" si="85"/>
        <v>24.700270579172035</v>
      </c>
      <c r="S191" s="64">
        <f>APPLICANTS_PER_YEAR*($H191/Segments!$AH$2)*Q191</f>
        <v>11.464575620541465</v>
      </c>
      <c r="T191" s="64">
        <f t="shared" si="86"/>
        <v>36.164846199713502</v>
      </c>
      <c r="U191" s="40">
        <f t="shared" si="87"/>
        <v>1248.6999034543951</v>
      </c>
      <c r="V191" s="65">
        <f t="shared" si="88"/>
        <v>45159.0399580253</v>
      </c>
      <c r="W191" s="65">
        <f t="shared" si="89"/>
        <v>30066.474759189856</v>
      </c>
      <c r="X191" s="65">
        <f t="shared" si="90"/>
        <v>10046.023373042639</v>
      </c>
      <c r="Y191" s="40">
        <f t="shared" si="91"/>
        <v>1261.1061850098331</v>
      </c>
      <c r="Z191" s="40">
        <f t="shared" si="92"/>
        <v>764.56619223709026</v>
      </c>
      <c r="AA191" s="40">
        <f t="shared" si="93"/>
        <v>1284.9109005580272</v>
      </c>
      <c r="AB191" s="40">
        <f t="shared" si="94"/>
        <v>1373.883375954761</v>
      </c>
      <c r="AC191" s="40">
        <f t="shared" si="95"/>
        <v>1284.9109005580272</v>
      </c>
      <c r="AD191" s="41">
        <f t="shared" si="96"/>
        <v>0.87671710494643773</v>
      </c>
      <c r="AE191" s="41">
        <f t="shared" si="97"/>
        <v>0.38237992283548217</v>
      </c>
      <c r="AF191" s="64">
        <f t="shared" si="98"/>
        <v>11.189038397074876</v>
      </c>
      <c r="AG191" s="64">
        <f>APPLICANTS_PER_YEAR*($H191/Segments!$AH$2)*AE191</f>
        <v>11.471397685064465</v>
      </c>
      <c r="AH191" s="64">
        <f t="shared" si="99"/>
        <v>22.660436082139341</v>
      </c>
      <c r="AI191" s="40">
        <f t="shared" si="100"/>
        <v>1284.9109005580272</v>
      </c>
      <c r="AJ191" s="65">
        <f t="shared" si="101"/>
        <v>29116.641333339274</v>
      </c>
      <c r="AK191" s="65">
        <f t="shared" si="102"/>
        <v>19404.451729323635</v>
      </c>
      <c r="AL191" s="65">
        <f t="shared" si="103"/>
        <v>6758.9292133266626</v>
      </c>
      <c r="AM191" s="40">
        <f t="shared" si="104"/>
        <v>1297.6893705601283</v>
      </c>
      <c r="AN191" s="40">
        <f t="shared" si="105"/>
        <v>787.50317800420294</v>
      </c>
      <c r="AO191" s="40">
        <f t="shared" si="106"/>
        <v>1322.2082275747678</v>
      </c>
      <c r="AP191" s="40">
        <f t="shared" si="107"/>
        <v>1414.4314418115262</v>
      </c>
      <c r="AQ191" s="40">
        <f t="shared" si="108"/>
        <v>1322.2082275747678</v>
      </c>
      <c r="AR191" s="41">
        <f t="shared" si="109"/>
        <v>0.87693253487159672</v>
      </c>
      <c r="AS191" s="41">
        <f t="shared" si="110"/>
        <v>0.3826008074730875</v>
      </c>
      <c r="AT191" s="64">
        <f t="shared" si="111"/>
        <v>11.198455139686068</v>
      </c>
      <c r="AU191" s="64">
        <f>APPLICANTS_PER_YEAR*($H191/Segments!$AH$2)*AS191</f>
        <v>11.478024224192625</v>
      </c>
      <c r="AV191" s="64">
        <f t="shared" si="112"/>
        <v>22.676479363878691</v>
      </c>
      <c r="AW191" s="40">
        <f t="shared" si="113"/>
        <v>1322.2082275747678</v>
      </c>
      <c r="AX191" s="65">
        <f t="shared" si="114"/>
        <v>29983.027587349843</v>
      </c>
      <c r="AY191" s="65">
        <f t="shared" si="115"/>
        <v>20000.735512801341</v>
      </c>
      <c r="AZ191" s="65">
        <f t="shared" si="116"/>
        <v>6938.4442391850598</v>
      </c>
    </row>
    <row r="192" spans="1:52" ht="15" customHeight="1" x14ac:dyDescent="0.35">
      <c r="A192" s="61" t="str">
        <f>Segments!$A$172</f>
        <v>Non-greek</v>
      </c>
      <c r="B192" s="61" t="str">
        <f>Segments!$B$172</f>
        <v>Off 6+mi</v>
      </c>
      <c r="C192" s="61" t="str">
        <f>Segments!$C$172</f>
        <v>Yes</v>
      </c>
      <c r="D192" s="61" t="str">
        <f>Segments!$D$172</f>
        <v>1.0-2.0</v>
      </c>
      <c r="E192" s="61" t="str">
        <f>Segments!$E$172</f>
        <v>Junior</v>
      </c>
      <c r="F192" s="61">
        <f>Segments!$F$172</f>
        <v>2</v>
      </c>
      <c r="G192" s="61" t="str">
        <f>Segments!$G$172</f>
        <v>Base</v>
      </c>
      <c r="H192" s="62">
        <f>Segments!$H$172</f>
        <v>25</v>
      </c>
      <c r="I192" s="63">
        <f>Segments!$Y$172</f>
        <v>887.36118190668515</v>
      </c>
      <c r="J192" s="42">
        <v>2</v>
      </c>
      <c r="K192" s="40">
        <f t="shared" si="78"/>
        <v>1426.2297754450396</v>
      </c>
      <c r="L192" s="40">
        <f t="shared" si="79"/>
        <v>887.36118190668515</v>
      </c>
      <c r="M192" s="40">
        <f t="shared" si="80"/>
        <v>1484.585126815382</v>
      </c>
      <c r="N192" s="40">
        <f t="shared" si="81"/>
        <v>1455.1149480528841</v>
      </c>
      <c r="O192" s="40">
        <f t="shared" si="82"/>
        <v>1484.585126815382</v>
      </c>
      <c r="P192" s="41">
        <f t="shared" si="83"/>
        <v>0.8275988467881652</v>
      </c>
      <c r="Q192" s="41">
        <f t="shared" si="84"/>
        <v>0.33987359081083846</v>
      </c>
      <c r="R192" s="64">
        <f t="shared" si="85"/>
        <v>20.68997116970413</v>
      </c>
      <c r="S192" s="64">
        <f>APPLICANTS_PER_YEAR*($H192/Segments!$AH$2)*Q192</f>
        <v>10.196207724325154</v>
      </c>
      <c r="T192" s="64">
        <f t="shared" si="86"/>
        <v>30.886178894029285</v>
      </c>
      <c r="U192" s="40">
        <f t="shared" si="87"/>
        <v>1484.585126815382</v>
      </c>
      <c r="V192" s="65">
        <f t="shared" si="88"/>
        <v>45853.16181023504</v>
      </c>
      <c r="W192" s="65">
        <f t="shared" si="89"/>
        <v>30696.059752945599</v>
      </c>
      <c r="X192" s="65">
        <f t="shared" si="90"/>
        <v>10068.676194934</v>
      </c>
      <c r="Y192" s="40">
        <f t="shared" si="91"/>
        <v>1248.6999034543951</v>
      </c>
      <c r="Z192" s="40">
        <f t="shared" si="92"/>
        <v>913.98201736388569</v>
      </c>
      <c r="AA192" s="40">
        <f t="shared" si="93"/>
        <v>1527.8726806198433</v>
      </c>
      <c r="AB192" s="40">
        <f t="shared" si="94"/>
        <v>1498.1556779903487</v>
      </c>
      <c r="AC192" s="40">
        <f t="shared" si="95"/>
        <v>1527.8726806198433</v>
      </c>
      <c r="AD192" s="41">
        <f t="shared" si="96"/>
        <v>0.77301091219448814</v>
      </c>
      <c r="AE192" s="41">
        <f t="shared" si="97"/>
        <v>0.34008213796934728</v>
      </c>
      <c r="AF192" s="64">
        <f t="shared" si="98"/>
        <v>27.955820750213903</v>
      </c>
      <c r="AG192" s="64">
        <f>APPLICANTS_PER_YEAR*($H192/Segments!$AH$2)*AE192</f>
        <v>10.202464139080419</v>
      </c>
      <c r="AH192" s="64">
        <f t="shared" si="99"/>
        <v>38.158284889294322</v>
      </c>
      <c r="AI192" s="40">
        <f t="shared" si="100"/>
        <v>1527.8726806198433</v>
      </c>
      <c r="AJ192" s="65">
        <f t="shared" si="101"/>
        <v>58301.001021661781</v>
      </c>
      <c r="AK192" s="65">
        <f t="shared" si="102"/>
        <v>39061.104546534676</v>
      </c>
      <c r="AL192" s="65">
        <f t="shared" si="103"/>
        <v>12582.698812515633</v>
      </c>
      <c r="AM192" s="40">
        <f t="shared" si="104"/>
        <v>1284.9109005580272</v>
      </c>
      <c r="AN192" s="40">
        <f t="shared" si="105"/>
        <v>941.40147788480226</v>
      </c>
      <c r="AO192" s="40">
        <f t="shared" si="106"/>
        <v>1572.4588610384385</v>
      </c>
      <c r="AP192" s="40">
        <f t="shared" si="107"/>
        <v>1542.4873827864487</v>
      </c>
      <c r="AQ192" s="40">
        <f t="shared" si="108"/>
        <v>1572.4588610384385</v>
      </c>
      <c r="AR192" s="41">
        <f t="shared" si="109"/>
        <v>0.77314821789088561</v>
      </c>
      <c r="AS192" s="41">
        <f t="shared" si="110"/>
        <v>0.34028469257302851</v>
      </c>
      <c r="AT192" s="64">
        <f t="shared" si="111"/>
        <v>17.519875773536352</v>
      </c>
      <c r="AU192" s="64">
        <f>APPLICANTS_PER_YEAR*($H192/Segments!$AH$2)*AS192</f>
        <v>10.208540777190855</v>
      </c>
      <c r="AV192" s="64">
        <f t="shared" si="112"/>
        <v>27.728416550727207</v>
      </c>
      <c r="AW192" s="40">
        <f t="shared" si="113"/>
        <v>1572.4588610384385</v>
      </c>
      <c r="AX192" s="65">
        <f t="shared" si="114"/>
        <v>43601.794307755888</v>
      </c>
      <c r="AY192" s="65">
        <f t="shared" si="115"/>
        <v>29236.000998691208</v>
      </c>
      <c r="AZ192" s="65">
        <f t="shared" si="116"/>
        <v>9612.3588387279869</v>
      </c>
    </row>
    <row r="193" spans="1:52" ht="15" customHeight="1" x14ac:dyDescent="0.35">
      <c r="A193" s="61" t="str">
        <f>Segments!$A$173</f>
        <v>Non-greek</v>
      </c>
      <c r="B193" s="61" t="str">
        <f>Segments!$B$173</f>
        <v>Off 6+mi</v>
      </c>
      <c r="C193" s="61" t="str">
        <f>Segments!$C$173</f>
        <v>Yes</v>
      </c>
      <c r="D193" s="61" t="str">
        <f>Segments!$D$173</f>
        <v>1.0-2.0</v>
      </c>
      <c r="E193" s="61" t="str">
        <f>Segments!$E$173</f>
        <v>Senior</v>
      </c>
      <c r="F193" s="61">
        <f>Segments!$F$173</f>
        <v>3</v>
      </c>
      <c r="G193" s="61" t="str">
        <f>Segments!$G$173</f>
        <v>Base</v>
      </c>
      <c r="H193" s="62">
        <f>Segments!$H$173</f>
        <v>25</v>
      </c>
      <c r="I193" s="63">
        <f>Segments!$Y$173</f>
        <v>829.4053660691485</v>
      </c>
      <c r="J193" s="42">
        <v>3</v>
      </c>
      <c r="K193" s="40">
        <f t="shared" si="78"/>
        <v>1426.2297754450396</v>
      </c>
      <c r="L193" s="40">
        <f t="shared" si="79"/>
        <v>829.4053660691485</v>
      </c>
      <c r="M193" s="40">
        <f t="shared" si="80"/>
        <v>1390.3444520483456</v>
      </c>
      <c r="N193" s="40">
        <f t="shared" si="81"/>
        <v>1408.1728074480664</v>
      </c>
      <c r="O193" s="40">
        <f t="shared" si="82"/>
        <v>1390.3444520483456</v>
      </c>
      <c r="P193" s="41">
        <f t="shared" si="83"/>
        <v>0.85633031518057423</v>
      </c>
      <c r="Q193" s="41">
        <f t="shared" si="84"/>
        <v>0.35633031518057423</v>
      </c>
      <c r="R193" s="64">
        <f t="shared" si="85"/>
        <v>21.408257879514355</v>
      </c>
      <c r="S193" s="64">
        <f>APPLICANTS_PER_YEAR*($H193/Segments!$AH$2)*Q193</f>
        <v>10.689909455417228</v>
      </c>
      <c r="T193" s="64">
        <f t="shared" si="86"/>
        <v>32.098167334931581</v>
      </c>
      <c r="U193" s="40">
        <f t="shared" si="87"/>
        <v>1390.3444520483458</v>
      </c>
      <c r="V193" s="65">
        <f t="shared" si="88"/>
        <v>44627.50887504156</v>
      </c>
      <c r="W193" s="65">
        <f t="shared" si="89"/>
        <v>29817.079296007039</v>
      </c>
      <c r="X193" s="65">
        <f t="shared" si="90"/>
        <v>9864.0032311152645</v>
      </c>
      <c r="Y193" s="40">
        <f t="shared" si="91"/>
        <v>1484.585126815382</v>
      </c>
      <c r="Z193" s="40">
        <f t="shared" si="92"/>
        <v>854.28752705122292</v>
      </c>
      <c r="AA193" s="40">
        <f t="shared" si="93"/>
        <v>1430.8047856097958</v>
      </c>
      <c r="AB193" s="40">
        <f t="shared" si="94"/>
        <v>1449.7848391152822</v>
      </c>
      <c r="AC193" s="40">
        <f t="shared" si="95"/>
        <v>1430.8047856097958</v>
      </c>
      <c r="AD193" s="41">
        <f t="shared" si="96"/>
        <v>0.85654581734937607</v>
      </c>
      <c r="AE193" s="41">
        <f t="shared" si="97"/>
        <v>0.35654581734937607</v>
      </c>
      <c r="AF193" s="64">
        <f t="shared" si="98"/>
        <v>26.455427345585363</v>
      </c>
      <c r="AG193" s="64">
        <f>APPLICANTS_PER_YEAR*($H193/Segments!$AH$2)*AE193</f>
        <v>10.696374520481282</v>
      </c>
      <c r="AH193" s="64">
        <f t="shared" si="99"/>
        <v>37.151801866066648</v>
      </c>
      <c r="AI193" s="40">
        <f t="shared" si="100"/>
        <v>1430.8047856097955</v>
      </c>
      <c r="AJ193" s="65">
        <f t="shared" si="101"/>
        <v>53156.975903995095</v>
      </c>
      <c r="AK193" s="65">
        <f t="shared" si="102"/>
        <v>35546.919454658178</v>
      </c>
      <c r="AL193" s="65">
        <f t="shared" si="103"/>
        <v>11592.768681028712</v>
      </c>
      <c r="AM193" s="40">
        <f t="shared" si="104"/>
        <v>1527.8726806198433</v>
      </c>
      <c r="AN193" s="40">
        <f t="shared" si="105"/>
        <v>879.91615286275965</v>
      </c>
      <c r="AO193" s="40">
        <f t="shared" si="106"/>
        <v>1472.4789291780899</v>
      </c>
      <c r="AP193" s="40">
        <f t="shared" si="107"/>
        <v>1492.6449591322885</v>
      </c>
      <c r="AQ193" s="40">
        <f t="shared" si="108"/>
        <v>1472.4789291780899</v>
      </c>
      <c r="AR193" s="41">
        <f t="shared" si="109"/>
        <v>0.85675513283678706</v>
      </c>
      <c r="AS193" s="41">
        <f t="shared" si="110"/>
        <v>0.35675513283678711</v>
      </c>
      <c r="AT193" s="64">
        <f t="shared" si="111"/>
        <v>32.692306439151324</v>
      </c>
      <c r="AU193" s="64">
        <f>APPLICANTS_PER_YEAR*($H193/Segments!$AH$2)*AS193</f>
        <v>10.702653985103613</v>
      </c>
      <c r="AV193" s="64">
        <f t="shared" si="112"/>
        <v>43.394960424254933</v>
      </c>
      <c r="AW193" s="40">
        <f t="shared" si="113"/>
        <v>1472.4789291780899</v>
      </c>
      <c r="AX193" s="65">
        <f t="shared" si="114"/>
        <v>63898.164857232492</v>
      </c>
      <c r="AY193" s="65">
        <f t="shared" si="115"/>
        <v>42765.997825759165</v>
      </c>
      <c r="AZ193" s="65">
        <f t="shared" si="116"/>
        <v>13763.798852906844</v>
      </c>
    </row>
    <row r="194" spans="1:52" ht="15" customHeight="1" x14ac:dyDescent="0.35">
      <c r="A194" s="61" t="str">
        <f>Segments!$A$174</f>
        <v>Non-greek</v>
      </c>
      <c r="B194" s="61" t="str">
        <f>Segments!$B$174</f>
        <v>Off 6+mi</v>
      </c>
      <c r="C194" s="61" t="str">
        <f>Segments!$C$174</f>
        <v>Yes</v>
      </c>
      <c r="D194" s="61" t="str">
        <f>Segments!$D$174</f>
        <v>1.0-2.0</v>
      </c>
      <c r="E194" s="61" t="str">
        <f>Segments!$E$174</f>
        <v>Grad student</v>
      </c>
      <c r="F194" s="61">
        <f>Segments!$F$174</f>
        <v>3</v>
      </c>
      <c r="G194" s="61" t="str">
        <f>Segments!$G$174</f>
        <v>Grad</v>
      </c>
      <c r="H194" s="62">
        <f>Segments!$H$174</f>
        <v>9</v>
      </c>
      <c r="I194" s="63">
        <f>Segments!$Y$174</f>
        <v>987.55673540758175</v>
      </c>
      <c r="J194" s="42">
        <v>4</v>
      </c>
      <c r="K194" s="40">
        <f t="shared" si="78"/>
        <v>1426.2297754450396</v>
      </c>
      <c r="L194" s="40">
        <f t="shared" si="79"/>
        <v>987.55673540758175</v>
      </c>
      <c r="M194" s="40">
        <f t="shared" si="80"/>
        <v>1647.5109080182667</v>
      </c>
      <c r="N194" s="40">
        <f t="shared" si="81"/>
        <v>1532.8826153316977</v>
      </c>
      <c r="O194" s="40">
        <f t="shared" si="82"/>
        <v>1647.5109080182667</v>
      </c>
      <c r="P194" s="41">
        <f t="shared" si="83"/>
        <v>0.76606488535275263</v>
      </c>
      <c r="Q194" s="41">
        <f t="shared" si="84"/>
        <v>0.31261021831023739</v>
      </c>
      <c r="R194" s="64">
        <f t="shared" si="85"/>
        <v>3.447291984087387</v>
      </c>
      <c r="S194" s="64">
        <f>APPLICANTS_PER_YEAR*($H194/Segments!$AH$2)*Q194</f>
        <v>3.3761903577505636</v>
      </c>
      <c r="T194" s="64">
        <f t="shared" si="86"/>
        <v>6.8234823418379502</v>
      </c>
      <c r="U194" s="40">
        <f t="shared" si="87"/>
        <v>1647.5109080182667</v>
      </c>
      <c r="V194" s="65">
        <f t="shared" si="88"/>
        <v>11241.76158884805</v>
      </c>
      <c r="W194" s="65">
        <f t="shared" si="89"/>
        <v>7547.2050590907802</v>
      </c>
      <c r="X194" s="65">
        <f t="shared" si="90"/>
        <v>2540.2482115407101</v>
      </c>
      <c r="Y194" s="40">
        <f t="shared" si="91"/>
        <v>1647.5109080182667</v>
      </c>
      <c r="Z194" s="40">
        <f t="shared" si="92"/>
        <v>1017.1834374698092</v>
      </c>
      <c r="AA194" s="40">
        <f t="shared" si="93"/>
        <v>1695.6862352588148</v>
      </c>
      <c r="AB194" s="40">
        <f t="shared" si="94"/>
        <v>1578.2874720704642</v>
      </c>
      <c r="AC194" s="40">
        <f t="shared" si="95"/>
        <v>1695.6862352588148</v>
      </c>
      <c r="AD194" s="41">
        <f t="shared" si="96"/>
        <v>0.80403579734695452</v>
      </c>
      <c r="AE194" s="41">
        <f t="shared" si="97"/>
        <v>0.31280818125156185</v>
      </c>
      <c r="AF194" s="64">
        <f t="shared" si="98"/>
        <v>2.7431620327012705</v>
      </c>
      <c r="AG194" s="64">
        <f>APPLICANTS_PER_YEAR*($H194/Segments!$AH$2)*AE194</f>
        <v>3.3783283575168674</v>
      </c>
      <c r="AH194" s="64">
        <f t="shared" si="99"/>
        <v>6.1214903902181383</v>
      </c>
      <c r="AI194" s="40">
        <f t="shared" si="100"/>
        <v>1695.6862352588146</v>
      </c>
      <c r="AJ194" s="65">
        <f t="shared" si="101"/>
        <v>10380.126993962007</v>
      </c>
      <c r="AK194" s="65">
        <f t="shared" si="102"/>
        <v>6973.8800740677489</v>
      </c>
      <c r="AL194" s="65">
        <f t="shared" si="103"/>
        <v>2369.2324898920092</v>
      </c>
      <c r="AM194" s="40">
        <f t="shared" si="104"/>
        <v>1695.6862352588146</v>
      </c>
      <c r="AN194" s="40">
        <f t="shared" si="105"/>
        <v>1047.6989405939034</v>
      </c>
      <c r="AO194" s="40">
        <f t="shared" si="106"/>
        <v>1745.3068223165792</v>
      </c>
      <c r="AP194" s="40">
        <f t="shared" si="107"/>
        <v>1625.0542632211807</v>
      </c>
      <c r="AQ194" s="40">
        <f t="shared" si="108"/>
        <v>1745.3068223165792</v>
      </c>
      <c r="AR194" s="41">
        <f t="shared" si="109"/>
        <v>0.80422159750669719</v>
      </c>
      <c r="AS194" s="41">
        <f t="shared" si="110"/>
        <v>0.3130004481028732</v>
      </c>
      <c r="AT194" s="64">
        <f t="shared" si="111"/>
        <v>2.4615173903715633</v>
      </c>
      <c r="AU194" s="64">
        <f>APPLICANTS_PER_YEAR*($H194/Segments!$AH$2)*AS194</f>
        <v>3.38040483951103</v>
      </c>
      <c r="AV194" s="64">
        <f t="shared" si="112"/>
        <v>5.8419222298825932</v>
      </c>
      <c r="AW194" s="40">
        <f t="shared" si="113"/>
        <v>1745.3068223165792</v>
      </c>
      <c r="AX194" s="65">
        <f t="shared" si="114"/>
        <v>10195.946723256973</v>
      </c>
      <c r="AY194" s="65">
        <f t="shared" si="115"/>
        <v>6855.0448190335637</v>
      </c>
      <c r="AZ194" s="65">
        <f t="shared" si="116"/>
        <v>2334.877023281666</v>
      </c>
    </row>
    <row r="195" spans="1:52" ht="15" customHeight="1" x14ac:dyDescent="0.35">
      <c r="A195" s="59" t="str">
        <f>Segments!$A$175</f>
        <v>Non-greek</v>
      </c>
      <c r="B195" s="59" t="str">
        <f>Segments!$B$175</f>
        <v>Off 6+mi</v>
      </c>
      <c r="C195" s="59" t="str">
        <f>Segments!$C$175</f>
        <v>Yes</v>
      </c>
      <c r="D195" s="59" t="str">
        <f>Segments!$D$175</f>
        <v>2.0-3.0</v>
      </c>
      <c r="E195" s="59" t="str">
        <f>Segments!$E$175</f>
        <v>Freshman</v>
      </c>
      <c r="F195" s="59">
        <f>Segments!$F$175</f>
        <v>1</v>
      </c>
      <c r="G195" s="59" t="str">
        <f>Segments!$G$175</f>
        <v>Base</v>
      </c>
      <c r="H195" s="60">
        <f>Segments!$H$175</f>
        <v>51</v>
      </c>
      <c r="I195" s="26">
        <f>Segments!$Y$175</f>
        <v>736.93790433561014</v>
      </c>
      <c r="J195" s="29">
        <v>0</v>
      </c>
      <c r="K195" s="14">
        <f t="shared" si="78"/>
        <v>1239.9851505385257</v>
      </c>
      <c r="L195" s="14">
        <f t="shared" si="79"/>
        <v>736.93790433561014</v>
      </c>
      <c r="M195" s="14">
        <f t="shared" si="80"/>
        <v>1239.9851505385257</v>
      </c>
      <c r="N195" s="14">
        <f t="shared" si="81"/>
        <v>1329.8510227870433</v>
      </c>
      <c r="O195" s="14">
        <f t="shared" si="82"/>
        <v>1239.9851505385257</v>
      </c>
      <c r="P195" s="33">
        <f t="shared" si="83"/>
        <v>0.88378794718681375</v>
      </c>
      <c r="Q195" s="33">
        <f t="shared" si="84"/>
        <v>0.38378794718681369</v>
      </c>
      <c r="R195" s="51">
        <f t="shared" si="85"/>
        <v>0</v>
      </c>
      <c r="S195" s="51">
        <f>APPLICANTS_PER_YEAR*($H195/Segments!$AH$2)*Q195</f>
        <v>23.487822367833001</v>
      </c>
      <c r="T195" s="51">
        <f t="shared" si="86"/>
        <v>23.487822367833001</v>
      </c>
      <c r="U195" s="14">
        <f t="shared" si="87"/>
        <v>1239.9851505385257</v>
      </c>
      <c r="V195" s="44">
        <f t="shared" si="88"/>
        <v>29124.550954599556</v>
      </c>
      <c r="W195" s="44">
        <f t="shared" si="89"/>
        <v>19386.154584336873</v>
      </c>
      <c r="X195" s="44">
        <f t="shared" si="90"/>
        <v>7580.8514203827854</v>
      </c>
      <c r="Y195" s="14">
        <f t="shared" si="91"/>
        <v>1275.9347050546814</v>
      </c>
      <c r="Z195" s="14">
        <f t="shared" si="92"/>
        <v>759.04604146567851</v>
      </c>
      <c r="AA195" s="14">
        <f t="shared" si="93"/>
        <v>1275.9347050546814</v>
      </c>
      <c r="AB195" s="14">
        <f t="shared" si="94"/>
        <v>1369.0760935422293</v>
      </c>
      <c r="AC195" s="14">
        <f t="shared" si="95"/>
        <v>1275.9347050546814</v>
      </c>
      <c r="AD195" s="33">
        <f t="shared" si="96"/>
        <v>0.88401614743215684</v>
      </c>
      <c r="AE195" s="33">
        <f t="shared" si="97"/>
        <v>0.3840161474321569</v>
      </c>
      <c r="AF195" s="51">
        <f t="shared" si="98"/>
        <v>0</v>
      </c>
      <c r="AG195" s="51">
        <f>APPLICANTS_PER_YEAR*($H195/Segments!$AH$2)*AE195</f>
        <v>23.501788222848003</v>
      </c>
      <c r="AH195" s="51">
        <f t="shared" si="99"/>
        <v>23.501788222848003</v>
      </c>
      <c r="AI195" s="14">
        <f t="shared" si="100"/>
        <v>1275.9347050546814</v>
      </c>
      <c r="AJ195" s="44">
        <f t="shared" si="101"/>
        <v>29986.747224377152</v>
      </c>
      <c r="AK195" s="44">
        <f t="shared" si="102"/>
        <v>19979.612036067581</v>
      </c>
      <c r="AL195" s="44">
        <f t="shared" si="103"/>
        <v>7774.6118482886422</v>
      </c>
      <c r="AM195" s="14">
        <f t="shared" si="104"/>
        <v>1312.9627462063218</v>
      </c>
      <c r="AN195" s="14">
        <f t="shared" si="105"/>
        <v>781.81742270964878</v>
      </c>
      <c r="AO195" s="14">
        <f t="shared" si="106"/>
        <v>1312.9627462063218</v>
      </c>
      <c r="AP195" s="14">
        <f t="shared" si="107"/>
        <v>1409.4775927120438</v>
      </c>
      <c r="AQ195" s="14">
        <f t="shared" si="108"/>
        <v>1312.9627462063218</v>
      </c>
      <c r="AR195" s="33">
        <f t="shared" si="109"/>
        <v>0.88423780803780394</v>
      </c>
      <c r="AS195" s="33">
        <f t="shared" si="110"/>
        <v>0.38423780803780394</v>
      </c>
      <c r="AT195" s="51">
        <f t="shared" si="111"/>
        <v>0</v>
      </c>
      <c r="AU195" s="51">
        <f>APPLICANTS_PER_YEAR*($H195/Segments!$AH$2)*AS195</f>
        <v>23.515353851913602</v>
      </c>
      <c r="AV195" s="51">
        <f t="shared" si="112"/>
        <v>23.515353851913602</v>
      </c>
      <c r="AW195" s="14">
        <f t="shared" si="113"/>
        <v>1312.9627462063218</v>
      </c>
      <c r="AX195" s="44">
        <f t="shared" si="114"/>
        <v>30874.783571421889</v>
      </c>
      <c r="AY195" s="44">
        <f t="shared" si="115"/>
        <v>20590.878943721527</v>
      </c>
      <c r="AZ195" s="44">
        <f t="shared" si="116"/>
        <v>7974.1424433346156</v>
      </c>
    </row>
    <row r="196" spans="1:52" ht="15" customHeight="1" x14ac:dyDescent="0.35">
      <c r="A196" s="59" t="str">
        <f>Segments!$A$176</f>
        <v>Non-greek</v>
      </c>
      <c r="B196" s="59" t="str">
        <f>Segments!$B$176</f>
        <v>Off 6+mi</v>
      </c>
      <c r="C196" s="59" t="str">
        <f>Segments!$C$176</f>
        <v>Yes</v>
      </c>
      <c r="D196" s="59" t="str">
        <f>Segments!$D$176</f>
        <v>2.0-3.0</v>
      </c>
      <c r="E196" s="59" t="str">
        <f>Segments!$E$176</f>
        <v>Sophomore</v>
      </c>
      <c r="F196" s="59">
        <f>Segments!$F$176</f>
        <v>1</v>
      </c>
      <c r="G196" s="59" t="str">
        <f>Segments!$G$176</f>
        <v>Sophomore</v>
      </c>
      <c r="H196" s="60">
        <f>Segments!$H$176</f>
        <v>44</v>
      </c>
      <c r="I196" s="26">
        <f>Segments!$Y$176</f>
        <v>729.44047704009006</v>
      </c>
      <c r="J196" s="29">
        <v>1</v>
      </c>
      <c r="K196" s="14">
        <f t="shared" si="78"/>
        <v>1426.2297754450396</v>
      </c>
      <c r="L196" s="14">
        <f t="shared" si="79"/>
        <v>729.44047704009006</v>
      </c>
      <c r="M196" s="14">
        <f t="shared" si="80"/>
        <v>1227.7937492591914</v>
      </c>
      <c r="N196" s="14">
        <f t="shared" si="81"/>
        <v>1323.2973979037215</v>
      </c>
      <c r="O196" s="14">
        <f t="shared" si="82"/>
        <v>1227.7937492591914</v>
      </c>
      <c r="P196" s="33">
        <f t="shared" si="83"/>
        <v>0.88608548191654446</v>
      </c>
      <c r="Q196" s="33">
        <f t="shared" si="84"/>
        <v>0.3860854819165444</v>
      </c>
      <c r="R196" s="51">
        <f t="shared" si="85"/>
        <v>45.19035957774377</v>
      </c>
      <c r="S196" s="51">
        <f>APPLICANTS_PER_YEAR*($H196/Segments!$AH$2)*Q196</f>
        <v>20.385313445193546</v>
      </c>
      <c r="T196" s="51">
        <f t="shared" si="86"/>
        <v>65.575673022937309</v>
      </c>
      <c r="U196" s="14">
        <f t="shared" si="87"/>
        <v>1227.7937492591914</v>
      </c>
      <c r="V196" s="44">
        <f t="shared" si="88"/>
        <v>80513.401441027017</v>
      </c>
      <c r="W196" s="44">
        <f t="shared" si="89"/>
        <v>53573.576237525522</v>
      </c>
      <c r="X196" s="44">
        <f t="shared" si="90"/>
        <v>17914.192783807124</v>
      </c>
      <c r="Y196" s="14">
        <f t="shared" si="91"/>
        <v>1239.9851505385257</v>
      </c>
      <c r="Z196" s="14">
        <f t="shared" si="92"/>
        <v>751.32369135129284</v>
      </c>
      <c r="AA196" s="14">
        <f t="shared" si="93"/>
        <v>1263.3775617369672</v>
      </c>
      <c r="AB196" s="14">
        <f t="shared" si="94"/>
        <v>1362.3225378242</v>
      </c>
      <c r="AC196" s="14">
        <f t="shared" si="95"/>
        <v>1263.3775617369672</v>
      </c>
      <c r="AD196" s="33">
        <f t="shared" si="96"/>
        <v>0.88065529078315075</v>
      </c>
      <c r="AE196" s="33">
        <f t="shared" si="97"/>
        <v>0.38631481288023772</v>
      </c>
      <c r="AF196" s="51">
        <f t="shared" si="98"/>
        <v>20.684675037206965</v>
      </c>
      <c r="AG196" s="51">
        <f>APPLICANTS_PER_YEAR*($H196/Segments!$AH$2)*AE196</f>
        <v>20.397422120076552</v>
      </c>
      <c r="AH196" s="51">
        <f t="shared" si="99"/>
        <v>41.082097157283513</v>
      </c>
      <c r="AI196" s="14">
        <f t="shared" si="100"/>
        <v>1263.3775617369674</v>
      </c>
      <c r="AJ196" s="44">
        <f t="shared" si="101"/>
        <v>51902.199737610048</v>
      </c>
      <c r="AK196" s="44">
        <f t="shared" si="102"/>
        <v>34569.86723082223</v>
      </c>
      <c r="AL196" s="44">
        <f t="shared" si="103"/>
        <v>12043.030836388252</v>
      </c>
      <c r="AM196" s="14">
        <f t="shared" si="104"/>
        <v>1275.9347050546814</v>
      </c>
      <c r="AN196" s="14">
        <f t="shared" si="105"/>
        <v>773.86340209183152</v>
      </c>
      <c r="AO196" s="14">
        <f t="shared" si="106"/>
        <v>1300.0288885890759</v>
      </c>
      <c r="AP196" s="14">
        <f t="shared" si="107"/>
        <v>1402.5181033961703</v>
      </c>
      <c r="AQ196" s="14">
        <f t="shared" si="108"/>
        <v>1300.0288885890759</v>
      </c>
      <c r="AR196" s="33">
        <f t="shared" si="109"/>
        <v>0.88087250628595226</v>
      </c>
      <c r="AS196" s="33">
        <f t="shared" si="110"/>
        <v>0.38653757286944057</v>
      </c>
      <c r="AT196" s="51">
        <f t="shared" si="111"/>
        <v>20.702079094061794</v>
      </c>
      <c r="AU196" s="51">
        <f>APPLICANTS_PER_YEAR*($H196/Segments!$AH$2)*AS196</f>
        <v>20.409183847506466</v>
      </c>
      <c r="AV196" s="51">
        <f t="shared" si="112"/>
        <v>41.111262941568256</v>
      </c>
      <c r="AW196" s="14">
        <f t="shared" si="113"/>
        <v>1300.0288885890761</v>
      </c>
      <c r="AX196" s="44">
        <f t="shared" si="114"/>
        <v>53445.829470420249</v>
      </c>
      <c r="AY196" s="44">
        <f t="shared" si="115"/>
        <v>35632.242020764315</v>
      </c>
      <c r="AZ196" s="44">
        <f t="shared" si="116"/>
        <v>12362.355125728391</v>
      </c>
    </row>
    <row r="197" spans="1:52" ht="15" customHeight="1" x14ac:dyDescent="0.35">
      <c r="A197" s="59" t="str">
        <f>Segments!$A$177</f>
        <v>Non-greek</v>
      </c>
      <c r="B197" s="59" t="str">
        <f>Segments!$B$177</f>
        <v>Off 6+mi</v>
      </c>
      <c r="C197" s="59" t="str">
        <f>Segments!$C$177</f>
        <v>Yes</v>
      </c>
      <c r="D197" s="59" t="str">
        <f>Segments!$D$177</f>
        <v>2.0-3.0</v>
      </c>
      <c r="E197" s="59" t="str">
        <f>Segments!$E$177</f>
        <v>Junior</v>
      </c>
      <c r="F197" s="59">
        <f>Segments!$F$177</f>
        <v>2</v>
      </c>
      <c r="G197" s="59" t="str">
        <f>Segments!$G$177</f>
        <v>Base</v>
      </c>
      <c r="H197" s="60">
        <f>Segments!$H$177</f>
        <v>44</v>
      </c>
      <c r="I197" s="26">
        <f>Segments!$Y$177</f>
        <v>871.99183735976112</v>
      </c>
      <c r="J197" s="29">
        <v>2</v>
      </c>
      <c r="K197" s="14">
        <f t="shared" si="78"/>
        <v>1426.2297754450396</v>
      </c>
      <c r="L197" s="14">
        <f t="shared" si="79"/>
        <v>871.99183735976112</v>
      </c>
      <c r="M197" s="14">
        <f t="shared" si="80"/>
        <v>1459.5933743933397</v>
      </c>
      <c r="N197" s="14">
        <f t="shared" si="81"/>
        <v>1442.8151408278472</v>
      </c>
      <c r="O197" s="14">
        <f t="shared" si="82"/>
        <v>1459.5933743933397</v>
      </c>
      <c r="P197" s="33">
        <f t="shared" si="83"/>
        <v>0.83716773223291951</v>
      </c>
      <c r="Q197" s="33">
        <f t="shared" si="84"/>
        <v>0.34418559138634153</v>
      </c>
      <c r="R197" s="51">
        <f t="shared" si="85"/>
        <v>36.83538021824846</v>
      </c>
      <c r="S197" s="51">
        <f>APPLICANTS_PER_YEAR*($H197/Segments!$AH$2)*Q197</f>
        <v>18.172999225198833</v>
      </c>
      <c r="T197" s="51">
        <f t="shared" si="86"/>
        <v>55.008379443447296</v>
      </c>
      <c r="U197" s="14">
        <f t="shared" si="87"/>
        <v>1459.5933743933394</v>
      </c>
      <c r="V197" s="44">
        <f t="shared" si="88"/>
        <v>80289.866171770453</v>
      </c>
      <c r="W197" s="44">
        <f t="shared" si="89"/>
        <v>53722.880804403474</v>
      </c>
      <c r="X197" s="44">
        <f t="shared" si="90"/>
        <v>17657.658900131977</v>
      </c>
      <c r="Y197" s="14">
        <f t="shared" si="91"/>
        <v>1227.7937492591914</v>
      </c>
      <c r="Z197" s="14">
        <f t="shared" si="92"/>
        <v>898.15159248055397</v>
      </c>
      <c r="AA197" s="14">
        <f t="shared" si="93"/>
        <v>1502.1311756251398</v>
      </c>
      <c r="AB197" s="14">
        <f t="shared" si="94"/>
        <v>1485.4816510411231</v>
      </c>
      <c r="AC197" s="14">
        <f t="shared" si="95"/>
        <v>1502.1311756251398</v>
      </c>
      <c r="AD197" s="33">
        <f t="shared" si="96"/>
        <v>0.7773641147820245</v>
      </c>
      <c r="AE197" s="33">
        <f t="shared" si="97"/>
        <v>0.34439591711807827</v>
      </c>
      <c r="AF197" s="51">
        <f t="shared" si="98"/>
        <v>50.976175010711145</v>
      </c>
      <c r="AG197" s="51">
        <f>APPLICANTS_PER_YEAR*($H197/Segments!$AH$2)*AE197</f>
        <v>18.184104423834533</v>
      </c>
      <c r="AH197" s="51">
        <f t="shared" si="99"/>
        <v>69.160279434545686</v>
      </c>
      <c r="AI197" s="14">
        <f t="shared" si="100"/>
        <v>1502.1311756251396</v>
      </c>
      <c r="AJ197" s="44">
        <f t="shared" si="101"/>
        <v>103887.81185357728</v>
      </c>
      <c r="AK197" s="44">
        <f t="shared" si="102"/>
        <v>69570.384923801801</v>
      </c>
      <c r="AL197" s="44">
        <f t="shared" si="103"/>
        <v>22428.626495068154</v>
      </c>
      <c r="AM197" s="14">
        <f t="shared" si="104"/>
        <v>1263.3775617369674</v>
      </c>
      <c r="AN197" s="14">
        <f t="shared" si="105"/>
        <v>925.09614025497058</v>
      </c>
      <c r="AO197" s="14">
        <f t="shared" si="106"/>
        <v>1545.945110893894</v>
      </c>
      <c r="AP197" s="14">
        <f t="shared" si="107"/>
        <v>1529.4279031440853</v>
      </c>
      <c r="AQ197" s="14">
        <f t="shared" si="108"/>
        <v>1545.945110893894</v>
      </c>
      <c r="AR197" s="33">
        <f t="shared" si="109"/>
        <v>0.77750207624239154</v>
      </c>
      <c r="AS197" s="33">
        <f t="shared" si="110"/>
        <v>0.34460020059923913</v>
      </c>
      <c r="AT197" s="51">
        <f t="shared" si="111"/>
        <v>31.941415836179583</v>
      </c>
      <c r="AU197" s="51">
        <f>APPLICANTS_PER_YEAR*($H197/Segments!$AH$2)*AS197</f>
        <v>18.194890591639826</v>
      </c>
      <c r="AV197" s="51">
        <f t="shared" si="112"/>
        <v>50.136306427819406</v>
      </c>
      <c r="AW197" s="14">
        <f t="shared" si="113"/>
        <v>1545.9451108938943</v>
      </c>
      <c r="AX197" s="44">
        <f t="shared" si="114"/>
        <v>77507.977800365537</v>
      </c>
      <c r="AY197" s="44">
        <f t="shared" si="115"/>
        <v>51946.611990578152</v>
      </c>
      <c r="AZ197" s="44">
        <f t="shared" si="116"/>
        <v>17091.096772985293</v>
      </c>
    </row>
    <row r="198" spans="1:52" ht="15" customHeight="1" x14ac:dyDescent="0.35">
      <c r="A198" s="59" t="str">
        <f>Segments!$A$178</f>
        <v>Non-greek</v>
      </c>
      <c r="B198" s="59" t="str">
        <f>Segments!$B$178</f>
        <v>Off 6+mi</v>
      </c>
      <c r="C198" s="59" t="str">
        <f>Segments!$C$178</f>
        <v>Yes</v>
      </c>
      <c r="D198" s="59" t="str">
        <f>Segments!$D$178</f>
        <v>2.0-3.0</v>
      </c>
      <c r="E198" s="59" t="str">
        <f>Segments!$E$178</f>
        <v>Senior</v>
      </c>
      <c r="F198" s="59">
        <f>Segments!$F$178</f>
        <v>3</v>
      </c>
      <c r="G198" s="59" t="str">
        <f>Segments!$G$178</f>
        <v>Base</v>
      </c>
      <c r="H198" s="60">
        <f>Segments!$H$178</f>
        <v>63</v>
      </c>
      <c r="I198" s="26">
        <f>Segments!$Y$178</f>
        <v>815.03983250727481</v>
      </c>
      <c r="J198" s="29">
        <v>3</v>
      </c>
      <c r="K198" s="14">
        <f t="shared" si="78"/>
        <v>1426.2297754450396</v>
      </c>
      <c r="L198" s="14">
        <f t="shared" si="79"/>
        <v>815.03983250727481</v>
      </c>
      <c r="M198" s="14">
        <f t="shared" si="80"/>
        <v>1366.9849745447495</v>
      </c>
      <c r="N198" s="14">
        <f t="shared" si="81"/>
        <v>1396.2931903012711</v>
      </c>
      <c r="O198" s="14">
        <f t="shared" si="82"/>
        <v>1366.9849745447495</v>
      </c>
      <c r="P198" s="33">
        <f t="shared" si="83"/>
        <v>0.86049500776774468</v>
      </c>
      <c r="Q198" s="33">
        <f t="shared" si="84"/>
        <v>0.36049500776774462</v>
      </c>
      <c r="R198" s="51">
        <f t="shared" si="85"/>
        <v>37.861780341780765</v>
      </c>
      <c r="S198" s="51">
        <f>APPLICANTS_PER_YEAR*($H198/Segments!$AH$2)*Q198</f>
        <v>27.253422587241491</v>
      </c>
      <c r="T198" s="51">
        <f t="shared" si="86"/>
        <v>65.11520292902226</v>
      </c>
      <c r="U198" s="14">
        <f t="shared" si="87"/>
        <v>1366.9849745447493</v>
      </c>
      <c r="V198" s="44">
        <f t="shared" si="88"/>
        <v>89011.504018405685</v>
      </c>
      <c r="W198" s="44">
        <f t="shared" si="89"/>
        <v>59440.062179621222</v>
      </c>
      <c r="X198" s="44">
        <f t="shared" si="90"/>
        <v>20110.739554098876</v>
      </c>
      <c r="Y198" s="14">
        <f t="shared" si="91"/>
        <v>1459.5933743933394</v>
      </c>
      <c r="Z198" s="14">
        <f t="shared" si="92"/>
        <v>839.49102748249311</v>
      </c>
      <c r="AA198" s="14">
        <f t="shared" si="93"/>
        <v>1406.7445237810923</v>
      </c>
      <c r="AB198" s="14">
        <f t="shared" si="94"/>
        <v>1437.5434442300073</v>
      </c>
      <c r="AC198" s="14">
        <f t="shared" si="95"/>
        <v>1406.7445237810923</v>
      </c>
      <c r="AD198" s="33">
        <f t="shared" si="96"/>
        <v>0.86071234423298137</v>
      </c>
      <c r="AE198" s="33">
        <f t="shared" si="97"/>
        <v>0.36071234423298132</v>
      </c>
      <c r="AF198" s="51">
        <f t="shared" si="98"/>
        <v>47.346391223226867</v>
      </c>
      <c r="AG198" s="51">
        <f>APPLICANTS_PER_YEAR*($H198/Segments!$AH$2)*AE198</f>
        <v>27.269853224013385</v>
      </c>
      <c r="AH198" s="51">
        <f t="shared" si="99"/>
        <v>74.616244447240248</v>
      </c>
      <c r="AI198" s="14">
        <f t="shared" si="100"/>
        <v>1406.7445237810923</v>
      </c>
      <c r="AJ198" s="44">
        <f t="shared" si="101"/>
        <v>104965.99326126656</v>
      </c>
      <c r="AK198" s="44">
        <f t="shared" si="102"/>
        <v>70156.427844046426</v>
      </c>
      <c r="AL198" s="44">
        <f t="shared" si="103"/>
        <v>23355.304029976342</v>
      </c>
      <c r="AM198" s="14">
        <f t="shared" si="104"/>
        <v>1502.1311756251396</v>
      </c>
      <c r="AN198" s="14">
        <f t="shared" si="105"/>
        <v>864.67575830696785</v>
      </c>
      <c r="AO198" s="14">
        <f t="shared" si="106"/>
        <v>1447.6968594945249</v>
      </c>
      <c r="AP198" s="14">
        <f t="shared" si="107"/>
        <v>1480.030926152989</v>
      </c>
      <c r="AQ198" s="14">
        <f t="shared" si="108"/>
        <v>1447.6968594945249</v>
      </c>
      <c r="AR198" s="33">
        <f t="shared" si="109"/>
        <v>0.86092344291159817</v>
      </c>
      <c r="AS198" s="33">
        <f t="shared" si="110"/>
        <v>0.36092344291159822</v>
      </c>
      <c r="AT198" s="51">
        <f t="shared" si="111"/>
        <v>59.541705883517267</v>
      </c>
      <c r="AU198" s="51">
        <f>APPLICANTS_PER_YEAR*($H198/Segments!$AH$2)*AS198</f>
        <v>27.285812284116822</v>
      </c>
      <c r="AV198" s="51">
        <f t="shared" si="112"/>
        <v>86.827518167634082</v>
      </c>
      <c r="AW198" s="14">
        <f t="shared" si="113"/>
        <v>1447.6968594945251</v>
      </c>
      <c r="AX198" s="44">
        <f t="shared" si="114"/>
        <v>125699.92536898769</v>
      </c>
      <c r="AY198" s="44">
        <f t="shared" si="115"/>
        <v>84086.968127132364</v>
      </c>
      <c r="AZ198" s="44">
        <f t="shared" si="116"/>
        <v>27558.537031530836</v>
      </c>
    </row>
    <row r="199" spans="1:52" ht="15" customHeight="1" x14ac:dyDescent="0.35">
      <c r="A199" s="59" t="str">
        <f>Segments!$A$179</f>
        <v>Non-greek</v>
      </c>
      <c r="B199" s="59" t="str">
        <f>Segments!$B$179</f>
        <v>Off 6+mi</v>
      </c>
      <c r="C199" s="59" t="str">
        <f>Segments!$C$179</f>
        <v>Yes</v>
      </c>
      <c r="D199" s="59" t="str">
        <f>Segments!$D$179</f>
        <v>2.0-3.0</v>
      </c>
      <c r="E199" s="59" t="str">
        <f>Segments!$E$179</f>
        <v>Grad student</v>
      </c>
      <c r="F199" s="59">
        <f>Segments!$F$179</f>
        <v>3</v>
      </c>
      <c r="G199" s="59" t="str">
        <f>Segments!$G$179</f>
        <v>Grad</v>
      </c>
      <c r="H199" s="60">
        <f>Segments!$H$179</f>
        <v>22</v>
      </c>
      <c r="I199" s="26">
        <f>Segments!$Y$179</f>
        <v>970.45197577238866</v>
      </c>
      <c r="J199" s="29">
        <v>4</v>
      </c>
      <c r="K199" s="14">
        <f t="shared" si="78"/>
        <v>1426.2297754450396</v>
      </c>
      <c r="L199" s="14">
        <f t="shared" si="79"/>
        <v>970.45197577238866</v>
      </c>
      <c r="M199" s="14">
        <f t="shared" si="80"/>
        <v>1619.6972353703436</v>
      </c>
      <c r="N199" s="14">
        <f t="shared" si="81"/>
        <v>1519.8882933594814</v>
      </c>
      <c r="O199" s="14">
        <f t="shared" si="82"/>
        <v>1619.6972353703436</v>
      </c>
      <c r="P199" s="33">
        <f t="shared" si="83"/>
        <v>0.77647082627195285</v>
      </c>
      <c r="Q199" s="33">
        <f t="shared" si="84"/>
        <v>0.3171656981480363</v>
      </c>
      <c r="R199" s="51">
        <f t="shared" si="85"/>
        <v>8.5411790889914805</v>
      </c>
      <c r="S199" s="51">
        <f>APPLICANTS_PER_YEAR*($H199/Segments!$AH$2)*Q199</f>
        <v>8.3731744311081595</v>
      </c>
      <c r="T199" s="51">
        <f t="shared" si="86"/>
        <v>16.914353520099638</v>
      </c>
      <c r="U199" s="14">
        <f t="shared" si="87"/>
        <v>1619.6972353703438</v>
      </c>
      <c r="V199" s="44">
        <f t="shared" si="88"/>
        <v>27396.131634582027</v>
      </c>
      <c r="W199" s="44">
        <f t="shared" si="89"/>
        <v>18384.315927592557</v>
      </c>
      <c r="X199" s="44">
        <f t="shared" si="90"/>
        <v>6200.1555718225836</v>
      </c>
      <c r="Y199" s="14">
        <f t="shared" si="91"/>
        <v>1619.6972353703438</v>
      </c>
      <c r="Z199" s="14">
        <f t="shared" si="92"/>
        <v>999.5655350455603</v>
      </c>
      <c r="AA199" s="14">
        <f t="shared" si="93"/>
        <v>1667.0381524314539</v>
      </c>
      <c r="AB199" s="14">
        <f t="shared" si="94"/>
        <v>1564.8983459939641</v>
      </c>
      <c r="AC199" s="14">
        <f t="shared" si="95"/>
        <v>1667.0381524314539</v>
      </c>
      <c r="AD199" s="33">
        <f t="shared" si="96"/>
        <v>0.80859687896162658</v>
      </c>
      <c r="AE199" s="33">
        <f t="shared" si="97"/>
        <v>0.31736535421007983</v>
      </c>
      <c r="AF199" s="51">
        <f t="shared" si="98"/>
        <v>6.8384467330030851</v>
      </c>
      <c r="AG199" s="51">
        <f>APPLICANTS_PER_YEAR*($H199/Segments!$AH$2)*AE199</f>
        <v>8.3784453511461088</v>
      </c>
      <c r="AH199" s="51">
        <f t="shared" si="99"/>
        <v>15.216892084149194</v>
      </c>
      <c r="AI199" s="14">
        <f t="shared" si="100"/>
        <v>1667.0381524314539</v>
      </c>
      <c r="AJ199" s="44">
        <f t="shared" si="101"/>
        <v>25367.139665708888</v>
      </c>
      <c r="AK199" s="44">
        <f t="shared" si="102"/>
        <v>17035.514583161919</v>
      </c>
      <c r="AL199" s="44">
        <f t="shared" si="103"/>
        <v>5797.0399543254043</v>
      </c>
      <c r="AM199" s="14">
        <f t="shared" si="104"/>
        <v>1667.0381524314539</v>
      </c>
      <c r="AN199" s="14">
        <f t="shared" si="105"/>
        <v>1029.552501096927</v>
      </c>
      <c r="AO199" s="14">
        <f t="shared" si="106"/>
        <v>1715.7992970043974</v>
      </c>
      <c r="AP199" s="14">
        <f t="shared" si="107"/>
        <v>1611.2584834474346</v>
      </c>
      <c r="AQ199" s="14">
        <f t="shared" si="108"/>
        <v>1715.7992970043974</v>
      </c>
      <c r="AR199" s="33">
        <f t="shared" si="109"/>
        <v>0.80878421653601984</v>
      </c>
      <c r="AS199" s="33">
        <f t="shared" si="110"/>
        <v>0.31755926667542245</v>
      </c>
      <c r="AT199" s="51">
        <f t="shared" si="111"/>
        <v>6.1535910711958843</v>
      </c>
      <c r="AU199" s="51">
        <f>APPLICANTS_PER_YEAR*($H199/Segments!$AH$2)*AS199</f>
        <v>8.3835646402311532</v>
      </c>
      <c r="AV199" s="51">
        <f t="shared" si="112"/>
        <v>14.537155711427037</v>
      </c>
      <c r="AW199" s="14">
        <f t="shared" si="113"/>
        <v>1715.7992970043977</v>
      </c>
      <c r="AX199" s="44">
        <f t="shared" si="114"/>
        <v>24942.841550109973</v>
      </c>
      <c r="AY199" s="44">
        <f t="shared" si="115"/>
        <v>16762.776824119406</v>
      </c>
      <c r="AZ199" s="44">
        <f t="shared" si="116"/>
        <v>5717.9872842685882</v>
      </c>
    </row>
    <row r="200" spans="1:52" ht="15" customHeight="1" x14ac:dyDescent="0.35">
      <c r="A200" s="61" t="str">
        <f>Segments!$A$180</f>
        <v>Non-greek</v>
      </c>
      <c r="B200" s="61" t="str">
        <f>Segments!$B$180</f>
        <v>Off 6+mi</v>
      </c>
      <c r="C200" s="61" t="str">
        <f>Segments!$C$180</f>
        <v>Yes</v>
      </c>
      <c r="D200" s="61" t="str">
        <f>Segments!$D$180</f>
        <v>3.0+</v>
      </c>
      <c r="E200" s="61" t="str">
        <f>Segments!$E$180</f>
        <v>Freshman</v>
      </c>
      <c r="F200" s="61">
        <f>Segments!$F$180</f>
        <v>1</v>
      </c>
      <c r="G200" s="61" t="str">
        <f>Segments!$G$180</f>
        <v>Base</v>
      </c>
      <c r="H200" s="62">
        <f>Segments!$H$180</f>
        <v>23</v>
      </c>
      <c r="I200" s="63">
        <f>Segments!$Y$180</f>
        <v>645.96116441028778</v>
      </c>
      <c r="J200" s="42">
        <v>0</v>
      </c>
      <c r="K200" s="40">
        <f t="shared" si="78"/>
        <v>1092.0498789050175</v>
      </c>
      <c r="L200" s="40">
        <f t="shared" si="79"/>
        <v>645.96116441028778</v>
      </c>
      <c r="M200" s="40">
        <f t="shared" si="80"/>
        <v>1092.0498789050175</v>
      </c>
      <c r="N200" s="40">
        <f t="shared" si="81"/>
        <v>1248.0040278642878</v>
      </c>
      <c r="O200" s="40">
        <f t="shared" si="82"/>
        <v>1092.0498789050175</v>
      </c>
      <c r="P200" s="41">
        <f t="shared" si="83"/>
        <v>0.9124814285359939</v>
      </c>
      <c r="Q200" s="41">
        <f t="shared" si="84"/>
        <v>0.41248142853599395</v>
      </c>
      <c r="R200" s="64">
        <f t="shared" si="85"/>
        <v>0</v>
      </c>
      <c r="S200" s="64">
        <f>APPLICANTS_PER_YEAR*($H200/Segments!$AH$2)*Q200</f>
        <v>11.384487427593433</v>
      </c>
      <c r="T200" s="64">
        <f t="shared" si="86"/>
        <v>11.384487427593433</v>
      </c>
      <c r="U200" s="40">
        <f t="shared" si="87"/>
        <v>1092.0498789050175</v>
      </c>
      <c r="V200" s="65">
        <f t="shared" si="88"/>
        <v>12432.428116699102</v>
      </c>
      <c r="W200" s="65">
        <f t="shared" si="89"/>
        <v>8236.4091655356406</v>
      </c>
      <c r="X200" s="65">
        <f t="shared" si="90"/>
        <v>3297.1658323823035</v>
      </c>
      <c r="Y200" s="40">
        <f t="shared" si="91"/>
        <v>1123.5613752721681</v>
      </c>
      <c r="Z200" s="40">
        <f t="shared" si="92"/>
        <v>665.33999934259646</v>
      </c>
      <c r="AA200" s="40">
        <f t="shared" si="93"/>
        <v>1123.5613752721681</v>
      </c>
      <c r="AB200" s="40">
        <f t="shared" si="94"/>
        <v>1284.7296947575153</v>
      </c>
      <c r="AC200" s="40">
        <f t="shared" si="95"/>
        <v>1123.5613752721681</v>
      </c>
      <c r="AD200" s="41">
        <f t="shared" si="96"/>
        <v>0.91272460274834954</v>
      </c>
      <c r="AE200" s="41">
        <f t="shared" si="97"/>
        <v>0.4127246027483496</v>
      </c>
      <c r="AF200" s="64">
        <f t="shared" si="98"/>
        <v>0</v>
      </c>
      <c r="AG200" s="64">
        <f>APPLICANTS_PER_YEAR*($H200/Segments!$AH$2)*AE200</f>
        <v>11.391199035854449</v>
      </c>
      <c r="AH200" s="64">
        <f t="shared" si="99"/>
        <v>11.391199035854449</v>
      </c>
      <c r="AI200" s="40">
        <f t="shared" si="100"/>
        <v>1123.5613752721681</v>
      </c>
      <c r="AJ200" s="65">
        <f t="shared" si="101"/>
        <v>12798.711254723619</v>
      </c>
      <c r="AK200" s="65">
        <f t="shared" si="102"/>
        <v>8488.5028021099988</v>
      </c>
      <c r="AL200" s="65">
        <f t="shared" si="103"/>
        <v>3379.5152776715408</v>
      </c>
      <c r="AM200" s="40">
        <f t="shared" si="104"/>
        <v>1156.0182165303331</v>
      </c>
      <c r="AN200" s="40">
        <f t="shared" si="105"/>
        <v>685.30019932287428</v>
      </c>
      <c r="AO200" s="40">
        <f t="shared" si="106"/>
        <v>1156.0182165303331</v>
      </c>
      <c r="AP200" s="40">
        <f t="shared" si="107"/>
        <v>1322.556739915537</v>
      </c>
      <c r="AQ200" s="40">
        <f t="shared" si="108"/>
        <v>1156.0182165303331</v>
      </c>
      <c r="AR200" s="41">
        <f t="shared" si="109"/>
        <v>0.91296082366789033</v>
      </c>
      <c r="AS200" s="41">
        <f t="shared" si="110"/>
        <v>0.41296082366789028</v>
      </c>
      <c r="AT200" s="64">
        <f t="shared" si="111"/>
        <v>0</v>
      </c>
      <c r="AU200" s="64">
        <f>APPLICANTS_PER_YEAR*($H200/Segments!$AH$2)*AS200</f>
        <v>11.39771873323377</v>
      </c>
      <c r="AV200" s="64">
        <f t="shared" si="112"/>
        <v>11.39771873323377</v>
      </c>
      <c r="AW200" s="40">
        <f t="shared" si="113"/>
        <v>1156.0182165303331</v>
      </c>
      <c r="AX200" s="65">
        <f t="shared" si="114"/>
        <v>13175.970482507269</v>
      </c>
      <c r="AY200" s="65">
        <f t="shared" si="115"/>
        <v>8748.1619900764999</v>
      </c>
      <c r="AZ200" s="65">
        <f t="shared" si="116"/>
        <v>3464.3147310771483</v>
      </c>
    </row>
    <row r="201" spans="1:52" ht="15" customHeight="1" x14ac:dyDescent="0.35">
      <c r="A201" s="61" t="str">
        <f>Segments!$A$181</f>
        <v>Non-greek</v>
      </c>
      <c r="B201" s="61" t="str">
        <f>Segments!$B$181</f>
        <v>Off 6+mi</v>
      </c>
      <c r="C201" s="61" t="str">
        <f>Segments!$C$181</f>
        <v>Yes</v>
      </c>
      <c r="D201" s="61" t="str">
        <f>Segments!$D$181</f>
        <v>3.0+</v>
      </c>
      <c r="E201" s="61" t="str">
        <f>Segments!$E$181</f>
        <v>Sophomore</v>
      </c>
      <c r="F201" s="61">
        <f>Segments!$F$181</f>
        <v>1</v>
      </c>
      <c r="G201" s="61" t="str">
        <f>Segments!$G$181</f>
        <v>Sophomore</v>
      </c>
      <c r="H201" s="62">
        <f>Segments!$H$181</f>
        <v>32</v>
      </c>
      <c r="I201" s="63">
        <f>Segments!$Y$181</f>
        <v>639.38931237580459</v>
      </c>
      <c r="J201" s="42">
        <v>1</v>
      </c>
      <c r="K201" s="40">
        <f t="shared" si="78"/>
        <v>1426.2297754450396</v>
      </c>
      <c r="L201" s="40">
        <f t="shared" si="79"/>
        <v>639.38931237580459</v>
      </c>
      <c r="M201" s="40">
        <f t="shared" si="80"/>
        <v>1081.3635351576538</v>
      </c>
      <c r="N201" s="40">
        <f t="shared" si="81"/>
        <v>1241.8827931501246</v>
      </c>
      <c r="O201" s="40">
        <f t="shared" si="82"/>
        <v>1081.3635351576538</v>
      </c>
      <c r="P201" s="41">
        <f t="shared" si="83"/>
        <v>0.91462737823482609</v>
      </c>
      <c r="Q201" s="41">
        <f t="shared" si="84"/>
        <v>0.41462737823482609</v>
      </c>
      <c r="R201" s="64">
        <f t="shared" si="85"/>
        <v>21.036429699401001</v>
      </c>
      <c r="S201" s="64">
        <f>APPLICANTS_PER_YEAR*($H201/Segments!$AH$2)*Q201</f>
        <v>15.921691324217321</v>
      </c>
      <c r="T201" s="64">
        <f t="shared" si="86"/>
        <v>36.958121023618318</v>
      </c>
      <c r="U201" s="40">
        <f t="shared" si="87"/>
        <v>1081.3635351576538</v>
      </c>
      <c r="V201" s="65">
        <f t="shared" si="88"/>
        <v>39965.164402884315</v>
      </c>
      <c r="W201" s="65">
        <f t="shared" si="89"/>
        <v>26466.302898552258</v>
      </c>
      <c r="X201" s="65">
        <f t="shared" si="90"/>
        <v>9293.2205502844954</v>
      </c>
      <c r="Y201" s="40">
        <f t="shared" si="91"/>
        <v>1092.0498789050175</v>
      </c>
      <c r="Z201" s="40">
        <f t="shared" si="92"/>
        <v>658.57099174707878</v>
      </c>
      <c r="AA201" s="40">
        <f t="shared" si="93"/>
        <v>1112.5544412123836</v>
      </c>
      <c r="AB201" s="40">
        <f t="shared" si="94"/>
        <v>1278.4212994887644</v>
      </c>
      <c r="AC201" s="40">
        <f t="shared" si="95"/>
        <v>1112.5544412123836</v>
      </c>
      <c r="AD201" s="41">
        <f t="shared" si="96"/>
        <v>0.9092388875006534</v>
      </c>
      <c r="AE201" s="41">
        <f t="shared" si="97"/>
        <v>0.41487175172328178</v>
      </c>
      <c r="AF201" s="64">
        <f t="shared" si="98"/>
        <v>10.351218683430227</v>
      </c>
      <c r="AG201" s="64">
        <f>APPLICANTS_PER_YEAR*($H201/Segments!$AH$2)*AE201</f>
        <v>15.93107526617402</v>
      </c>
      <c r="AH201" s="64">
        <f t="shared" si="99"/>
        <v>26.282293949604245</v>
      </c>
      <c r="AI201" s="40">
        <f t="shared" si="100"/>
        <v>1112.5544412123836</v>
      </c>
      <c r="AJ201" s="65">
        <f t="shared" si="101"/>
        <v>29240.482858881562</v>
      </c>
      <c r="AK201" s="65">
        <f t="shared" si="102"/>
        <v>19385.807158792613</v>
      </c>
      <c r="AL201" s="65">
        <f t="shared" si="103"/>
        <v>7070.7206198985241</v>
      </c>
      <c r="AM201" s="40">
        <f t="shared" si="104"/>
        <v>1123.5613752721681</v>
      </c>
      <c r="AN201" s="40">
        <f t="shared" si="105"/>
        <v>678.32812149949109</v>
      </c>
      <c r="AO201" s="40">
        <f t="shared" si="106"/>
        <v>1144.681074448755</v>
      </c>
      <c r="AP201" s="40">
        <f t="shared" si="107"/>
        <v>1316.0555634477821</v>
      </c>
      <c r="AQ201" s="40">
        <f t="shared" si="108"/>
        <v>1144.681074448755</v>
      </c>
      <c r="AR201" s="41">
        <f t="shared" si="109"/>
        <v>0.9094700079399064</v>
      </c>
      <c r="AS201" s="41">
        <f t="shared" si="110"/>
        <v>0.41510913891434142</v>
      </c>
      <c r="AT201" s="64">
        <f t="shared" si="111"/>
        <v>10.3599538775836</v>
      </c>
      <c r="AU201" s="64">
        <f>APPLICANTS_PER_YEAR*($H201/Segments!$AH$2)*AS201</f>
        <v>15.94019093431071</v>
      </c>
      <c r="AV201" s="64">
        <f t="shared" si="112"/>
        <v>26.30014481189431</v>
      </c>
      <c r="AW201" s="40">
        <f t="shared" si="113"/>
        <v>1144.681074448755</v>
      </c>
      <c r="AX201" s="65">
        <f t="shared" si="114"/>
        <v>30105.278021437025</v>
      </c>
      <c r="AY201" s="65">
        <f t="shared" si="115"/>
        <v>19980.943164466877</v>
      </c>
      <c r="AZ201" s="65">
        <f t="shared" si="116"/>
        <v>7253.0304366434302</v>
      </c>
    </row>
    <row r="202" spans="1:52" ht="15" customHeight="1" x14ac:dyDescent="0.35">
      <c r="A202" s="61" t="str">
        <f>Segments!$A$182</f>
        <v>Non-greek</v>
      </c>
      <c r="B202" s="61" t="str">
        <f>Segments!$B$182</f>
        <v>Off 6+mi</v>
      </c>
      <c r="C202" s="61" t="str">
        <f>Segments!$C$182</f>
        <v>Yes</v>
      </c>
      <c r="D202" s="61" t="str">
        <f>Segments!$D$182</f>
        <v>3.0+</v>
      </c>
      <c r="E202" s="61" t="str">
        <f>Segments!$E$182</f>
        <v>Junior</v>
      </c>
      <c r="F202" s="61">
        <f>Segments!$F$182</f>
        <v>2</v>
      </c>
      <c r="G202" s="61" t="str">
        <f>Segments!$G$182</f>
        <v>Base</v>
      </c>
      <c r="H202" s="62">
        <f>Segments!$H$182</f>
        <v>19</v>
      </c>
      <c r="I202" s="63">
        <f>Segments!$Y$182</f>
        <v>764.34236765850562</v>
      </c>
      <c r="J202" s="42">
        <v>2</v>
      </c>
      <c r="K202" s="40">
        <f t="shared" si="78"/>
        <v>1426.2297754450396</v>
      </c>
      <c r="L202" s="40">
        <f t="shared" si="79"/>
        <v>764.34236765850562</v>
      </c>
      <c r="M202" s="40">
        <f t="shared" si="80"/>
        <v>1284.5469443439622</v>
      </c>
      <c r="N202" s="40">
        <f t="shared" si="81"/>
        <v>1353.5357771334679</v>
      </c>
      <c r="O202" s="40">
        <f t="shared" si="82"/>
        <v>1284.5469443439622</v>
      </c>
      <c r="P202" s="41">
        <f t="shared" si="83"/>
        <v>0.87548467279365561</v>
      </c>
      <c r="Q202" s="41">
        <f t="shared" si="84"/>
        <v>0.37548467279365566</v>
      </c>
      <c r="R202" s="64">
        <f t="shared" si="85"/>
        <v>28.015509529396979</v>
      </c>
      <c r="S202" s="64">
        <f>APPLICANTS_PER_YEAR*($H202/Segments!$AH$2)*Q202</f>
        <v>8.5610505396953496</v>
      </c>
      <c r="T202" s="64">
        <f t="shared" si="86"/>
        <v>36.576560069092331</v>
      </c>
      <c r="U202" s="40">
        <f t="shared" si="87"/>
        <v>1284.5469443439622</v>
      </c>
      <c r="V202" s="65">
        <f t="shared" si="88"/>
        <v>46984.308471365934</v>
      </c>
      <c r="W202" s="65">
        <f t="shared" si="89"/>
        <v>31311.856266895218</v>
      </c>
      <c r="X202" s="65">
        <f t="shared" si="90"/>
        <v>10210.489261852288</v>
      </c>
      <c r="Y202" s="40">
        <f t="shared" si="91"/>
        <v>1081.3635351576538</v>
      </c>
      <c r="Z202" s="40">
        <f t="shared" si="92"/>
        <v>787.27263868826083</v>
      </c>
      <c r="AA202" s="40">
        <f t="shared" si="93"/>
        <v>1321.8333526742813</v>
      </c>
      <c r="AB202" s="40">
        <f t="shared" si="94"/>
        <v>1393.4831281121474</v>
      </c>
      <c r="AC202" s="40">
        <f t="shared" si="95"/>
        <v>1321.8333526742813</v>
      </c>
      <c r="AD202" s="41">
        <f t="shared" si="96"/>
        <v>0.80899593371944678</v>
      </c>
      <c r="AE202" s="41">
        <f t="shared" si="97"/>
        <v>0.3757088779879722</v>
      </c>
      <c r="AF202" s="64">
        <f t="shared" si="98"/>
        <v>29.898969626018417</v>
      </c>
      <c r="AG202" s="64">
        <f>APPLICANTS_PER_YEAR*($H202/Segments!$AH$2)*AE202</f>
        <v>8.5661624181257672</v>
      </c>
      <c r="AH202" s="64">
        <f t="shared" si="99"/>
        <v>38.465132044144184</v>
      </c>
      <c r="AI202" s="40">
        <f t="shared" si="100"/>
        <v>1321.8333526742813</v>
      </c>
      <c r="AJ202" s="65">
        <f t="shared" si="101"/>
        <v>50844.494450970036</v>
      </c>
      <c r="AK202" s="65">
        <f t="shared" si="102"/>
        <v>33916.45152211206</v>
      </c>
      <c r="AL202" s="65">
        <f t="shared" si="103"/>
        <v>10989.372524173992</v>
      </c>
      <c r="AM202" s="40">
        <f t="shared" si="104"/>
        <v>1112.5544412123836</v>
      </c>
      <c r="AN202" s="40">
        <f t="shared" si="105"/>
        <v>810.89081784890857</v>
      </c>
      <c r="AO202" s="40">
        <f t="shared" si="106"/>
        <v>1360.2383532545095</v>
      </c>
      <c r="AP202" s="40">
        <f t="shared" si="107"/>
        <v>1434.6285926251946</v>
      </c>
      <c r="AQ202" s="40">
        <f t="shared" si="108"/>
        <v>1360.2383532545095</v>
      </c>
      <c r="AR202" s="41">
        <f t="shared" si="109"/>
        <v>0.80913875541558133</v>
      </c>
      <c r="AS202" s="41">
        <f t="shared" si="110"/>
        <v>0.37592665438047629</v>
      </c>
      <c r="AT202" s="64">
        <f t="shared" si="111"/>
        <v>21.266022615849241</v>
      </c>
      <c r="AU202" s="64">
        <f>APPLICANTS_PER_YEAR*($H202/Segments!$AH$2)*AS202</f>
        <v>8.571127719874859</v>
      </c>
      <c r="AV202" s="64">
        <f t="shared" si="112"/>
        <v>29.8371503357241</v>
      </c>
      <c r="AW202" s="40">
        <f t="shared" si="113"/>
        <v>1360.2383532545095</v>
      </c>
      <c r="AX202" s="65">
        <f t="shared" si="114"/>
        <v>40585.636238472587</v>
      </c>
      <c r="AY202" s="65">
        <f t="shared" si="115"/>
        <v>27098.031786578093</v>
      </c>
      <c r="AZ202" s="65">
        <f t="shared" si="116"/>
        <v>8889.7636317152555</v>
      </c>
    </row>
    <row r="203" spans="1:52" ht="15" customHeight="1" x14ac:dyDescent="0.35">
      <c r="A203" s="61" t="str">
        <f>Segments!$A$183</f>
        <v>Non-greek</v>
      </c>
      <c r="B203" s="61" t="str">
        <f>Segments!$B$183</f>
        <v>Off 6+mi</v>
      </c>
      <c r="C203" s="61" t="str">
        <f>Segments!$C$183</f>
        <v>Yes</v>
      </c>
      <c r="D203" s="61" t="str">
        <f>Segments!$D$183</f>
        <v>3.0+</v>
      </c>
      <c r="E203" s="61" t="str">
        <f>Segments!$E$183</f>
        <v>Senior</v>
      </c>
      <c r="F203" s="61">
        <f>Segments!$F$183</f>
        <v>3</v>
      </c>
      <c r="G203" s="61" t="str">
        <f>Segments!$G$183</f>
        <v>Base</v>
      </c>
      <c r="H203" s="62">
        <f>Segments!$H$183</f>
        <v>23</v>
      </c>
      <c r="I203" s="63">
        <f>Segments!$Y$183</f>
        <v>714.42122348397766</v>
      </c>
      <c r="J203" s="42">
        <v>3</v>
      </c>
      <c r="K203" s="40">
        <f t="shared" si="78"/>
        <v>1426.2297754450396</v>
      </c>
      <c r="L203" s="40">
        <f t="shared" si="79"/>
        <v>714.42122348397766</v>
      </c>
      <c r="M203" s="40">
        <f t="shared" si="80"/>
        <v>1203.3712720811805</v>
      </c>
      <c r="N203" s="40">
        <f t="shared" si="81"/>
        <v>1310.0702039041091</v>
      </c>
      <c r="O203" s="40">
        <f t="shared" si="82"/>
        <v>1203.3712720811805</v>
      </c>
      <c r="P203" s="41">
        <f t="shared" si="83"/>
        <v>0.8907226007831327</v>
      </c>
      <c r="Q203" s="41">
        <f t="shared" si="84"/>
        <v>0.3907226007831327</v>
      </c>
      <c r="R203" s="64">
        <f t="shared" si="85"/>
        <v>16.923729414879521</v>
      </c>
      <c r="S203" s="64">
        <f>APPLICANTS_PER_YEAR*($H203/Segments!$AH$2)*Q203</f>
        <v>10.783943781614461</v>
      </c>
      <c r="T203" s="64">
        <f t="shared" si="86"/>
        <v>27.707673196493982</v>
      </c>
      <c r="U203" s="40">
        <f t="shared" si="87"/>
        <v>1203.3712720811805</v>
      </c>
      <c r="V203" s="65">
        <f t="shared" si="88"/>
        <v>33342.617940874588</v>
      </c>
      <c r="W203" s="65">
        <f t="shared" si="89"/>
        <v>22170.343759125459</v>
      </c>
      <c r="X203" s="65">
        <f t="shared" si="90"/>
        <v>7579.704934424205</v>
      </c>
      <c r="Y203" s="40">
        <f t="shared" si="91"/>
        <v>1284.5469443439622</v>
      </c>
      <c r="Z203" s="40">
        <f t="shared" si="92"/>
        <v>735.85386018849704</v>
      </c>
      <c r="AA203" s="40">
        <f t="shared" si="93"/>
        <v>1238.222410243616</v>
      </c>
      <c r="AB203" s="40">
        <f t="shared" si="94"/>
        <v>1348.6917217126199</v>
      </c>
      <c r="AC203" s="40">
        <f t="shared" si="95"/>
        <v>1238.222410243616</v>
      </c>
      <c r="AD203" s="41">
        <f t="shared" si="96"/>
        <v>0.89095424836178494</v>
      </c>
      <c r="AE203" s="41">
        <f t="shared" si="97"/>
        <v>0.39095424836178494</v>
      </c>
      <c r="AF203" s="64">
        <f t="shared" si="98"/>
        <v>32.588041584017837</v>
      </c>
      <c r="AG203" s="64">
        <f>APPLICANTS_PER_YEAR*($H203/Segments!$AH$2)*AE203</f>
        <v>10.790337254785264</v>
      </c>
      <c r="AH203" s="64">
        <f t="shared" si="99"/>
        <v>43.378378838803101</v>
      </c>
      <c r="AI203" s="40">
        <f t="shared" si="100"/>
        <v>1238.222410243616</v>
      </c>
      <c r="AJ203" s="65">
        <f t="shared" si="101"/>
        <v>53712.080798243442</v>
      </c>
      <c r="AK203" s="65">
        <f t="shared" si="102"/>
        <v>35750.565219322554</v>
      </c>
      <c r="AL203" s="65">
        <f t="shared" si="103"/>
        <v>11756.538588117364</v>
      </c>
      <c r="AM203" s="40">
        <f t="shared" si="104"/>
        <v>1321.8333526742813</v>
      </c>
      <c r="AN203" s="40">
        <f t="shared" si="105"/>
        <v>757.92947599415186</v>
      </c>
      <c r="AO203" s="40">
        <f t="shared" si="106"/>
        <v>1274.1190825509241</v>
      </c>
      <c r="AP203" s="40">
        <f t="shared" si="107"/>
        <v>1388.4715464467943</v>
      </c>
      <c r="AQ203" s="40">
        <f t="shared" si="108"/>
        <v>1274.1190825509241</v>
      </c>
      <c r="AR203" s="41">
        <f t="shared" si="109"/>
        <v>0.89117926081686982</v>
      </c>
      <c r="AS203" s="41">
        <f t="shared" si="110"/>
        <v>0.39117926081686977</v>
      </c>
      <c r="AT203" s="64">
        <f t="shared" si="111"/>
        <v>34.279327942323704</v>
      </c>
      <c r="AU203" s="64">
        <f>APPLICANTS_PER_YEAR*($H203/Segments!$AH$2)*AS203</f>
        <v>10.796547598545605</v>
      </c>
      <c r="AV203" s="64">
        <f t="shared" si="112"/>
        <v>45.075875540869305</v>
      </c>
      <c r="AW203" s="40">
        <f t="shared" si="113"/>
        <v>1274.1190825509243</v>
      </c>
      <c r="AX203" s="65">
        <f t="shared" si="114"/>
        <v>57432.033189312046</v>
      </c>
      <c r="AY203" s="65">
        <f t="shared" si="115"/>
        <v>38264.054896108923</v>
      </c>
      <c r="AZ203" s="65">
        <f t="shared" si="116"/>
        <v>12507.548529795173</v>
      </c>
    </row>
    <row r="204" spans="1:52" ht="15" customHeight="1" x14ac:dyDescent="0.35">
      <c r="A204" s="61" t="str">
        <f>Segments!$A$184</f>
        <v>Non-greek</v>
      </c>
      <c r="B204" s="61" t="str">
        <f>Segments!$B$184</f>
        <v>Off 6+mi</v>
      </c>
      <c r="C204" s="61" t="str">
        <f>Segments!$C$184</f>
        <v>Yes</v>
      </c>
      <c r="D204" s="61" t="str">
        <f>Segments!$D$184</f>
        <v>3.0+</v>
      </c>
      <c r="E204" s="61" t="str">
        <f>Segments!$E$184</f>
        <v>Grad student</v>
      </c>
      <c r="F204" s="61">
        <f>Segments!$F$184</f>
        <v>3</v>
      </c>
      <c r="G204" s="61" t="str">
        <f>Segments!$G$184</f>
        <v>Grad</v>
      </c>
      <c r="H204" s="62">
        <f>Segments!$H$184</f>
        <v>11</v>
      </c>
      <c r="I204" s="63">
        <f>Segments!$Y$184</f>
        <v>850.64736741877607</v>
      </c>
      <c r="J204" s="42">
        <v>4</v>
      </c>
      <c r="K204" s="40">
        <f t="shared" si="78"/>
        <v>1426.2297754450396</v>
      </c>
      <c r="L204" s="40">
        <f t="shared" si="79"/>
        <v>850.64736741877607</v>
      </c>
      <c r="M204" s="40">
        <f t="shared" si="80"/>
        <v>1424.8856022618611</v>
      </c>
      <c r="N204" s="40">
        <f t="shared" si="81"/>
        <v>1425.5575304240808</v>
      </c>
      <c r="O204" s="40">
        <f t="shared" si="82"/>
        <v>1424.8856022618611</v>
      </c>
      <c r="P204" s="41">
        <f t="shared" si="83"/>
        <v>0.85023567206088835</v>
      </c>
      <c r="Q204" s="41">
        <f t="shared" si="84"/>
        <v>0.35023567206088829</v>
      </c>
      <c r="R204" s="64">
        <f t="shared" si="85"/>
        <v>4.6762961963348859</v>
      </c>
      <c r="S204" s="64">
        <f>APPLICANTS_PER_YEAR*($H204/Segments!$AH$2)*Q204</f>
        <v>4.6231108712037257</v>
      </c>
      <c r="T204" s="64">
        <f t="shared" si="86"/>
        <v>9.2994070675386116</v>
      </c>
      <c r="U204" s="40">
        <f t="shared" si="87"/>
        <v>1424.8856022618611</v>
      </c>
      <c r="V204" s="65">
        <f t="shared" si="88"/>
        <v>13250.591240107962</v>
      </c>
      <c r="W204" s="65">
        <f t="shared" si="89"/>
        <v>8859.7780774241546</v>
      </c>
      <c r="X204" s="65">
        <f t="shared" si="90"/>
        <v>3036.4868016426171</v>
      </c>
      <c r="Y204" s="40">
        <f t="shared" si="91"/>
        <v>1424.8856022618611</v>
      </c>
      <c r="Z204" s="40">
        <f t="shared" si="92"/>
        <v>876.16678844133935</v>
      </c>
      <c r="AA204" s="40">
        <f t="shared" si="93"/>
        <v>1466.3821703297169</v>
      </c>
      <c r="AB204" s="40">
        <f t="shared" si="94"/>
        <v>1467.698828408315</v>
      </c>
      <c r="AC204" s="40">
        <f t="shared" si="95"/>
        <v>1466.3821703297169</v>
      </c>
      <c r="AD204" s="41">
        <f t="shared" si="96"/>
        <v>0.84171172406905836</v>
      </c>
      <c r="AE204" s="41">
        <f t="shared" si="97"/>
        <v>0.35044854504654266</v>
      </c>
      <c r="AF204" s="64">
        <f t="shared" si="98"/>
        <v>3.9137099778189555</v>
      </c>
      <c r="AG204" s="64">
        <f>APPLICANTS_PER_YEAR*($H204/Segments!$AH$2)*AE204</f>
        <v>4.6259207946143635</v>
      </c>
      <c r="AH204" s="64">
        <f t="shared" si="99"/>
        <v>8.5396307724333198</v>
      </c>
      <c r="AI204" s="40">
        <f t="shared" si="100"/>
        <v>1466.3821703297167</v>
      </c>
      <c r="AJ204" s="65">
        <f t="shared" si="101"/>
        <v>12522.362305895207</v>
      </c>
      <c r="AK204" s="65">
        <f t="shared" si="102"/>
        <v>8379.9977725606641</v>
      </c>
      <c r="AL204" s="65">
        <f t="shared" si="103"/>
        <v>2890.5849832385188</v>
      </c>
      <c r="AM204" s="40">
        <f t="shared" si="104"/>
        <v>1466.3821703297167</v>
      </c>
      <c r="AN204" s="40">
        <f t="shared" si="105"/>
        <v>902.45179209457945</v>
      </c>
      <c r="AO204" s="40">
        <f t="shared" si="106"/>
        <v>1509.1236354396083</v>
      </c>
      <c r="AP204" s="40">
        <f t="shared" si="107"/>
        <v>1511.104102592097</v>
      </c>
      <c r="AQ204" s="40">
        <f t="shared" si="108"/>
        <v>1509.1236354396083</v>
      </c>
      <c r="AR204" s="41">
        <f t="shared" si="109"/>
        <v>0.84191103609426221</v>
      </c>
      <c r="AS204" s="41">
        <f t="shared" si="110"/>
        <v>0.35065530467063499</v>
      </c>
      <c r="AT204" s="64">
        <f t="shared" si="111"/>
        <v>3.5948046957408906</v>
      </c>
      <c r="AU204" s="64">
        <f>APPLICANTS_PER_YEAR*($H204/Segments!$AH$2)*AS204</f>
        <v>4.6286500216523825</v>
      </c>
      <c r="AV204" s="64">
        <f t="shared" si="112"/>
        <v>8.2234547173932739</v>
      </c>
      <c r="AW204" s="40">
        <f t="shared" si="113"/>
        <v>1509.1236354396083</v>
      </c>
      <c r="AX204" s="65">
        <f t="shared" si="114"/>
        <v>12410.209878985534</v>
      </c>
      <c r="AY204" s="65">
        <f t="shared" si="115"/>
        <v>8311.8240205506063</v>
      </c>
      <c r="AZ204" s="65">
        <f t="shared" si="116"/>
        <v>2870.1971921923191</v>
      </c>
    </row>
    <row r="205" spans="1:52" ht="15" customHeight="1" x14ac:dyDescent="0.35">
      <c r="A205" s="59" t="str">
        <f>Segments!$A$185</f>
        <v>Non-greek</v>
      </c>
      <c r="B205" s="59" t="str">
        <f>Segments!$B$185</f>
        <v>Off 6+mi</v>
      </c>
      <c r="C205" s="59" t="str">
        <f>Segments!$C$185</f>
        <v>No</v>
      </c>
      <c r="D205" s="59" t="str">
        <f>Segments!$D$185</f>
        <v>&lt;1.0</v>
      </c>
      <c r="E205" s="59" t="str">
        <f>Segments!$E$185</f>
        <v>Freshman</v>
      </c>
      <c r="F205" s="59">
        <f>Segments!$F$185</f>
        <v>1</v>
      </c>
      <c r="G205" s="59" t="str">
        <f>Segments!$G$185</f>
        <v>Base</v>
      </c>
      <c r="H205" s="60">
        <f>Segments!$H$185</f>
        <v>3</v>
      </c>
      <c r="I205" s="26">
        <f>Segments!$Y$185</f>
        <v>1272.7755927641799</v>
      </c>
      <c r="J205" s="29">
        <v>0</v>
      </c>
      <c r="K205" s="14">
        <f t="shared" si="78"/>
        <v>2111.2990056427993</v>
      </c>
      <c r="L205" s="14">
        <f t="shared" si="79"/>
        <v>1272.7755927641799</v>
      </c>
      <c r="M205" s="14">
        <f t="shared" si="80"/>
        <v>2111.2990056427993</v>
      </c>
      <c r="N205" s="14">
        <f t="shared" si="81"/>
        <v>1735.2802386690355</v>
      </c>
      <c r="O205" s="14">
        <f t="shared" si="82"/>
        <v>2111.2990056427993</v>
      </c>
      <c r="P205" s="33">
        <f t="shared" si="83"/>
        <v>0.74165474296469502</v>
      </c>
      <c r="Q205" s="33">
        <f t="shared" si="84"/>
        <v>0.24165474296469502</v>
      </c>
      <c r="R205" s="51">
        <f t="shared" si="85"/>
        <v>0</v>
      </c>
      <c r="S205" s="51">
        <f>APPLICANTS_PER_YEAR*($H205/Segments!$AH$2)*Q205</f>
        <v>0.86995707467290195</v>
      </c>
      <c r="T205" s="51">
        <f t="shared" si="86"/>
        <v>0.86995707467290195</v>
      </c>
      <c r="U205" s="14">
        <f t="shared" si="87"/>
        <v>2111.2990056427993</v>
      </c>
      <c r="V205" s="44">
        <f t="shared" si="88"/>
        <v>1836.7395067088164</v>
      </c>
      <c r="W205" s="44">
        <f t="shared" si="89"/>
        <v>1240.1313471637382</v>
      </c>
      <c r="X205" s="44">
        <f t="shared" si="90"/>
        <v>450.57771786305551</v>
      </c>
      <c r="Y205" s="14">
        <f t="shared" si="91"/>
        <v>2173.3879758120834</v>
      </c>
      <c r="Z205" s="14">
        <f t="shared" si="92"/>
        <v>1310.9588605471054</v>
      </c>
      <c r="AA205" s="14">
        <f t="shared" si="93"/>
        <v>2173.3879758120834</v>
      </c>
      <c r="AB205" s="14">
        <f t="shared" si="94"/>
        <v>1786.8248834282388</v>
      </c>
      <c r="AC205" s="14">
        <f t="shared" si="95"/>
        <v>2173.3879758120834</v>
      </c>
      <c r="AD205" s="33">
        <f t="shared" si="96"/>
        <v>0.74182960905430839</v>
      </c>
      <c r="AE205" s="33">
        <f t="shared" si="97"/>
        <v>0.24182960905430839</v>
      </c>
      <c r="AF205" s="51">
        <f t="shared" si="98"/>
        <v>0</v>
      </c>
      <c r="AG205" s="51">
        <f>APPLICANTS_PER_YEAR*($H205/Segments!$AH$2)*AE205</f>
        <v>0.87058659259551008</v>
      </c>
      <c r="AH205" s="51">
        <f t="shared" si="99"/>
        <v>0.87058659259551008</v>
      </c>
      <c r="AI205" s="14">
        <f t="shared" si="100"/>
        <v>2173.3879758120834</v>
      </c>
      <c r="AJ205" s="44">
        <f t="shared" si="101"/>
        <v>1892.1224322502944</v>
      </c>
      <c r="AK205" s="44">
        <f t="shared" si="102"/>
        <v>1278.2595923289887</v>
      </c>
      <c r="AL205" s="44">
        <f t="shared" si="103"/>
        <v>463.01182149086389</v>
      </c>
      <c r="AM205" s="14">
        <f t="shared" si="104"/>
        <v>2237.339615086446</v>
      </c>
      <c r="AN205" s="14">
        <f t="shared" si="105"/>
        <v>1350.2876263635185</v>
      </c>
      <c r="AO205" s="14">
        <f t="shared" si="106"/>
        <v>2237.339615086446</v>
      </c>
      <c r="AP205" s="14">
        <f t="shared" si="107"/>
        <v>1839.9157219197059</v>
      </c>
      <c r="AQ205" s="14">
        <f t="shared" si="108"/>
        <v>2237.339615086446</v>
      </c>
      <c r="AR205" s="33">
        <f t="shared" si="109"/>
        <v>0.74199943007387281</v>
      </c>
      <c r="AS205" s="33">
        <f t="shared" si="110"/>
        <v>0.24199943007387281</v>
      </c>
      <c r="AT205" s="51">
        <f t="shared" si="111"/>
        <v>0</v>
      </c>
      <c r="AU205" s="51">
        <f>APPLICANTS_PER_YEAR*($H205/Segments!$AH$2)*AS205</f>
        <v>0.87119794826594199</v>
      </c>
      <c r="AV205" s="51">
        <f t="shared" si="112"/>
        <v>0.87119794826594199</v>
      </c>
      <c r="AW205" s="14">
        <f t="shared" si="113"/>
        <v>2237.339615086446</v>
      </c>
      <c r="AX205" s="44">
        <f t="shared" si="114"/>
        <v>1949.1656822374241</v>
      </c>
      <c r="AY205" s="44">
        <f t="shared" si="115"/>
        <v>1317.5319468156008</v>
      </c>
      <c r="AZ205" s="44">
        <f t="shared" si="116"/>
        <v>475.81702049315038</v>
      </c>
    </row>
    <row r="206" spans="1:52" ht="15" customHeight="1" x14ac:dyDescent="0.35">
      <c r="A206" s="59" t="str">
        <f>Segments!$A$186</f>
        <v>Non-greek</v>
      </c>
      <c r="B206" s="59" t="str">
        <f>Segments!$B$186</f>
        <v>Off 6+mi</v>
      </c>
      <c r="C206" s="59" t="str">
        <f>Segments!$C$186</f>
        <v>No</v>
      </c>
      <c r="D206" s="59" t="str">
        <f>Segments!$D$186</f>
        <v>&lt;1.0</v>
      </c>
      <c r="E206" s="59" t="str">
        <f>Segments!$E$186</f>
        <v>Sophomore</v>
      </c>
      <c r="F206" s="59">
        <f>Segments!$F$186</f>
        <v>1</v>
      </c>
      <c r="G206" s="59" t="str">
        <f>Segments!$G$186</f>
        <v>Sophomore</v>
      </c>
      <c r="H206" s="60">
        <f>Segments!$H$186</f>
        <v>6</v>
      </c>
      <c r="I206" s="26">
        <f>Segments!$Y$186</f>
        <v>1259.8266829386432</v>
      </c>
      <c r="J206" s="29">
        <v>1</v>
      </c>
      <c r="K206" s="14">
        <f t="shared" si="78"/>
        <v>1426.2297754450396</v>
      </c>
      <c r="L206" s="14">
        <f t="shared" si="79"/>
        <v>1259.8266829386432</v>
      </c>
      <c r="M206" s="14">
        <f t="shared" si="80"/>
        <v>2090.2430687739802</v>
      </c>
      <c r="N206" s="14">
        <f t="shared" si="81"/>
        <v>1726.6056013470663</v>
      </c>
      <c r="O206" s="14">
        <f t="shared" si="82"/>
        <v>1782.7872193062994</v>
      </c>
      <c r="P206" s="33">
        <f t="shared" si="83"/>
        <v>0.75873061632737637</v>
      </c>
      <c r="Q206" s="33">
        <f t="shared" si="84"/>
        <v>0.24469585088128676</v>
      </c>
      <c r="R206" s="51">
        <f t="shared" si="85"/>
        <v>2.2761918489821289</v>
      </c>
      <c r="S206" s="51">
        <f>APPLICANTS_PER_YEAR*($H206/Segments!$AH$2)*Q206</f>
        <v>1.7618101263452646</v>
      </c>
      <c r="T206" s="51">
        <f t="shared" si="86"/>
        <v>4.0380019753273935</v>
      </c>
      <c r="U206" s="14">
        <f t="shared" si="87"/>
        <v>1916.9324803304291</v>
      </c>
      <c r="V206" s="44">
        <f t="shared" si="88"/>
        <v>7740.5771421435129</v>
      </c>
      <c r="W206" s="44">
        <f t="shared" si="89"/>
        <v>5697.6445503895675</v>
      </c>
      <c r="X206" s="44">
        <f t="shared" si="90"/>
        <v>1716.6657717084186</v>
      </c>
      <c r="Y206" s="14">
        <f t="shared" si="91"/>
        <v>2111.2990056427993</v>
      </c>
      <c r="Z206" s="14">
        <f t="shared" si="92"/>
        <v>1297.6214834268026</v>
      </c>
      <c r="AA206" s="14">
        <f t="shared" si="93"/>
        <v>2151.7003608371997</v>
      </c>
      <c r="AB206" s="14">
        <f t="shared" si="94"/>
        <v>1777.8874250457213</v>
      </c>
      <c r="AC206" s="14">
        <f t="shared" si="95"/>
        <v>2151.7003608371997</v>
      </c>
      <c r="AD206" s="33">
        <f t="shared" si="96"/>
        <v>0.73913086149880314</v>
      </c>
      <c r="AE206" s="33">
        <f t="shared" si="97"/>
        <v>0.24487159576994444</v>
      </c>
      <c r="AF206" s="51">
        <f t="shared" si="98"/>
        <v>0.64301212206996061</v>
      </c>
      <c r="AG206" s="51">
        <f>APPLICANTS_PER_YEAR*($H206/Segments!$AH$2)*AE206</f>
        <v>1.7630754895435998</v>
      </c>
      <c r="AH206" s="51">
        <f t="shared" si="99"/>
        <v>2.4060876116135606</v>
      </c>
      <c r="AI206" s="14">
        <f t="shared" si="100"/>
        <v>2151.7003608371997</v>
      </c>
      <c r="AJ206" s="44">
        <f t="shared" si="101"/>
        <v>5177.1795821148144</v>
      </c>
      <c r="AK206" s="44">
        <f t="shared" si="102"/>
        <v>3496.8538929372621</v>
      </c>
      <c r="AL206" s="44">
        <f t="shared" si="103"/>
        <v>1203.4619363367576</v>
      </c>
      <c r="AM206" s="14">
        <f t="shared" si="104"/>
        <v>2173.3879758120834</v>
      </c>
      <c r="AN206" s="14">
        <f t="shared" si="105"/>
        <v>1336.5501279296066</v>
      </c>
      <c r="AO206" s="14">
        <f t="shared" si="106"/>
        <v>2215.0013716623157</v>
      </c>
      <c r="AP206" s="14">
        <f t="shared" si="107"/>
        <v>1830.7075556378218</v>
      </c>
      <c r="AQ206" s="14">
        <f t="shared" si="108"/>
        <v>2215.0013716623157</v>
      </c>
      <c r="AR206" s="33">
        <f t="shared" si="109"/>
        <v>0.73929823473095346</v>
      </c>
      <c r="AS206" s="33">
        <f t="shared" si="110"/>
        <v>0.24504227072176876</v>
      </c>
      <c r="AT206" s="51">
        <f t="shared" si="111"/>
        <v>0.64362313108629632</v>
      </c>
      <c r="AU206" s="51">
        <f>APPLICANTS_PER_YEAR*($H206/Segments!$AH$2)*AS206</f>
        <v>1.764304349196735</v>
      </c>
      <c r="AV206" s="51">
        <f t="shared" si="112"/>
        <v>2.4079274802830311</v>
      </c>
      <c r="AW206" s="14">
        <f t="shared" si="113"/>
        <v>2215.0013716623157</v>
      </c>
      <c r="AX206" s="44">
        <f t="shared" si="114"/>
        <v>5333.562671690298</v>
      </c>
      <c r="AY206" s="44">
        <f t="shared" si="115"/>
        <v>3604.513675635601</v>
      </c>
      <c r="AZ206" s="44">
        <f t="shared" si="116"/>
        <v>1237.0872826575651</v>
      </c>
    </row>
    <row r="207" spans="1:52" ht="15" customHeight="1" x14ac:dyDescent="0.35">
      <c r="A207" s="59" t="str">
        <f>Segments!$A$187</f>
        <v>Non-greek</v>
      </c>
      <c r="B207" s="59" t="str">
        <f>Segments!$B$187</f>
        <v>Off 6+mi</v>
      </c>
      <c r="C207" s="59" t="str">
        <f>Segments!$C$187</f>
        <v>No</v>
      </c>
      <c r="D207" s="59" t="str">
        <f>Segments!$D$187</f>
        <v>&lt;1.0</v>
      </c>
      <c r="E207" s="59" t="str">
        <f>Segments!$E$187</f>
        <v>Junior</v>
      </c>
      <c r="F207" s="59">
        <f>Segments!$F$187</f>
        <v>2</v>
      </c>
      <c r="G207" s="59" t="str">
        <f>Segments!$G$187</f>
        <v>Base</v>
      </c>
      <c r="H207" s="60">
        <f>Segments!$H$187</f>
        <v>4</v>
      </c>
      <c r="I207" s="26">
        <f>Segments!$Y$187</f>
        <v>1506.0290984512283</v>
      </c>
      <c r="J207" s="29">
        <v>2</v>
      </c>
      <c r="K207" s="14">
        <f t="shared" si="78"/>
        <v>1426.2297754450396</v>
      </c>
      <c r="L207" s="14">
        <f t="shared" si="79"/>
        <v>1506.0290984512283</v>
      </c>
      <c r="M207" s="14">
        <f t="shared" si="80"/>
        <v>2490.5873902519411</v>
      </c>
      <c r="N207" s="14">
        <f t="shared" si="81"/>
        <v>1884.7148045063141</v>
      </c>
      <c r="O207" s="14">
        <f t="shared" si="82"/>
        <v>1782.7872193062994</v>
      </c>
      <c r="P207" s="33">
        <f t="shared" si="83"/>
        <v>0.80204058591684746</v>
      </c>
      <c r="Q207" s="33">
        <f t="shared" si="84"/>
        <v>0.18926677280376891</v>
      </c>
      <c r="R207" s="51">
        <f t="shared" si="85"/>
        <v>4.812243515501085</v>
      </c>
      <c r="S207" s="51">
        <f>APPLICANTS_PER_YEAR*($H207/Segments!$AH$2)*Q207</f>
        <v>0.90848050945809078</v>
      </c>
      <c r="T207" s="51">
        <f t="shared" si="86"/>
        <v>5.7207240249591758</v>
      </c>
      <c r="U207" s="14">
        <f t="shared" si="87"/>
        <v>1895.1895406016024</v>
      </c>
      <c r="V207" s="44">
        <f t="shared" si="88"/>
        <v>10841.85633677093</v>
      </c>
      <c r="W207" s="44">
        <f t="shared" si="89"/>
        <v>9649.4460672932564</v>
      </c>
      <c r="X207" s="44">
        <f t="shared" si="90"/>
        <v>2265.430094425451</v>
      </c>
      <c r="Y207" s="14">
        <f t="shared" si="91"/>
        <v>1916.9324803304291</v>
      </c>
      <c r="Z207" s="14">
        <f t="shared" si="92"/>
        <v>1551.2099714047652</v>
      </c>
      <c r="AA207" s="14">
        <f t="shared" si="93"/>
        <v>2564.0550119594996</v>
      </c>
      <c r="AB207" s="14">
        <f t="shared" si="94"/>
        <v>1940.783231598469</v>
      </c>
      <c r="AC207" s="14">
        <f t="shared" si="95"/>
        <v>2396.1656004130364</v>
      </c>
      <c r="AD207" s="33">
        <f t="shared" si="96"/>
        <v>0.65768077511173029</v>
      </c>
      <c r="AE207" s="33">
        <f t="shared" si="97"/>
        <v>0.18942777065120997</v>
      </c>
      <c r="AF207" s="51">
        <f t="shared" si="98"/>
        <v>2.6557162690360183</v>
      </c>
      <c r="AG207" s="51">
        <f>APPLICANTS_PER_YEAR*($H207/Segments!$AH$2)*AE207</f>
        <v>0.90925329912580777</v>
      </c>
      <c r="AH207" s="51">
        <f t="shared" si="99"/>
        <v>3.5649695681618261</v>
      </c>
      <c r="AI207" s="14">
        <f t="shared" si="100"/>
        <v>2438.9861626697916</v>
      </c>
      <c r="AJ207" s="44">
        <f t="shared" si="101"/>
        <v>8694.9114470855966</v>
      </c>
      <c r="AK207" s="44">
        <f t="shared" si="102"/>
        <v>6193.6183029136246</v>
      </c>
      <c r="AL207" s="44">
        <f t="shared" si="103"/>
        <v>1818.9671290973081</v>
      </c>
      <c r="AM207" s="14">
        <f t="shared" si="104"/>
        <v>2151.7003608371997</v>
      </c>
      <c r="AN207" s="14">
        <f t="shared" si="105"/>
        <v>1597.7462705469079</v>
      </c>
      <c r="AO207" s="14">
        <f t="shared" si="106"/>
        <v>2639.7266623182841</v>
      </c>
      <c r="AP207" s="14">
        <f t="shared" si="107"/>
        <v>1998.5335978694256</v>
      </c>
      <c r="AQ207" s="14">
        <f t="shared" si="108"/>
        <v>2639.7266623182841</v>
      </c>
      <c r="AR207" s="33">
        <f t="shared" si="109"/>
        <v>0.62154123632847391</v>
      </c>
      <c r="AS207" s="33">
        <f t="shared" si="110"/>
        <v>0.18958411679132781</v>
      </c>
      <c r="AT207" s="51">
        <f t="shared" si="111"/>
        <v>1.4954826688369174</v>
      </c>
      <c r="AU207" s="51">
        <f>APPLICANTS_PER_YEAR*($H207/Segments!$AH$2)*AS207</f>
        <v>0.9100037605983734</v>
      </c>
      <c r="AV207" s="51">
        <f t="shared" si="112"/>
        <v>2.4054864294352907</v>
      </c>
      <c r="AW207" s="14">
        <f t="shared" si="113"/>
        <v>2639.7266623182841</v>
      </c>
      <c r="AX207" s="44">
        <f t="shared" si="114"/>
        <v>6349.8266636251465</v>
      </c>
      <c r="AY207" s="44">
        <f t="shared" si="115"/>
        <v>4304.5598080592063</v>
      </c>
      <c r="AZ207" s="44">
        <f t="shared" si="116"/>
        <v>1355.052703666968</v>
      </c>
    </row>
    <row r="208" spans="1:52" ht="15" customHeight="1" x14ac:dyDescent="0.35">
      <c r="A208" s="59" t="str">
        <f>Segments!$A$188</f>
        <v>Non-greek</v>
      </c>
      <c r="B208" s="59" t="str">
        <f>Segments!$B$188</f>
        <v>Off 6+mi</v>
      </c>
      <c r="C208" s="59" t="str">
        <f>Segments!$C$188</f>
        <v>No</v>
      </c>
      <c r="D208" s="59" t="str">
        <f>Segments!$D$188</f>
        <v>&lt;1.0</v>
      </c>
      <c r="E208" s="59" t="str">
        <f>Segments!$E$188</f>
        <v>Senior</v>
      </c>
      <c r="F208" s="59">
        <f>Segments!$F$188</f>
        <v>3</v>
      </c>
      <c r="G208" s="59" t="str">
        <f>Segments!$G$188</f>
        <v>Base</v>
      </c>
      <c r="H208" s="60">
        <f>Segments!$H$188</f>
        <v>4</v>
      </c>
      <c r="I208" s="26">
        <f>Segments!$Y$188</f>
        <v>1407.6665073716135</v>
      </c>
      <c r="J208" s="29">
        <v>3</v>
      </c>
      <c r="K208" s="14">
        <f t="shared" si="78"/>
        <v>1426.2297754450396</v>
      </c>
      <c r="L208" s="14">
        <f t="shared" si="79"/>
        <v>1407.6665073716135</v>
      </c>
      <c r="M208" s="14">
        <f t="shared" si="80"/>
        <v>2330.642148843172</v>
      </c>
      <c r="N208" s="14">
        <f t="shared" si="81"/>
        <v>1823.1925922917035</v>
      </c>
      <c r="O208" s="14">
        <f t="shared" si="82"/>
        <v>1782.7872193062994</v>
      </c>
      <c r="P208" s="33">
        <f t="shared" si="83"/>
        <v>0.7860809393248509</v>
      </c>
      <c r="Q208" s="33">
        <f t="shared" si="84"/>
        <v>0.21083490063065191</v>
      </c>
      <c r="R208" s="51">
        <f t="shared" si="85"/>
        <v>3.1443237572994036</v>
      </c>
      <c r="S208" s="51">
        <f>APPLICANTS_PER_YEAR*($H208/Segments!$AH$2)*Q208</f>
        <v>1.012007523027129</v>
      </c>
      <c r="T208" s="51">
        <f t="shared" si="86"/>
        <v>4.1563312803265324</v>
      </c>
      <c r="U208" s="14">
        <f t="shared" si="87"/>
        <v>1916.182098786468</v>
      </c>
      <c r="V208" s="44">
        <f t="shared" si="88"/>
        <v>7964.287595987943</v>
      </c>
      <c r="W208" s="44">
        <f t="shared" si="89"/>
        <v>6552.815737279434</v>
      </c>
      <c r="X208" s="44">
        <f t="shared" si="90"/>
        <v>1696.2291279078993</v>
      </c>
      <c r="Y208" s="14">
        <f t="shared" si="91"/>
        <v>1895.1895406016024</v>
      </c>
      <c r="Z208" s="14">
        <f t="shared" si="92"/>
        <v>1449.8965025927621</v>
      </c>
      <c r="AA208" s="14">
        <f t="shared" si="93"/>
        <v>2399.3114133084678</v>
      </c>
      <c r="AB208" s="14">
        <f t="shared" si="94"/>
        <v>1877.3993873367558</v>
      </c>
      <c r="AC208" s="14">
        <f t="shared" si="95"/>
        <v>2368.9869257520031</v>
      </c>
      <c r="AD208" s="33">
        <f t="shared" si="96"/>
        <v>0.64407752774101934</v>
      </c>
      <c r="AE208" s="33">
        <f t="shared" si="97"/>
        <v>0.21100133261679421</v>
      </c>
      <c r="AF208" s="51">
        <f t="shared" si="98"/>
        <v>3.6845897868843593</v>
      </c>
      <c r="AG208" s="51">
        <f>APPLICANTS_PER_YEAR*($H208/Segments!$AH$2)*AE208</f>
        <v>1.0128063965606122</v>
      </c>
      <c r="AH208" s="51">
        <f t="shared" si="99"/>
        <v>4.6973961834449716</v>
      </c>
      <c r="AI208" s="14">
        <f t="shared" si="100"/>
        <v>2375.5251937136991</v>
      </c>
      <c r="AJ208" s="44">
        <f t="shared" si="101"/>
        <v>11158.782978628107</v>
      </c>
      <c r="AK208" s="44">
        <f t="shared" si="102"/>
        <v>7628.0268933897878</v>
      </c>
      <c r="AL208" s="44">
        <f t="shared" si="103"/>
        <v>2313.3293946795161</v>
      </c>
      <c r="AM208" s="14">
        <f t="shared" si="104"/>
        <v>2438.9861626697916</v>
      </c>
      <c r="AN208" s="14">
        <f t="shared" si="105"/>
        <v>1493.3933976705448</v>
      </c>
      <c r="AO208" s="14">
        <f t="shared" si="106"/>
        <v>2470.0407557077215</v>
      </c>
      <c r="AP208" s="14">
        <f t="shared" si="107"/>
        <v>1933.232260696946</v>
      </c>
      <c r="AQ208" s="14">
        <f t="shared" si="108"/>
        <v>2470.0407557077215</v>
      </c>
      <c r="AR208" s="33">
        <f t="shared" si="109"/>
        <v>0.70734318374066762</v>
      </c>
      <c r="AS208" s="33">
        <f t="shared" si="110"/>
        <v>0.21116295855283018</v>
      </c>
      <c r="AT208" s="51">
        <f t="shared" si="111"/>
        <v>2.5216569242821789</v>
      </c>
      <c r="AU208" s="51">
        <f>APPLICANTS_PER_YEAR*($H208/Segments!$AH$2)*AS208</f>
        <v>1.0135822010535849</v>
      </c>
      <c r="AV208" s="51">
        <f t="shared" si="112"/>
        <v>3.5352391253357638</v>
      </c>
      <c r="AW208" s="14">
        <f t="shared" si="113"/>
        <v>2470.0407557077215</v>
      </c>
      <c r="AX208" s="44">
        <f t="shared" si="114"/>
        <v>8732.1847207518549</v>
      </c>
      <c r="AY208" s="44">
        <f t="shared" si="115"/>
        <v>5913.0431012385843</v>
      </c>
      <c r="AZ208" s="44">
        <f t="shared" si="116"/>
        <v>1834.0528768603356</v>
      </c>
    </row>
    <row r="209" spans="1:52" ht="15" customHeight="1" x14ac:dyDescent="0.35">
      <c r="A209" s="59" t="str">
        <f>Segments!$A$189</f>
        <v>Non-greek</v>
      </c>
      <c r="B209" s="59" t="str">
        <f>Segments!$B$189</f>
        <v>Off 6+mi</v>
      </c>
      <c r="C209" s="59" t="str">
        <f>Segments!$C$189</f>
        <v>No</v>
      </c>
      <c r="D209" s="59" t="str">
        <f>Segments!$D$189</f>
        <v>&lt;1.0</v>
      </c>
      <c r="E209" s="59" t="str">
        <f>Segments!$E$189</f>
        <v>Grad student</v>
      </c>
      <c r="F209" s="59">
        <f>Segments!$F$189</f>
        <v>3</v>
      </c>
      <c r="G209" s="59" t="str">
        <f>Segments!$G$189</f>
        <v>Grad</v>
      </c>
      <c r="H209" s="60">
        <f>Segments!$H$189</f>
        <v>2</v>
      </c>
      <c r="I209" s="26">
        <f>Segments!$Y$189</f>
        <v>1676.080958037357</v>
      </c>
      <c r="J209" s="29">
        <v>4</v>
      </c>
      <c r="K209" s="14">
        <f t="shared" si="78"/>
        <v>1426.2297754450396</v>
      </c>
      <c r="L209" s="14">
        <f t="shared" si="79"/>
        <v>1676.080958037357</v>
      </c>
      <c r="M209" s="14">
        <f t="shared" si="80"/>
        <v>2767.1049711226869</v>
      </c>
      <c r="N209" s="14">
        <f t="shared" si="81"/>
        <v>1986.5868975700919</v>
      </c>
      <c r="O209" s="14">
        <f t="shared" si="82"/>
        <v>1782.7872193062994</v>
      </c>
      <c r="P209" s="33">
        <f t="shared" si="83"/>
        <v>0.82629392490030806</v>
      </c>
      <c r="Q209" s="33">
        <f t="shared" si="84"/>
        <v>0.15355299974360759</v>
      </c>
      <c r="R209" s="51">
        <f t="shared" si="85"/>
        <v>0.82629392490030806</v>
      </c>
      <c r="S209" s="51">
        <f>APPLICANTS_PER_YEAR*($H209/Segments!$AH$2)*Q209</f>
        <v>0.36852719938465822</v>
      </c>
      <c r="T209" s="51">
        <f t="shared" si="86"/>
        <v>1.1948211242849662</v>
      </c>
      <c r="U209" s="14">
        <f t="shared" si="87"/>
        <v>2086.3873624646158</v>
      </c>
      <c r="V209" s="44">
        <f t="shared" si="88"/>
        <v>2492.8596941139176</v>
      </c>
      <c r="W209" s="44">
        <f t="shared" si="89"/>
        <v>2242.9309668357969</v>
      </c>
      <c r="X209" s="44">
        <f t="shared" si="90"/>
        <v>539.95145524723853</v>
      </c>
      <c r="Y209" s="14">
        <f t="shared" si="91"/>
        <v>2086.3873624646158</v>
      </c>
      <c r="Z209" s="14">
        <f t="shared" si="92"/>
        <v>1726.3633867784779</v>
      </c>
      <c r="AA209" s="14">
        <f t="shared" si="93"/>
        <v>2848.868120256368</v>
      </c>
      <c r="AB209" s="14">
        <f t="shared" si="94"/>
        <v>2045.7357492131148</v>
      </c>
      <c r="AC209" s="14">
        <f t="shared" si="95"/>
        <v>2607.9842030807695</v>
      </c>
      <c r="AD209" s="33">
        <f t="shared" si="96"/>
        <v>0.63758038114553128</v>
      </c>
      <c r="AE209" s="33">
        <f t="shared" si="97"/>
        <v>0.15370573976815549</v>
      </c>
      <c r="AF209" s="51">
        <f t="shared" si="98"/>
        <v>0.38089725391117046</v>
      </c>
      <c r="AG209" s="51">
        <f>APPLICANTS_PER_YEAR*($H209/Segments!$AH$2)*AE209</f>
        <v>0.36889377544357316</v>
      </c>
      <c r="AH209" s="51">
        <f t="shared" si="99"/>
        <v>0.74979102935474362</v>
      </c>
      <c r="AI209" s="14">
        <f t="shared" si="100"/>
        <v>2726.4979944861097</v>
      </c>
      <c r="AJ209" s="44">
        <f t="shared" si="101"/>
        <v>2044.3037378193844</v>
      </c>
      <c r="AK209" s="44">
        <f t="shared" si="102"/>
        <v>1449.7411945105337</v>
      </c>
      <c r="AL209" s="44">
        <f t="shared" si="103"/>
        <v>447.37411150282514</v>
      </c>
      <c r="AM209" s="14">
        <f t="shared" si="104"/>
        <v>2726.4979944861097</v>
      </c>
      <c r="AN209" s="14">
        <f t="shared" si="105"/>
        <v>1778.154288381832</v>
      </c>
      <c r="AO209" s="14">
        <f t="shared" si="106"/>
        <v>2933.0841638640586</v>
      </c>
      <c r="AP209" s="14">
        <f t="shared" si="107"/>
        <v>2106.6589693787987</v>
      </c>
      <c r="AQ209" s="14">
        <f t="shared" si="108"/>
        <v>2933.0841638640586</v>
      </c>
      <c r="AR209" s="33">
        <f t="shared" si="109"/>
        <v>0.63112312733790865</v>
      </c>
      <c r="AS209" s="33">
        <f t="shared" si="110"/>
        <v>0.15385406311659633</v>
      </c>
      <c r="AT209" s="51">
        <f t="shared" si="111"/>
        <v>0.23660522964813774</v>
      </c>
      <c r="AU209" s="51">
        <f>APPLICANTS_PER_YEAR*($H209/Segments!$AH$2)*AS209</f>
        <v>0.36924975147983119</v>
      </c>
      <c r="AV209" s="51">
        <f t="shared" si="112"/>
        <v>0.60585498112796898</v>
      </c>
      <c r="AW209" s="14">
        <f t="shared" si="113"/>
        <v>2933.0841638640582</v>
      </c>
      <c r="AX209" s="44">
        <f t="shared" si="114"/>
        <v>1777.0236507446036</v>
      </c>
      <c r="AY209" s="44">
        <f t="shared" si="115"/>
        <v>1206.5800687698149</v>
      </c>
      <c r="AZ209" s="44">
        <f t="shared" si="116"/>
        <v>395.11223435045343</v>
      </c>
    </row>
    <row r="210" spans="1:52" ht="15" customHeight="1" x14ac:dyDescent="0.35">
      <c r="A210" s="61" t="str">
        <f>Segments!$A$190</f>
        <v>Non-greek</v>
      </c>
      <c r="B210" s="61" t="str">
        <f>Segments!$B$190</f>
        <v>Off 6+mi</v>
      </c>
      <c r="C210" s="61" t="str">
        <f>Segments!$C$190</f>
        <v>No</v>
      </c>
      <c r="D210" s="61" t="str">
        <f>Segments!$D$190</f>
        <v>1.0-2.0</v>
      </c>
      <c r="E210" s="61" t="str">
        <f>Segments!$E$190</f>
        <v>Freshman</v>
      </c>
      <c r="F210" s="61">
        <f>Segments!$F$190</f>
        <v>1</v>
      </c>
      <c r="G210" s="61" t="str">
        <f>Segments!$G$190</f>
        <v>Base</v>
      </c>
      <c r="H210" s="62">
        <f>Segments!$H$190</f>
        <v>12</v>
      </c>
      <c r="I210" s="63">
        <f>Segments!$Y$190</f>
        <v>1154.9434063405065</v>
      </c>
      <c r="J210" s="42">
        <v>0</v>
      </c>
      <c r="K210" s="40">
        <f t="shared" si="78"/>
        <v>1919.6946843617245</v>
      </c>
      <c r="L210" s="40">
        <f t="shared" si="79"/>
        <v>1154.9434063405065</v>
      </c>
      <c r="M210" s="40">
        <f t="shared" si="80"/>
        <v>1919.6946843617245</v>
      </c>
      <c r="N210" s="40">
        <f t="shared" si="81"/>
        <v>1654.6678574868911</v>
      </c>
      <c r="O210" s="40">
        <f t="shared" si="82"/>
        <v>1919.6946843617245</v>
      </c>
      <c r="P210" s="41">
        <f t="shared" si="83"/>
        <v>0.7699154000376377</v>
      </c>
      <c r="Q210" s="41">
        <f t="shared" si="84"/>
        <v>0.2699154000376377</v>
      </c>
      <c r="R210" s="64">
        <f t="shared" si="85"/>
        <v>0</v>
      </c>
      <c r="S210" s="64">
        <f>APPLICANTS_PER_YEAR*($H210/Segments!$AH$2)*Q210</f>
        <v>3.8867817605419823</v>
      </c>
      <c r="T210" s="64">
        <f t="shared" si="86"/>
        <v>3.8867817605419823</v>
      </c>
      <c r="U210" s="40">
        <f t="shared" si="87"/>
        <v>1919.6946843617245</v>
      </c>
      <c r="V210" s="65">
        <f t="shared" si="88"/>
        <v>7461.4342849865488</v>
      </c>
      <c r="W210" s="65">
        <f t="shared" si="89"/>
        <v>5027.6945221692094</v>
      </c>
      <c r="X210" s="65">
        <f t="shared" si="90"/>
        <v>1846.2664590613763</v>
      </c>
      <c r="Y210" s="40">
        <f t="shared" si="91"/>
        <v>1976.0355248925762</v>
      </c>
      <c r="Z210" s="40">
        <f t="shared" si="92"/>
        <v>1189.5917085307217</v>
      </c>
      <c r="AA210" s="40">
        <f t="shared" si="93"/>
        <v>1976.0355248925762</v>
      </c>
      <c r="AB210" s="40">
        <f t="shared" si="94"/>
        <v>1703.7690935179944</v>
      </c>
      <c r="AC210" s="40">
        <f t="shared" si="95"/>
        <v>1976.0355248925762</v>
      </c>
      <c r="AD210" s="41">
        <f t="shared" si="96"/>
        <v>0.77009878791368447</v>
      </c>
      <c r="AE210" s="41">
        <f t="shared" si="97"/>
        <v>0.27009878791368447</v>
      </c>
      <c r="AF210" s="64">
        <f t="shared" si="98"/>
        <v>0</v>
      </c>
      <c r="AG210" s="64">
        <f>APPLICANTS_PER_YEAR*($H210/Segments!$AH$2)*AE210</f>
        <v>3.8894225459570562</v>
      </c>
      <c r="AH210" s="64">
        <f t="shared" si="99"/>
        <v>3.8894225459570562</v>
      </c>
      <c r="AI210" s="40">
        <f t="shared" si="100"/>
        <v>1976.0355248925762</v>
      </c>
      <c r="AJ210" s="65">
        <f t="shared" si="101"/>
        <v>7685.6371221292711</v>
      </c>
      <c r="AK210" s="65">
        <f t="shared" si="102"/>
        <v>5182.0437890401199</v>
      </c>
      <c r="AL210" s="65">
        <f t="shared" si="103"/>
        <v>1896.6067299250242</v>
      </c>
      <c r="AM210" s="40">
        <f t="shared" si="104"/>
        <v>2034.0665906393533</v>
      </c>
      <c r="AN210" s="40">
        <f t="shared" si="105"/>
        <v>1225.2794597866432</v>
      </c>
      <c r="AO210" s="40">
        <f t="shared" si="106"/>
        <v>2034.0665906393533</v>
      </c>
      <c r="AP210" s="40">
        <f t="shared" si="107"/>
        <v>1754.3431986699236</v>
      </c>
      <c r="AQ210" s="40">
        <f t="shared" si="108"/>
        <v>2034.0665906393533</v>
      </c>
      <c r="AR210" s="41">
        <f t="shared" si="109"/>
        <v>0.77027688989773913</v>
      </c>
      <c r="AS210" s="41">
        <f t="shared" si="110"/>
        <v>0.27027688989773913</v>
      </c>
      <c r="AT210" s="64">
        <f t="shared" si="111"/>
        <v>0</v>
      </c>
      <c r="AU210" s="64">
        <f>APPLICANTS_PER_YEAR*($H210/Segments!$AH$2)*AS210</f>
        <v>3.8919872145274432</v>
      </c>
      <c r="AV210" s="64">
        <f t="shared" si="112"/>
        <v>3.8919872145274432</v>
      </c>
      <c r="AW210" s="40">
        <f t="shared" si="113"/>
        <v>2034.0665906393533</v>
      </c>
      <c r="AX210" s="65">
        <f t="shared" si="114"/>
        <v>7916.5611642657896</v>
      </c>
      <c r="AY210" s="65">
        <f t="shared" si="115"/>
        <v>5341.0246307182333</v>
      </c>
      <c r="AZ210" s="65">
        <f t="shared" si="116"/>
        <v>1948.4491254492718</v>
      </c>
    </row>
    <row r="211" spans="1:52" ht="15" customHeight="1" x14ac:dyDescent="0.35">
      <c r="A211" s="61" t="str">
        <f>Segments!$A$191</f>
        <v>Non-greek</v>
      </c>
      <c r="B211" s="61" t="str">
        <f>Segments!$B$191</f>
        <v>Off 6+mi</v>
      </c>
      <c r="C211" s="61" t="str">
        <f>Segments!$C$191</f>
        <v>No</v>
      </c>
      <c r="D211" s="61" t="str">
        <f>Segments!$D$191</f>
        <v>1.0-2.0</v>
      </c>
      <c r="E211" s="61" t="str">
        <f>Segments!$E$191</f>
        <v>Sophomore</v>
      </c>
      <c r="F211" s="61">
        <f>Segments!$F$191</f>
        <v>1</v>
      </c>
      <c r="G211" s="61" t="str">
        <f>Segments!$G$191</f>
        <v>Sophomore</v>
      </c>
      <c r="H211" s="62">
        <f>Segments!$H$191</f>
        <v>10</v>
      </c>
      <c r="I211" s="63">
        <f>Segments!$Y$191</f>
        <v>1143.1932925676438</v>
      </c>
      <c r="J211" s="42">
        <v>1</v>
      </c>
      <c r="K211" s="40">
        <f t="shared" si="78"/>
        <v>1426.2297754450396</v>
      </c>
      <c r="L211" s="40">
        <f t="shared" si="79"/>
        <v>1143.1932925676438</v>
      </c>
      <c r="M211" s="40">
        <f t="shared" si="80"/>
        <v>1900.5880833322756</v>
      </c>
      <c r="N211" s="40">
        <f t="shared" si="81"/>
        <v>1646.4128629552522</v>
      </c>
      <c r="O211" s="40">
        <f t="shared" si="82"/>
        <v>1782.7872193062994</v>
      </c>
      <c r="P211" s="41">
        <f t="shared" si="83"/>
        <v>0.73358439902301897</v>
      </c>
      <c r="Q211" s="41">
        <f t="shared" si="84"/>
        <v>0.27280939183116315</v>
      </c>
      <c r="R211" s="64">
        <f t="shared" si="85"/>
        <v>8.8030127882762272</v>
      </c>
      <c r="S211" s="64">
        <f>APPLICANTS_PER_YEAR*($H211/Segments!$AH$2)*Q211</f>
        <v>3.2737127019739578</v>
      </c>
      <c r="T211" s="64">
        <f t="shared" si="86"/>
        <v>12.076725490250185</v>
      </c>
      <c r="U211" s="40">
        <f t="shared" si="87"/>
        <v>1814.7202283969414</v>
      </c>
      <c r="V211" s="65">
        <f t="shared" si="88"/>
        <v>21915.878039953979</v>
      </c>
      <c r="W211" s="65">
        <f t="shared" si="89"/>
        <v>15462.755365830866</v>
      </c>
      <c r="X211" s="65">
        <f t="shared" si="90"/>
        <v>4683.2475541425374</v>
      </c>
      <c r="Y211" s="40">
        <f t="shared" si="91"/>
        <v>1919.6946843617245</v>
      </c>
      <c r="Z211" s="40">
        <f t="shared" si="92"/>
        <v>1177.4890913446732</v>
      </c>
      <c r="AA211" s="40">
        <f t="shared" si="93"/>
        <v>1956.3557258322439</v>
      </c>
      <c r="AB211" s="40">
        <f t="shared" si="94"/>
        <v>1695.2637467871093</v>
      </c>
      <c r="AC211" s="40">
        <f t="shared" si="95"/>
        <v>1956.3557258322439</v>
      </c>
      <c r="AD211" s="41">
        <f t="shared" si="96"/>
        <v>0.767264500714957</v>
      </c>
      <c r="AE211" s="41">
        <f t="shared" si="97"/>
        <v>0.27299369949367458</v>
      </c>
      <c r="AF211" s="64">
        <f t="shared" si="98"/>
        <v>2.9821896668902457</v>
      </c>
      <c r="AG211" s="64">
        <f>APPLICANTS_PER_YEAR*($H211/Segments!$AH$2)*AE211</f>
        <v>3.275924393924095</v>
      </c>
      <c r="AH211" s="64">
        <f t="shared" si="99"/>
        <v>6.2581140608143411</v>
      </c>
      <c r="AI211" s="40">
        <f t="shared" si="100"/>
        <v>1956.3557258322437</v>
      </c>
      <c r="AJ211" s="65">
        <f t="shared" si="101"/>
        <v>12243.097275785411</v>
      </c>
      <c r="AK211" s="65">
        <f t="shared" si="102"/>
        <v>8253.1243636795534</v>
      </c>
      <c r="AL211" s="65">
        <f t="shared" si="103"/>
        <v>2745.3163467784743</v>
      </c>
      <c r="AM211" s="40">
        <f t="shared" si="104"/>
        <v>1976.0355248925762</v>
      </c>
      <c r="AN211" s="40">
        <f t="shared" si="105"/>
        <v>1212.8137640850132</v>
      </c>
      <c r="AO211" s="40">
        <f t="shared" si="106"/>
        <v>2013.796397607211</v>
      </c>
      <c r="AP211" s="40">
        <f t="shared" si="107"/>
        <v>1745.5799866330963</v>
      </c>
      <c r="AQ211" s="40">
        <f t="shared" si="108"/>
        <v>2013.796397607211</v>
      </c>
      <c r="AR211" s="41">
        <f t="shared" si="109"/>
        <v>0.76743987236019851</v>
      </c>
      <c r="AS211" s="41">
        <f t="shared" si="110"/>
        <v>0.27317269531387811</v>
      </c>
      <c r="AT211" s="64">
        <f t="shared" si="111"/>
        <v>2.9848979422241615</v>
      </c>
      <c r="AU211" s="64">
        <f>APPLICANTS_PER_YEAR*($H211/Segments!$AH$2)*AS211</f>
        <v>3.2780723437665373</v>
      </c>
      <c r="AV211" s="64">
        <f t="shared" si="112"/>
        <v>6.2629702859906988</v>
      </c>
      <c r="AW211" s="40">
        <f t="shared" si="113"/>
        <v>2013.7963976072108</v>
      </c>
      <c r="AX211" s="65">
        <f t="shared" si="114"/>
        <v>12612.347000249072</v>
      </c>
      <c r="AY211" s="65">
        <f t="shared" si="115"/>
        <v>8507.3145549335695</v>
      </c>
      <c r="AZ211" s="65">
        <f t="shared" si="116"/>
        <v>2821.9927570551031</v>
      </c>
    </row>
    <row r="212" spans="1:52" ht="15" customHeight="1" x14ac:dyDescent="0.35">
      <c r="A212" s="61" t="str">
        <f>Segments!$A$192</f>
        <v>Non-greek</v>
      </c>
      <c r="B212" s="61" t="str">
        <f>Segments!$B$192</f>
        <v>Off 6+mi</v>
      </c>
      <c r="C212" s="61" t="str">
        <f>Segments!$C$192</f>
        <v>No</v>
      </c>
      <c r="D212" s="61" t="str">
        <f>Segments!$D$192</f>
        <v>1.0-2.0</v>
      </c>
      <c r="E212" s="61" t="str">
        <f>Segments!$E$192</f>
        <v>Junior</v>
      </c>
      <c r="F212" s="61">
        <f>Segments!$F$192</f>
        <v>2</v>
      </c>
      <c r="G212" s="61" t="str">
        <f>Segments!$G$192</f>
        <v>Base</v>
      </c>
      <c r="H212" s="62">
        <f>Segments!$H$192</f>
        <v>8</v>
      </c>
      <c r="I212" s="63">
        <f>Segments!$Y$192</f>
        <v>1366.6025550000124</v>
      </c>
      <c r="J212" s="42">
        <v>2</v>
      </c>
      <c r="K212" s="40">
        <f t="shared" si="78"/>
        <v>1426.2297754450396</v>
      </c>
      <c r="L212" s="40">
        <f t="shared" si="79"/>
        <v>1366.6025550000124</v>
      </c>
      <c r="M212" s="40">
        <f t="shared" si="80"/>
        <v>2263.8689609555349</v>
      </c>
      <c r="N212" s="40">
        <f t="shared" si="81"/>
        <v>1796.8854498327398</v>
      </c>
      <c r="O212" s="40">
        <f t="shared" si="82"/>
        <v>1782.7872193062994</v>
      </c>
      <c r="P212" s="41">
        <f t="shared" si="83"/>
        <v>0.77892296307139464</v>
      </c>
      <c r="Q212" s="41">
        <f t="shared" si="84"/>
        <v>0.22005751781053606</v>
      </c>
      <c r="R212" s="64">
        <f t="shared" si="85"/>
        <v>7.7892296307139466</v>
      </c>
      <c r="S212" s="64">
        <f>APPLICANTS_PER_YEAR*($H212/Segments!$AH$2)*Q212</f>
        <v>2.1125521709811461</v>
      </c>
      <c r="T212" s="64">
        <f t="shared" si="86"/>
        <v>9.9017818016950923</v>
      </c>
      <c r="U212" s="40">
        <f t="shared" si="87"/>
        <v>1885.4263501308649</v>
      </c>
      <c r="V212" s="65">
        <f t="shared" si="88"/>
        <v>18669.080322162197</v>
      </c>
      <c r="W212" s="65">
        <f t="shared" si="89"/>
        <v>15155.616346359038</v>
      </c>
      <c r="X212" s="65">
        <f t="shared" si="90"/>
        <v>3946.6945662870066</v>
      </c>
      <c r="Y212" s="40">
        <f t="shared" si="91"/>
        <v>1814.7202283969414</v>
      </c>
      <c r="Z212" s="40">
        <f t="shared" si="92"/>
        <v>1407.6006316500129</v>
      </c>
      <c r="AA212" s="40">
        <f t="shared" si="93"/>
        <v>2330.5350297842015</v>
      </c>
      <c r="AB212" s="40">
        <f t="shared" si="94"/>
        <v>1850.2958697899635</v>
      </c>
      <c r="AC212" s="40">
        <f t="shared" si="95"/>
        <v>2268.4002854961768</v>
      </c>
      <c r="AD212" s="41">
        <f t="shared" si="96"/>
        <v>0.66201687591356018</v>
      </c>
      <c r="AE212" s="41">
        <f t="shared" si="97"/>
        <v>0.22022638707809672</v>
      </c>
      <c r="AF212" s="64">
        <f t="shared" si="98"/>
        <v>7.9949960803210862</v>
      </c>
      <c r="AG212" s="64">
        <f>APPLICANTS_PER_YEAR*($H212/Segments!$AH$2)*AE212</f>
        <v>2.1141733159497282</v>
      </c>
      <c r="AH212" s="64">
        <f t="shared" si="99"/>
        <v>10.109169396270815</v>
      </c>
      <c r="AI212" s="40">
        <f t="shared" si="100"/>
        <v>2281.3947871429255</v>
      </c>
      <c r="AJ212" s="65">
        <f t="shared" si="101"/>
        <v>23063.006362997032</v>
      </c>
      <c r="AK212" s="65">
        <f t="shared" si="102"/>
        <v>15937.234014965516</v>
      </c>
      <c r="AL212" s="65">
        <f t="shared" si="103"/>
        <v>4786.3963474455541</v>
      </c>
      <c r="AM212" s="40">
        <f t="shared" si="104"/>
        <v>1956.3557258322437</v>
      </c>
      <c r="AN212" s="40">
        <f t="shared" si="105"/>
        <v>1449.8286505995131</v>
      </c>
      <c r="AO212" s="40">
        <f t="shared" si="106"/>
        <v>2399.2010806777271</v>
      </c>
      <c r="AP212" s="40">
        <f t="shared" si="107"/>
        <v>1905.3084712118741</v>
      </c>
      <c r="AQ212" s="40">
        <f t="shared" si="108"/>
        <v>2399.2010806777271</v>
      </c>
      <c r="AR212" s="41">
        <f t="shared" si="109"/>
        <v>0.65248166460803658</v>
      </c>
      <c r="AS212" s="41">
        <f t="shared" si="110"/>
        <v>0.2203903811565715</v>
      </c>
      <c r="AT212" s="64">
        <f t="shared" si="111"/>
        <v>4.0833046797071004</v>
      </c>
      <c r="AU212" s="64">
        <f>APPLICANTS_PER_YEAR*($H212/Segments!$AH$2)*AS212</f>
        <v>2.1157476591030862</v>
      </c>
      <c r="AV212" s="64">
        <f t="shared" si="112"/>
        <v>6.199052338810187</v>
      </c>
      <c r="AW212" s="40">
        <f t="shared" si="113"/>
        <v>2399.2010806777271</v>
      </c>
      <c r="AX212" s="65">
        <f t="shared" si="114"/>
        <v>14872.773070451192</v>
      </c>
      <c r="AY212" s="65">
        <f t="shared" si="115"/>
        <v>10066.071329857681</v>
      </c>
      <c r="AZ212" s="65">
        <f t="shared" si="116"/>
        <v>3165.4924910247087</v>
      </c>
    </row>
    <row r="213" spans="1:52" ht="15" customHeight="1" x14ac:dyDescent="0.35">
      <c r="A213" s="61" t="str">
        <f>Segments!$A$193</f>
        <v>Non-greek</v>
      </c>
      <c r="B213" s="61" t="str">
        <f>Segments!$B$193</f>
        <v>Off 6+mi</v>
      </c>
      <c r="C213" s="61" t="str">
        <f>Segments!$C$193</f>
        <v>No</v>
      </c>
      <c r="D213" s="61" t="str">
        <f>Segments!$D$193</f>
        <v>1.0-2.0</v>
      </c>
      <c r="E213" s="61" t="str">
        <f>Segments!$E$193</f>
        <v>Senior</v>
      </c>
      <c r="F213" s="61">
        <f>Segments!$F$193</f>
        <v>3</v>
      </c>
      <c r="G213" s="61" t="str">
        <f>Segments!$G$193</f>
        <v>Base</v>
      </c>
      <c r="H213" s="62">
        <f>Segments!$H$193</f>
        <v>7</v>
      </c>
      <c r="I213" s="63">
        <f>Segments!$Y$193</f>
        <v>1277.3462661115304</v>
      </c>
      <c r="J213" s="42">
        <v>3</v>
      </c>
      <c r="K213" s="40">
        <f t="shared" si="78"/>
        <v>1426.2297754450396</v>
      </c>
      <c r="L213" s="40">
        <f t="shared" si="79"/>
        <v>1277.3462661115304</v>
      </c>
      <c r="M213" s="40">
        <f t="shared" si="80"/>
        <v>2118.7312768336924</v>
      </c>
      <c r="N213" s="40">
        <f t="shared" si="81"/>
        <v>1738.3318535846081</v>
      </c>
      <c r="O213" s="40">
        <f t="shared" si="82"/>
        <v>1782.7872193062994</v>
      </c>
      <c r="P213" s="41">
        <f t="shared" si="83"/>
        <v>0.76221321086361615</v>
      </c>
      <c r="Q213" s="41">
        <f t="shared" si="84"/>
        <v>0.2405849241430329</v>
      </c>
      <c r="R213" s="64">
        <f t="shared" si="85"/>
        <v>6.0977056869089292</v>
      </c>
      <c r="S213" s="64">
        <f>APPLICANTS_PER_YEAR*($H213/Segments!$AH$2)*Q213</f>
        <v>2.0209133628014766</v>
      </c>
      <c r="T213" s="64">
        <f t="shared" si="86"/>
        <v>8.1186190497104054</v>
      </c>
      <c r="U213" s="40">
        <f t="shared" si="87"/>
        <v>1866.4115193077971</v>
      </c>
      <c r="V213" s="65">
        <f t="shared" si="88"/>
        <v>15152.684115251222</v>
      </c>
      <c r="W213" s="65">
        <f t="shared" si="89"/>
        <v>11614.722256625073</v>
      </c>
      <c r="X213" s="65">
        <f t="shared" si="90"/>
        <v>3226.6145450805784</v>
      </c>
      <c r="Y213" s="40">
        <f t="shared" si="91"/>
        <v>1885.4263501308649</v>
      </c>
      <c r="Z213" s="40">
        <f t="shared" si="92"/>
        <v>1315.6666540948763</v>
      </c>
      <c r="AA213" s="40">
        <f t="shared" si="93"/>
        <v>2181.0432151387031</v>
      </c>
      <c r="AB213" s="40">
        <f t="shared" si="94"/>
        <v>1789.9689489519351</v>
      </c>
      <c r="AC213" s="40">
        <f t="shared" si="95"/>
        <v>2181.0432151387031</v>
      </c>
      <c r="AD213" s="41">
        <f t="shared" si="96"/>
        <v>0.69372234512616671</v>
      </c>
      <c r="AE213" s="41">
        <f t="shared" si="97"/>
        <v>0.2407594831698755</v>
      </c>
      <c r="AF213" s="64">
        <f t="shared" si="98"/>
        <v>6.8690872923995192</v>
      </c>
      <c r="AG213" s="64">
        <f>APPLICANTS_PER_YEAR*($H213/Segments!$AH$2)*AE213</f>
        <v>2.0223796586269542</v>
      </c>
      <c r="AH213" s="64">
        <f t="shared" si="99"/>
        <v>8.891466951026473</v>
      </c>
      <c r="AI213" s="40">
        <f t="shared" si="100"/>
        <v>2181.0432151387031</v>
      </c>
      <c r="AJ213" s="65">
        <f t="shared" si="101"/>
        <v>19392.673666166302</v>
      </c>
      <c r="AK213" s="65">
        <f t="shared" si="102"/>
        <v>13101.991362266433</v>
      </c>
      <c r="AL213" s="65">
        <f t="shared" si="103"/>
        <v>4047.9855635425342</v>
      </c>
      <c r="AM213" s="40">
        <f t="shared" si="104"/>
        <v>2281.3947871429255</v>
      </c>
      <c r="AN213" s="40">
        <f t="shared" si="105"/>
        <v>1355.1366537177225</v>
      </c>
      <c r="AO213" s="40">
        <f t="shared" si="106"/>
        <v>2245.224511592864</v>
      </c>
      <c r="AP213" s="40">
        <f t="shared" si="107"/>
        <v>1843.1550123357097</v>
      </c>
      <c r="AQ213" s="40">
        <f t="shared" si="108"/>
        <v>2245.224511592864</v>
      </c>
      <c r="AR213" s="41">
        <f t="shared" si="109"/>
        <v>0.74092900581714016</v>
      </c>
      <c r="AS213" s="41">
        <f t="shared" si="110"/>
        <v>0.24092900581714016</v>
      </c>
      <c r="AT213" s="64">
        <f t="shared" si="111"/>
        <v>7.4901768304159937</v>
      </c>
      <c r="AU213" s="64">
        <f>APPLICANTS_PER_YEAR*($H213/Segments!$AH$2)*AS213</f>
        <v>2.0238036488639772</v>
      </c>
      <c r="AV213" s="64">
        <f t="shared" si="112"/>
        <v>9.5139804792799705</v>
      </c>
      <c r="AW213" s="40">
        <f t="shared" si="113"/>
        <v>2245.224511592864</v>
      </c>
      <c r="AX213" s="65">
        <f t="shared" si="114"/>
        <v>21361.022174895414</v>
      </c>
      <c r="AY213" s="65">
        <f t="shared" si="115"/>
        <v>14439.872910654458</v>
      </c>
      <c r="AZ213" s="65">
        <f t="shared" si="116"/>
        <v>4437.1441664302492</v>
      </c>
    </row>
    <row r="214" spans="1:52" ht="15" customHeight="1" x14ac:dyDescent="0.35">
      <c r="A214" s="61" t="str">
        <f>Segments!$A$194</f>
        <v>Non-greek</v>
      </c>
      <c r="B214" s="61" t="str">
        <f>Segments!$B$194</f>
        <v>Off 6+mi</v>
      </c>
      <c r="C214" s="61" t="str">
        <f>Segments!$C$194</f>
        <v>No</v>
      </c>
      <c r="D214" s="61" t="str">
        <f>Segments!$D$194</f>
        <v>1.0-2.0</v>
      </c>
      <c r="E214" s="61" t="str">
        <f>Segments!$E$194</f>
        <v>Grad student</v>
      </c>
      <c r="F214" s="61">
        <f>Segments!$F$194</f>
        <v>3</v>
      </c>
      <c r="G214" s="61" t="str">
        <f>Segments!$G$194</f>
        <v>Grad</v>
      </c>
      <c r="H214" s="62">
        <f>Segments!$H$194</f>
        <v>4</v>
      </c>
      <c r="I214" s="63">
        <f>Segments!$Y$194</f>
        <v>1520.9111975301573</v>
      </c>
      <c r="J214" s="42">
        <v>4</v>
      </c>
      <c r="K214" s="40">
        <f t="shared" si="78"/>
        <v>1426.2297754450396</v>
      </c>
      <c r="L214" s="40">
        <f t="shared" si="79"/>
        <v>1520.9111975301573</v>
      </c>
      <c r="M214" s="40">
        <f t="shared" si="80"/>
        <v>2514.7868435575369</v>
      </c>
      <c r="N214" s="40">
        <f t="shared" si="81"/>
        <v>1893.8489578578346</v>
      </c>
      <c r="O214" s="40">
        <f t="shared" si="82"/>
        <v>1782.7872193062994</v>
      </c>
      <c r="P214" s="41">
        <f t="shared" si="83"/>
        <v>0.80432169909609874</v>
      </c>
      <c r="Q214" s="41">
        <f t="shared" si="84"/>
        <v>0.18606457021734824</v>
      </c>
      <c r="R214" s="64">
        <f t="shared" si="85"/>
        <v>1.6086433981921975</v>
      </c>
      <c r="S214" s="64">
        <f>APPLICANTS_PER_YEAR*($H214/Segments!$AH$2)*Q214</f>
        <v>0.89310993704327146</v>
      </c>
      <c r="T214" s="64">
        <f t="shared" si="86"/>
        <v>2.5017533352354691</v>
      </c>
      <c r="U214" s="40">
        <f t="shared" si="87"/>
        <v>2044.1064025858886</v>
      </c>
      <c r="V214" s="65">
        <f t="shared" si="88"/>
        <v>5113.8500102454236</v>
      </c>
      <c r="W214" s="65">
        <f t="shared" si="89"/>
        <v>4261.5380203402083</v>
      </c>
      <c r="X214" s="65">
        <f t="shared" si="90"/>
        <v>1117.4898062506184</v>
      </c>
      <c r="Y214" s="40">
        <f t="shared" si="91"/>
        <v>2044.1064025858886</v>
      </c>
      <c r="Z214" s="40">
        <f t="shared" si="92"/>
        <v>1566.5385334560622</v>
      </c>
      <c r="AA214" s="40">
        <f t="shared" si="93"/>
        <v>2588.9804488642631</v>
      </c>
      <c r="AB214" s="40">
        <f t="shared" si="94"/>
        <v>1950.1936914936766</v>
      </c>
      <c r="AC214" s="40">
        <f t="shared" si="95"/>
        <v>2555.1330032323608</v>
      </c>
      <c r="AD214" s="41">
        <f t="shared" si="96"/>
        <v>0.61990276161355184</v>
      </c>
      <c r="AE214" s="41">
        <f t="shared" si="97"/>
        <v>0.18622479137409886</v>
      </c>
      <c r="AF214" s="64">
        <f t="shared" si="98"/>
        <v>0.77542190069419059</v>
      </c>
      <c r="AG214" s="64">
        <f>APPLICANTS_PER_YEAR*($H214/Segments!$AH$2)*AE214</f>
        <v>0.89387899859567455</v>
      </c>
      <c r="AH214" s="64">
        <f t="shared" si="99"/>
        <v>1.669300899289865</v>
      </c>
      <c r="AI214" s="40">
        <f t="shared" si="100"/>
        <v>2573.2576689647867</v>
      </c>
      <c r="AJ214" s="65">
        <f t="shared" si="101"/>
        <v>4295.5413409074599</v>
      </c>
      <c r="AK214" s="65">
        <f t="shared" si="102"/>
        <v>2928.8270845908828</v>
      </c>
      <c r="AL214" s="65">
        <f t="shared" si="103"/>
        <v>948.58854016770897</v>
      </c>
      <c r="AM214" s="40">
        <f t="shared" si="104"/>
        <v>2573.2576689647867</v>
      </c>
      <c r="AN214" s="40">
        <f t="shared" si="105"/>
        <v>1613.5346894597437</v>
      </c>
      <c r="AO214" s="40">
        <f t="shared" si="106"/>
        <v>2665.3998623301904</v>
      </c>
      <c r="AP214" s="40">
        <f t="shared" si="107"/>
        <v>2008.2286551416857</v>
      </c>
      <c r="AQ214" s="40">
        <f t="shared" si="108"/>
        <v>2665.3998623301904</v>
      </c>
      <c r="AR214" s="41">
        <f t="shared" si="109"/>
        <v>0.67563810149883241</v>
      </c>
      <c r="AS214" s="41">
        <f t="shared" si="110"/>
        <v>0.18638038290462011</v>
      </c>
      <c r="AT214" s="64">
        <f t="shared" si="111"/>
        <v>0.56392164521324906</v>
      </c>
      <c r="AU214" s="64">
        <f>APPLICANTS_PER_YEAR*($H214/Segments!$AH$2)*AS214</f>
        <v>0.89462583794217654</v>
      </c>
      <c r="AV214" s="64">
        <f t="shared" si="112"/>
        <v>1.4585474831554257</v>
      </c>
      <c r="AW214" s="40">
        <f t="shared" si="113"/>
        <v>2665.39986233019</v>
      </c>
      <c r="AX214" s="65">
        <f t="shared" si="114"/>
        <v>3887.6122608045171</v>
      </c>
      <c r="AY214" s="65">
        <f t="shared" si="115"/>
        <v>2635.8269955309388</v>
      </c>
      <c r="AZ214" s="65">
        <f t="shared" si="116"/>
        <v>869.75405838880056</v>
      </c>
    </row>
    <row r="215" spans="1:52" ht="15" customHeight="1" x14ac:dyDescent="0.35">
      <c r="A215" s="59" t="str">
        <f>Segments!$A$195</f>
        <v>Non-greek</v>
      </c>
      <c r="B215" s="59" t="str">
        <f>Segments!$B$195</f>
        <v>Off 6+mi</v>
      </c>
      <c r="C215" s="59" t="str">
        <f>Segments!$C$195</f>
        <v>No</v>
      </c>
      <c r="D215" s="59" t="str">
        <f>Segments!$D$195</f>
        <v>2.0-3.0</v>
      </c>
      <c r="E215" s="59" t="str">
        <f>Segments!$E$195</f>
        <v>Freshman</v>
      </c>
      <c r="F215" s="59">
        <f>Segments!$F$195</f>
        <v>1</v>
      </c>
      <c r="G215" s="59" t="str">
        <f>Segments!$G$195</f>
        <v>Base</v>
      </c>
      <c r="H215" s="60">
        <f>Segments!$H$195</f>
        <v>13</v>
      </c>
      <c r="I215" s="26">
        <f>Segments!$Y$195</f>
        <v>1134.939462618172</v>
      </c>
      <c r="J215" s="29">
        <v>0</v>
      </c>
      <c r="K215" s="14">
        <f t="shared" si="78"/>
        <v>1887.1667123687284</v>
      </c>
      <c r="L215" s="14">
        <f t="shared" si="79"/>
        <v>1134.939462618172</v>
      </c>
      <c r="M215" s="14">
        <f t="shared" si="80"/>
        <v>1887.1667123687284</v>
      </c>
      <c r="N215" s="14">
        <f t="shared" si="81"/>
        <v>1640.5893320416922</v>
      </c>
      <c r="O215" s="14">
        <f t="shared" si="82"/>
        <v>1887.1667123687284</v>
      </c>
      <c r="P215" s="33">
        <f t="shared" si="83"/>
        <v>0.77485097412520232</v>
      </c>
      <c r="Q215" s="33">
        <f t="shared" si="84"/>
        <v>0.27485097412520232</v>
      </c>
      <c r="R215" s="51">
        <f t="shared" si="85"/>
        <v>0</v>
      </c>
      <c r="S215" s="51">
        <f>APPLICANTS_PER_YEAR*($H215/Segments!$AH$2)*Q215</f>
        <v>4.2876751963531561</v>
      </c>
      <c r="T215" s="51">
        <f t="shared" si="86"/>
        <v>4.2876751963531561</v>
      </c>
      <c r="U215" s="14">
        <f t="shared" si="87"/>
        <v>1887.1667123687284</v>
      </c>
      <c r="V215" s="44">
        <f t="shared" si="88"/>
        <v>8091.5579040067278</v>
      </c>
      <c r="W215" s="44">
        <f t="shared" si="89"/>
        <v>5450.2019972179551</v>
      </c>
      <c r="X215" s="44">
        <f t="shared" si="90"/>
        <v>2005.4543543333991</v>
      </c>
      <c r="Y215" s="14">
        <f t="shared" si="91"/>
        <v>1942.5317137397903</v>
      </c>
      <c r="Z215" s="14">
        <f t="shared" si="92"/>
        <v>1168.9876464967172</v>
      </c>
      <c r="AA215" s="14">
        <f t="shared" si="93"/>
        <v>1942.5317137397903</v>
      </c>
      <c r="AB215" s="14">
        <f t="shared" si="94"/>
        <v>1689.2635871818311</v>
      </c>
      <c r="AC215" s="14">
        <f t="shared" si="95"/>
        <v>1942.5317137397903</v>
      </c>
      <c r="AD215" s="33">
        <f t="shared" si="96"/>
        <v>0.7750359362269561</v>
      </c>
      <c r="AE215" s="33">
        <f t="shared" si="97"/>
        <v>0.2750359362269561</v>
      </c>
      <c r="AF215" s="51">
        <f t="shared" si="98"/>
        <v>0</v>
      </c>
      <c r="AG215" s="51">
        <f>APPLICANTS_PER_YEAR*($H215/Segments!$AH$2)*AE215</f>
        <v>4.2905606051405147</v>
      </c>
      <c r="AH215" s="51">
        <f t="shared" si="99"/>
        <v>4.2905606051405147</v>
      </c>
      <c r="AI215" s="14">
        <f t="shared" si="100"/>
        <v>1942.5317137397903</v>
      </c>
      <c r="AJ215" s="44">
        <f t="shared" si="101"/>
        <v>8334.550045208036</v>
      </c>
      <c r="AK215" s="44">
        <f t="shared" si="102"/>
        <v>5617.4858252293106</v>
      </c>
      <c r="AL215" s="44">
        <f t="shared" si="103"/>
        <v>2060.0144373579233</v>
      </c>
      <c r="AM215" s="14">
        <f t="shared" si="104"/>
        <v>1999.5576651519841</v>
      </c>
      <c r="AN215" s="14">
        <f t="shared" si="105"/>
        <v>1204.0572758916187</v>
      </c>
      <c r="AO215" s="14">
        <f t="shared" si="106"/>
        <v>1999.5576651519841</v>
      </c>
      <c r="AP215" s="14">
        <f t="shared" si="107"/>
        <v>1739.3978976520734</v>
      </c>
      <c r="AQ215" s="14">
        <f t="shared" si="108"/>
        <v>1999.5576651519841</v>
      </c>
      <c r="AR215" s="33">
        <f t="shared" si="109"/>
        <v>0.77521556802756653</v>
      </c>
      <c r="AS215" s="33">
        <f t="shared" si="110"/>
        <v>0.27521556802756653</v>
      </c>
      <c r="AT215" s="51">
        <f t="shared" si="111"/>
        <v>0</v>
      </c>
      <c r="AU215" s="51">
        <f>APPLICANTS_PER_YEAR*($H215/Segments!$AH$2)*AS215</f>
        <v>4.2933628612300376</v>
      </c>
      <c r="AV215" s="51">
        <f t="shared" si="112"/>
        <v>4.2933628612300376</v>
      </c>
      <c r="AW215" s="14">
        <f t="shared" si="113"/>
        <v>1999.5576651519841</v>
      </c>
      <c r="AX215" s="44">
        <f t="shared" si="114"/>
        <v>8584.8266184513759</v>
      </c>
      <c r="AY215" s="44">
        <f t="shared" si="115"/>
        <v>5789.7893660397112</v>
      </c>
      <c r="AZ215" s="44">
        <f t="shared" si="116"/>
        <v>2116.2024912884599</v>
      </c>
    </row>
    <row r="216" spans="1:52" ht="15" customHeight="1" x14ac:dyDescent="0.35">
      <c r="A216" s="59" t="str">
        <f>Segments!$A$196</f>
        <v>Non-greek</v>
      </c>
      <c r="B216" s="59" t="str">
        <f>Segments!$B$196</f>
        <v>Off 6+mi</v>
      </c>
      <c r="C216" s="59" t="str">
        <f>Segments!$C$196</f>
        <v>No</v>
      </c>
      <c r="D216" s="59" t="str">
        <f>Segments!$D$196</f>
        <v>2.0-3.0</v>
      </c>
      <c r="E216" s="59" t="str">
        <f>Segments!$E$196</f>
        <v>Sophomore</v>
      </c>
      <c r="F216" s="59">
        <f>Segments!$F$196</f>
        <v>1</v>
      </c>
      <c r="G216" s="59" t="str">
        <f>Segments!$G$196</f>
        <v>Sophomore</v>
      </c>
      <c r="H216" s="60">
        <f>Segments!$H$196</f>
        <v>18</v>
      </c>
      <c r="I216" s="26">
        <f>Segments!$Y$196</f>
        <v>1123.3928641113851</v>
      </c>
      <c r="J216" s="29">
        <v>1</v>
      </c>
      <c r="K216" s="14">
        <f t="shared" si="78"/>
        <v>1426.2297754450396</v>
      </c>
      <c r="L216" s="14">
        <f t="shared" si="79"/>
        <v>1123.3928641113851</v>
      </c>
      <c r="M216" s="14">
        <f t="shared" si="80"/>
        <v>1868.3910430278979</v>
      </c>
      <c r="N216" s="14">
        <f t="shared" si="81"/>
        <v>1632.407711860368</v>
      </c>
      <c r="O216" s="14">
        <f t="shared" si="82"/>
        <v>1782.7872193062994</v>
      </c>
      <c r="P216" s="33">
        <f t="shared" si="83"/>
        <v>0.7289393540126835</v>
      </c>
      <c r="Q216" s="33">
        <f t="shared" si="84"/>
        <v>0.27771924273177062</v>
      </c>
      <c r="R216" s="51">
        <f t="shared" si="85"/>
        <v>9.4762116021648861</v>
      </c>
      <c r="S216" s="51">
        <f>APPLICANTS_PER_YEAR*($H216/Segments!$AH$2)*Q216</f>
        <v>5.9987356430062446</v>
      </c>
      <c r="T216" s="51">
        <f t="shared" si="86"/>
        <v>15.47494724517113</v>
      </c>
      <c r="U216" s="14">
        <f t="shared" si="87"/>
        <v>1815.9708354053214</v>
      </c>
      <c r="V216" s="44">
        <f t="shared" si="88"/>
        <v>28102.052876666694</v>
      </c>
      <c r="W216" s="44">
        <f t="shared" si="89"/>
        <v>19470.57874465243</v>
      </c>
      <c r="X216" s="44">
        <f t="shared" si="90"/>
        <v>6163.0347677395621</v>
      </c>
      <c r="Y216" s="14">
        <f t="shared" si="91"/>
        <v>1887.1667123687284</v>
      </c>
      <c r="Z216" s="14">
        <f t="shared" si="92"/>
        <v>1157.0946500347266</v>
      </c>
      <c r="AA216" s="14">
        <f t="shared" si="93"/>
        <v>1923.1927743187348</v>
      </c>
      <c r="AB216" s="14">
        <f t="shared" si="94"/>
        <v>1680.8337938695056</v>
      </c>
      <c r="AC216" s="14">
        <f t="shared" si="95"/>
        <v>1923.1927743187348</v>
      </c>
      <c r="AD216" s="33">
        <f t="shared" si="96"/>
        <v>0.77217812430844746</v>
      </c>
      <c r="AE216" s="33">
        <f t="shared" si="97"/>
        <v>0.27790513216322055</v>
      </c>
      <c r="AF216" s="51">
        <f t="shared" si="98"/>
        <v>3.3108489907638341</v>
      </c>
      <c r="AG216" s="51">
        <f>APPLICANTS_PER_YEAR*($H216/Segments!$AH$2)*AE216</f>
        <v>6.002750854725563</v>
      </c>
      <c r="AH216" s="51">
        <f t="shared" si="99"/>
        <v>9.3135998454893976</v>
      </c>
      <c r="AI216" s="14">
        <f t="shared" si="100"/>
        <v>1923.1927743187348</v>
      </c>
      <c r="AJ216" s="44">
        <f t="shared" si="101"/>
        <v>17911.847925741295</v>
      </c>
      <c r="AK216" s="44">
        <f t="shared" si="102"/>
        <v>12069.922540233643</v>
      </c>
      <c r="AL216" s="44">
        <f t="shared" si="103"/>
        <v>4125.7356736875645</v>
      </c>
      <c r="AM216" s="14">
        <f t="shared" si="104"/>
        <v>1942.5317137397903</v>
      </c>
      <c r="AN216" s="14">
        <f t="shared" si="105"/>
        <v>1191.8074895357684</v>
      </c>
      <c r="AO216" s="14">
        <f t="shared" si="106"/>
        <v>1979.6385575482968</v>
      </c>
      <c r="AP216" s="14">
        <f t="shared" si="107"/>
        <v>1730.7124834090646</v>
      </c>
      <c r="AQ216" s="14">
        <f t="shared" si="108"/>
        <v>1979.6385575482968</v>
      </c>
      <c r="AR216" s="33">
        <f t="shared" si="109"/>
        <v>0.77235497201714909</v>
      </c>
      <c r="AS216" s="33">
        <f t="shared" si="110"/>
        <v>0.27808566514499533</v>
      </c>
      <c r="AT216" s="51">
        <f t="shared" si="111"/>
        <v>3.3138358161211845</v>
      </c>
      <c r="AU216" s="51">
        <f>APPLICANTS_PER_YEAR*($H216/Segments!$AH$2)*AS216</f>
        <v>6.0066503671318987</v>
      </c>
      <c r="AV216" s="51">
        <f t="shared" si="112"/>
        <v>9.3204861832530828</v>
      </c>
      <c r="AW216" s="14">
        <f t="shared" si="113"/>
        <v>1979.6385575482968</v>
      </c>
      <c r="AX216" s="44">
        <f t="shared" si="114"/>
        <v>18451.193823463964</v>
      </c>
      <c r="AY216" s="44">
        <f t="shared" si="115"/>
        <v>12441.212268033554</v>
      </c>
      <c r="AZ216" s="44">
        <f t="shared" si="116"/>
        <v>4240.0364988750562</v>
      </c>
    </row>
    <row r="217" spans="1:52" ht="15" customHeight="1" x14ac:dyDescent="0.35">
      <c r="A217" s="59" t="str">
        <f>Segments!$A$197</f>
        <v>Non-greek</v>
      </c>
      <c r="B217" s="59" t="str">
        <f>Segments!$B$197</f>
        <v>Off 6+mi</v>
      </c>
      <c r="C217" s="59" t="str">
        <f>Segments!$C$197</f>
        <v>No</v>
      </c>
      <c r="D217" s="59" t="str">
        <f>Segments!$D$197</f>
        <v>2.0-3.0</v>
      </c>
      <c r="E217" s="59" t="str">
        <f>Segments!$E$197</f>
        <v>Junior</v>
      </c>
      <c r="F217" s="59">
        <f>Segments!$F$197</f>
        <v>2</v>
      </c>
      <c r="G217" s="59" t="str">
        <f>Segments!$G$197</f>
        <v>Base</v>
      </c>
      <c r="H217" s="60">
        <f>Segments!$H$197</f>
        <v>20</v>
      </c>
      <c r="I217" s="26">
        <f>Segments!$Y$197</f>
        <v>1342.932615459305</v>
      </c>
      <c r="J217" s="29">
        <v>2</v>
      </c>
      <c r="K217" s="14">
        <f t="shared" ref="K217:K280" si="117">IF($J217=0,M217,CURRENT_FLAT)</f>
        <v>1426.2297754450396</v>
      </c>
      <c r="L217" s="14">
        <f t="shared" ref="L217:L280" si="118">$I217*(1+LOSS_TREND)^0</f>
        <v>1342.932615459305</v>
      </c>
      <c r="M217" s="14">
        <f t="shared" ref="M217:M280" si="119">L217*GROSS_MULT+POLICY_FEE</f>
        <v>2225.3797939621086</v>
      </c>
      <c r="N217" s="14">
        <f t="shared" ref="N217:N280" si="120">M217^MARKET_RISK_WEIGHT*(CURRENT_FLAT*(1+LOSS_TREND)^0)^(1-MARKET_RISK_WEIGHT)</f>
        <v>1781.5450945239938</v>
      </c>
      <c r="O217" s="14">
        <f t="shared" ref="O217:O280" si="121">MIN(M217,K217*(1+CAP_UP))</f>
        <v>1782.7872193062994</v>
      </c>
      <c r="P217" s="33">
        <f t="shared" ref="P217:P280" si="122">MEDIAN(RET_FLOOR,BASE_RETENTION-ELAST_MARKET*(O217/N217-1)-ELAST_INCREASE*MAX(O217/K217-1,0),RET_CEIL)</f>
        <v>0.77465139114745862</v>
      </c>
      <c r="Q217" s="33">
        <f t="shared" ref="Q217:Q280" si="123">MEDIAN(CONV_FLOOR,BASE_CONVERSION-ELAST_MARKET*(M217/N217-1),CONV_CEIL)</f>
        <v>0.22543545745702787</v>
      </c>
      <c r="R217" s="51">
        <f t="shared" ref="R217:R280" si="124">IF($J217=0,0,IF($J217=4,$H217*GRAD_CONTINUE,$H216)*P217)</f>
        <v>13.943725040654256</v>
      </c>
      <c r="S217" s="51">
        <f>APPLICANTS_PER_YEAR*($H217/Segments!$AH$2)*Q217</f>
        <v>5.4104509789686688</v>
      </c>
      <c r="T217" s="51">
        <f t="shared" ref="T217:T280" si="125">R217+S217</f>
        <v>19.354176019622926</v>
      </c>
      <c r="U217" s="14">
        <f t="shared" ref="U217:U280" si="126">IFERROR((R217*O217+S217*M217)/T217,M217)</f>
        <v>1906.5137694008583</v>
      </c>
      <c r="V217" s="44">
        <f t="shared" ref="V217:V280" si="127">R217*O217+S217*M217</f>
        <v>36899.003076819004</v>
      </c>
      <c r="W217" s="44">
        <f t="shared" ref="W217:W280" si="128">T217*L217*(1+LAE_RATIO)</f>
        <v>29110.316728743019</v>
      </c>
      <c r="X217" s="44">
        <f t="shared" ref="X217:X280" si="129">R217*O217*(PREMIUM_TAX+OTHER_VARIABLE+COMMISSION_RN)+S217*M217*(PREMIUM_TAX+OTHER_VARIABLE+COMMISSION_NB)+T217*FIXED_PER_POLICY+S217*NB_ACQUISITION</f>
        <v>7917.6671663541447</v>
      </c>
      <c r="Y217" s="14">
        <f t="shared" ref="Y217:Y280" si="130">IF($J217=0,AA217,IF($J217=4,U217,U216))</f>
        <v>1815.9708354053214</v>
      </c>
      <c r="Z217" s="14">
        <f t="shared" ref="Z217:Z280" si="131">$I217*(1+LOSS_TREND)^1</f>
        <v>1383.2205939230842</v>
      </c>
      <c r="AA217" s="14">
        <f t="shared" ref="AA217:AA280" si="132">Z217*GROSS_MULT+POLICY_FEE</f>
        <v>2290.8911877809719</v>
      </c>
      <c r="AB217" s="14">
        <f t="shared" ref="AB217:AB280" si="133">AA217^MARKET_RISK_WEIGHT*(CURRENT_FLAT*(1+LOSS_TREND)^1)^(1-MARKET_RISK_WEIGHT)</f>
        <v>1834.4910305170235</v>
      </c>
      <c r="AC217" s="14">
        <f t="shared" ref="AC217:AC280" si="134">MIN(AA217,Y217*(1+CAP_UP))</f>
        <v>2269.9635442566519</v>
      </c>
      <c r="AD217" s="33">
        <f t="shared" ref="AD217:AD280" si="135">MEDIAN(RET_FLOOR,BASE_RETENTION-ELAST_MARKET*(AC217/AB217-1)-ELAST_INCREASE*MAX(AC217/Y217-1,0),RET_CEIL)</f>
        <v>0.65630971847354935</v>
      </c>
      <c r="AE217" s="33">
        <f t="shared" ref="AE217:AE280" si="136">MEDIAN(CONV_FLOOR,BASE_CONVERSION-ELAST_MARKET*(AA217/AB217-1),CONV_CEIL)</f>
        <v>0.22560578120261543</v>
      </c>
      <c r="AF217" s="51">
        <f t="shared" ref="AF217:AF280" si="137">IF($J217=0,0,IF($J217=4,T217*GRAD_CONTINUE,T216)*AD217)</f>
        <v>10.156358269871292</v>
      </c>
      <c r="AG217" s="51">
        <f>APPLICANTS_PER_YEAR*($H217/Segments!$AH$2)*AE217</f>
        <v>5.4145387488627703</v>
      </c>
      <c r="AH217" s="51">
        <f t="shared" ref="AH217:AH280" si="138">AF217+AG217</f>
        <v>15.570897018734062</v>
      </c>
      <c r="AI217" s="14">
        <f t="shared" ref="AI217:AI280" si="139">IFERROR((AF217*AC217+AG217*AA217)/AH217,AA217)</f>
        <v>2277.2408088001453</v>
      </c>
      <c r="AJ217" s="44">
        <f t="shared" ref="AJ217:AJ280" si="140">AF217*AC217+AG217*AA217</f>
        <v>35458.682120685728</v>
      </c>
      <c r="AK217" s="44">
        <f t="shared" ref="AK217:AK280" si="141">AH217*Z217*(1+LAE_RATIO)</f>
        <v>24122.543672828731</v>
      </c>
      <c r="AL217" s="44">
        <f t="shared" ref="AL217:AL280" si="142">AF217*AC217*(PREMIUM_TAX+OTHER_VARIABLE+COMMISSION_RN)+AG217*AA217*(PREMIUM_TAX+OTHER_VARIABLE+COMMISSION_NB)+AH217*FIXED_PER_POLICY+AG217*NB_ACQUISITION</f>
        <v>7582.6164986042431</v>
      </c>
      <c r="AM217" s="14">
        <f t="shared" ref="AM217:AM280" si="143">IF($J217=0,AO217,IF($J217=4,AI217,AI216))</f>
        <v>1923.1927743187348</v>
      </c>
      <c r="AN217" s="14">
        <f t="shared" ref="AN217:AN280" si="144">$I217*(1+LOSS_TREND)^2</f>
        <v>1424.7172117407765</v>
      </c>
      <c r="AO217" s="14">
        <f t="shared" ref="AO217:AO280" si="145">AN217*GROSS_MULT+POLICY_FEE</f>
        <v>2358.3679234144006</v>
      </c>
      <c r="AP217" s="14">
        <f t="shared" ref="AP217:AP280" si="146">AO217^MARKET_RISK_WEIGHT*(CURRENT_FLAT*(1+LOSS_TREND)^2)^(1-MARKET_RISK_WEIGHT)</f>
        <v>1889.0252100372395</v>
      </c>
      <c r="AQ217" s="14">
        <f t="shared" ref="AQ217:AQ280" si="147">MIN(AO217,AM217*(1+CAP_UP))</f>
        <v>2358.3679234144006</v>
      </c>
      <c r="AR217" s="33">
        <f t="shared" ref="AR217:AR280" si="148">MEDIAN(RET_FLOOR,BASE_RETENTION-ELAST_MARKET*(AQ217/AP217-1)-ELAST_INCREASE*MAX(AQ217/AM217-1,0),RET_CEIL)</f>
        <v>0.65788795473202966</v>
      </c>
      <c r="AS217" s="33">
        <f t="shared" ref="AS217:AS280" si="149">MEDIAN(CONV_FLOOR,BASE_CONVERSION-ELAST_MARKET*(AO217/AP217-1),CONV_CEIL)</f>
        <v>0.22577118852534828</v>
      </c>
      <c r="AT217" s="51">
        <f t="shared" ref="AT217:AT280" si="150">IF($J217=0,0,IF($J217=4,AH217*GRAD_CONTINUE,AH216)*AR217)</f>
        <v>6.1273051535415668</v>
      </c>
      <c r="AU217" s="51">
        <f>APPLICANTS_PER_YEAR*($H217/Segments!$AH$2)*AS217</f>
        <v>5.4185085246083586</v>
      </c>
      <c r="AV217" s="51">
        <f t="shared" ref="AV217:AV280" si="151">AT217+AU217</f>
        <v>11.545813678149926</v>
      </c>
      <c r="AW217" s="14">
        <f t="shared" ref="AW217:AW280" si="152">IFERROR((AT217*AQ217+AU217*AO217)/AV217,AO217)</f>
        <v>2358.3679234144006</v>
      </c>
      <c r="AX217" s="44">
        <f t="shared" ref="AX217:AX280" si="153">AT217*AQ217+AU217*AO217</f>
        <v>27229.276628268024</v>
      </c>
      <c r="AY217" s="44">
        <f t="shared" ref="AY217:AY280" si="154">AV217*AN217*(1+LAE_RATIO)</f>
        <v>18423.461807309759</v>
      </c>
      <c r="AZ217" s="44">
        <f t="shared" ref="AZ217:AZ280" si="155">AT217*AQ217*(PREMIUM_TAX+OTHER_VARIABLE+COMMISSION_RN)+AU217*AO217*(PREMIUM_TAX+OTHER_VARIABLE+COMMISSION_NB)+AV217*FIXED_PER_POLICY+AU217*NB_ACQUISITION</f>
        <v>5959.971553822299</v>
      </c>
    </row>
    <row r="218" spans="1:52" ht="15" customHeight="1" x14ac:dyDescent="0.35">
      <c r="A218" s="59" t="str">
        <f>Segments!$A$198</f>
        <v>Non-greek</v>
      </c>
      <c r="B218" s="59" t="str">
        <f>Segments!$B$198</f>
        <v>Off 6+mi</v>
      </c>
      <c r="C218" s="59" t="str">
        <f>Segments!$C$198</f>
        <v>No</v>
      </c>
      <c r="D218" s="59" t="str">
        <f>Segments!$D$198</f>
        <v>2.0-3.0</v>
      </c>
      <c r="E218" s="59" t="str">
        <f>Segments!$E$198</f>
        <v>Senior</v>
      </c>
      <c r="F218" s="59">
        <f>Segments!$F$198</f>
        <v>3</v>
      </c>
      <c r="G218" s="59" t="str">
        <f>Segments!$G$198</f>
        <v>Base</v>
      </c>
      <c r="H218" s="60">
        <f>Segments!$H$198</f>
        <v>16</v>
      </c>
      <c r="I218" s="26">
        <f>Segments!$Y$198</f>
        <v>1255.2222705278928</v>
      </c>
      <c r="J218" s="29">
        <v>3</v>
      </c>
      <c r="K218" s="14">
        <f t="shared" si="117"/>
        <v>1426.2297754450396</v>
      </c>
      <c r="L218" s="14">
        <f t="shared" si="118"/>
        <v>1255.2222705278928</v>
      </c>
      <c r="M218" s="14">
        <f t="shared" si="119"/>
        <v>2082.7559352357134</v>
      </c>
      <c r="N218" s="14">
        <f t="shared" si="120"/>
        <v>1723.5105250093645</v>
      </c>
      <c r="O218" s="14">
        <f t="shared" si="121"/>
        <v>1782.7872193062994</v>
      </c>
      <c r="P218" s="33">
        <f t="shared" si="122"/>
        <v>0.75780350092535331</v>
      </c>
      <c r="Q218" s="33">
        <f t="shared" si="123"/>
        <v>0.24578090617566806</v>
      </c>
      <c r="R218" s="51">
        <f t="shared" si="124"/>
        <v>15.156070018507066</v>
      </c>
      <c r="S218" s="51">
        <f>APPLICANTS_PER_YEAR*($H218/Segments!$AH$2)*Q218</f>
        <v>4.7189933985728265</v>
      </c>
      <c r="T218" s="51">
        <f t="shared" si="125"/>
        <v>19.875063417079893</v>
      </c>
      <c r="U218" s="14">
        <f t="shared" si="126"/>
        <v>1854.0096531946258</v>
      </c>
      <c r="V218" s="44">
        <f t="shared" si="127"/>
        <v>36848.559433121489</v>
      </c>
      <c r="W218" s="44">
        <f t="shared" si="128"/>
        <v>27941.33689678563</v>
      </c>
      <c r="X218" s="44">
        <f t="shared" si="129"/>
        <v>7823.85173898843</v>
      </c>
      <c r="Y218" s="14">
        <f t="shared" si="130"/>
        <v>1906.5137694008583</v>
      </c>
      <c r="Z218" s="14">
        <f t="shared" si="131"/>
        <v>1292.8789386437295</v>
      </c>
      <c r="AA218" s="14">
        <f t="shared" si="132"/>
        <v>2143.9886132927845</v>
      </c>
      <c r="AB218" s="14">
        <f t="shared" si="133"/>
        <v>1774.6985688978532</v>
      </c>
      <c r="AC218" s="14">
        <f t="shared" si="134"/>
        <v>2143.9886132927845</v>
      </c>
      <c r="AD218" s="33">
        <f t="shared" si="135"/>
        <v>0.70858904720240401</v>
      </c>
      <c r="AE218" s="33">
        <f t="shared" si="136"/>
        <v>0.24595696675850909</v>
      </c>
      <c r="AF218" s="51">
        <f t="shared" si="137"/>
        <v>13.714157145132225</v>
      </c>
      <c r="AG218" s="51">
        <f>APPLICANTS_PER_YEAR*($H218/Segments!$AH$2)*AE218</f>
        <v>4.7223737617633743</v>
      </c>
      <c r="AH218" s="51">
        <f t="shared" si="138"/>
        <v>18.436530906895598</v>
      </c>
      <c r="AI218" s="14">
        <f t="shared" si="139"/>
        <v>2143.9886132927845</v>
      </c>
      <c r="AJ218" s="44">
        <f t="shared" si="140"/>
        <v>39527.71233300466</v>
      </c>
      <c r="AK218" s="44">
        <f t="shared" si="141"/>
        <v>26696.546812521039</v>
      </c>
      <c r="AL218" s="44">
        <f t="shared" si="142"/>
        <v>8311.8926381725432</v>
      </c>
      <c r="AM218" s="14">
        <f t="shared" si="143"/>
        <v>2277.2408088001453</v>
      </c>
      <c r="AN218" s="14">
        <f t="shared" si="144"/>
        <v>1331.6653068030414</v>
      </c>
      <c r="AO218" s="14">
        <f t="shared" si="145"/>
        <v>2207.0582716915683</v>
      </c>
      <c r="AP218" s="14">
        <f t="shared" si="146"/>
        <v>1827.4221054872396</v>
      </c>
      <c r="AQ218" s="14">
        <f t="shared" si="147"/>
        <v>2207.0582716915683</v>
      </c>
      <c r="AR218" s="33">
        <f t="shared" si="148"/>
        <v>0.74612794847332009</v>
      </c>
      <c r="AS218" s="33">
        <f t="shared" si="149"/>
        <v>0.24612794847332009</v>
      </c>
      <c r="AT218" s="51">
        <f t="shared" si="150"/>
        <v>11.617881448477382</v>
      </c>
      <c r="AU218" s="51">
        <f>APPLICANTS_PER_YEAR*($H218/Segments!$AH$2)*AS218</f>
        <v>4.7256566106877456</v>
      </c>
      <c r="AV218" s="51">
        <f t="shared" si="151"/>
        <v>16.343538059165127</v>
      </c>
      <c r="AW218" s="14">
        <f t="shared" si="152"/>
        <v>2207.0582716915683</v>
      </c>
      <c r="AX218" s="44">
        <f t="shared" si="153"/>
        <v>36071.140862186352</v>
      </c>
      <c r="AY218" s="44">
        <f t="shared" si="154"/>
        <v>24375.817338661953</v>
      </c>
      <c r="AZ218" s="44">
        <f t="shared" si="155"/>
        <v>7627.5007823164478</v>
      </c>
    </row>
    <row r="219" spans="1:52" ht="15" customHeight="1" x14ac:dyDescent="0.35">
      <c r="A219" s="59" t="str">
        <f>Segments!$A$199</f>
        <v>Non-greek</v>
      </c>
      <c r="B219" s="59" t="str">
        <f>Segments!$B$199</f>
        <v>Off 6+mi</v>
      </c>
      <c r="C219" s="59" t="str">
        <f>Segments!$C$199</f>
        <v>No</v>
      </c>
      <c r="D219" s="59" t="str">
        <f>Segments!$D$199</f>
        <v>2.0-3.0</v>
      </c>
      <c r="E219" s="59" t="str">
        <f>Segments!$E$199</f>
        <v>Grad student</v>
      </c>
      <c r="F219" s="59">
        <f>Segments!$F$199</f>
        <v>3</v>
      </c>
      <c r="G219" s="59" t="str">
        <f>Segments!$G$199</f>
        <v>Grad</v>
      </c>
      <c r="H219" s="60">
        <f>Segments!$H$199</f>
        <v>11</v>
      </c>
      <c r="I219" s="26">
        <f>Segments!$Y$199</f>
        <v>1494.5685890222114</v>
      </c>
      <c r="J219" s="29">
        <v>4</v>
      </c>
      <c r="K219" s="14">
        <f t="shared" si="117"/>
        <v>1426.2297754450396</v>
      </c>
      <c r="L219" s="14">
        <f t="shared" si="118"/>
        <v>1494.5685890222114</v>
      </c>
      <c r="M219" s="14">
        <f t="shared" si="119"/>
        <v>2471.9517084630393</v>
      </c>
      <c r="N219" s="14">
        <f t="shared" si="120"/>
        <v>1877.650428080856</v>
      </c>
      <c r="O219" s="14">
        <f t="shared" si="121"/>
        <v>1782.7872193062994</v>
      </c>
      <c r="P219" s="33">
        <f t="shared" si="122"/>
        <v>0.8002611474840704</v>
      </c>
      <c r="Q219" s="33">
        <f t="shared" si="123"/>
        <v>0.19174336407506432</v>
      </c>
      <c r="R219" s="51">
        <f t="shared" si="124"/>
        <v>4.4014363111623869</v>
      </c>
      <c r="S219" s="51">
        <f>APPLICANTS_PER_YEAR*($H219/Segments!$AH$2)*Q219</f>
        <v>2.531012405790849</v>
      </c>
      <c r="T219" s="51">
        <f t="shared" si="125"/>
        <v>6.9324487169532354</v>
      </c>
      <c r="U219" s="14">
        <f t="shared" si="126"/>
        <v>2034.3987267121306</v>
      </c>
      <c r="V219" s="44">
        <f t="shared" si="127"/>
        <v>14103.364842766805</v>
      </c>
      <c r="W219" s="44">
        <f t="shared" si="128"/>
        <v>11604.342509049515</v>
      </c>
      <c r="X219" s="44">
        <f t="shared" si="129"/>
        <v>3086.4391551890162</v>
      </c>
      <c r="Y219" s="14">
        <f t="shared" si="130"/>
        <v>2034.3987267121306</v>
      </c>
      <c r="Z219" s="14">
        <f t="shared" si="131"/>
        <v>1539.4056466928778</v>
      </c>
      <c r="AA219" s="14">
        <f t="shared" si="132"/>
        <v>2544.8602597169306</v>
      </c>
      <c r="AB219" s="14">
        <f t="shared" si="133"/>
        <v>1933.5051437887967</v>
      </c>
      <c r="AC219" s="14">
        <f t="shared" si="134"/>
        <v>2542.9984083901631</v>
      </c>
      <c r="AD219" s="33">
        <f t="shared" si="135"/>
        <v>0.61738643828817674</v>
      </c>
      <c r="AE219" s="33">
        <f t="shared" si="136"/>
        <v>0.19190496780108013</v>
      </c>
      <c r="AF219" s="51">
        <f t="shared" si="137"/>
        <v>2.1399999109875996</v>
      </c>
      <c r="AG219" s="51">
        <f>APPLICANTS_PER_YEAR*($H219/Segments!$AH$2)*AE219</f>
        <v>2.5331455749742577</v>
      </c>
      <c r="AH219" s="51">
        <f t="shared" si="138"/>
        <v>4.6731454859618573</v>
      </c>
      <c r="AI219" s="14">
        <f t="shared" si="139"/>
        <v>2544.0076516212648</v>
      </c>
      <c r="AJ219" s="44">
        <f t="shared" si="140"/>
        <v>11888.517873426339</v>
      </c>
      <c r="AK219" s="44">
        <f t="shared" si="141"/>
        <v>8057.130534775858</v>
      </c>
      <c r="AL219" s="44">
        <f t="shared" si="142"/>
        <v>2629.3489798752144</v>
      </c>
      <c r="AM219" s="14">
        <f t="shared" si="143"/>
        <v>2544.0076516212648</v>
      </c>
      <c r="AN219" s="14">
        <f t="shared" si="144"/>
        <v>1585.5878160936641</v>
      </c>
      <c r="AO219" s="14">
        <f t="shared" si="145"/>
        <v>2619.9560675084385</v>
      </c>
      <c r="AP219" s="14">
        <f t="shared" si="146"/>
        <v>1991.0353860459611</v>
      </c>
      <c r="AQ219" s="14">
        <f t="shared" si="147"/>
        <v>2619.9560675084385</v>
      </c>
      <c r="AR219" s="33">
        <f t="shared" si="148"/>
        <v>0.68310574841722937</v>
      </c>
      <c r="AS219" s="33">
        <f t="shared" si="149"/>
        <v>0.19206190259846057</v>
      </c>
      <c r="AT219" s="51">
        <f t="shared" si="150"/>
        <v>1.5961262723252858</v>
      </c>
      <c r="AU219" s="51">
        <f>APPLICANTS_PER_YEAR*($H219/Segments!$AH$2)*AS219</f>
        <v>2.5352171142996798</v>
      </c>
      <c r="AV219" s="51">
        <f t="shared" si="151"/>
        <v>4.131343386624966</v>
      </c>
      <c r="AW219" s="14">
        <f t="shared" si="152"/>
        <v>2619.9560675084381</v>
      </c>
      <c r="AX219" s="44">
        <f t="shared" si="153"/>
        <v>10823.938172748938</v>
      </c>
      <c r="AY219" s="44">
        <f t="shared" si="154"/>
        <v>7336.6806664834849</v>
      </c>
      <c r="AZ219" s="44">
        <f t="shared" si="155"/>
        <v>2424.2071213766649</v>
      </c>
    </row>
    <row r="220" spans="1:52" ht="15" customHeight="1" x14ac:dyDescent="0.35">
      <c r="A220" s="61" t="str">
        <f>Segments!$A$200</f>
        <v>Non-greek</v>
      </c>
      <c r="B220" s="61" t="str">
        <f>Segments!$B$200</f>
        <v>Off 6+mi</v>
      </c>
      <c r="C220" s="61" t="str">
        <f>Segments!$C$200</f>
        <v>No</v>
      </c>
      <c r="D220" s="61" t="str">
        <f>Segments!$D$200</f>
        <v>3.0+</v>
      </c>
      <c r="E220" s="61" t="str">
        <f>Segments!$E$200</f>
        <v>Freshman</v>
      </c>
      <c r="F220" s="61">
        <f>Segments!$F$200</f>
        <v>1</v>
      </c>
      <c r="G220" s="61" t="str">
        <f>Segments!$G$200</f>
        <v>Base</v>
      </c>
      <c r="H220" s="62">
        <f>Segments!$H$200</f>
        <v>4</v>
      </c>
      <c r="I220" s="63">
        <f>Segments!$Y$200</f>
        <v>994.82848214867533</v>
      </c>
      <c r="J220" s="42">
        <v>0</v>
      </c>
      <c r="K220" s="40">
        <f t="shared" si="117"/>
        <v>1659.3353351221263</v>
      </c>
      <c r="L220" s="40">
        <f t="shared" si="118"/>
        <v>994.82848214867533</v>
      </c>
      <c r="M220" s="40">
        <f t="shared" si="119"/>
        <v>1659.3353351221263</v>
      </c>
      <c r="N220" s="40">
        <f t="shared" si="120"/>
        <v>1538.3736419996444</v>
      </c>
      <c r="O220" s="40">
        <f t="shared" si="121"/>
        <v>1659.3353351221263</v>
      </c>
      <c r="P220" s="41">
        <f t="shared" si="122"/>
        <v>0.81068520357471452</v>
      </c>
      <c r="Q220" s="41">
        <f t="shared" si="123"/>
        <v>0.31068520357471452</v>
      </c>
      <c r="R220" s="64">
        <f t="shared" si="124"/>
        <v>0</v>
      </c>
      <c r="S220" s="64">
        <f>APPLICANTS_PER_YEAR*($H220/Segments!$AH$2)*Q220</f>
        <v>1.4912889771586297</v>
      </c>
      <c r="T220" s="64">
        <f t="shared" si="125"/>
        <v>1.4912889771586297</v>
      </c>
      <c r="U220" s="40">
        <f t="shared" si="126"/>
        <v>1659.3353351221263</v>
      </c>
      <c r="V220" s="65">
        <f t="shared" si="127"/>
        <v>2474.5484946774477</v>
      </c>
      <c r="W220" s="65">
        <f t="shared" si="128"/>
        <v>1661.6059595427828</v>
      </c>
      <c r="X220" s="65">
        <f t="shared" si="129"/>
        <v>621.40686677988663</v>
      </c>
      <c r="Y220" s="40">
        <f t="shared" si="130"/>
        <v>1707.8653951757901</v>
      </c>
      <c r="Z220" s="40">
        <f t="shared" si="131"/>
        <v>1024.6733366131357</v>
      </c>
      <c r="AA220" s="40">
        <f t="shared" si="132"/>
        <v>1707.8653951757901</v>
      </c>
      <c r="AB220" s="40">
        <f t="shared" si="133"/>
        <v>1583.9453063232577</v>
      </c>
      <c r="AC220" s="40">
        <f t="shared" si="134"/>
        <v>1707.8653951757901</v>
      </c>
      <c r="AD220" s="41">
        <f t="shared" si="135"/>
        <v>0.81088245965380501</v>
      </c>
      <c r="AE220" s="41">
        <f t="shared" si="136"/>
        <v>0.31088245965380501</v>
      </c>
      <c r="AF220" s="64">
        <f t="shared" si="137"/>
        <v>0</v>
      </c>
      <c r="AG220" s="64">
        <f>APPLICANTS_PER_YEAR*($H220/Segments!$AH$2)*AE220</f>
        <v>1.4922358063382639</v>
      </c>
      <c r="AH220" s="64">
        <f t="shared" si="138"/>
        <v>1.4922358063382639</v>
      </c>
      <c r="AI220" s="40">
        <f t="shared" si="139"/>
        <v>1707.8653951757901</v>
      </c>
      <c r="AJ220" s="65">
        <f t="shared" si="140"/>
        <v>2548.5378950873628</v>
      </c>
      <c r="AK220" s="65">
        <f t="shared" si="141"/>
        <v>1712.5407518175286</v>
      </c>
      <c r="AL220" s="65">
        <f t="shared" si="142"/>
        <v>638.02309978479116</v>
      </c>
      <c r="AM220" s="40">
        <f t="shared" si="143"/>
        <v>1757.8513570310636</v>
      </c>
      <c r="AN220" s="40">
        <f t="shared" si="144"/>
        <v>1055.4135367115296</v>
      </c>
      <c r="AO220" s="40">
        <f t="shared" si="145"/>
        <v>1757.8513570310636</v>
      </c>
      <c r="AP220" s="40">
        <f t="shared" si="146"/>
        <v>1630.8839115424514</v>
      </c>
      <c r="AQ220" s="40">
        <f t="shared" si="147"/>
        <v>1757.8513570310636</v>
      </c>
      <c r="AR220" s="41">
        <f t="shared" si="148"/>
        <v>0.81107403948557888</v>
      </c>
      <c r="AS220" s="41">
        <f t="shared" si="149"/>
        <v>0.31107403948557888</v>
      </c>
      <c r="AT220" s="64">
        <f t="shared" si="150"/>
        <v>0</v>
      </c>
      <c r="AU220" s="64">
        <f>APPLICANTS_PER_YEAR*($H220/Segments!$AH$2)*AS220</f>
        <v>1.4931553895307785</v>
      </c>
      <c r="AV220" s="64">
        <f t="shared" si="151"/>
        <v>1.4931553895307785</v>
      </c>
      <c r="AW220" s="40">
        <f t="shared" si="152"/>
        <v>1757.8513570310633</v>
      </c>
      <c r="AX220" s="65">
        <f t="shared" si="153"/>
        <v>2624.7452277449252</v>
      </c>
      <c r="AY220" s="65">
        <f t="shared" si="154"/>
        <v>1765.0039797875079</v>
      </c>
      <c r="AZ220" s="65">
        <f t="shared" si="155"/>
        <v>655.1349235437483</v>
      </c>
    </row>
    <row r="221" spans="1:52" ht="15" customHeight="1" x14ac:dyDescent="0.35">
      <c r="A221" s="61" t="str">
        <f>Segments!$A$201</f>
        <v>Non-greek</v>
      </c>
      <c r="B221" s="61" t="str">
        <f>Segments!$B$201</f>
        <v>Off 6+mi</v>
      </c>
      <c r="C221" s="61" t="str">
        <f>Segments!$C$201</f>
        <v>No</v>
      </c>
      <c r="D221" s="61" t="str">
        <f>Segments!$D$201</f>
        <v>3.0+</v>
      </c>
      <c r="E221" s="61" t="str">
        <f>Segments!$E$201</f>
        <v>Sophomore</v>
      </c>
      <c r="F221" s="61">
        <f>Segments!$F$201</f>
        <v>1</v>
      </c>
      <c r="G221" s="61" t="str">
        <f>Segments!$G$201</f>
        <v>Sophomore</v>
      </c>
      <c r="H221" s="62">
        <f>Segments!$H$201</f>
        <v>12</v>
      </c>
      <c r="I221" s="63">
        <f>Segments!$Y$201</f>
        <v>984.70733873545021</v>
      </c>
      <c r="J221" s="42">
        <v>1</v>
      </c>
      <c r="K221" s="40">
        <f t="shared" si="117"/>
        <v>1426.2297754450396</v>
      </c>
      <c r="L221" s="40">
        <f t="shared" si="118"/>
        <v>984.70733873545021</v>
      </c>
      <c r="M221" s="40">
        <f t="shared" si="119"/>
        <v>1642.8775668914095</v>
      </c>
      <c r="N221" s="40">
        <f t="shared" si="120"/>
        <v>1530.7256133321962</v>
      </c>
      <c r="O221" s="40">
        <f t="shared" si="121"/>
        <v>1642.8775668914095</v>
      </c>
      <c r="P221" s="41">
        <f t="shared" si="122"/>
        <v>0.76779567472505961</v>
      </c>
      <c r="Q221" s="41">
        <f t="shared" si="123"/>
        <v>0.31336640852468889</v>
      </c>
      <c r="R221" s="64">
        <f t="shared" si="124"/>
        <v>3.0711826989002384</v>
      </c>
      <c r="S221" s="64">
        <f>APPLICANTS_PER_YEAR*($H221/Segments!$AH$2)*Q221</f>
        <v>4.5124762827555198</v>
      </c>
      <c r="T221" s="64">
        <f t="shared" si="125"/>
        <v>7.5836589816557582</v>
      </c>
      <c r="U221" s="40">
        <f t="shared" si="126"/>
        <v>1642.8775668914095</v>
      </c>
      <c r="V221" s="65">
        <f t="shared" si="127"/>
        <v>12459.023215916797</v>
      </c>
      <c r="W221" s="65">
        <f t="shared" si="128"/>
        <v>8363.80681214785</v>
      </c>
      <c r="X221" s="65">
        <f t="shared" si="129"/>
        <v>2878.7110864726783</v>
      </c>
      <c r="Y221" s="40">
        <f t="shared" si="130"/>
        <v>1659.3353351221263</v>
      </c>
      <c r="Z221" s="40">
        <f t="shared" si="131"/>
        <v>1014.2485588975137</v>
      </c>
      <c r="AA221" s="40">
        <f t="shared" si="132"/>
        <v>1690.9138938981519</v>
      </c>
      <c r="AB221" s="40">
        <f t="shared" si="133"/>
        <v>1576.0649401236601</v>
      </c>
      <c r="AC221" s="40">
        <f t="shared" si="134"/>
        <v>1690.9138938981519</v>
      </c>
      <c r="AD221" s="41">
        <f t="shared" si="135"/>
        <v>0.80785539608392654</v>
      </c>
      <c r="AE221" s="41">
        <f t="shared" si="136"/>
        <v>0.31356465052592297</v>
      </c>
      <c r="AF221" s="64">
        <f t="shared" si="137"/>
        <v>1.2047458473180785</v>
      </c>
      <c r="AG221" s="64">
        <f>APPLICANTS_PER_YEAR*($H221/Segments!$AH$2)*AE221</f>
        <v>4.5153309675732904</v>
      </c>
      <c r="AH221" s="64">
        <f t="shared" si="138"/>
        <v>5.7200768148913692</v>
      </c>
      <c r="AI221" s="40">
        <f t="shared" si="139"/>
        <v>1690.9138938981519</v>
      </c>
      <c r="AJ221" s="65">
        <f t="shared" si="140"/>
        <v>9672.1573604645037</v>
      </c>
      <c r="AK221" s="65">
        <f t="shared" si="141"/>
        <v>6497.7692262410501</v>
      </c>
      <c r="AL221" s="65">
        <f t="shared" si="142"/>
        <v>2322.5488070165902</v>
      </c>
      <c r="AM221" s="40">
        <f t="shared" si="143"/>
        <v>1707.8653951757901</v>
      </c>
      <c r="AN221" s="40">
        <f t="shared" si="144"/>
        <v>1044.6760156644391</v>
      </c>
      <c r="AO221" s="40">
        <f t="shared" si="145"/>
        <v>1740.3913107150963</v>
      </c>
      <c r="AP221" s="40">
        <f t="shared" si="146"/>
        <v>1622.7642345335298</v>
      </c>
      <c r="AQ221" s="40">
        <f t="shared" si="147"/>
        <v>1740.3913107150963</v>
      </c>
      <c r="AR221" s="41">
        <f t="shared" si="148"/>
        <v>0.80804375551513863</v>
      </c>
      <c r="AS221" s="41">
        <f t="shared" si="149"/>
        <v>0.3137571886049797</v>
      </c>
      <c r="AT221" s="64">
        <f t="shared" si="150"/>
        <v>1.205791825067732</v>
      </c>
      <c r="AU221" s="64">
        <f>APPLICANTS_PER_YEAR*($H221/Segments!$AH$2)*AS221</f>
        <v>4.5181035159117071</v>
      </c>
      <c r="AV221" s="64">
        <f t="shared" si="151"/>
        <v>5.7238953409794391</v>
      </c>
      <c r="AW221" s="40">
        <f t="shared" si="152"/>
        <v>1740.3913107150966</v>
      </c>
      <c r="AX221" s="65">
        <f t="shared" si="153"/>
        <v>9961.8177148832401</v>
      </c>
      <c r="AY221" s="65">
        <f t="shared" si="154"/>
        <v>6697.170120362005</v>
      </c>
      <c r="AZ221" s="65">
        <f t="shared" si="155"/>
        <v>2385.4284263304562</v>
      </c>
    </row>
    <row r="222" spans="1:52" ht="15" customHeight="1" x14ac:dyDescent="0.35">
      <c r="A222" s="61" t="str">
        <f>Segments!$A$202</f>
        <v>Non-greek</v>
      </c>
      <c r="B222" s="61" t="str">
        <f>Segments!$B$202</f>
        <v>Off 6+mi</v>
      </c>
      <c r="C222" s="61" t="str">
        <f>Segments!$C$202</f>
        <v>No</v>
      </c>
      <c r="D222" s="61" t="str">
        <f>Segments!$D$202</f>
        <v>3.0+</v>
      </c>
      <c r="E222" s="61" t="str">
        <f>Segments!$E$202</f>
        <v>Junior</v>
      </c>
      <c r="F222" s="61">
        <f>Segments!$F$202</f>
        <v>2</v>
      </c>
      <c r="G222" s="61" t="str">
        <f>Segments!$G$202</f>
        <v>Base</v>
      </c>
      <c r="H222" s="62">
        <f>Segments!$H$202</f>
        <v>9</v>
      </c>
      <c r="I222" s="63">
        <f>Segments!$Y$202</f>
        <v>1177.1443847616015</v>
      </c>
      <c r="J222" s="42">
        <v>2</v>
      </c>
      <c r="K222" s="40">
        <f t="shared" si="117"/>
        <v>1426.2297754450396</v>
      </c>
      <c r="L222" s="40">
        <f t="shared" si="118"/>
        <v>1177.1443847616015</v>
      </c>
      <c r="M222" s="40">
        <f t="shared" si="119"/>
        <v>1955.7952060549644</v>
      </c>
      <c r="N222" s="40">
        <f t="shared" si="120"/>
        <v>1670.1536927924499</v>
      </c>
      <c r="O222" s="40">
        <f t="shared" si="121"/>
        <v>1782.7872193062994</v>
      </c>
      <c r="P222" s="41">
        <f t="shared" si="122"/>
        <v>0.74128049053212297</v>
      </c>
      <c r="Q222" s="41">
        <f t="shared" si="123"/>
        <v>0.26448645879262467</v>
      </c>
      <c r="R222" s="64">
        <f t="shared" si="124"/>
        <v>8.8953658863854752</v>
      </c>
      <c r="S222" s="64">
        <f>APPLICANTS_PER_YEAR*($H222/Segments!$AH$2)*Q222</f>
        <v>2.8564537549603459</v>
      </c>
      <c r="T222" s="64">
        <f t="shared" si="125"/>
        <v>11.751819641345822</v>
      </c>
      <c r="U222" s="40">
        <f t="shared" si="126"/>
        <v>1824.8393719489143</v>
      </c>
      <c r="V222" s="65">
        <f t="shared" si="127"/>
        <v>21445.183173570425</v>
      </c>
      <c r="W222" s="65">
        <f t="shared" si="128"/>
        <v>15493.619121726293</v>
      </c>
      <c r="X222" s="65">
        <f t="shared" si="129"/>
        <v>4555.1197061151552</v>
      </c>
      <c r="Y222" s="40">
        <f t="shared" si="130"/>
        <v>1642.8775668914095</v>
      </c>
      <c r="Z222" s="40">
        <f t="shared" si="131"/>
        <v>1212.4587163044496</v>
      </c>
      <c r="AA222" s="40">
        <f t="shared" si="132"/>
        <v>2013.2190622366134</v>
      </c>
      <c r="AB222" s="40">
        <f t="shared" si="133"/>
        <v>1719.7245012463654</v>
      </c>
      <c r="AC222" s="40">
        <f t="shared" si="134"/>
        <v>2013.2190622366134</v>
      </c>
      <c r="AD222" s="41">
        <f t="shared" si="135"/>
        <v>0.69704140907345391</v>
      </c>
      <c r="AE222" s="41">
        <f t="shared" si="136"/>
        <v>0.26466814574731634</v>
      </c>
      <c r="AF222" s="64">
        <f t="shared" si="137"/>
        <v>5.2861243425058841</v>
      </c>
      <c r="AG222" s="64">
        <f>APPLICANTS_PER_YEAR*($H222/Segments!$AH$2)*AE222</f>
        <v>2.8584159740710162</v>
      </c>
      <c r="AH222" s="64">
        <f t="shared" si="138"/>
        <v>8.1445403165769008</v>
      </c>
      <c r="AI222" s="40">
        <f t="shared" si="139"/>
        <v>2013.2190622366131</v>
      </c>
      <c r="AJ222" s="65">
        <f t="shared" si="140"/>
        <v>16396.743818487237</v>
      </c>
      <c r="AK222" s="65">
        <f t="shared" si="141"/>
        <v>11059.909164781866</v>
      </c>
      <c r="AL222" s="65">
        <f t="shared" si="142"/>
        <v>3534.7474008154504</v>
      </c>
      <c r="AM222" s="40">
        <f t="shared" si="143"/>
        <v>1690.9138938981519</v>
      </c>
      <c r="AN222" s="40">
        <f t="shared" si="144"/>
        <v>1248.8324777935829</v>
      </c>
      <c r="AO222" s="40">
        <f t="shared" si="145"/>
        <v>2072.3656341037113</v>
      </c>
      <c r="AP222" s="40">
        <f t="shared" si="146"/>
        <v>1770.7822706254683</v>
      </c>
      <c r="AQ222" s="40">
        <f t="shared" si="147"/>
        <v>2072.3656341037113</v>
      </c>
      <c r="AR222" s="41">
        <f t="shared" si="148"/>
        <v>0.69716786540572273</v>
      </c>
      <c r="AS222" s="41">
        <f t="shared" si="149"/>
        <v>0.26484459482087563</v>
      </c>
      <c r="AT222" s="64">
        <f t="shared" si="150"/>
        <v>3.9878537429945813</v>
      </c>
      <c r="AU222" s="64">
        <f>APPLICANTS_PER_YEAR*($H222/Segments!$AH$2)*AS222</f>
        <v>2.8603216240654565</v>
      </c>
      <c r="AV222" s="64">
        <f t="shared" si="151"/>
        <v>6.8481753670600378</v>
      </c>
      <c r="AW222" s="40">
        <f t="shared" si="152"/>
        <v>2072.3656341037113</v>
      </c>
      <c r="AX222" s="65">
        <f t="shared" si="153"/>
        <v>14191.923287010792</v>
      </c>
      <c r="AY222" s="65">
        <f t="shared" si="154"/>
        <v>9578.4906694518359</v>
      </c>
      <c r="AZ222" s="65">
        <f t="shared" si="155"/>
        <v>3098.2121774547709</v>
      </c>
    </row>
    <row r="223" spans="1:52" ht="15" customHeight="1" x14ac:dyDescent="0.35">
      <c r="A223" s="61" t="str">
        <f>Segments!$A$203</f>
        <v>Non-greek</v>
      </c>
      <c r="B223" s="61" t="str">
        <f>Segments!$B$203</f>
        <v>Off 6+mi</v>
      </c>
      <c r="C223" s="61" t="str">
        <f>Segments!$C$203</f>
        <v>No</v>
      </c>
      <c r="D223" s="61" t="str">
        <f>Segments!$D$203</f>
        <v>3.0+</v>
      </c>
      <c r="E223" s="61" t="str">
        <f>Segments!$E$203</f>
        <v>Senior</v>
      </c>
      <c r="F223" s="61">
        <f>Segments!$F$203</f>
        <v>3</v>
      </c>
      <c r="G223" s="61" t="str">
        <f>Segments!$G$203</f>
        <v>Base</v>
      </c>
      <c r="H223" s="62">
        <f>Segments!$H$203</f>
        <v>11</v>
      </c>
      <c r="I223" s="63">
        <f>Segments!$Y$203</f>
        <v>1100.2620908676499</v>
      </c>
      <c r="J223" s="42">
        <v>3</v>
      </c>
      <c r="K223" s="40">
        <f t="shared" si="117"/>
        <v>1426.2297754450396</v>
      </c>
      <c r="L223" s="40">
        <f t="shared" si="118"/>
        <v>1100.2620908676499</v>
      </c>
      <c r="M223" s="40">
        <f t="shared" si="119"/>
        <v>1830.778602466565</v>
      </c>
      <c r="N223" s="40">
        <f t="shared" si="120"/>
        <v>1615.8932375269947</v>
      </c>
      <c r="O223" s="40">
        <f t="shared" si="121"/>
        <v>1782.7872193062994</v>
      </c>
      <c r="P223" s="41">
        <f t="shared" si="122"/>
        <v>0.72335859885312603</v>
      </c>
      <c r="Q223" s="41">
        <f t="shared" si="123"/>
        <v>0.28350879874080148</v>
      </c>
      <c r="R223" s="64">
        <f t="shared" si="124"/>
        <v>6.5102273896781346</v>
      </c>
      <c r="S223" s="64">
        <f>APPLICANTS_PER_YEAR*($H223/Segments!$AH$2)*Q223</f>
        <v>3.7423161433785799</v>
      </c>
      <c r="T223" s="64">
        <f t="shared" si="125"/>
        <v>10.252543533056715</v>
      </c>
      <c r="U223" s="40">
        <f t="shared" si="126"/>
        <v>1800.3047189750066</v>
      </c>
      <c r="V223" s="65">
        <f t="shared" si="127"/>
        <v>18457.702504058689</v>
      </c>
      <c r="W223" s="65">
        <f t="shared" si="128"/>
        <v>12634.143182519696</v>
      </c>
      <c r="X223" s="65">
        <f t="shared" si="129"/>
        <v>4026.9118786763861</v>
      </c>
      <c r="Y223" s="40">
        <f t="shared" si="130"/>
        <v>1824.8393719489143</v>
      </c>
      <c r="Z223" s="40">
        <f t="shared" si="131"/>
        <v>1133.2699535936795</v>
      </c>
      <c r="AA223" s="40">
        <f t="shared" si="132"/>
        <v>1884.4519605405619</v>
      </c>
      <c r="AB223" s="40">
        <f t="shared" si="133"/>
        <v>1663.8183018029017</v>
      </c>
      <c r="AC223" s="40">
        <f t="shared" si="134"/>
        <v>1884.4519605405619</v>
      </c>
      <c r="AD223" s="41">
        <f t="shared" si="135"/>
        <v>0.77389639639521368</v>
      </c>
      <c r="AE223" s="41">
        <f t="shared" si="136"/>
        <v>0.28369658859426439</v>
      </c>
      <c r="AF223" s="64">
        <f t="shared" si="137"/>
        <v>9.0946908715240244</v>
      </c>
      <c r="AG223" s="64">
        <f>APPLICANTS_PER_YEAR*($H223/Segments!$AH$2)*AE223</f>
        <v>3.7447949694442904</v>
      </c>
      <c r="AH223" s="64">
        <f t="shared" si="138"/>
        <v>12.839485840968315</v>
      </c>
      <c r="AI223" s="40">
        <f t="shared" si="139"/>
        <v>1884.4519605405617</v>
      </c>
      <c r="AJ223" s="65">
        <f t="shared" si="140"/>
        <v>24195.394265345523</v>
      </c>
      <c r="AK223" s="65">
        <f t="shared" si="141"/>
        <v>16296.675945940173</v>
      </c>
      <c r="AL223" s="65">
        <f t="shared" si="142"/>
        <v>5170.3301249754886</v>
      </c>
      <c r="AM223" s="40">
        <f t="shared" si="143"/>
        <v>2013.2190622366131</v>
      </c>
      <c r="AN223" s="40">
        <f t="shared" si="144"/>
        <v>1167.2680522014898</v>
      </c>
      <c r="AO223" s="40">
        <f t="shared" si="145"/>
        <v>1939.7355193567787</v>
      </c>
      <c r="AP223" s="40">
        <f t="shared" si="146"/>
        <v>1713.1809376552908</v>
      </c>
      <c r="AQ223" s="40">
        <f t="shared" si="147"/>
        <v>1939.7355193567787</v>
      </c>
      <c r="AR223" s="41">
        <f t="shared" si="148"/>
        <v>0.78387896843763705</v>
      </c>
      <c r="AS223" s="41">
        <f t="shared" si="149"/>
        <v>0.28387896843763705</v>
      </c>
      <c r="AT223" s="64">
        <f t="shared" si="150"/>
        <v>6.3843338617570469</v>
      </c>
      <c r="AU223" s="64">
        <f>APPLICANTS_PER_YEAR*($H223/Segments!$AH$2)*AS223</f>
        <v>3.7472023833768091</v>
      </c>
      <c r="AV223" s="64">
        <f t="shared" si="151"/>
        <v>10.131536245133855</v>
      </c>
      <c r="AW223" s="40">
        <f t="shared" si="152"/>
        <v>1939.7355193567792</v>
      </c>
      <c r="AX223" s="65">
        <f t="shared" si="153"/>
        <v>19652.50072033675</v>
      </c>
      <c r="AY223" s="65">
        <f t="shared" si="154"/>
        <v>13245.364808106135</v>
      </c>
      <c r="AZ223" s="65">
        <f t="shared" si="155"/>
        <v>4265.0337752746454</v>
      </c>
    </row>
    <row r="224" spans="1:52" ht="15" customHeight="1" x14ac:dyDescent="0.35">
      <c r="A224" s="61" t="str">
        <f>Segments!$A$204</f>
        <v>Non-greek</v>
      </c>
      <c r="B224" s="61" t="str">
        <f>Segments!$B$204</f>
        <v>Off 6+mi</v>
      </c>
      <c r="C224" s="61" t="str">
        <f>Segments!$C$204</f>
        <v>No</v>
      </c>
      <c r="D224" s="61" t="str">
        <f>Segments!$D$204</f>
        <v>3.0+</v>
      </c>
      <c r="E224" s="61" t="str">
        <f>Segments!$E$204</f>
        <v>Grad student</v>
      </c>
      <c r="F224" s="61">
        <f>Segments!$F$204</f>
        <v>3</v>
      </c>
      <c r="G224" s="61" t="str">
        <f>Segments!$G$204</f>
        <v>Grad</v>
      </c>
      <c r="H224" s="62">
        <f>Segments!$H$204</f>
        <v>4</v>
      </c>
      <c r="I224" s="63">
        <f>Segments!$Y$204</f>
        <v>1310.0605361400419</v>
      </c>
      <c r="J224" s="42">
        <v>4</v>
      </c>
      <c r="K224" s="40">
        <f t="shared" si="117"/>
        <v>1426.2297754450396</v>
      </c>
      <c r="L224" s="40">
        <f t="shared" si="118"/>
        <v>1310.0605361400419</v>
      </c>
      <c r="M224" s="40">
        <f t="shared" si="119"/>
        <v>2171.9272302931408</v>
      </c>
      <c r="N224" s="40">
        <f t="shared" si="120"/>
        <v>1760.0191152211823</v>
      </c>
      <c r="O224" s="40">
        <f t="shared" si="121"/>
        <v>1782.7872193062994</v>
      </c>
      <c r="P224" s="41">
        <f t="shared" si="122"/>
        <v>0.76853185886215336</v>
      </c>
      <c r="Q224" s="41">
        <f t="shared" si="123"/>
        <v>0.23298192005142115</v>
      </c>
      <c r="R224" s="64">
        <f t="shared" si="124"/>
        <v>1.5370637177243067</v>
      </c>
      <c r="S224" s="64">
        <f>APPLICANTS_PER_YEAR*($H224/Segments!$AH$2)*Q224</f>
        <v>1.1183132162468215</v>
      </c>
      <c r="T224" s="64">
        <f t="shared" si="125"/>
        <v>2.6553769339711284</v>
      </c>
      <c r="U224" s="40">
        <f t="shared" si="126"/>
        <v>1946.6737137958794</v>
      </c>
      <c r="V224" s="65">
        <f t="shared" si="127"/>
        <v>5169.1524775814923</v>
      </c>
      <c r="W224" s="65">
        <f t="shared" si="128"/>
        <v>3896.1490733447713</v>
      </c>
      <c r="X224" s="65">
        <f t="shared" si="129"/>
        <v>1143.0465097712063</v>
      </c>
      <c r="Y224" s="40">
        <f t="shared" si="130"/>
        <v>1946.6737137958794</v>
      </c>
      <c r="Z224" s="40">
        <f t="shared" si="131"/>
        <v>1349.3623522242433</v>
      </c>
      <c r="AA224" s="40">
        <f t="shared" si="132"/>
        <v>2235.8350472019351</v>
      </c>
      <c r="AB224" s="40">
        <f t="shared" si="133"/>
        <v>1812.3131497680124</v>
      </c>
      <c r="AC224" s="40">
        <f t="shared" si="134"/>
        <v>2235.8350472019351</v>
      </c>
      <c r="AD224" s="41">
        <f t="shared" si="135"/>
        <v>0.68859195458912881</v>
      </c>
      <c r="AE224" s="41">
        <f t="shared" si="136"/>
        <v>0.23315432752663734</v>
      </c>
      <c r="AF224" s="64">
        <f t="shared" si="137"/>
        <v>0.91423559656703368</v>
      </c>
      <c r="AG224" s="64">
        <f>APPLICANTS_PER_YEAR*($H224/Segments!$AH$2)*AE224</f>
        <v>1.1191407721278592</v>
      </c>
      <c r="AH224" s="64">
        <f t="shared" si="138"/>
        <v>2.0333763686948929</v>
      </c>
      <c r="AI224" s="40">
        <f t="shared" si="139"/>
        <v>2235.8350472019351</v>
      </c>
      <c r="AJ224" s="65">
        <f t="shared" si="140"/>
        <v>4546.2941492802456</v>
      </c>
      <c r="AK224" s="65">
        <f t="shared" si="141"/>
        <v>3073.0129021976509</v>
      </c>
      <c r="AL224" s="65">
        <f t="shared" si="142"/>
        <v>1015.4731365287244</v>
      </c>
      <c r="AM224" s="40">
        <f t="shared" si="143"/>
        <v>2235.8350472019351</v>
      </c>
      <c r="AN224" s="40">
        <f t="shared" si="144"/>
        <v>1389.8432227909705</v>
      </c>
      <c r="AO224" s="40">
        <f t="shared" si="145"/>
        <v>2301.6600986179928</v>
      </c>
      <c r="AP224" s="40">
        <f t="shared" si="146"/>
        <v>1866.1758657982789</v>
      </c>
      <c r="AQ224" s="40">
        <f t="shared" si="147"/>
        <v>2301.6600986179928</v>
      </c>
      <c r="AR224" s="41">
        <f t="shared" si="148"/>
        <v>0.72448948211012087</v>
      </c>
      <c r="AS224" s="41">
        <f t="shared" si="149"/>
        <v>0.23332175954021606</v>
      </c>
      <c r="AT224" s="64">
        <f t="shared" si="150"/>
        <v>0.73657989614536057</v>
      </c>
      <c r="AU224" s="64">
        <f>APPLICANTS_PER_YEAR*($H224/Segments!$AH$2)*AS224</f>
        <v>1.119944445793037</v>
      </c>
      <c r="AV224" s="64">
        <f t="shared" si="151"/>
        <v>1.8565243419383974</v>
      </c>
      <c r="AW224" s="40">
        <f t="shared" si="152"/>
        <v>2301.6600986179928</v>
      </c>
      <c r="AX224" s="65">
        <f t="shared" si="153"/>
        <v>4273.087999952636</v>
      </c>
      <c r="AY224" s="65">
        <f t="shared" si="154"/>
        <v>2889.9111075402939</v>
      </c>
      <c r="AZ224" s="65">
        <f t="shared" si="155"/>
        <v>962.96333049891575</v>
      </c>
    </row>
    <row r="225" spans="1:52" ht="15" customHeight="1" x14ac:dyDescent="0.35">
      <c r="A225" s="59" t="str">
        <f>Segments!$A$205</f>
        <v>Greek</v>
      </c>
      <c r="B225" s="59" t="str">
        <f>Segments!$B$205</f>
        <v>On campus</v>
      </c>
      <c r="C225" s="59" t="str">
        <f>Segments!$C$205</f>
        <v>Yes</v>
      </c>
      <c r="D225" s="59" t="str">
        <f>Segments!$D$205</f>
        <v>&lt;1.0</v>
      </c>
      <c r="E225" s="59" t="str">
        <f>Segments!$E$205</f>
        <v>Freshman</v>
      </c>
      <c r="F225" s="59">
        <f>Segments!$F$205</f>
        <v>1</v>
      </c>
      <c r="G225" s="59" t="str">
        <f>Segments!$G$205</f>
        <v>Base</v>
      </c>
      <c r="H225" s="60">
        <f>Segments!$H$205</f>
        <v>22</v>
      </c>
      <c r="I225" s="26">
        <f>Segments!$Y$205</f>
        <v>1402.568812106801</v>
      </c>
      <c r="J225" s="29">
        <v>0</v>
      </c>
      <c r="K225" s="14">
        <f t="shared" si="117"/>
        <v>2322.3528989280412</v>
      </c>
      <c r="L225" s="14">
        <f t="shared" si="118"/>
        <v>1402.568812106801</v>
      </c>
      <c r="M225" s="14">
        <f t="shared" si="119"/>
        <v>2322.3528989280412</v>
      </c>
      <c r="N225" s="14">
        <f t="shared" si="120"/>
        <v>1819.9474864792878</v>
      </c>
      <c r="O225" s="14">
        <f t="shared" si="121"/>
        <v>2322.3528989280412</v>
      </c>
      <c r="P225" s="33">
        <f t="shared" si="122"/>
        <v>0.71197255245516355</v>
      </c>
      <c r="Q225" s="33">
        <f t="shared" si="123"/>
        <v>0.21197255245516355</v>
      </c>
      <c r="R225" s="51">
        <f t="shared" si="124"/>
        <v>0</v>
      </c>
      <c r="S225" s="51">
        <f>APPLICANTS_PER_YEAR*($H225/Segments!$AH$2)*Q225</f>
        <v>5.5960753848163183</v>
      </c>
      <c r="T225" s="51">
        <f t="shared" si="125"/>
        <v>5.5960753848163183</v>
      </c>
      <c r="U225" s="14">
        <f t="shared" si="126"/>
        <v>2322.3528989280412</v>
      </c>
      <c r="V225" s="44">
        <f t="shared" si="127"/>
        <v>12996.06189254803</v>
      </c>
      <c r="W225" s="44">
        <f t="shared" si="128"/>
        <v>8790.7465015349662</v>
      </c>
      <c r="X225" s="44">
        <f t="shared" si="129"/>
        <v>3162.9412562474931</v>
      </c>
      <c r="Y225" s="14">
        <f t="shared" si="130"/>
        <v>2390.7734858958825</v>
      </c>
      <c r="Z225" s="14">
        <f t="shared" si="131"/>
        <v>1444.6458764700051</v>
      </c>
      <c r="AA225" s="14">
        <f t="shared" si="132"/>
        <v>2390.7734858958825</v>
      </c>
      <c r="AB225" s="14">
        <f t="shared" si="133"/>
        <v>1874.0560562286062</v>
      </c>
      <c r="AC225" s="14">
        <f t="shared" si="134"/>
        <v>2390.7734858958825</v>
      </c>
      <c r="AD225" s="33">
        <f t="shared" si="135"/>
        <v>0.71213928127978987</v>
      </c>
      <c r="AE225" s="33">
        <f t="shared" si="136"/>
        <v>0.21213928127978987</v>
      </c>
      <c r="AF225" s="51">
        <f t="shared" si="137"/>
        <v>0</v>
      </c>
      <c r="AG225" s="51">
        <f>APPLICANTS_PER_YEAR*($H225/Segments!$AH$2)*AE225</f>
        <v>5.6004770257864527</v>
      </c>
      <c r="AH225" s="51">
        <f t="shared" si="138"/>
        <v>5.6004770257864527</v>
      </c>
      <c r="AI225" s="14">
        <f t="shared" si="139"/>
        <v>2390.7734858958825</v>
      </c>
      <c r="AJ225" s="44">
        <f t="shared" si="140"/>
        <v>13389.471981619281</v>
      </c>
      <c r="AK225" s="44">
        <f t="shared" si="141"/>
        <v>9061.590766555486</v>
      </c>
      <c r="AL225" s="44">
        <f t="shared" si="142"/>
        <v>3251.2631900431093</v>
      </c>
      <c r="AM225" s="14">
        <f t="shared" si="143"/>
        <v>2461.2466904727585</v>
      </c>
      <c r="AN225" s="14">
        <f t="shared" si="144"/>
        <v>1487.9852527641051</v>
      </c>
      <c r="AO225" s="14">
        <f t="shared" si="145"/>
        <v>2461.2466904727585</v>
      </c>
      <c r="AP225" s="14">
        <f t="shared" si="146"/>
        <v>1929.7877568611216</v>
      </c>
      <c r="AQ225" s="14">
        <f t="shared" si="147"/>
        <v>2461.2466904727585</v>
      </c>
      <c r="AR225" s="33">
        <f t="shared" si="148"/>
        <v>0.71230119563094429</v>
      </c>
      <c r="AS225" s="33">
        <f t="shared" si="149"/>
        <v>0.21230119563094429</v>
      </c>
      <c r="AT225" s="51">
        <f t="shared" si="150"/>
        <v>0</v>
      </c>
      <c r="AU225" s="51">
        <f>APPLICANTS_PER_YEAR*($H225/Segments!$AH$2)*AS225</f>
        <v>5.6047515646569295</v>
      </c>
      <c r="AV225" s="51">
        <f t="shared" si="151"/>
        <v>5.6047515646569295</v>
      </c>
      <c r="AW225" s="14">
        <f t="shared" si="152"/>
        <v>2461.2466904727585</v>
      </c>
      <c r="AX225" s="44">
        <f t="shared" si="153"/>
        <v>13794.676239433882</v>
      </c>
      <c r="AY225" s="44">
        <f t="shared" si="154"/>
        <v>9340.5621944499817</v>
      </c>
      <c r="AZ225" s="44">
        <f t="shared" si="155"/>
        <v>3342.2212980427516</v>
      </c>
    </row>
    <row r="226" spans="1:52" ht="15" customHeight="1" x14ac:dyDescent="0.35">
      <c r="A226" s="59" t="str">
        <f>Segments!$A$206</f>
        <v>Greek</v>
      </c>
      <c r="B226" s="59" t="str">
        <f>Segments!$B$206</f>
        <v>On campus</v>
      </c>
      <c r="C226" s="59" t="str">
        <f>Segments!$C$206</f>
        <v>Yes</v>
      </c>
      <c r="D226" s="59" t="str">
        <f>Segments!$D$206</f>
        <v>&lt;1.0</v>
      </c>
      <c r="E226" s="59" t="str">
        <f>Segments!$E$206</f>
        <v>Sophomore</v>
      </c>
      <c r="F226" s="59">
        <f>Segments!$F$206</f>
        <v>1</v>
      </c>
      <c r="G226" s="59" t="str">
        <f>Segments!$G$206</f>
        <v>Sophomore</v>
      </c>
      <c r="H226" s="60">
        <f>Segments!$H$206</f>
        <v>17</v>
      </c>
      <c r="I226" s="26">
        <f>Segments!$Y$206</f>
        <v>1388.2994175840493</v>
      </c>
      <c r="J226" s="29">
        <v>1</v>
      </c>
      <c r="K226" s="14">
        <f t="shared" si="117"/>
        <v>1426.2297754450396</v>
      </c>
      <c r="L226" s="14">
        <f t="shared" si="118"/>
        <v>1388.2994175840493</v>
      </c>
      <c r="M226" s="14">
        <f t="shared" si="119"/>
        <v>2299.1497509970231</v>
      </c>
      <c r="N226" s="14">
        <f t="shared" si="120"/>
        <v>1810.8329114192184</v>
      </c>
      <c r="O226" s="14">
        <f t="shared" si="121"/>
        <v>1782.7872193062994</v>
      </c>
      <c r="P226" s="33">
        <f t="shared" si="122"/>
        <v>0.78274386525009043</v>
      </c>
      <c r="Q226" s="33">
        <f t="shared" si="123"/>
        <v>0.21516789138897074</v>
      </c>
      <c r="R226" s="51">
        <f t="shared" si="124"/>
        <v>17.220365035501988</v>
      </c>
      <c r="S226" s="51">
        <f>APPLICANTS_PER_YEAR*($H226/Segments!$AH$2)*Q226</f>
        <v>4.3894249843350028</v>
      </c>
      <c r="T226" s="51">
        <f t="shared" si="125"/>
        <v>21.609790019836993</v>
      </c>
      <c r="U226" s="14">
        <f t="shared" si="126"/>
        <v>1887.6718385227352</v>
      </c>
      <c r="V226" s="44">
        <f t="shared" si="127"/>
        <v>40792.192056835949</v>
      </c>
      <c r="W226" s="44">
        <f t="shared" si="128"/>
        <v>33600.961966491697</v>
      </c>
      <c r="X226" s="44">
        <f t="shared" si="129"/>
        <v>8604.8738113384952</v>
      </c>
      <c r="Y226" s="14">
        <f t="shared" si="130"/>
        <v>2322.3528989280412</v>
      </c>
      <c r="Z226" s="14">
        <f t="shared" si="131"/>
        <v>1429.9484001115707</v>
      </c>
      <c r="AA226" s="14">
        <f t="shared" si="132"/>
        <v>2366.8742435269337</v>
      </c>
      <c r="AB226" s="14">
        <f t="shared" si="133"/>
        <v>1864.6655776512926</v>
      </c>
      <c r="AC226" s="14">
        <f t="shared" si="134"/>
        <v>2366.8742435269337</v>
      </c>
      <c r="AD226" s="33">
        <f t="shared" si="135"/>
        <v>0.70958422201211413</v>
      </c>
      <c r="AE226" s="33">
        <f t="shared" si="136"/>
        <v>0.21533545964091416</v>
      </c>
      <c r="AF226" s="51">
        <f t="shared" si="137"/>
        <v>3.9708867982560294</v>
      </c>
      <c r="AG226" s="51">
        <f>APPLICANTS_PER_YEAR*($H226/Segments!$AH$2)*AE226</f>
        <v>4.3928433766746489</v>
      </c>
      <c r="AH226" s="51">
        <f t="shared" si="138"/>
        <v>8.3637301749306783</v>
      </c>
      <c r="AI226" s="14">
        <f t="shared" si="139"/>
        <v>2366.8742435269337</v>
      </c>
      <c r="AJ226" s="44">
        <f t="shared" si="140"/>
        <v>19795.897530852439</v>
      </c>
      <c r="AK226" s="44">
        <f t="shared" si="141"/>
        <v>13394.866892519831</v>
      </c>
      <c r="AL226" s="44">
        <f t="shared" si="142"/>
        <v>4382.4260957900597</v>
      </c>
      <c r="AM226" s="14">
        <f t="shared" si="143"/>
        <v>2390.7734858958825</v>
      </c>
      <c r="AN226" s="14">
        <f t="shared" si="144"/>
        <v>1472.8468521149177</v>
      </c>
      <c r="AO226" s="14">
        <f t="shared" si="145"/>
        <v>2436.630470832742</v>
      </c>
      <c r="AP226" s="14">
        <f t="shared" si="146"/>
        <v>1920.1130957446635</v>
      </c>
      <c r="AQ226" s="14">
        <f t="shared" si="147"/>
        <v>2436.630470832742</v>
      </c>
      <c r="AR226" s="33">
        <f t="shared" si="148"/>
        <v>0.70974394497821147</v>
      </c>
      <c r="AS226" s="33">
        <f t="shared" si="149"/>
        <v>0.21549818960331568</v>
      </c>
      <c r="AT226" s="51">
        <f t="shared" si="150"/>
        <v>3.9749046580415177</v>
      </c>
      <c r="AU226" s="51">
        <f>APPLICANTS_PER_YEAR*($H226/Segments!$AH$2)*AS226</f>
        <v>4.39616306790764</v>
      </c>
      <c r="AV226" s="51">
        <f t="shared" si="151"/>
        <v>8.3710677259491568</v>
      </c>
      <c r="AW226" s="14">
        <f t="shared" si="152"/>
        <v>2436.630470832742</v>
      </c>
      <c r="AX226" s="44">
        <f t="shared" si="153"/>
        <v>20397.198694452265</v>
      </c>
      <c r="AY226" s="44">
        <f t="shared" si="154"/>
        <v>13808.816838885599</v>
      </c>
      <c r="AZ226" s="44">
        <f t="shared" si="155"/>
        <v>4507.3098554786193</v>
      </c>
    </row>
    <row r="227" spans="1:52" ht="15" customHeight="1" x14ac:dyDescent="0.35">
      <c r="A227" s="59" t="str">
        <f>Segments!$A$207</f>
        <v>Greek</v>
      </c>
      <c r="B227" s="59" t="str">
        <f>Segments!$B$207</f>
        <v>On campus</v>
      </c>
      <c r="C227" s="59" t="str">
        <f>Segments!$C$207</f>
        <v>Yes</v>
      </c>
      <c r="D227" s="59" t="str">
        <f>Segments!$D$207</f>
        <v>&lt;1.0</v>
      </c>
      <c r="E227" s="59" t="str">
        <f>Segments!$E$207</f>
        <v>Junior</v>
      </c>
      <c r="F227" s="59">
        <f>Segments!$F$207</f>
        <v>2</v>
      </c>
      <c r="G227" s="59" t="str">
        <f>Segments!$G$207</f>
        <v>Base</v>
      </c>
      <c r="H227" s="60">
        <f>Segments!$H$207</f>
        <v>13</v>
      </c>
      <c r="I227" s="26">
        <f>Segments!$Y$207</f>
        <v>1659.6086974181817</v>
      </c>
      <c r="J227" s="29">
        <v>2</v>
      </c>
      <c r="K227" s="14">
        <f t="shared" si="117"/>
        <v>1426.2297754450396</v>
      </c>
      <c r="L227" s="14">
        <f t="shared" si="118"/>
        <v>1659.6086974181817</v>
      </c>
      <c r="M227" s="14">
        <f t="shared" si="119"/>
        <v>2740.3197911842117</v>
      </c>
      <c r="N227" s="14">
        <f t="shared" si="120"/>
        <v>1976.9485780940929</v>
      </c>
      <c r="O227" s="14">
        <f t="shared" si="121"/>
        <v>1782.7872193062994</v>
      </c>
      <c r="P227" s="33">
        <f t="shared" si="122"/>
        <v>0.82410632500491687</v>
      </c>
      <c r="Q227" s="33">
        <f t="shared" si="123"/>
        <v>0.15693195019112272</v>
      </c>
      <c r="R227" s="51">
        <f t="shared" si="124"/>
        <v>14.009807525083588</v>
      </c>
      <c r="S227" s="51">
        <f>APPLICANTS_PER_YEAR*($H227/Segments!$AH$2)*Q227</f>
        <v>2.4481384229815144</v>
      </c>
      <c r="T227" s="51">
        <f t="shared" si="125"/>
        <v>16.457945948065102</v>
      </c>
      <c r="U227" s="14">
        <f t="shared" si="126"/>
        <v>1925.221292663201</v>
      </c>
      <c r="V227" s="44">
        <f t="shared" si="127"/>
        <v>31685.187972714986</v>
      </c>
      <c r="W227" s="44">
        <f t="shared" si="128"/>
        <v>30591.40026549283</v>
      </c>
      <c r="X227" s="44">
        <f t="shared" si="129"/>
        <v>6613.6667824008891</v>
      </c>
      <c r="Y227" s="14">
        <f t="shared" si="130"/>
        <v>1887.6718385227352</v>
      </c>
      <c r="Z227" s="14">
        <f t="shared" si="131"/>
        <v>1709.3969583407272</v>
      </c>
      <c r="AA227" s="14">
        <f t="shared" si="132"/>
        <v>2821.2793849197383</v>
      </c>
      <c r="AB227" s="14">
        <f t="shared" si="133"/>
        <v>2035.8060918295855</v>
      </c>
      <c r="AC227" s="14">
        <f t="shared" si="134"/>
        <v>2359.589798153419</v>
      </c>
      <c r="AD227" s="33">
        <f t="shared" si="135"/>
        <v>0.69547776366735203</v>
      </c>
      <c r="AE227" s="33">
        <f t="shared" si="136"/>
        <v>0.15708543504154526</v>
      </c>
      <c r="AF227" s="51">
        <f t="shared" si="137"/>
        <v>15.029128436317295</v>
      </c>
      <c r="AG227" s="51">
        <f>APPLICANTS_PER_YEAR*($H227/Segments!$AH$2)*AE227</f>
        <v>2.4505327866481061</v>
      </c>
      <c r="AH227" s="51">
        <f t="shared" si="138"/>
        <v>17.479661222965401</v>
      </c>
      <c r="AI227" s="14">
        <f t="shared" si="139"/>
        <v>2424.3156217945793</v>
      </c>
      <c r="AJ227" s="44">
        <f t="shared" si="140"/>
        <v>42376.215766511959</v>
      </c>
      <c r="AK227" s="44">
        <f t="shared" si="141"/>
        <v>33465.241294647021</v>
      </c>
      <c r="AL227" s="44">
        <f t="shared" si="142"/>
        <v>8661.9386411526793</v>
      </c>
      <c r="AM227" s="14">
        <f t="shared" si="143"/>
        <v>2366.8742435269337</v>
      </c>
      <c r="AN227" s="14">
        <f t="shared" si="144"/>
        <v>1760.6788670909489</v>
      </c>
      <c r="AO227" s="14">
        <f t="shared" si="145"/>
        <v>2904.6677664673302</v>
      </c>
      <c r="AP227" s="14">
        <f t="shared" si="146"/>
        <v>2096.4292325238393</v>
      </c>
      <c r="AQ227" s="14">
        <f t="shared" si="147"/>
        <v>2904.6677664673302</v>
      </c>
      <c r="AR227" s="33">
        <f t="shared" si="148"/>
        <v>0.58906945069802019</v>
      </c>
      <c r="AS227" s="33">
        <f t="shared" si="149"/>
        <v>0.15723448199334811</v>
      </c>
      <c r="AT227" s="51">
        <f t="shared" si="150"/>
        <v>4.9268179399328709</v>
      </c>
      <c r="AU227" s="51">
        <f>APPLICANTS_PER_YEAR*($H227/Segments!$AH$2)*AS227</f>
        <v>2.4528579190962305</v>
      </c>
      <c r="AV227" s="51">
        <f t="shared" si="151"/>
        <v>7.3796758590291009</v>
      </c>
      <c r="AW227" s="14">
        <f t="shared" si="152"/>
        <v>2904.6677664673302</v>
      </c>
      <c r="AX227" s="44">
        <f t="shared" si="153"/>
        <v>21435.506594698934</v>
      </c>
      <c r="AY227" s="44">
        <f t="shared" si="154"/>
        <v>14552.428050690636</v>
      </c>
      <c r="AZ227" s="44">
        <f t="shared" si="155"/>
        <v>4509.5915182223907</v>
      </c>
    </row>
    <row r="228" spans="1:52" ht="15" customHeight="1" x14ac:dyDescent="0.35">
      <c r="A228" s="59" t="str">
        <f>Segments!$A$208</f>
        <v>Greek</v>
      </c>
      <c r="B228" s="59" t="str">
        <f>Segments!$B$208</f>
        <v>On campus</v>
      </c>
      <c r="C228" s="59" t="str">
        <f>Segments!$C$208</f>
        <v>Yes</v>
      </c>
      <c r="D228" s="59" t="str">
        <f>Segments!$D$208</f>
        <v>&lt;1.0</v>
      </c>
      <c r="E228" s="59" t="str">
        <f>Segments!$E$208</f>
        <v>Senior</v>
      </c>
      <c r="F228" s="59">
        <f>Segments!$F$208</f>
        <v>3</v>
      </c>
      <c r="G228" s="59" t="str">
        <f>Segments!$G$208</f>
        <v>Base</v>
      </c>
      <c r="H228" s="60">
        <f>Segments!$H$208</f>
        <v>17</v>
      </c>
      <c r="I228" s="26">
        <f>Segments!$Y$208</f>
        <v>1551.2154320927027</v>
      </c>
      <c r="J228" s="29">
        <v>3</v>
      </c>
      <c r="K228" s="14">
        <f t="shared" si="117"/>
        <v>1426.2297754450396</v>
      </c>
      <c r="L228" s="14">
        <f t="shared" si="118"/>
        <v>1551.2154320927027</v>
      </c>
      <c r="M228" s="14">
        <f t="shared" si="119"/>
        <v>2564.0638914637993</v>
      </c>
      <c r="N228" s="14">
        <f t="shared" si="120"/>
        <v>1912.3138518949104</v>
      </c>
      <c r="O228" s="14">
        <f t="shared" si="121"/>
        <v>1782.7872193062994</v>
      </c>
      <c r="P228" s="33">
        <f t="shared" si="122"/>
        <v>0.80886646822127628</v>
      </c>
      <c r="Q228" s="33">
        <f t="shared" si="123"/>
        <v>0.17959124650928238</v>
      </c>
      <c r="R228" s="51">
        <f t="shared" si="124"/>
        <v>10.515264086876591</v>
      </c>
      <c r="S228" s="51">
        <f>APPLICANTS_PER_YEAR*($H228/Segments!$AH$2)*Q228</f>
        <v>3.6636614287893603</v>
      </c>
      <c r="T228" s="51">
        <f t="shared" si="125"/>
        <v>14.178925515665952</v>
      </c>
      <c r="U228" s="14">
        <f t="shared" si="126"/>
        <v>1984.6595830361055</v>
      </c>
      <c r="V228" s="44">
        <f t="shared" si="127"/>
        <v>28140.340401821584</v>
      </c>
      <c r="W228" s="44">
        <f t="shared" si="128"/>
        <v>24633.916238841291</v>
      </c>
      <c r="X228" s="44">
        <f t="shared" si="129"/>
        <v>6022.4795512810942</v>
      </c>
      <c r="Y228" s="14">
        <f t="shared" si="130"/>
        <v>1925.221292663201</v>
      </c>
      <c r="Z228" s="14">
        <f t="shared" si="131"/>
        <v>1597.7518950554838</v>
      </c>
      <c r="AA228" s="14">
        <f t="shared" si="132"/>
        <v>2639.7358082077135</v>
      </c>
      <c r="AB228" s="14">
        <f t="shared" si="133"/>
        <v>1969.2170787507268</v>
      </c>
      <c r="AC228" s="14">
        <f t="shared" si="134"/>
        <v>2406.5266158290015</v>
      </c>
      <c r="AD228" s="33">
        <f t="shared" si="135"/>
        <v>0.66396360340432747</v>
      </c>
      <c r="AE228" s="33">
        <f t="shared" si="136"/>
        <v>0.17974992023673575</v>
      </c>
      <c r="AF228" s="51">
        <f t="shared" si="137"/>
        <v>10.927477096310955</v>
      </c>
      <c r="AG228" s="51">
        <f>APPLICANTS_PER_YEAR*($H228/Segments!$AH$2)*AE228</f>
        <v>3.6668983728294089</v>
      </c>
      <c r="AH228" s="51">
        <f t="shared" si="138"/>
        <v>14.594375469140363</v>
      </c>
      <c r="AI228" s="14">
        <f t="shared" si="139"/>
        <v>2465.1214087251119</v>
      </c>
      <c r="AJ228" s="44">
        <f t="shared" si="140"/>
        <v>35976.907415950511</v>
      </c>
      <c r="AK228" s="44">
        <f t="shared" si="141"/>
        <v>26116.373990526718</v>
      </c>
      <c r="AL228" s="44">
        <f t="shared" si="142"/>
        <v>7521.9829732117632</v>
      </c>
      <c r="AM228" s="14">
        <f t="shared" si="143"/>
        <v>2424.3156217945793</v>
      </c>
      <c r="AN228" s="14">
        <f t="shared" si="144"/>
        <v>1645.6844519071483</v>
      </c>
      <c r="AO228" s="14">
        <f t="shared" si="145"/>
        <v>2717.6778824539447</v>
      </c>
      <c r="AP228" s="14">
        <f t="shared" si="146"/>
        <v>2027.827293629839</v>
      </c>
      <c r="AQ228" s="14">
        <f t="shared" si="147"/>
        <v>2717.6778824539447</v>
      </c>
      <c r="AR228" s="33">
        <f t="shared" si="148"/>
        <v>0.64360152470671539</v>
      </c>
      <c r="AS228" s="33">
        <f t="shared" si="149"/>
        <v>0.17990400834647424</v>
      </c>
      <c r="AT228" s="51">
        <f t="shared" si="150"/>
        <v>11.249936614457381</v>
      </c>
      <c r="AU228" s="51">
        <f>APPLICANTS_PER_YEAR*($H228/Segments!$AH$2)*AS228</f>
        <v>3.6700417702680741</v>
      </c>
      <c r="AV228" s="51">
        <f t="shared" si="151"/>
        <v>14.919978384725455</v>
      </c>
      <c r="AW228" s="14">
        <f t="shared" si="152"/>
        <v>2717.6778824539447</v>
      </c>
      <c r="AX228" s="44">
        <f t="shared" si="153"/>
        <v>40547.695262859299</v>
      </c>
      <c r="AY228" s="44">
        <f t="shared" si="154"/>
        <v>27500.005624597423</v>
      </c>
      <c r="AZ228" s="44">
        <f t="shared" si="155"/>
        <v>8402.7547137675065</v>
      </c>
    </row>
    <row r="229" spans="1:52" ht="15" customHeight="1" x14ac:dyDescent="0.35">
      <c r="A229" s="59" t="str">
        <f>Segments!$A$209</f>
        <v>Greek</v>
      </c>
      <c r="B229" s="59" t="str">
        <f>Segments!$B$209</f>
        <v>On campus</v>
      </c>
      <c r="C229" s="59" t="str">
        <f>Segments!$C$209</f>
        <v>Yes</v>
      </c>
      <c r="D229" s="59" t="str">
        <f>Segments!$D$209</f>
        <v>&lt;1.0</v>
      </c>
      <c r="E229" s="59" t="str">
        <f>Segments!$E$209</f>
        <v>Grad student</v>
      </c>
      <c r="F229" s="59">
        <f>Segments!$F$209</f>
        <v>3</v>
      </c>
      <c r="G229" s="59" t="str">
        <f>Segments!$G$209</f>
        <v>Grad</v>
      </c>
      <c r="H229" s="60">
        <f>Segments!$H$209</f>
        <v>7</v>
      </c>
      <c r="I229" s="26">
        <f>Segments!$Y$209</f>
        <v>1847.0018530162408</v>
      </c>
      <c r="J229" s="29">
        <v>4</v>
      </c>
      <c r="K229" s="14">
        <f t="shared" si="117"/>
        <v>1426.2297754450396</v>
      </c>
      <c r="L229" s="14">
        <f t="shared" si="118"/>
        <v>1847.0018530162408</v>
      </c>
      <c r="M229" s="14">
        <f t="shared" si="119"/>
        <v>3045.0356712917492</v>
      </c>
      <c r="N229" s="14">
        <f t="shared" si="120"/>
        <v>2083.9675001517098</v>
      </c>
      <c r="O229" s="14">
        <f t="shared" si="121"/>
        <v>1782.7872193062994</v>
      </c>
      <c r="P229" s="33">
        <f t="shared" si="122"/>
        <v>0.84726127106672366</v>
      </c>
      <c r="Q229" s="33">
        <f t="shared" si="123"/>
        <v>0.11941382937352074</v>
      </c>
      <c r="R229" s="51">
        <f t="shared" si="124"/>
        <v>2.965414448733533</v>
      </c>
      <c r="S229" s="51">
        <f>APPLICANTS_PER_YEAR*($H229/Segments!$AH$2)*Q229</f>
        <v>1.0030761667375743</v>
      </c>
      <c r="T229" s="51">
        <f t="shared" si="125"/>
        <v>3.968490615471107</v>
      </c>
      <c r="U229" s="14">
        <f t="shared" si="126"/>
        <v>2101.8332903117357</v>
      </c>
      <c r="V229" s="44">
        <f t="shared" si="127"/>
        <v>8341.1056878868822</v>
      </c>
      <c r="W229" s="44">
        <f t="shared" si="128"/>
        <v>8209.3866629070217</v>
      </c>
      <c r="X229" s="44">
        <f t="shared" si="129"/>
        <v>1787.8197862943298</v>
      </c>
      <c r="Y229" s="14">
        <f t="shared" si="130"/>
        <v>2101.8332903117357</v>
      </c>
      <c r="Z229" s="14">
        <f t="shared" si="131"/>
        <v>1902.411908606728</v>
      </c>
      <c r="AA229" s="14">
        <f t="shared" si="132"/>
        <v>3135.1367414305014</v>
      </c>
      <c r="AB229" s="14">
        <f t="shared" si="133"/>
        <v>2146.0587438002517</v>
      </c>
      <c r="AC229" s="14">
        <f t="shared" si="134"/>
        <v>2627.2916128896695</v>
      </c>
      <c r="AD229" s="33">
        <f t="shared" si="135"/>
        <v>0.66287984707323344</v>
      </c>
      <c r="AE229" s="33">
        <f t="shared" si="136"/>
        <v>0.11955943063357499</v>
      </c>
      <c r="AF229" s="51">
        <f t="shared" si="137"/>
        <v>1.3153162261475246</v>
      </c>
      <c r="AG229" s="51">
        <f>APPLICANTS_PER_YEAR*($H229/Segments!$AH$2)*AE229</f>
        <v>1.00429921732203</v>
      </c>
      <c r="AH229" s="51">
        <f t="shared" si="138"/>
        <v>2.3196154434695546</v>
      </c>
      <c r="AI229" s="14">
        <f t="shared" si="139"/>
        <v>2847.1679146060828</v>
      </c>
      <c r="AJ229" s="44">
        <f t="shared" si="140"/>
        <v>6604.3346648712759</v>
      </c>
      <c r="AK229" s="44">
        <f t="shared" si="141"/>
        <v>4942.4077282099051</v>
      </c>
      <c r="AL229" s="44">
        <f t="shared" si="142"/>
        <v>1429.9205791096797</v>
      </c>
      <c r="AM229" s="14">
        <f t="shared" si="143"/>
        <v>2847.1679146060828</v>
      </c>
      <c r="AN229" s="14">
        <f t="shared" si="144"/>
        <v>1959.4842658649297</v>
      </c>
      <c r="AO229" s="14">
        <f t="shared" si="145"/>
        <v>3227.9408436734161</v>
      </c>
      <c r="AP229" s="14">
        <f t="shared" si="146"/>
        <v>2210.01264071265</v>
      </c>
      <c r="AQ229" s="14">
        <f t="shared" si="147"/>
        <v>3227.9408436734161</v>
      </c>
      <c r="AR229" s="33">
        <f t="shared" si="148"/>
        <v>0.57957958886377037</v>
      </c>
      <c r="AS229" s="33">
        <f t="shared" si="149"/>
        <v>0.11970081885311734</v>
      </c>
      <c r="AT229" s="51">
        <f t="shared" si="150"/>
        <v>0.6722008825240684</v>
      </c>
      <c r="AU229" s="51">
        <f>APPLICANTS_PER_YEAR*($H229/Segments!$AH$2)*AS229</f>
        <v>1.0054868783661857</v>
      </c>
      <c r="AV229" s="51">
        <f t="shared" si="151"/>
        <v>1.6776877608902541</v>
      </c>
      <c r="AW229" s="14">
        <f t="shared" si="152"/>
        <v>3227.9408436734161</v>
      </c>
      <c r="AX229" s="44">
        <f t="shared" si="153"/>
        <v>5415.4768463086511</v>
      </c>
      <c r="AY229" s="44">
        <f t="shared" si="154"/>
        <v>3681.8911029584519</v>
      </c>
      <c r="AZ229" s="44">
        <f t="shared" si="155"/>
        <v>1195.813876815251</v>
      </c>
    </row>
    <row r="230" spans="1:52" ht="15" customHeight="1" x14ac:dyDescent="0.35">
      <c r="A230" s="61" t="str">
        <f>Segments!$A$210</f>
        <v>Greek</v>
      </c>
      <c r="B230" s="61" t="str">
        <f>Segments!$B$210</f>
        <v>On campus</v>
      </c>
      <c r="C230" s="61" t="str">
        <f>Segments!$C$210</f>
        <v>Yes</v>
      </c>
      <c r="D230" s="61" t="str">
        <f>Segments!$D$210</f>
        <v>1.0-2.0</v>
      </c>
      <c r="E230" s="61" t="str">
        <f>Segments!$E$210</f>
        <v>Freshman</v>
      </c>
      <c r="F230" s="61">
        <f>Segments!$F$210</f>
        <v>1</v>
      </c>
      <c r="G230" s="61" t="str">
        <f>Segments!$G$210</f>
        <v>Base</v>
      </c>
      <c r="H230" s="62">
        <f>Segments!$H$210</f>
        <v>56</v>
      </c>
      <c r="I230" s="63">
        <f>Segments!$Y$210</f>
        <v>1272.7205099553787</v>
      </c>
      <c r="J230" s="42">
        <v>0</v>
      </c>
      <c r="K230" s="40">
        <f t="shared" si="117"/>
        <v>2111.209436701452</v>
      </c>
      <c r="L230" s="40">
        <f t="shared" si="118"/>
        <v>1272.7205099553787</v>
      </c>
      <c r="M230" s="40">
        <f t="shared" si="119"/>
        <v>2111.209436701452</v>
      </c>
      <c r="N230" s="40">
        <f t="shared" si="120"/>
        <v>1735.2434298461299</v>
      </c>
      <c r="O230" s="40">
        <f t="shared" si="121"/>
        <v>2111.209436701452</v>
      </c>
      <c r="P230" s="41">
        <f t="shared" si="122"/>
        <v>0.74166764720479006</v>
      </c>
      <c r="Q230" s="41">
        <f t="shared" si="123"/>
        <v>0.24166764720479006</v>
      </c>
      <c r="R230" s="64">
        <f t="shared" si="124"/>
        <v>0</v>
      </c>
      <c r="S230" s="64">
        <f>APPLICANTS_PER_YEAR*($H230/Segments!$AH$2)*Q230</f>
        <v>16.240065892161894</v>
      </c>
      <c r="T230" s="64">
        <f t="shared" si="125"/>
        <v>16.240065892161894</v>
      </c>
      <c r="U230" s="40">
        <f t="shared" si="126"/>
        <v>2111.209436701452</v>
      </c>
      <c r="V230" s="65">
        <f t="shared" si="127"/>
        <v>34286.180364185573</v>
      </c>
      <c r="W230" s="65">
        <f t="shared" si="128"/>
        <v>23149.352737258989</v>
      </c>
      <c r="X230" s="65">
        <f t="shared" si="129"/>
        <v>8410.907366724854</v>
      </c>
      <c r="Y230" s="40">
        <f t="shared" si="130"/>
        <v>2173.295719802496</v>
      </c>
      <c r="Z230" s="40">
        <f t="shared" si="131"/>
        <v>1310.9021252540401</v>
      </c>
      <c r="AA230" s="40">
        <f t="shared" si="132"/>
        <v>2173.295719802496</v>
      </c>
      <c r="AB230" s="40">
        <f t="shared" si="133"/>
        <v>1786.7869594393358</v>
      </c>
      <c r="AC230" s="40">
        <f t="shared" si="134"/>
        <v>2173.295719802496</v>
      </c>
      <c r="AD230" s="41">
        <f t="shared" si="135"/>
        <v>0.74184251700481396</v>
      </c>
      <c r="AE230" s="41">
        <f t="shared" si="136"/>
        <v>0.24184251700481396</v>
      </c>
      <c r="AF230" s="64">
        <f t="shared" si="137"/>
        <v>0</v>
      </c>
      <c r="AG230" s="64">
        <f>APPLICANTS_PER_YEAR*($H230/Segments!$AH$2)*AE230</f>
        <v>16.2518171427235</v>
      </c>
      <c r="AH230" s="64">
        <f t="shared" si="138"/>
        <v>16.2518171427235</v>
      </c>
      <c r="AI230" s="40">
        <f t="shared" si="139"/>
        <v>2173.295719802496</v>
      </c>
      <c r="AJ230" s="65">
        <f t="shared" si="140"/>
        <v>35320.004635293815</v>
      </c>
      <c r="AK230" s="65">
        <f t="shared" si="141"/>
        <v>23861.086627432636</v>
      </c>
      <c r="AL230" s="65">
        <f t="shared" si="142"/>
        <v>8643.0128097283723</v>
      </c>
      <c r="AM230" s="40">
        <f t="shared" si="143"/>
        <v>2237.2445913965707</v>
      </c>
      <c r="AN230" s="40">
        <f t="shared" si="144"/>
        <v>1350.2291890116612</v>
      </c>
      <c r="AO230" s="40">
        <f t="shared" si="145"/>
        <v>2237.2445913965707</v>
      </c>
      <c r="AP230" s="40">
        <f t="shared" si="146"/>
        <v>1839.8766493005539</v>
      </c>
      <c r="AQ230" s="40">
        <f t="shared" si="147"/>
        <v>2237.2445913965707</v>
      </c>
      <c r="AR230" s="41">
        <f t="shared" si="148"/>
        <v>0.74201234162978269</v>
      </c>
      <c r="AS230" s="41">
        <f t="shared" si="149"/>
        <v>0.24201234162978269</v>
      </c>
      <c r="AT230" s="64">
        <f t="shared" si="150"/>
        <v>0</v>
      </c>
      <c r="AU230" s="64">
        <f>APPLICANTS_PER_YEAR*($H230/Segments!$AH$2)*AS230</f>
        <v>16.263229357521396</v>
      </c>
      <c r="AV230" s="64">
        <f t="shared" si="151"/>
        <v>16.263229357521396</v>
      </c>
      <c r="AW230" s="40">
        <f t="shared" si="152"/>
        <v>2237.2445913965707</v>
      </c>
      <c r="AX230" s="65">
        <f t="shared" si="153"/>
        <v>36384.821918756672</v>
      </c>
      <c r="AY230" s="65">
        <f t="shared" si="154"/>
        <v>24594.177424450769</v>
      </c>
      <c r="AZ230" s="65">
        <f t="shared" si="155"/>
        <v>8882.0454308899571</v>
      </c>
    </row>
    <row r="231" spans="1:52" ht="15" customHeight="1" x14ac:dyDescent="0.35">
      <c r="A231" s="61" t="str">
        <f>Segments!$A$211</f>
        <v>Greek</v>
      </c>
      <c r="B231" s="61" t="str">
        <f>Segments!$B$211</f>
        <v>On campus</v>
      </c>
      <c r="C231" s="61" t="str">
        <f>Segments!$C$211</f>
        <v>Yes</v>
      </c>
      <c r="D231" s="61" t="str">
        <f>Segments!$D$211</f>
        <v>1.0-2.0</v>
      </c>
      <c r="E231" s="61" t="str">
        <f>Segments!$E$211</f>
        <v>Sophomore</v>
      </c>
      <c r="F231" s="61">
        <f>Segments!$F$211</f>
        <v>1</v>
      </c>
      <c r="G231" s="61" t="str">
        <f>Segments!$G$211</f>
        <v>Sophomore</v>
      </c>
      <c r="H231" s="62">
        <f>Segments!$H$211</f>
        <v>50</v>
      </c>
      <c r="I231" s="63">
        <f>Segments!$Y$211</f>
        <v>1259.7721605289635</v>
      </c>
      <c r="J231" s="42">
        <v>1</v>
      </c>
      <c r="K231" s="40">
        <f t="shared" si="117"/>
        <v>1426.2297754450396</v>
      </c>
      <c r="L231" s="40">
        <f t="shared" si="118"/>
        <v>1259.7721605289635</v>
      </c>
      <c r="M231" s="40">
        <f t="shared" si="119"/>
        <v>2090.1544110852928</v>
      </c>
      <c r="N231" s="40">
        <f t="shared" si="120"/>
        <v>1726.5689839585432</v>
      </c>
      <c r="O231" s="40">
        <f t="shared" si="121"/>
        <v>1782.7872193062994</v>
      </c>
      <c r="P231" s="41">
        <f t="shared" si="122"/>
        <v>0.75871966719254291</v>
      </c>
      <c r="Q231" s="41">
        <f t="shared" si="123"/>
        <v>0.24470868800934054</v>
      </c>
      <c r="R231" s="64">
        <f t="shared" si="124"/>
        <v>42.488301362782401</v>
      </c>
      <c r="S231" s="64">
        <f>APPLICANTS_PER_YEAR*($H231/Segments!$AH$2)*Q231</f>
        <v>14.682521280560433</v>
      </c>
      <c r="T231" s="64">
        <f t="shared" si="125"/>
        <v>57.170822643342831</v>
      </c>
      <c r="U231" s="40">
        <f t="shared" si="126"/>
        <v>1861.7247809082171</v>
      </c>
      <c r="V231" s="65">
        <f t="shared" si="127"/>
        <v>106436.33726001997</v>
      </c>
      <c r="W231" s="65">
        <f t="shared" si="128"/>
        <v>80664.876051896848</v>
      </c>
      <c r="X231" s="65">
        <f t="shared" si="129"/>
        <v>22701.05300873924</v>
      </c>
      <c r="Y231" s="40">
        <f t="shared" si="130"/>
        <v>2111.209436701452</v>
      </c>
      <c r="Z231" s="40">
        <f t="shared" si="131"/>
        <v>1297.5653253448324</v>
      </c>
      <c r="AA231" s="40">
        <f t="shared" si="132"/>
        <v>2151.6090434178518</v>
      </c>
      <c r="AB231" s="40">
        <f t="shared" si="133"/>
        <v>1777.8496981816375</v>
      </c>
      <c r="AC231" s="40">
        <f t="shared" si="134"/>
        <v>2151.6090434178518</v>
      </c>
      <c r="AD231" s="41">
        <f t="shared" si="135"/>
        <v>0.73914370725847633</v>
      </c>
      <c r="AE231" s="41">
        <f t="shared" si="136"/>
        <v>0.24488443662631021</v>
      </c>
      <c r="AF231" s="64">
        <f t="shared" si="137"/>
        <v>12.003742509654478</v>
      </c>
      <c r="AG231" s="64">
        <f>APPLICANTS_PER_YEAR*($H231/Segments!$AH$2)*AE231</f>
        <v>14.693066197578613</v>
      </c>
      <c r="AH231" s="64">
        <f t="shared" si="138"/>
        <v>26.696808707233089</v>
      </c>
      <c r="AI231" s="40">
        <f t="shared" si="139"/>
        <v>2151.6090434178523</v>
      </c>
      <c r="AJ231" s="65">
        <f t="shared" si="140"/>
        <v>57441.09504487917</v>
      </c>
      <c r="AK231" s="65">
        <f t="shared" si="141"/>
        <v>38797.755668974023</v>
      </c>
      <c r="AL231" s="65">
        <f t="shared" si="142"/>
        <v>12864.110486284944</v>
      </c>
      <c r="AM231" s="40">
        <f t="shared" si="143"/>
        <v>2173.295719802496</v>
      </c>
      <c r="AN231" s="40">
        <f t="shared" si="144"/>
        <v>1336.4922851051772</v>
      </c>
      <c r="AO231" s="40">
        <f t="shared" si="145"/>
        <v>2214.9073147203871</v>
      </c>
      <c r="AP231" s="40">
        <f t="shared" si="146"/>
        <v>1830.6686860045002</v>
      </c>
      <c r="AQ231" s="40">
        <f t="shared" si="147"/>
        <v>2214.9073147203871</v>
      </c>
      <c r="AR231" s="41">
        <f t="shared" si="148"/>
        <v>0.73931108397611978</v>
      </c>
      <c r="AS231" s="41">
        <f t="shared" si="149"/>
        <v>0.24505511520096468</v>
      </c>
      <c r="AT231" s="64">
        <f t="shared" si="150"/>
        <v>12.015148548368597</v>
      </c>
      <c r="AU231" s="64">
        <f>APPLICANTS_PER_YEAR*($H231/Segments!$AH$2)*AS231</f>
        <v>14.703306912057881</v>
      </c>
      <c r="AV231" s="64">
        <f t="shared" si="151"/>
        <v>26.718455460426476</v>
      </c>
      <c r="AW231" s="40">
        <f t="shared" si="152"/>
        <v>2214.9073147203876</v>
      </c>
      <c r="AX231" s="65">
        <f t="shared" si="153"/>
        <v>59178.902437329481</v>
      </c>
      <c r="AY231" s="65">
        <f t="shared" si="154"/>
        <v>39994.090743920635</v>
      </c>
      <c r="AZ231" s="65">
        <f t="shared" si="155"/>
        <v>13226.590513718604</v>
      </c>
    </row>
    <row r="232" spans="1:52" ht="15" customHeight="1" x14ac:dyDescent="0.35">
      <c r="A232" s="61" t="str">
        <f>Segments!$A$212</f>
        <v>Greek</v>
      </c>
      <c r="B232" s="61" t="str">
        <f>Segments!$B$212</f>
        <v>On campus</v>
      </c>
      <c r="C232" s="61" t="str">
        <f>Segments!$C$212</f>
        <v>Yes</v>
      </c>
      <c r="D232" s="61" t="str">
        <f>Segments!$D$212</f>
        <v>1.0-2.0</v>
      </c>
      <c r="E232" s="61" t="str">
        <f>Segments!$E$212</f>
        <v>Junior</v>
      </c>
      <c r="F232" s="61">
        <f>Segments!$F$212</f>
        <v>2</v>
      </c>
      <c r="G232" s="61" t="str">
        <f>Segments!$G$212</f>
        <v>Base</v>
      </c>
      <c r="H232" s="62">
        <f>Segments!$H$212</f>
        <v>49</v>
      </c>
      <c r="I232" s="63">
        <f>Segments!$Y$212</f>
        <v>1505.96392096562</v>
      </c>
      <c r="J232" s="42">
        <v>2</v>
      </c>
      <c r="K232" s="40">
        <f t="shared" si="117"/>
        <v>1426.2297754450396</v>
      </c>
      <c r="L232" s="40">
        <f t="shared" si="118"/>
        <v>1505.96392096562</v>
      </c>
      <c r="M232" s="40">
        <f t="shared" si="119"/>
        <v>2490.4814065791279</v>
      </c>
      <c r="N232" s="40">
        <f t="shared" si="120"/>
        <v>1884.6747032990588</v>
      </c>
      <c r="O232" s="40">
        <f t="shared" si="121"/>
        <v>1782.7872193062994</v>
      </c>
      <c r="P232" s="41">
        <f t="shared" si="122"/>
        <v>0.80203052251256124</v>
      </c>
      <c r="Q232" s="41">
        <f t="shared" si="123"/>
        <v>0.18928083127034467</v>
      </c>
      <c r="R232" s="64">
        <f t="shared" si="124"/>
        <v>40.101526125628062</v>
      </c>
      <c r="S232" s="64">
        <f>APPLICANTS_PER_YEAR*($H232/Segments!$AH$2)*Q232</f>
        <v>11.129712878696266</v>
      </c>
      <c r="T232" s="64">
        <f t="shared" si="125"/>
        <v>51.23123900432433</v>
      </c>
      <c r="U232" s="40">
        <f t="shared" si="126"/>
        <v>1936.5299993628983</v>
      </c>
      <c r="V232" s="65">
        <f t="shared" si="127"/>
        <v>99210.831236404687</v>
      </c>
      <c r="W232" s="65">
        <f t="shared" si="128"/>
        <v>86410.685274904565</v>
      </c>
      <c r="X232" s="65">
        <f t="shared" si="129"/>
        <v>21023.856710207885</v>
      </c>
      <c r="Y232" s="40">
        <f t="shared" si="130"/>
        <v>1861.7247809082171</v>
      </c>
      <c r="Z232" s="40">
        <f t="shared" si="131"/>
        <v>1551.1428385945887</v>
      </c>
      <c r="AA232" s="40">
        <f t="shared" si="132"/>
        <v>2563.9458487765023</v>
      </c>
      <c r="AB232" s="40">
        <f t="shared" si="133"/>
        <v>1940.7419172879129</v>
      </c>
      <c r="AC232" s="40">
        <f t="shared" si="134"/>
        <v>2327.1559761352714</v>
      </c>
      <c r="AD232" s="41">
        <f t="shared" si="135"/>
        <v>0.67544682000083966</v>
      </c>
      <c r="AE232" s="41">
        <f t="shared" si="136"/>
        <v>0.18944183254425584</v>
      </c>
      <c r="AF232" s="64">
        <f t="shared" si="137"/>
        <v>38.615850351277913</v>
      </c>
      <c r="AG232" s="64">
        <f>APPLICANTS_PER_YEAR*($H232/Segments!$AH$2)*AE232</f>
        <v>11.139179753602242</v>
      </c>
      <c r="AH232" s="64">
        <f t="shared" si="138"/>
        <v>49.755030104880156</v>
      </c>
      <c r="AI232" s="40">
        <f t="shared" si="139"/>
        <v>2380.1686052025893</v>
      </c>
      <c r="AJ232" s="65">
        <f t="shared" si="140"/>
        <v>118425.36060654545</v>
      </c>
      <c r="AK232" s="65">
        <f t="shared" si="141"/>
        <v>86438.417666992202</v>
      </c>
      <c r="AL232" s="65">
        <f t="shared" si="142"/>
        <v>24655.582129655581</v>
      </c>
      <c r="AM232" s="40">
        <f t="shared" si="143"/>
        <v>2151.6090434178523</v>
      </c>
      <c r="AN232" s="40">
        <f t="shared" si="144"/>
        <v>1597.6771237524263</v>
      </c>
      <c r="AO232" s="40">
        <f t="shared" si="145"/>
        <v>2639.6142242397973</v>
      </c>
      <c r="AP232" s="40">
        <f t="shared" si="146"/>
        <v>1998.4910340552124</v>
      </c>
      <c r="AQ232" s="40">
        <f t="shared" si="147"/>
        <v>2639.6142242397973</v>
      </c>
      <c r="AR232" s="41">
        <f t="shared" si="148"/>
        <v>0.62155535857651156</v>
      </c>
      <c r="AS232" s="41">
        <f t="shared" si="149"/>
        <v>0.18959818201344192</v>
      </c>
      <c r="AT232" s="64">
        <f t="shared" si="150"/>
        <v>16.5935445088728</v>
      </c>
      <c r="AU232" s="64">
        <f>APPLICANTS_PER_YEAR*($H232/Segments!$AH$2)*AS232</f>
        <v>11.148373102390384</v>
      </c>
      <c r="AV232" s="64">
        <f t="shared" si="151"/>
        <v>27.741917611263183</v>
      </c>
      <c r="AW232" s="40">
        <f t="shared" si="152"/>
        <v>2639.6142242397973</v>
      </c>
      <c r="AX232" s="65">
        <f t="shared" si="153"/>
        <v>73227.960334378833</v>
      </c>
      <c r="AY232" s="65">
        <f t="shared" si="154"/>
        <v>49641.342392924511</v>
      </c>
      <c r="AZ232" s="65">
        <f t="shared" si="155"/>
        <v>15703.591330619694</v>
      </c>
    </row>
    <row r="233" spans="1:52" ht="15" customHeight="1" x14ac:dyDescent="0.35">
      <c r="A233" s="61" t="str">
        <f>Segments!$A$213</f>
        <v>Greek</v>
      </c>
      <c r="B233" s="61" t="str">
        <f>Segments!$B$213</f>
        <v>On campus</v>
      </c>
      <c r="C233" s="61" t="str">
        <f>Segments!$C$213</f>
        <v>Yes</v>
      </c>
      <c r="D233" s="61" t="str">
        <f>Segments!$D$213</f>
        <v>1.0-2.0</v>
      </c>
      <c r="E233" s="61" t="str">
        <f>Segments!$E$213</f>
        <v>Senior</v>
      </c>
      <c r="F233" s="61">
        <f>Segments!$F$213</f>
        <v>3</v>
      </c>
      <c r="G233" s="61" t="str">
        <f>Segments!$G$213</f>
        <v>Base</v>
      </c>
      <c r="H233" s="62">
        <f>Segments!$H$213</f>
        <v>47</v>
      </c>
      <c r="I233" s="63">
        <f>Segments!$Y$213</f>
        <v>1407.6055867933728</v>
      </c>
      <c r="J233" s="42">
        <v>3</v>
      </c>
      <c r="K233" s="40">
        <f t="shared" si="117"/>
        <v>1426.2297754450396</v>
      </c>
      <c r="L233" s="40">
        <f t="shared" si="118"/>
        <v>1407.6055867933728</v>
      </c>
      <c r="M233" s="40">
        <f t="shared" si="119"/>
        <v>2330.5430872336055</v>
      </c>
      <c r="N233" s="40">
        <f t="shared" si="120"/>
        <v>1823.1538453926962</v>
      </c>
      <c r="O233" s="40">
        <f t="shared" si="121"/>
        <v>1782.7872193062994</v>
      </c>
      <c r="P233" s="41">
        <f t="shared" si="122"/>
        <v>0.78607054848618718</v>
      </c>
      <c r="Q233" s="41">
        <f t="shared" si="123"/>
        <v>0.21084848431109204</v>
      </c>
      <c r="R233" s="64">
        <f t="shared" si="124"/>
        <v>38.517456875823171</v>
      </c>
      <c r="S233" s="64">
        <f>APPLICANTS_PER_YEAR*($H233/Segments!$AH$2)*Q233</f>
        <v>11.891854515145592</v>
      </c>
      <c r="T233" s="64">
        <f t="shared" si="125"/>
        <v>50.409311390968767</v>
      </c>
      <c r="U233" s="40">
        <f t="shared" si="126"/>
        <v>1912.0060662111557</v>
      </c>
      <c r="V233" s="65">
        <f t="shared" si="127"/>
        <v>96382.909173059394</v>
      </c>
      <c r="W233" s="65">
        <f t="shared" si="128"/>
        <v>79471.199741174583</v>
      </c>
      <c r="X233" s="65">
        <f t="shared" si="129"/>
        <v>20491.85920111935</v>
      </c>
      <c r="Y233" s="40">
        <f t="shared" si="130"/>
        <v>1936.5299993628983</v>
      </c>
      <c r="Z233" s="40">
        <f t="shared" si="131"/>
        <v>1449.8337543971741</v>
      </c>
      <c r="AA233" s="40">
        <f t="shared" si="132"/>
        <v>2399.2093798506139</v>
      </c>
      <c r="AB233" s="40">
        <f t="shared" si="133"/>
        <v>1877.3594676358796</v>
      </c>
      <c r="AC233" s="40">
        <f t="shared" si="134"/>
        <v>2399.2093798506139</v>
      </c>
      <c r="AD233" s="41">
        <f t="shared" si="135"/>
        <v>0.63933835701829378</v>
      </c>
      <c r="AE233" s="41">
        <f t="shared" si="136"/>
        <v>0.21101491983528087</v>
      </c>
      <c r="AF233" s="64">
        <f t="shared" si="137"/>
        <v>32.754096173036245</v>
      </c>
      <c r="AG233" s="64">
        <f>APPLICANTS_PER_YEAR*($H233/Segments!$AH$2)*AE233</f>
        <v>11.901241478709842</v>
      </c>
      <c r="AH233" s="64">
        <f t="shared" si="138"/>
        <v>44.655337651746088</v>
      </c>
      <c r="AI233" s="40">
        <f t="shared" si="139"/>
        <v>2399.2093798506139</v>
      </c>
      <c r="AJ233" s="65">
        <f t="shared" si="140"/>
        <v>107137.5049544655</v>
      </c>
      <c r="AK233" s="65">
        <f t="shared" si="141"/>
        <v>72511.953742485071</v>
      </c>
      <c r="AL233" s="65">
        <f t="shared" si="142"/>
        <v>22439.001182962224</v>
      </c>
      <c r="AM233" s="40">
        <f t="shared" si="143"/>
        <v>2380.1686052025893</v>
      </c>
      <c r="AN233" s="40">
        <f t="shared" si="144"/>
        <v>1493.3287670290892</v>
      </c>
      <c r="AO233" s="40">
        <f t="shared" si="145"/>
        <v>2469.9356612461324</v>
      </c>
      <c r="AP233" s="40">
        <f t="shared" si="146"/>
        <v>1933.1911330021369</v>
      </c>
      <c r="AQ233" s="40">
        <f t="shared" si="147"/>
        <v>2469.9356612461324</v>
      </c>
      <c r="AR233" s="41">
        <f t="shared" si="148"/>
        <v>0.69986217561618169</v>
      </c>
      <c r="AS233" s="41">
        <f t="shared" si="149"/>
        <v>0.21117654920895956</v>
      </c>
      <c r="AT233" s="64">
        <f t="shared" si="150"/>
        <v>34.821663617050042</v>
      </c>
      <c r="AU233" s="64">
        <f>APPLICANTS_PER_YEAR*($H233/Segments!$AH$2)*AS233</f>
        <v>11.91035737538532</v>
      </c>
      <c r="AV233" s="64">
        <f t="shared" si="151"/>
        <v>46.732020992435366</v>
      </c>
      <c r="AW233" s="40">
        <f t="shared" si="152"/>
        <v>2469.935661246132</v>
      </c>
      <c r="AX233" s="65">
        <f t="shared" si="153"/>
        <v>115425.08517131898</v>
      </c>
      <c r="AY233" s="65">
        <f t="shared" si="154"/>
        <v>78160.62384414034</v>
      </c>
      <c r="AZ233" s="65">
        <f t="shared" si="155"/>
        <v>24077.364026300384</v>
      </c>
    </row>
    <row r="234" spans="1:52" ht="15" customHeight="1" x14ac:dyDescent="0.35">
      <c r="A234" s="61" t="str">
        <f>Segments!$A$214</f>
        <v>Greek</v>
      </c>
      <c r="B234" s="61" t="str">
        <f>Segments!$B$214</f>
        <v>On campus</v>
      </c>
      <c r="C234" s="61" t="str">
        <f>Segments!$C$214</f>
        <v>Yes</v>
      </c>
      <c r="D234" s="61" t="str">
        <f>Segments!$D$214</f>
        <v>1.0-2.0</v>
      </c>
      <c r="E234" s="61" t="str">
        <f>Segments!$E$214</f>
        <v>Grad student</v>
      </c>
      <c r="F234" s="61">
        <f>Segments!$F$214</f>
        <v>3</v>
      </c>
      <c r="G234" s="61" t="str">
        <f>Segments!$G$214</f>
        <v>Grad</v>
      </c>
      <c r="H234" s="62">
        <f>Segments!$H$214</f>
        <v>18</v>
      </c>
      <c r="I234" s="63">
        <f>Segments!$Y$214</f>
        <v>1676.0084210972461</v>
      </c>
      <c r="J234" s="42">
        <v>4</v>
      </c>
      <c r="K234" s="40">
        <f t="shared" si="117"/>
        <v>1426.2297754450396</v>
      </c>
      <c r="L234" s="40">
        <f t="shared" si="118"/>
        <v>1676.0084210972461</v>
      </c>
      <c r="M234" s="40">
        <f t="shared" si="119"/>
        <v>2766.9870204031122</v>
      </c>
      <c r="N234" s="40">
        <f t="shared" si="120"/>
        <v>1986.5445569553353</v>
      </c>
      <c r="O234" s="40">
        <f t="shared" si="121"/>
        <v>1782.7872193062994</v>
      </c>
      <c r="P234" s="41">
        <f t="shared" si="122"/>
        <v>0.8262843613136277</v>
      </c>
      <c r="Q234" s="41">
        <f t="shared" si="123"/>
        <v>0.15356784328967754</v>
      </c>
      <c r="R234" s="64">
        <f t="shared" si="124"/>
        <v>7.4365592518226489</v>
      </c>
      <c r="S234" s="64">
        <f>APPLICANTS_PER_YEAR*($H234/Segments!$AH$2)*Q234</f>
        <v>3.3170654150570344</v>
      </c>
      <c r="T234" s="64">
        <f t="shared" si="125"/>
        <v>10.753624666879684</v>
      </c>
      <c r="U234" s="40">
        <f t="shared" si="126"/>
        <v>2086.3737050592499</v>
      </c>
      <c r="V234" s="65">
        <f t="shared" si="127"/>
        <v>22436.079739054308</v>
      </c>
      <c r="W234" s="65">
        <f t="shared" si="128"/>
        <v>20185.945358890549</v>
      </c>
      <c r="X234" s="65">
        <f t="shared" si="129"/>
        <v>4859.6578926204656</v>
      </c>
      <c r="Y234" s="40">
        <f t="shared" si="130"/>
        <v>2086.3737050592499</v>
      </c>
      <c r="Z234" s="40">
        <f t="shared" si="131"/>
        <v>1726.2886737301635</v>
      </c>
      <c r="AA234" s="40">
        <f t="shared" si="132"/>
        <v>2848.7466310152054</v>
      </c>
      <c r="AB234" s="40">
        <f t="shared" si="133"/>
        <v>2045.6921288131819</v>
      </c>
      <c r="AC234" s="40">
        <f t="shared" si="134"/>
        <v>2607.9671313240624</v>
      </c>
      <c r="AD234" s="41">
        <f t="shared" si="135"/>
        <v>0.63757096202518826</v>
      </c>
      <c r="AE234" s="41">
        <f t="shared" si="136"/>
        <v>0.15372058657039478</v>
      </c>
      <c r="AF234" s="64">
        <f t="shared" si="137"/>
        <v>3.4280994120601376</v>
      </c>
      <c r="AG234" s="64">
        <f>APPLICANTS_PER_YEAR*($H234/Segments!$AH$2)*AE234</f>
        <v>3.3203646699205267</v>
      </c>
      <c r="AH234" s="64">
        <f t="shared" si="138"/>
        <v>6.7484640819806643</v>
      </c>
      <c r="AI234" s="40">
        <f t="shared" si="139"/>
        <v>2726.4349388582723</v>
      </c>
      <c r="AJ234" s="65">
        <f t="shared" si="140"/>
        <v>18399.248256742198</v>
      </c>
      <c r="AK234" s="65">
        <f t="shared" si="141"/>
        <v>13047.772762973813</v>
      </c>
      <c r="AL234" s="65">
        <f t="shared" si="142"/>
        <v>4026.4970372631319</v>
      </c>
      <c r="AM234" s="40">
        <f t="shared" si="143"/>
        <v>2726.4349388582723</v>
      </c>
      <c r="AN234" s="40">
        <f t="shared" si="144"/>
        <v>1778.0773339420684</v>
      </c>
      <c r="AO234" s="40">
        <f t="shared" si="145"/>
        <v>2932.9590299456618</v>
      </c>
      <c r="AP234" s="40">
        <f t="shared" si="146"/>
        <v>2106.6140307939277</v>
      </c>
      <c r="AQ234" s="40">
        <f t="shared" si="147"/>
        <v>2932.9590299456618</v>
      </c>
      <c r="AR234" s="41">
        <f t="shared" si="148"/>
        <v>0.63114428230406072</v>
      </c>
      <c r="AS234" s="41">
        <f t="shared" si="149"/>
        <v>0.15386891308221606</v>
      </c>
      <c r="AT234" s="64">
        <f t="shared" si="150"/>
        <v>2.1296272598382093</v>
      </c>
      <c r="AU234" s="64">
        <f>APPLICANTS_PER_YEAR*($H234/Segments!$AH$2)*AS234</f>
        <v>3.3235685225758664</v>
      </c>
      <c r="AV234" s="64">
        <f t="shared" si="151"/>
        <v>5.4531957824140758</v>
      </c>
      <c r="AW234" s="40">
        <f t="shared" si="152"/>
        <v>2932.9590299456618</v>
      </c>
      <c r="AX234" s="65">
        <f t="shared" si="153"/>
        <v>15993.999812092961</v>
      </c>
      <c r="AY234" s="65">
        <f t="shared" si="154"/>
        <v>10859.748276450027</v>
      </c>
      <c r="AZ234" s="65">
        <f t="shared" si="155"/>
        <v>3556.1952540458697</v>
      </c>
    </row>
    <row r="235" spans="1:52" ht="15" customHeight="1" x14ac:dyDescent="0.35">
      <c r="A235" s="59" t="str">
        <f>Segments!$A$215</f>
        <v>Greek</v>
      </c>
      <c r="B235" s="59" t="str">
        <f>Segments!$B$215</f>
        <v>On campus</v>
      </c>
      <c r="C235" s="59" t="str">
        <f>Segments!$C$215</f>
        <v>Yes</v>
      </c>
      <c r="D235" s="59" t="str">
        <f>Segments!$D$215</f>
        <v>2.0-3.0</v>
      </c>
      <c r="E235" s="59" t="str">
        <f>Segments!$E$215</f>
        <v>Freshman</v>
      </c>
      <c r="F235" s="59">
        <f>Segments!$F$215</f>
        <v>1</v>
      </c>
      <c r="G235" s="59" t="str">
        <f>Segments!$G$215</f>
        <v>Base</v>
      </c>
      <c r="H235" s="60">
        <f>Segments!$H$215</f>
        <v>88</v>
      </c>
      <c r="I235" s="26">
        <f>Segments!$Y$215</f>
        <v>1250.6766337657414</v>
      </c>
      <c r="J235" s="29">
        <v>0</v>
      </c>
      <c r="K235" s="14">
        <f t="shared" si="117"/>
        <v>2075.3643754841978</v>
      </c>
      <c r="L235" s="14">
        <f t="shared" si="118"/>
        <v>1250.6766337657414</v>
      </c>
      <c r="M235" s="14">
        <f t="shared" si="119"/>
        <v>2075.3643754841978</v>
      </c>
      <c r="N235" s="14">
        <f t="shared" si="120"/>
        <v>1720.4494956881074</v>
      </c>
      <c r="O235" s="14">
        <f t="shared" si="121"/>
        <v>2075.3643754841978</v>
      </c>
      <c r="P235" s="33">
        <f t="shared" si="122"/>
        <v>0.74685402544927959</v>
      </c>
      <c r="Q235" s="33">
        <f t="shared" si="123"/>
        <v>0.24685402544927959</v>
      </c>
      <c r="R235" s="51">
        <f t="shared" si="124"/>
        <v>0</v>
      </c>
      <c r="S235" s="51">
        <f>APPLICANTS_PER_YEAR*($H235/Segments!$AH$2)*Q235</f>
        <v>26.067785087443927</v>
      </c>
      <c r="T235" s="51">
        <f t="shared" si="125"/>
        <v>26.067785087443927</v>
      </c>
      <c r="U235" s="14">
        <f t="shared" si="126"/>
        <v>2075.3643754841978</v>
      </c>
      <c r="V235" s="44">
        <f t="shared" si="127"/>
        <v>54100.152518259347</v>
      </c>
      <c r="W235" s="44">
        <f t="shared" si="128"/>
        <v>36514.65406724035</v>
      </c>
      <c r="X235" s="44">
        <f t="shared" si="129"/>
        <v>13291.484493025071</v>
      </c>
      <c r="Y235" s="14">
        <f t="shared" si="130"/>
        <v>2136.3753067487237</v>
      </c>
      <c r="Z235" s="14">
        <f t="shared" si="131"/>
        <v>1288.1969327787137</v>
      </c>
      <c r="AA235" s="14">
        <f t="shared" si="132"/>
        <v>2136.3753067487237</v>
      </c>
      <c r="AB235" s="14">
        <f t="shared" si="133"/>
        <v>1771.5447880962186</v>
      </c>
      <c r="AC235" s="14">
        <f t="shared" si="134"/>
        <v>2136.3753067487237</v>
      </c>
      <c r="AD235" s="33">
        <f t="shared" si="135"/>
        <v>0.74703039937122662</v>
      </c>
      <c r="AE235" s="33">
        <f t="shared" si="136"/>
        <v>0.24703039937122662</v>
      </c>
      <c r="AF235" s="51">
        <f t="shared" si="137"/>
        <v>0</v>
      </c>
      <c r="AG235" s="51">
        <f>APPLICANTS_PER_YEAR*($H235/Segments!$AH$2)*AE235</f>
        <v>26.086410173601532</v>
      </c>
      <c r="AH235" s="51">
        <f t="shared" si="138"/>
        <v>26.086410173601532</v>
      </c>
      <c r="AI235" s="14">
        <f t="shared" si="139"/>
        <v>2136.3753067487237</v>
      </c>
      <c r="AJ235" s="44">
        <f t="shared" si="140"/>
        <v>55730.362536601002</v>
      </c>
      <c r="AK235" s="44">
        <f t="shared" si="141"/>
        <v>37636.96560158184</v>
      </c>
      <c r="AL235" s="44">
        <f t="shared" si="142"/>
        <v>13657.489666010693</v>
      </c>
      <c r="AM235" s="14">
        <f t="shared" si="143"/>
        <v>2199.2165659511852</v>
      </c>
      <c r="AN235" s="14">
        <f t="shared" si="144"/>
        <v>1326.842840762075</v>
      </c>
      <c r="AO235" s="14">
        <f t="shared" si="145"/>
        <v>2199.2165659511852</v>
      </c>
      <c r="AP235" s="14">
        <f t="shared" si="146"/>
        <v>1824.17278986569</v>
      </c>
      <c r="AQ235" s="14">
        <f t="shared" si="147"/>
        <v>2199.2165659511852</v>
      </c>
      <c r="AR235" s="33">
        <f t="shared" si="148"/>
        <v>0.74720168556151167</v>
      </c>
      <c r="AS235" s="33">
        <f t="shared" si="149"/>
        <v>0.24720168556151167</v>
      </c>
      <c r="AT235" s="51">
        <f t="shared" si="150"/>
        <v>0</v>
      </c>
      <c r="AU235" s="51">
        <f>APPLICANTS_PER_YEAR*($H235/Segments!$AH$2)*AS235</f>
        <v>26.104497995295635</v>
      </c>
      <c r="AV235" s="51">
        <f t="shared" si="151"/>
        <v>26.104497995295635</v>
      </c>
      <c r="AW235" s="14">
        <f t="shared" si="152"/>
        <v>2199.2165659511852</v>
      </c>
      <c r="AX235" s="44">
        <f t="shared" si="153"/>
        <v>57409.444437093662</v>
      </c>
      <c r="AY235" s="44">
        <f t="shared" si="154"/>
        <v>38792.954229955467</v>
      </c>
      <c r="AZ235" s="44">
        <f t="shared" si="155"/>
        <v>14034.417963697282</v>
      </c>
    </row>
    <row r="236" spans="1:52" ht="15" customHeight="1" x14ac:dyDescent="0.35">
      <c r="A236" s="59" t="str">
        <f>Segments!$A$216</f>
        <v>Greek</v>
      </c>
      <c r="B236" s="59" t="str">
        <f>Segments!$B$216</f>
        <v>On campus</v>
      </c>
      <c r="C236" s="59" t="str">
        <f>Segments!$C$216</f>
        <v>Yes</v>
      </c>
      <c r="D236" s="59" t="str">
        <f>Segments!$D$216</f>
        <v>2.0-3.0</v>
      </c>
      <c r="E236" s="59" t="str">
        <f>Segments!$E$216</f>
        <v>Sophomore</v>
      </c>
      <c r="F236" s="59">
        <f>Segments!$F$216</f>
        <v>1</v>
      </c>
      <c r="G236" s="59" t="str">
        <f>Segments!$G$216</f>
        <v>Sophomore</v>
      </c>
      <c r="H236" s="60">
        <f>Segments!$H$216</f>
        <v>86</v>
      </c>
      <c r="I236" s="26">
        <f>Segments!$Y$216</f>
        <v>1237.9525533829876</v>
      </c>
      <c r="J236" s="29">
        <v>1</v>
      </c>
      <c r="K236" s="14">
        <f t="shared" si="117"/>
        <v>1426.2297754450396</v>
      </c>
      <c r="L236" s="14">
        <f t="shared" si="118"/>
        <v>1237.9525533829876</v>
      </c>
      <c r="M236" s="14">
        <f t="shared" si="119"/>
        <v>2054.6740288169685</v>
      </c>
      <c r="N236" s="14">
        <f t="shared" si="120"/>
        <v>1711.8520025786049</v>
      </c>
      <c r="O236" s="14">
        <f t="shared" si="121"/>
        <v>1782.7872193062994</v>
      </c>
      <c r="P236" s="33">
        <f t="shared" si="122"/>
        <v>0.75428114795530132</v>
      </c>
      <c r="Q236" s="33">
        <f t="shared" si="123"/>
        <v>0.2498680885608211</v>
      </c>
      <c r="R236" s="51">
        <f t="shared" si="124"/>
        <v>66.376741020066518</v>
      </c>
      <c r="S236" s="51">
        <f>APPLICANTS_PER_YEAR*($H236/Segments!$AH$2)*Q236</f>
        <v>25.78638673947674</v>
      </c>
      <c r="T236" s="51">
        <f t="shared" si="125"/>
        <v>92.163127759543258</v>
      </c>
      <c r="U236" s="14">
        <f t="shared" si="126"/>
        <v>1858.8586221529611</v>
      </c>
      <c r="V236" s="44">
        <f t="shared" si="127"/>
        <v>171318.22468041189</v>
      </c>
      <c r="W236" s="44">
        <f t="shared" si="128"/>
        <v>127784.80885821178</v>
      </c>
      <c r="X236" s="44">
        <f t="shared" si="129"/>
        <v>36721.45835784779</v>
      </c>
      <c r="Y236" s="14">
        <f t="shared" si="130"/>
        <v>2075.3643754841978</v>
      </c>
      <c r="Z236" s="14">
        <f t="shared" si="131"/>
        <v>1275.0911299844772</v>
      </c>
      <c r="AA236" s="14">
        <f t="shared" si="132"/>
        <v>2115.0642496814776</v>
      </c>
      <c r="AB236" s="14">
        <f t="shared" si="133"/>
        <v>1762.686766890617</v>
      </c>
      <c r="AC236" s="14">
        <f t="shared" si="134"/>
        <v>2115.0642496814776</v>
      </c>
      <c r="AD236" s="33">
        <f t="shared" si="135"/>
        <v>0.74430661544153953</v>
      </c>
      <c r="AE236" s="33">
        <f t="shared" si="136"/>
        <v>0.25004534855263727</v>
      </c>
      <c r="AF236" s="51">
        <f t="shared" si="137"/>
        <v>19.402424890492824</v>
      </c>
      <c r="AG236" s="51">
        <f>APPLICANTS_PER_YEAR*($H236/Segments!$AH$2)*AE236</f>
        <v>25.804679970632169</v>
      </c>
      <c r="AH236" s="51">
        <f t="shared" si="138"/>
        <v>45.207104861124989</v>
      </c>
      <c r="AI236" s="14">
        <f t="shared" si="139"/>
        <v>2115.064249681478</v>
      </c>
      <c r="AJ236" s="44">
        <f t="shared" si="140"/>
        <v>95615.931323367215</v>
      </c>
      <c r="AK236" s="44">
        <f t="shared" si="141"/>
        <v>64560.359831182453</v>
      </c>
      <c r="AL236" s="44">
        <f t="shared" si="142"/>
        <v>21530.919579417157</v>
      </c>
      <c r="AM236" s="14">
        <f t="shared" si="143"/>
        <v>2136.3753067487237</v>
      </c>
      <c r="AN236" s="14">
        <f t="shared" si="144"/>
        <v>1313.3438638840114</v>
      </c>
      <c r="AO236" s="14">
        <f t="shared" si="145"/>
        <v>2177.2661771719218</v>
      </c>
      <c r="AP236" s="14">
        <f t="shared" si="146"/>
        <v>1815.0464224572788</v>
      </c>
      <c r="AQ236" s="14">
        <f t="shared" si="147"/>
        <v>2177.2661771719218</v>
      </c>
      <c r="AR236" s="33">
        <f t="shared" si="148"/>
        <v>0.74447540489088437</v>
      </c>
      <c r="AS236" s="33">
        <f t="shared" si="149"/>
        <v>0.25021749575301322</v>
      </c>
      <c r="AT236" s="51">
        <f t="shared" si="150"/>
        <v>19.420690776141686</v>
      </c>
      <c r="AU236" s="51">
        <f>APPLICANTS_PER_YEAR*($H236/Segments!$AH$2)*AS236</f>
        <v>25.822445561710964</v>
      </c>
      <c r="AV236" s="51">
        <f t="shared" si="151"/>
        <v>45.243136337852647</v>
      </c>
      <c r="AW236" s="14">
        <f t="shared" si="152"/>
        <v>2177.2661771719218</v>
      </c>
      <c r="AX236" s="44">
        <f t="shared" si="153"/>
        <v>98506.350497584499</v>
      </c>
      <c r="AY236" s="44">
        <f t="shared" si="154"/>
        <v>66550.170951248903</v>
      </c>
      <c r="AZ236" s="44">
        <f t="shared" si="155"/>
        <v>22135.90591651147</v>
      </c>
    </row>
    <row r="237" spans="1:52" ht="15" customHeight="1" x14ac:dyDescent="0.35">
      <c r="A237" s="59" t="str">
        <f>Segments!$A$217</f>
        <v>Greek</v>
      </c>
      <c r="B237" s="59" t="str">
        <f>Segments!$B$217</f>
        <v>On campus</v>
      </c>
      <c r="C237" s="59" t="str">
        <f>Segments!$C$217</f>
        <v>Yes</v>
      </c>
      <c r="D237" s="59" t="str">
        <f>Segments!$D$217</f>
        <v>2.0-3.0</v>
      </c>
      <c r="E237" s="59" t="str">
        <f>Segments!$E$217</f>
        <v>Junior</v>
      </c>
      <c r="F237" s="59">
        <f>Segments!$F$217</f>
        <v>2</v>
      </c>
      <c r="G237" s="59" t="str">
        <f>Segments!$G$217</f>
        <v>Base</v>
      </c>
      <c r="H237" s="60">
        <f>Segments!$H$217</f>
        <v>83</v>
      </c>
      <c r="I237" s="26">
        <f>Segments!$Y$217</f>
        <v>1479.8802034800028</v>
      </c>
      <c r="J237" s="29">
        <v>2</v>
      </c>
      <c r="K237" s="14">
        <f t="shared" si="117"/>
        <v>1426.2297754450396</v>
      </c>
      <c r="L237" s="14">
        <f t="shared" si="118"/>
        <v>1479.8802034800028</v>
      </c>
      <c r="M237" s="14">
        <f t="shared" si="119"/>
        <v>2448.0672484699912</v>
      </c>
      <c r="N237" s="14">
        <f t="shared" si="120"/>
        <v>1868.5573049975512</v>
      </c>
      <c r="O237" s="14">
        <f t="shared" si="121"/>
        <v>1782.7872193062994</v>
      </c>
      <c r="P237" s="33">
        <f t="shared" si="122"/>
        <v>0.79795088447698537</v>
      </c>
      <c r="Q237" s="33">
        <f t="shared" si="123"/>
        <v>0.19493118248969099</v>
      </c>
      <c r="R237" s="51">
        <f t="shared" si="124"/>
        <v>68.623776065020735</v>
      </c>
      <c r="S237" s="51">
        <f>APPLICANTS_PER_YEAR*($H237/Segments!$AH$2)*Q237</f>
        <v>19.415145775973222</v>
      </c>
      <c r="T237" s="51">
        <f t="shared" si="125"/>
        <v>88.038921840993964</v>
      </c>
      <c r="U237" s="14">
        <f t="shared" si="126"/>
        <v>1929.5008373056785</v>
      </c>
      <c r="V237" s="44">
        <f t="shared" si="127"/>
        <v>169871.17340768705</v>
      </c>
      <c r="W237" s="44">
        <f t="shared" si="128"/>
        <v>145921.50447639544</v>
      </c>
      <c r="X237" s="44">
        <f t="shared" si="129"/>
        <v>36015.344242717125</v>
      </c>
      <c r="Y237" s="14">
        <f t="shared" si="130"/>
        <v>1858.8586221529611</v>
      </c>
      <c r="Z237" s="14">
        <f t="shared" si="131"/>
        <v>1524.2766095844029</v>
      </c>
      <c r="AA237" s="14">
        <f t="shared" si="132"/>
        <v>2520.2592659240909</v>
      </c>
      <c r="AB237" s="14">
        <f t="shared" si="133"/>
        <v>1924.1369158948285</v>
      </c>
      <c r="AC237" s="14">
        <f t="shared" si="134"/>
        <v>2323.5732776912014</v>
      </c>
      <c r="AD237" s="33">
        <f t="shared" si="135"/>
        <v>0.67120375803386811</v>
      </c>
      <c r="AE237" s="33">
        <f t="shared" si="136"/>
        <v>0.19509357283651685</v>
      </c>
      <c r="AF237" s="51">
        <f t="shared" si="137"/>
        <v>61.860237704360948</v>
      </c>
      <c r="AG237" s="51">
        <f>APPLICANTS_PER_YEAR*($H237/Segments!$AH$2)*AE237</f>
        <v>19.431319854517078</v>
      </c>
      <c r="AH237" s="51">
        <f t="shared" si="138"/>
        <v>81.291557558878026</v>
      </c>
      <c r="AI237" s="14">
        <f t="shared" si="139"/>
        <v>2370.5876105816365</v>
      </c>
      <c r="AJ237" s="44">
        <f t="shared" si="140"/>
        <v>192708.75919396023</v>
      </c>
      <c r="AK237" s="44">
        <f t="shared" si="141"/>
        <v>138780.11811292378</v>
      </c>
      <c r="AL237" s="44">
        <f t="shared" si="142"/>
        <v>40247.588372135819</v>
      </c>
      <c r="AM237" s="14">
        <f t="shared" si="143"/>
        <v>2115.064249681478</v>
      </c>
      <c r="AN237" s="14">
        <f t="shared" si="144"/>
        <v>1570.0049078719348</v>
      </c>
      <c r="AO237" s="14">
        <f t="shared" si="145"/>
        <v>2594.6170439018133</v>
      </c>
      <c r="AP237" s="14">
        <f t="shared" si="146"/>
        <v>1981.3837985102368</v>
      </c>
      <c r="AQ237" s="14">
        <f t="shared" si="147"/>
        <v>2594.6170439018133</v>
      </c>
      <c r="AR237" s="33">
        <f t="shared" si="148"/>
        <v>0.62723166526817331</v>
      </c>
      <c r="AS237" s="33">
        <f t="shared" si="149"/>
        <v>0.19525127190081637</v>
      </c>
      <c r="AT237" s="51">
        <f t="shared" si="150"/>
        <v>28.355327663996359</v>
      </c>
      <c r="AU237" s="51">
        <f>APPLICANTS_PER_YEAR*($H237/Segments!$AH$2)*AS237</f>
        <v>19.447026681321308</v>
      </c>
      <c r="AV237" s="51">
        <f t="shared" si="151"/>
        <v>47.802354345317667</v>
      </c>
      <c r="AW237" s="14">
        <f t="shared" si="152"/>
        <v>2594.6170439018138</v>
      </c>
      <c r="AX237" s="44">
        <f t="shared" si="153"/>
        <v>124028.80332299514</v>
      </c>
      <c r="AY237" s="44">
        <f t="shared" si="154"/>
        <v>84055.922641579906</v>
      </c>
      <c r="AZ237" s="44">
        <f t="shared" si="155"/>
        <v>26649.682122805403</v>
      </c>
    </row>
    <row r="238" spans="1:52" ht="15" customHeight="1" x14ac:dyDescent="0.35">
      <c r="A238" s="59" t="str">
        <f>Segments!$A$218</f>
        <v>Greek</v>
      </c>
      <c r="B238" s="59" t="str">
        <f>Segments!$B$218</f>
        <v>On campus</v>
      </c>
      <c r="C238" s="59" t="str">
        <f>Segments!$C$218</f>
        <v>Yes</v>
      </c>
      <c r="D238" s="59" t="str">
        <f>Segments!$D$218</f>
        <v>2.0-3.0</v>
      </c>
      <c r="E238" s="59" t="str">
        <f>Segments!$E$218</f>
        <v>Senior</v>
      </c>
      <c r="F238" s="59">
        <f>Segments!$F$218</f>
        <v>3</v>
      </c>
      <c r="G238" s="59" t="str">
        <f>Segments!$G$218</f>
        <v>Base</v>
      </c>
      <c r="H238" s="60">
        <f>Segments!$H$218</f>
        <v>102</v>
      </c>
      <c r="I238" s="26">
        <f>Segments!$Y$218</f>
        <v>1383.2254632419715</v>
      </c>
      <c r="J238" s="29">
        <v>3</v>
      </c>
      <c r="K238" s="14">
        <f t="shared" si="117"/>
        <v>1426.2297754450396</v>
      </c>
      <c r="L238" s="14">
        <f t="shared" si="118"/>
        <v>1383.2254632419715</v>
      </c>
      <c r="M238" s="14">
        <f t="shared" si="119"/>
        <v>2290.8991056730929</v>
      </c>
      <c r="N238" s="14">
        <f t="shared" si="120"/>
        <v>1807.580846615547</v>
      </c>
      <c r="O238" s="14">
        <f t="shared" si="121"/>
        <v>1782.7872193062994</v>
      </c>
      <c r="P238" s="33">
        <f t="shared" si="122"/>
        <v>0.7818582346830214</v>
      </c>
      <c r="Q238" s="33">
        <f t="shared" si="123"/>
        <v>0.21630798285938502</v>
      </c>
      <c r="R238" s="51">
        <f t="shared" si="124"/>
        <v>64.894233478690779</v>
      </c>
      <c r="S238" s="51">
        <f>APPLICANTS_PER_YEAR*($H238/Segments!$AH$2)*Q238</f>
        <v>26.476097101988728</v>
      </c>
      <c r="T238" s="51">
        <f t="shared" si="125"/>
        <v>91.370330580679507</v>
      </c>
      <c r="U238" s="14">
        <f t="shared" si="126"/>
        <v>1930.0212235681438</v>
      </c>
      <c r="V238" s="44">
        <f t="shared" si="127"/>
        <v>176346.67722514886</v>
      </c>
      <c r="W238" s="44">
        <f t="shared" si="128"/>
        <v>141552.05998531639</v>
      </c>
      <c r="X238" s="44">
        <f t="shared" si="129"/>
        <v>37941.723385759542</v>
      </c>
      <c r="Y238" s="14">
        <f t="shared" si="130"/>
        <v>1929.5008373056785</v>
      </c>
      <c r="Z238" s="14">
        <f t="shared" si="131"/>
        <v>1424.7222271392307</v>
      </c>
      <c r="AA238" s="14">
        <f t="shared" si="132"/>
        <v>2358.3760788432855</v>
      </c>
      <c r="AB238" s="14">
        <f t="shared" si="133"/>
        <v>1861.3150649215518</v>
      </c>
      <c r="AC238" s="14">
        <f t="shared" si="134"/>
        <v>2358.3760788432855</v>
      </c>
      <c r="AD238" s="33">
        <f t="shared" si="135"/>
        <v>0.64979406120425964</v>
      </c>
      <c r="AE238" s="33">
        <f t="shared" si="136"/>
        <v>0.21647585266745706</v>
      </c>
      <c r="AF238" s="51">
        <f t="shared" si="137"/>
        <v>57.207168567103864</v>
      </c>
      <c r="AG238" s="51">
        <f>APPLICANTS_PER_YEAR*($H238/Segments!$AH$2)*AE238</f>
        <v>26.496644366496746</v>
      </c>
      <c r="AH238" s="51">
        <f t="shared" si="138"/>
        <v>83.703812933600602</v>
      </c>
      <c r="AI238" s="14">
        <f t="shared" si="139"/>
        <v>2358.376078843286</v>
      </c>
      <c r="AJ238" s="44">
        <f t="shared" si="140"/>
        <v>197405.0701305769</v>
      </c>
      <c r="AK238" s="44">
        <f t="shared" si="141"/>
        <v>133565.24471674161</v>
      </c>
      <c r="AL238" s="44">
        <f t="shared" si="142"/>
        <v>41833.167451038193</v>
      </c>
      <c r="AM238" s="14">
        <f t="shared" si="143"/>
        <v>2370.5876105816365</v>
      </c>
      <c r="AN238" s="14">
        <f t="shared" si="144"/>
        <v>1467.4638939534075</v>
      </c>
      <c r="AO238" s="14">
        <f t="shared" si="145"/>
        <v>2427.8773612085843</v>
      </c>
      <c r="AP238" s="14">
        <f t="shared" si="146"/>
        <v>1916.6611809579197</v>
      </c>
      <c r="AQ238" s="14">
        <f t="shared" si="147"/>
        <v>2427.8773612085843</v>
      </c>
      <c r="AR238" s="33">
        <f t="shared" si="148"/>
        <v>0.70938880602405985</v>
      </c>
      <c r="AS238" s="33">
        <f t="shared" si="149"/>
        <v>0.21663887563185102</v>
      </c>
      <c r="AT238" s="51">
        <f t="shared" si="150"/>
        <v>57.66732095652862</v>
      </c>
      <c r="AU238" s="51">
        <f>APPLICANTS_PER_YEAR*($H238/Segments!$AH$2)*AS238</f>
        <v>26.516598377338568</v>
      </c>
      <c r="AV238" s="51">
        <f t="shared" si="151"/>
        <v>84.183919333867181</v>
      </c>
      <c r="AW238" s="14">
        <f t="shared" si="152"/>
        <v>2427.8773612085847</v>
      </c>
      <c r="AX238" s="44">
        <f t="shared" si="153"/>
        <v>204388.23192850579</v>
      </c>
      <c r="AY238" s="44">
        <f t="shared" si="154"/>
        <v>138361.28552280864</v>
      </c>
      <c r="AZ238" s="44">
        <f t="shared" si="155"/>
        <v>43229.235891979421</v>
      </c>
    </row>
    <row r="239" spans="1:52" ht="15" customHeight="1" x14ac:dyDescent="0.35">
      <c r="A239" s="59" t="str">
        <f>Segments!$A$219</f>
        <v>Greek</v>
      </c>
      <c r="B239" s="59" t="str">
        <f>Segments!$B$219</f>
        <v>On campus</v>
      </c>
      <c r="C239" s="59" t="str">
        <f>Segments!$C$219</f>
        <v>Yes</v>
      </c>
      <c r="D239" s="59" t="str">
        <f>Segments!$D$219</f>
        <v>2.0-3.0</v>
      </c>
      <c r="E239" s="59" t="str">
        <f>Segments!$E$219</f>
        <v>Grad student</v>
      </c>
      <c r="F239" s="59">
        <f>Segments!$F$219</f>
        <v>3</v>
      </c>
      <c r="G239" s="59" t="str">
        <f>Segments!$G$219</f>
        <v>Grad</v>
      </c>
      <c r="H239" s="60">
        <f>Segments!$H$219</f>
        <v>42</v>
      </c>
      <c r="I239" s="26">
        <f>Segments!$Y$219</f>
        <v>1646.9794851773304</v>
      </c>
      <c r="J239" s="29">
        <v>4</v>
      </c>
      <c r="K239" s="14">
        <f t="shared" si="117"/>
        <v>1426.2297754450396</v>
      </c>
      <c r="L239" s="14">
        <f t="shared" si="118"/>
        <v>1646.9794851773304</v>
      </c>
      <c r="M239" s="14">
        <f t="shared" si="119"/>
        <v>2719.7837075116031</v>
      </c>
      <c r="N239" s="14">
        <f t="shared" si="120"/>
        <v>1969.5269752972035</v>
      </c>
      <c r="O239" s="14">
        <f t="shared" si="121"/>
        <v>1782.7872193062994</v>
      </c>
      <c r="P239" s="33">
        <f t="shared" si="122"/>
        <v>0.82240726030490774</v>
      </c>
      <c r="Q239" s="33">
        <f t="shared" si="123"/>
        <v>0.15953377597146512</v>
      </c>
      <c r="R239" s="51">
        <f t="shared" si="124"/>
        <v>17.270552466403064</v>
      </c>
      <c r="S239" s="51">
        <f>APPLICANTS_PER_YEAR*($H239/Segments!$AH$2)*Q239</f>
        <v>8.040502308961841</v>
      </c>
      <c r="T239" s="51">
        <f t="shared" si="125"/>
        <v>25.311054775364905</v>
      </c>
      <c r="U239" s="14">
        <f t="shared" si="126"/>
        <v>2080.4406554735115</v>
      </c>
      <c r="V239" s="44">
        <f t="shared" si="127"/>
        <v>52658.147387586112</v>
      </c>
      <c r="W239" s="44">
        <f t="shared" si="128"/>
        <v>46689.202518812788</v>
      </c>
      <c r="X239" s="44">
        <f t="shared" si="129"/>
        <v>11425.018460789455</v>
      </c>
      <c r="Y239" s="14">
        <f t="shared" si="130"/>
        <v>2080.4406554735115</v>
      </c>
      <c r="Z239" s="14">
        <f t="shared" si="131"/>
        <v>1696.3888697326504</v>
      </c>
      <c r="AA239" s="14">
        <f t="shared" si="132"/>
        <v>2800.1272187369514</v>
      </c>
      <c r="AB239" s="14">
        <f t="shared" si="133"/>
        <v>2028.1601413174078</v>
      </c>
      <c r="AC239" s="14">
        <f t="shared" si="134"/>
        <v>2600.5508193418891</v>
      </c>
      <c r="AD239" s="33">
        <f t="shared" si="135"/>
        <v>0.63388918079893819</v>
      </c>
      <c r="AE239" s="33">
        <f t="shared" si="136"/>
        <v>0.15968783931477271</v>
      </c>
      <c r="AF239" s="51">
        <f t="shared" si="137"/>
        <v>8.0222018883565553</v>
      </c>
      <c r="AG239" s="51">
        <f>APPLICANTS_PER_YEAR*($H239/Segments!$AH$2)*AE239</f>
        <v>8.0482671014645444</v>
      </c>
      <c r="AH239" s="51">
        <f t="shared" si="138"/>
        <v>16.070468989821102</v>
      </c>
      <c r="AI239" s="14">
        <f t="shared" si="139"/>
        <v>2700.5008687460108</v>
      </c>
      <c r="AJ239" s="44">
        <f t="shared" si="140"/>
        <v>43398.315468167712</v>
      </c>
      <c r="AK239" s="44">
        <f t="shared" si="141"/>
        <v>30533.176492802177</v>
      </c>
      <c r="AL239" s="44">
        <f t="shared" si="142"/>
        <v>9513.6636929233937</v>
      </c>
      <c r="AM239" s="14">
        <f t="shared" si="143"/>
        <v>2700.5008687460108</v>
      </c>
      <c r="AN239" s="14">
        <f t="shared" si="144"/>
        <v>1747.2805358246296</v>
      </c>
      <c r="AO239" s="14">
        <f t="shared" si="145"/>
        <v>2882.8810352990595</v>
      </c>
      <c r="AP239" s="14">
        <f t="shared" si="146"/>
        <v>2088.5522027472402</v>
      </c>
      <c r="AQ239" s="14">
        <f t="shared" si="147"/>
        <v>2882.8810352990595</v>
      </c>
      <c r="AR239" s="33">
        <f t="shared" si="148"/>
        <v>0.63957674383049468</v>
      </c>
      <c r="AS239" s="33">
        <f t="shared" si="149"/>
        <v>0.15983744827948876</v>
      </c>
      <c r="AT239" s="51">
        <f t="shared" si="150"/>
        <v>5.1391491141693599</v>
      </c>
      <c r="AU239" s="51">
        <f>APPLICANTS_PER_YEAR*($H239/Segments!$AH$2)*AS239</f>
        <v>8.0558073932862335</v>
      </c>
      <c r="AV239" s="51">
        <f t="shared" si="151"/>
        <v>13.194956507455593</v>
      </c>
      <c r="AW239" s="14">
        <f t="shared" si="152"/>
        <v>2882.881035299059</v>
      </c>
      <c r="AX239" s="44">
        <f t="shared" si="153"/>
        <v>38039.489876939639</v>
      </c>
      <c r="AY239" s="44">
        <f t="shared" si="154"/>
        <v>25821.925557713261</v>
      </c>
      <c r="AZ239" s="44">
        <f t="shared" si="155"/>
        <v>8467.5956042572998</v>
      </c>
    </row>
    <row r="240" spans="1:52" ht="15" customHeight="1" x14ac:dyDescent="0.35">
      <c r="A240" s="61" t="str">
        <f>Segments!$A$220</f>
        <v>Greek</v>
      </c>
      <c r="B240" s="61" t="str">
        <f>Segments!$B$220</f>
        <v>On campus</v>
      </c>
      <c r="C240" s="61" t="str">
        <f>Segments!$C$220</f>
        <v>Yes</v>
      </c>
      <c r="D240" s="61" t="str">
        <f>Segments!$D$220</f>
        <v>3.0+</v>
      </c>
      <c r="E240" s="61" t="str">
        <f>Segments!$E$220</f>
        <v>Freshman</v>
      </c>
      <c r="F240" s="61">
        <f>Segments!$F$220</f>
        <v>1</v>
      </c>
      <c r="G240" s="61" t="str">
        <f>Segments!$G$220</f>
        <v>Base</v>
      </c>
      <c r="H240" s="62">
        <f>Segments!$H$220</f>
        <v>54</v>
      </c>
      <c r="I240" s="63">
        <f>Segments!$Y$220</f>
        <v>1096.2776237930291</v>
      </c>
      <c r="J240" s="42">
        <v>0</v>
      </c>
      <c r="K240" s="40">
        <f t="shared" si="117"/>
        <v>1824.2995483755672</v>
      </c>
      <c r="L240" s="40">
        <f t="shared" si="118"/>
        <v>1096.2776237930291</v>
      </c>
      <c r="M240" s="40">
        <f t="shared" si="119"/>
        <v>1824.2995483755672</v>
      </c>
      <c r="N240" s="40">
        <f t="shared" si="120"/>
        <v>1613.0314117289138</v>
      </c>
      <c r="O240" s="40">
        <f t="shared" si="121"/>
        <v>1824.2995483755672</v>
      </c>
      <c r="P240" s="41">
        <f t="shared" si="122"/>
        <v>0.78451208230960379</v>
      </c>
      <c r="Q240" s="41">
        <f t="shared" si="123"/>
        <v>0.28451208230960379</v>
      </c>
      <c r="R240" s="64">
        <f t="shared" si="124"/>
        <v>0</v>
      </c>
      <c r="S240" s="64">
        <f>APPLICANTS_PER_YEAR*($H240/Segments!$AH$2)*Q240</f>
        <v>18.436382933662326</v>
      </c>
      <c r="T240" s="64">
        <f t="shared" si="125"/>
        <v>18.436382933662326</v>
      </c>
      <c r="U240" s="40">
        <f t="shared" si="126"/>
        <v>1824.2995483755669</v>
      </c>
      <c r="V240" s="65">
        <f t="shared" si="127"/>
        <v>33633.485059559192</v>
      </c>
      <c r="W240" s="65">
        <f t="shared" si="128"/>
        <v>22636.761362716134</v>
      </c>
      <c r="X240" s="65">
        <f t="shared" si="129"/>
        <v>8363.5378853560651</v>
      </c>
      <c r="Y240" s="40">
        <f t="shared" si="130"/>
        <v>1877.7785348268344</v>
      </c>
      <c r="Z240" s="40">
        <f t="shared" si="131"/>
        <v>1129.1659525068201</v>
      </c>
      <c r="AA240" s="40">
        <f t="shared" si="132"/>
        <v>1877.7785348268344</v>
      </c>
      <c r="AB240" s="40">
        <f t="shared" si="133"/>
        <v>1660.8696420259596</v>
      </c>
      <c r="AC240" s="40">
        <f t="shared" si="134"/>
        <v>1877.7785348268344</v>
      </c>
      <c r="AD240" s="41">
        <f t="shared" si="135"/>
        <v>0.78470020544891006</v>
      </c>
      <c r="AE240" s="41">
        <f t="shared" si="136"/>
        <v>0.28470020544891006</v>
      </c>
      <c r="AF240" s="64">
        <f t="shared" si="137"/>
        <v>0</v>
      </c>
      <c r="AG240" s="64">
        <f>APPLICANTS_PER_YEAR*($H240/Segments!$AH$2)*AE240</f>
        <v>18.448573313089373</v>
      </c>
      <c r="AH240" s="64">
        <f t="shared" si="138"/>
        <v>18.448573313089373</v>
      </c>
      <c r="AI240" s="40">
        <f t="shared" si="139"/>
        <v>1877.7785348268342</v>
      </c>
      <c r="AJ240" s="65">
        <f t="shared" si="140"/>
        <v>34642.334965498398</v>
      </c>
      <c r="AK240" s="65">
        <f t="shared" si="141"/>
        <v>23331.280960362441</v>
      </c>
      <c r="AL240" s="65">
        <f t="shared" si="142"/>
        <v>8590.0688313606624</v>
      </c>
      <c r="AM240" s="40">
        <f t="shared" si="143"/>
        <v>1932.8618908716394</v>
      </c>
      <c r="AN240" s="40">
        <f t="shared" si="144"/>
        <v>1163.0409310820246</v>
      </c>
      <c r="AO240" s="40">
        <f t="shared" si="145"/>
        <v>1932.8618908716394</v>
      </c>
      <c r="AP240" s="40">
        <f t="shared" si="146"/>
        <v>1710.1428379178467</v>
      </c>
      <c r="AQ240" s="40">
        <f t="shared" si="147"/>
        <v>1932.8618908716394</v>
      </c>
      <c r="AR240" s="41">
        <f t="shared" si="148"/>
        <v>0.78488290918875514</v>
      </c>
      <c r="AS240" s="41">
        <f t="shared" si="149"/>
        <v>0.28488290918875514</v>
      </c>
      <c r="AT240" s="64">
        <f t="shared" si="150"/>
        <v>0</v>
      </c>
      <c r="AU240" s="64">
        <f>APPLICANTS_PER_YEAR*($H240/Segments!$AH$2)*AS240</f>
        <v>18.460412515431333</v>
      </c>
      <c r="AV240" s="64">
        <f t="shared" si="151"/>
        <v>18.460412515431333</v>
      </c>
      <c r="AW240" s="40">
        <f t="shared" si="152"/>
        <v>1932.8618908716396</v>
      </c>
      <c r="AX240" s="65">
        <f t="shared" si="153"/>
        <v>35681.427840847085</v>
      </c>
      <c r="AY240" s="65">
        <f t="shared" si="154"/>
        <v>24046.641203318184</v>
      </c>
      <c r="AZ240" s="65">
        <f t="shared" si="155"/>
        <v>8823.3583995441568</v>
      </c>
    </row>
    <row r="241" spans="1:52" ht="15" customHeight="1" x14ac:dyDescent="0.35">
      <c r="A241" s="61" t="str">
        <f>Segments!$A$221</f>
        <v>Greek</v>
      </c>
      <c r="B241" s="61" t="str">
        <f>Segments!$B$221</f>
        <v>On campus</v>
      </c>
      <c r="C241" s="61" t="str">
        <f>Segments!$C$221</f>
        <v>Yes</v>
      </c>
      <c r="D241" s="61" t="str">
        <f>Segments!$D$221</f>
        <v>3.0+</v>
      </c>
      <c r="E241" s="61" t="str">
        <f>Segments!$E$221</f>
        <v>Sophomore</v>
      </c>
      <c r="F241" s="61">
        <f>Segments!$F$221</f>
        <v>1</v>
      </c>
      <c r="G241" s="61" t="str">
        <f>Segments!$G$221</f>
        <v>Sophomore</v>
      </c>
      <c r="H241" s="62">
        <f>Segments!$H$221</f>
        <v>48</v>
      </c>
      <c r="I241" s="63">
        <f>Segments!$Y$221</f>
        <v>1085.124361446585</v>
      </c>
      <c r="J241" s="42">
        <v>1</v>
      </c>
      <c r="K241" s="40">
        <f t="shared" si="117"/>
        <v>1426.2297754450396</v>
      </c>
      <c r="L241" s="40">
        <f t="shared" si="118"/>
        <v>1085.124361446585</v>
      </c>
      <c r="M241" s="40">
        <f t="shared" si="119"/>
        <v>1806.1634742958042</v>
      </c>
      <c r="N241" s="40">
        <f t="shared" si="120"/>
        <v>1604.993497295842</v>
      </c>
      <c r="O241" s="40">
        <f t="shared" si="121"/>
        <v>1782.7872193062994</v>
      </c>
      <c r="P241" s="41">
        <f t="shared" si="122"/>
        <v>0.71961232325551117</v>
      </c>
      <c r="Q241" s="41">
        <f t="shared" si="123"/>
        <v>0.28732997132421356</v>
      </c>
      <c r="R241" s="64">
        <f t="shared" si="124"/>
        <v>38.859065455797605</v>
      </c>
      <c r="S241" s="64">
        <f>APPLICANTS_PER_YEAR*($H241/Segments!$AH$2)*Q241</f>
        <v>16.550206348274699</v>
      </c>
      <c r="T241" s="64">
        <f t="shared" si="125"/>
        <v>55.409271804072304</v>
      </c>
      <c r="U241" s="40">
        <f t="shared" si="126"/>
        <v>1789.7694775300533</v>
      </c>
      <c r="V241" s="65">
        <f t="shared" si="127"/>
        <v>99169.823447095201</v>
      </c>
      <c r="W241" s="65">
        <f t="shared" si="128"/>
        <v>67341.064766767944</v>
      </c>
      <c r="X241" s="65">
        <f t="shared" si="129"/>
        <v>21311.270463230238</v>
      </c>
      <c r="Y241" s="40">
        <f t="shared" si="130"/>
        <v>1824.2995483755669</v>
      </c>
      <c r="Z241" s="40">
        <f t="shared" si="131"/>
        <v>1117.6780922899825</v>
      </c>
      <c r="AA241" s="40">
        <f t="shared" si="132"/>
        <v>1859.0983785246781</v>
      </c>
      <c r="AB241" s="40">
        <f t="shared" si="133"/>
        <v>1652.5878212129887</v>
      </c>
      <c r="AC241" s="40">
        <f t="shared" si="134"/>
        <v>1859.0983785246781</v>
      </c>
      <c r="AD241" s="41">
        <f t="shared" si="135"/>
        <v>0.78179648490409182</v>
      </c>
      <c r="AE241" s="41">
        <f t="shared" si="136"/>
        <v>0.28751903691263081</v>
      </c>
      <c r="AF241" s="64">
        <f t="shared" si="137"/>
        <v>14.413499371882995</v>
      </c>
      <c r="AG241" s="64">
        <f>APPLICANTS_PER_YEAR*($H241/Segments!$AH$2)*AE241</f>
        <v>16.561096526167532</v>
      </c>
      <c r="AH241" s="64">
        <f t="shared" si="138"/>
        <v>30.974595898050527</v>
      </c>
      <c r="AI241" s="40">
        <f t="shared" si="139"/>
        <v>1859.0983785246783</v>
      </c>
      <c r="AJ241" s="65">
        <f t="shared" si="140"/>
        <v>57584.821009522886</v>
      </c>
      <c r="AK241" s="65">
        <f t="shared" si="141"/>
        <v>38773.982523120583</v>
      </c>
      <c r="AL241" s="65">
        <f t="shared" si="142"/>
        <v>12994.655271358632</v>
      </c>
      <c r="AM241" s="40">
        <f t="shared" si="143"/>
        <v>1877.7785348268342</v>
      </c>
      <c r="AN241" s="40">
        <f t="shared" si="144"/>
        <v>1151.208435058682</v>
      </c>
      <c r="AO241" s="40">
        <f t="shared" si="145"/>
        <v>1913.6213298804184</v>
      </c>
      <c r="AP241" s="40">
        <f t="shared" si="146"/>
        <v>1701.6097907939884</v>
      </c>
      <c r="AQ241" s="40">
        <f t="shared" si="147"/>
        <v>1913.6213298804184</v>
      </c>
      <c r="AR241" s="41">
        <f t="shared" si="148"/>
        <v>0.78197629515877842</v>
      </c>
      <c r="AS241" s="41">
        <f t="shared" si="149"/>
        <v>0.28770265655691152</v>
      </c>
      <c r="AT241" s="64">
        <f t="shared" si="150"/>
        <v>14.426347010334737</v>
      </c>
      <c r="AU241" s="64">
        <f>APPLICANTS_PER_YEAR*($H241/Segments!$AH$2)*AS241</f>
        <v>16.571673017678101</v>
      </c>
      <c r="AV241" s="64">
        <f t="shared" si="151"/>
        <v>30.998020028012839</v>
      </c>
      <c r="AW241" s="40">
        <f t="shared" si="152"/>
        <v>1913.6213298804182</v>
      </c>
      <c r="AX241" s="65">
        <f t="shared" si="153"/>
        <v>59318.472309665769</v>
      </c>
      <c r="AY241" s="65">
        <f t="shared" si="154"/>
        <v>39967.403981530311</v>
      </c>
      <c r="AZ241" s="65">
        <f t="shared" si="155"/>
        <v>13355.360236074182</v>
      </c>
    </row>
    <row r="242" spans="1:52" ht="15" customHeight="1" x14ac:dyDescent="0.35">
      <c r="A242" s="61" t="str">
        <f>Segments!$A$222</f>
        <v>Greek</v>
      </c>
      <c r="B242" s="61" t="str">
        <f>Segments!$B$222</f>
        <v>On campus</v>
      </c>
      <c r="C242" s="61" t="str">
        <f>Segments!$C$222</f>
        <v>Yes</v>
      </c>
      <c r="D242" s="61" t="str">
        <f>Segments!$D$222</f>
        <v>3.0+</v>
      </c>
      <c r="E242" s="61" t="str">
        <f>Segments!$E$222</f>
        <v>Junior</v>
      </c>
      <c r="F242" s="61">
        <f>Segments!$F$222</f>
        <v>2</v>
      </c>
      <c r="G242" s="61" t="str">
        <f>Segments!$G$222</f>
        <v>Base</v>
      </c>
      <c r="H242" s="62">
        <f>Segments!$H$222</f>
        <v>55</v>
      </c>
      <c r="I242" s="63">
        <f>Segments!$Y$222</f>
        <v>1297.1854667857165</v>
      </c>
      <c r="J242" s="42">
        <v>2</v>
      </c>
      <c r="K242" s="40">
        <f t="shared" si="117"/>
        <v>1426.2297754450396</v>
      </c>
      <c r="L242" s="40">
        <f t="shared" si="118"/>
        <v>1297.1854667857165</v>
      </c>
      <c r="M242" s="40">
        <f t="shared" si="119"/>
        <v>2150.9913637870886</v>
      </c>
      <c r="N242" s="40">
        <f t="shared" si="120"/>
        <v>1751.5158948060619</v>
      </c>
      <c r="O242" s="40">
        <f t="shared" si="121"/>
        <v>1782.7872193062994</v>
      </c>
      <c r="P242" s="41">
        <f t="shared" si="122"/>
        <v>0.76607306859361957</v>
      </c>
      <c r="Q242" s="41">
        <f t="shared" si="123"/>
        <v>0.23596293354641262</v>
      </c>
      <c r="R242" s="64">
        <f t="shared" si="124"/>
        <v>36.771507292493737</v>
      </c>
      <c r="S242" s="64">
        <f>APPLICANTS_PER_YEAR*($H242/Segments!$AH$2)*Q242</f>
        <v>15.573553614063233</v>
      </c>
      <c r="T242" s="64">
        <f t="shared" si="125"/>
        <v>52.345060906556967</v>
      </c>
      <c r="U242" s="40">
        <f t="shared" si="126"/>
        <v>1892.3342689358387</v>
      </c>
      <c r="V242" s="65">
        <f t="shared" si="127"/>
        <v>99054.352563011431</v>
      </c>
      <c r="W242" s="65">
        <f t="shared" si="128"/>
        <v>76049.402537918737</v>
      </c>
      <c r="X242" s="65">
        <f t="shared" si="129"/>
        <v>21329.962969348268</v>
      </c>
      <c r="Y242" s="40">
        <f t="shared" si="130"/>
        <v>1789.7694775300533</v>
      </c>
      <c r="Z242" s="40">
        <f t="shared" si="131"/>
        <v>1336.101030789288</v>
      </c>
      <c r="AA242" s="40">
        <f t="shared" si="132"/>
        <v>2214.271104700701</v>
      </c>
      <c r="AB242" s="40">
        <f t="shared" si="133"/>
        <v>1803.5523729142637</v>
      </c>
      <c r="AC242" s="40">
        <f t="shared" si="134"/>
        <v>2214.271104700701</v>
      </c>
      <c r="AD242" s="41">
        <f t="shared" si="135"/>
        <v>0.66498149060052569</v>
      </c>
      <c r="AE242" s="41">
        <f t="shared" si="136"/>
        <v>0.23613617825725264</v>
      </c>
      <c r="AF242" s="64">
        <f t="shared" si="137"/>
        <v>36.846140157361681</v>
      </c>
      <c r="AG242" s="64">
        <f>APPLICANTS_PER_YEAR*($H242/Segments!$AH$2)*AE242</f>
        <v>15.584987764978674</v>
      </c>
      <c r="AH242" s="64">
        <f t="shared" si="138"/>
        <v>52.431127922340352</v>
      </c>
      <c r="AI242" s="40">
        <f t="shared" si="139"/>
        <v>2214.2711047007015</v>
      </c>
      <c r="AJ242" s="65">
        <f t="shared" si="140"/>
        <v>116096.73154530436</v>
      </c>
      <c r="AK242" s="65">
        <f t="shared" si="141"/>
        <v>78459.678149982035</v>
      </c>
      <c r="AL242" s="65">
        <f t="shared" si="142"/>
        <v>24588.358097262517</v>
      </c>
      <c r="AM242" s="40">
        <f t="shared" si="143"/>
        <v>1859.0983785246783</v>
      </c>
      <c r="AN242" s="40">
        <f t="shared" si="144"/>
        <v>1376.1840617129665</v>
      </c>
      <c r="AO242" s="40">
        <f t="shared" si="145"/>
        <v>2279.4492378417217</v>
      </c>
      <c r="AP242" s="40">
        <f t="shared" si="146"/>
        <v>1857.1498037692195</v>
      </c>
      <c r="AQ242" s="40">
        <f t="shared" si="147"/>
        <v>2279.4492378417217</v>
      </c>
      <c r="AR242" s="41">
        <f t="shared" si="148"/>
        <v>0.6684730173188721</v>
      </c>
      <c r="AS242" s="41">
        <f t="shared" si="149"/>
        <v>0.23630442379623462</v>
      </c>
      <c r="AT242" s="64">
        <f t="shared" si="150"/>
        <v>20.705681580202594</v>
      </c>
      <c r="AU242" s="64">
        <f>APPLICANTS_PER_YEAR*($H242/Segments!$AH$2)*AS242</f>
        <v>15.596091970551484</v>
      </c>
      <c r="AV242" s="64">
        <f t="shared" si="151"/>
        <v>36.301773550754078</v>
      </c>
      <c r="AW242" s="40">
        <f t="shared" si="152"/>
        <v>2279.4492378417217</v>
      </c>
      <c r="AX242" s="65">
        <f t="shared" si="153"/>
        <v>82748.05005256916</v>
      </c>
      <c r="AY242" s="65">
        <f t="shared" si="154"/>
        <v>55952.87283315642</v>
      </c>
      <c r="AZ242" s="65">
        <f t="shared" si="155"/>
        <v>17999.586728659844</v>
      </c>
    </row>
    <row r="243" spans="1:52" ht="15" customHeight="1" x14ac:dyDescent="0.35">
      <c r="A243" s="61" t="str">
        <f>Segments!$A$223</f>
        <v>Greek</v>
      </c>
      <c r="B243" s="61" t="str">
        <f>Segments!$B$223</f>
        <v>On campus</v>
      </c>
      <c r="C243" s="61" t="str">
        <f>Segments!$C$223</f>
        <v>Yes</v>
      </c>
      <c r="D243" s="61" t="str">
        <f>Segments!$D$223</f>
        <v>3.0+</v>
      </c>
      <c r="E243" s="61" t="str">
        <f>Segments!$E$223</f>
        <v>Senior</v>
      </c>
      <c r="F243" s="61">
        <f>Segments!$F$223</f>
        <v>3</v>
      </c>
      <c r="G243" s="61" t="str">
        <f>Segments!$G$223</f>
        <v>Base</v>
      </c>
      <c r="H243" s="62">
        <f>Segments!$H$223</f>
        <v>38</v>
      </c>
      <c r="I243" s="63">
        <f>Segments!$Y$223</f>
        <v>1212.4629844943199</v>
      </c>
      <c r="J243" s="42">
        <v>3</v>
      </c>
      <c r="K243" s="40">
        <f t="shared" si="117"/>
        <v>1426.2297754450396</v>
      </c>
      <c r="L243" s="40">
        <f t="shared" si="118"/>
        <v>1212.4629844943199</v>
      </c>
      <c r="M243" s="40">
        <f t="shared" si="119"/>
        <v>2013.226002646089</v>
      </c>
      <c r="N243" s="40">
        <f t="shared" si="120"/>
        <v>1694.4978222689006</v>
      </c>
      <c r="O243" s="40">
        <f t="shared" si="121"/>
        <v>1782.7872193062994</v>
      </c>
      <c r="P243" s="41">
        <f t="shared" si="122"/>
        <v>0.74894821171290116</v>
      </c>
      <c r="Q243" s="41">
        <f t="shared" si="123"/>
        <v>0.25595202419604834</v>
      </c>
      <c r="R243" s="64">
        <f t="shared" si="124"/>
        <v>41.192151644209567</v>
      </c>
      <c r="S243" s="64">
        <f>APPLICANTS_PER_YEAR*($H243/Segments!$AH$2)*Q243</f>
        <v>11.671412303339805</v>
      </c>
      <c r="T243" s="64">
        <f t="shared" si="125"/>
        <v>52.863563947549373</v>
      </c>
      <c r="U243" s="40">
        <f t="shared" si="126"/>
        <v>1833.6643424171668</v>
      </c>
      <c r="V243" s="65">
        <f t="shared" si="127"/>
        <v>96934.032223710965</v>
      </c>
      <c r="W243" s="65">
        <f t="shared" si="128"/>
        <v>71786.528256634294</v>
      </c>
      <c r="X243" s="65">
        <f t="shared" si="129"/>
        <v>20491.990352599903</v>
      </c>
      <c r="Y243" s="40">
        <f t="shared" si="130"/>
        <v>1892.3342689358387</v>
      </c>
      <c r="Z243" s="40">
        <f t="shared" si="131"/>
        <v>1248.8368740291496</v>
      </c>
      <c r="AA243" s="40">
        <f t="shared" si="132"/>
        <v>2072.372782725472</v>
      </c>
      <c r="AB243" s="40">
        <f t="shared" si="133"/>
        <v>1744.8066258474921</v>
      </c>
      <c r="AC243" s="40">
        <f t="shared" si="134"/>
        <v>2072.372782725472</v>
      </c>
      <c r="AD243" s="41">
        <f t="shared" si="135"/>
        <v>0.72758880979205798</v>
      </c>
      <c r="AE243" s="41">
        <f t="shared" si="136"/>
        <v>0.25613110013871199</v>
      </c>
      <c r="AF243" s="64">
        <f t="shared" si="137"/>
        <v>38.08568056349457</v>
      </c>
      <c r="AG243" s="64">
        <f>APPLICANTS_PER_YEAR*($H243/Segments!$AH$2)*AE243</f>
        <v>11.679578166325268</v>
      </c>
      <c r="AH243" s="64">
        <f t="shared" si="138"/>
        <v>49.765258729819834</v>
      </c>
      <c r="AI243" s="40">
        <f t="shared" si="139"/>
        <v>2072.372782725472</v>
      </c>
      <c r="AJ243" s="65">
        <f t="shared" si="140"/>
        <v>103132.16771696982</v>
      </c>
      <c r="AK243" s="65">
        <f t="shared" si="141"/>
        <v>69606.532965088059</v>
      </c>
      <c r="AL243" s="65">
        <f t="shared" si="142"/>
        <v>21626.429723958077</v>
      </c>
      <c r="AM243" s="40">
        <f t="shared" si="143"/>
        <v>2214.2711047007015</v>
      </c>
      <c r="AN243" s="40">
        <f t="shared" si="144"/>
        <v>1286.3019802500239</v>
      </c>
      <c r="AO243" s="40">
        <f t="shared" si="145"/>
        <v>2133.2939662072354</v>
      </c>
      <c r="AP243" s="40">
        <f t="shared" si="146"/>
        <v>1796.6245371478894</v>
      </c>
      <c r="AQ243" s="40">
        <f t="shared" si="147"/>
        <v>2133.2939662072354</v>
      </c>
      <c r="AR243" s="41">
        <f t="shared" si="148"/>
        <v>0.75630501195486199</v>
      </c>
      <c r="AS243" s="41">
        <f t="shared" si="149"/>
        <v>0.25630501195486199</v>
      </c>
      <c r="AT243" s="64">
        <f t="shared" si="150"/>
        <v>39.653924830112516</v>
      </c>
      <c r="AU243" s="64">
        <f>APPLICANTS_PER_YEAR*($H243/Segments!$AH$2)*AS243</f>
        <v>11.687508545141707</v>
      </c>
      <c r="AV243" s="64">
        <f t="shared" si="151"/>
        <v>51.341433375254226</v>
      </c>
      <c r="AW243" s="40">
        <f t="shared" si="152"/>
        <v>2133.2939662072354</v>
      </c>
      <c r="AX243" s="65">
        <f t="shared" si="153"/>
        <v>109526.37003586061</v>
      </c>
      <c r="AY243" s="65">
        <f t="shared" si="154"/>
        <v>73965.457909799894</v>
      </c>
      <c r="AZ243" s="65">
        <f t="shared" si="155"/>
        <v>22892.151518988405</v>
      </c>
    </row>
    <row r="244" spans="1:52" ht="15" customHeight="1" x14ac:dyDescent="0.35">
      <c r="A244" s="61" t="str">
        <f>Segments!$A$224</f>
        <v>Greek</v>
      </c>
      <c r="B244" s="61" t="str">
        <f>Segments!$B$224</f>
        <v>On campus</v>
      </c>
      <c r="C244" s="61" t="str">
        <f>Segments!$C$224</f>
        <v>Yes</v>
      </c>
      <c r="D244" s="61" t="str">
        <f>Segments!$D$224</f>
        <v>3.0+</v>
      </c>
      <c r="E244" s="61" t="str">
        <f>Segments!$E$224</f>
        <v>Grad student</v>
      </c>
      <c r="F244" s="61">
        <f>Segments!$F$224</f>
        <v>3</v>
      </c>
      <c r="G244" s="61" t="str">
        <f>Segments!$G$224</f>
        <v>Grad</v>
      </c>
      <c r="H244" s="62">
        <f>Segments!$H$224</f>
        <v>15</v>
      </c>
      <c r="I244" s="63">
        <f>Segments!$Y$224</f>
        <v>1443.6559440705589</v>
      </c>
      <c r="J244" s="42">
        <v>4</v>
      </c>
      <c r="K244" s="40">
        <f t="shared" si="117"/>
        <v>1426.2297754450396</v>
      </c>
      <c r="L244" s="40">
        <f t="shared" si="118"/>
        <v>1443.6559440705589</v>
      </c>
      <c r="M244" s="40">
        <f t="shared" si="119"/>
        <v>2389.1637786395981</v>
      </c>
      <c r="N244" s="40">
        <f t="shared" si="120"/>
        <v>1845.9405514562425</v>
      </c>
      <c r="O244" s="40">
        <f t="shared" si="121"/>
        <v>1782.7872193062994</v>
      </c>
      <c r="P244" s="41">
        <f t="shared" si="122"/>
        <v>0.79210600379305873</v>
      </c>
      <c r="Q244" s="41">
        <f t="shared" si="123"/>
        <v>0.20286004287765036</v>
      </c>
      <c r="R244" s="64">
        <f t="shared" si="124"/>
        <v>5.9407950284479405</v>
      </c>
      <c r="S244" s="64">
        <f>APPLICANTS_PER_YEAR*($H244/Segments!$AH$2)*Q244</f>
        <v>3.6514807717977065</v>
      </c>
      <c r="T244" s="64">
        <f t="shared" si="125"/>
        <v>9.5922758002456465</v>
      </c>
      <c r="U244" s="40">
        <f t="shared" si="126"/>
        <v>2013.6158978163241</v>
      </c>
      <c r="V244" s="65">
        <f t="shared" si="127"/>
        <v>19315.159047613437</v>
      </c>
      <c r="W244" s="65">
        <f t="shared" si="128"/>
        <v>15509.699493331464</v>
      </c>
      <c r="X244" s="65">
        <f t="shared" si="129"/>
        <v>4239.0370912420267</v>
      </c>
      <c r="Y244" s="40">
        <f t="shared" si="130"/>
        <v>2013.6158978163241</v>
      </c>
      <c r="Z244" s="40">
        <f t="shared" si="131"/>
        <v>1486.9656223926756</v>
      </c>
      <c r="AA244" s="40">
        <f t="shared" si="132"/>
        <v>2459.5886919987861</v>
      </c>
      <c r="AB244" s="40">
        <f t="shared" si="133"/>
        <v>1900.8358126658086</v>
      </c>
      <c r="AC244" s="40">
        <f t="shared" si="134"/>
        <v>2459.5886919987861</v>
      </c>
      <c r="AD244" s="41">
        <f t="shared" si="135"/>
        <v>0.63658084869319531</v>
      </c>
      <c r="AE244" s="41">
        <f t="shared" si="136"/>
        <v>0.20302442335896442</v>
      </c>
      <c r="AF244" s="64">
        <f t="shared" si="137"/>
        <v>3.0531295349097864</v>
      </c>
      <c r="AG244" s="64">
        <f>APPLICANTS_PER_YEAR*($H244/Segments!$AH$2)*AE244</f>
        <v>3.6544396204613596</v>
      </c>
      <c r="AH244" s="64">
        <f t="shared" si="138"/>
        <v>6.7075691553711465</v>
      </c>
      <c r="AI244" s="40">
        <f t="shared" si="139"/>
        <v>2459.5886919987861</v>
      </c>
      <c r="AJ244" s="65">
        <f t="shared" si="140"/>
        <v>16497.861245350719</v>
      </c>
      <c r="AK244" s="65">
        <f t="shared" si="141"/>
        <v>11170.795713121375</v>
      </c>
      <c r="AL244" s="65">
        <f t="shared" si="142"/>
        <v>3658.2027918030112</v>
      </c>
      <c r="AM244" s="40">
        <f t="shared" si="143"/>
        <v>2459.5886919987861</v>
      </c>
      <c r="AN244" s="40">
        <f t="shared" si="144"/>
        <v>1531.5745910644559</v>
      </c>
      <c r="AO244" s="40">
        <f t="shared" si="145"/>
        <v>2532.1263527587494</v>
      </c>
      <c r="AP244" s="40">
        <f t="shared" si="146"/>
        <v>1957.3778107618207</v>
      </c>
      <c r="AQ244" s="40">
        <f t="shared" si="147"/>
        <v>2532.1263527587494</v>
      </c>
      <c r="AR244" s="41">
        <f t="shared" si="148"/>
        <v>0.69433652054338146</v>
      </c>
      <c r="AS244" s="41">
        <f t="shared" si="149"/>
        <v>0.20318405602717193</v>
      </c>
      <c r="AT244" s="64">
        <f t="shared" si="150"/>
        <v>2.3286551143222551</v>
      </c>
      <c r="AU244" s="64">
        <f>APPLICANTS_PER_YEAR*($H244/Segments!$AH$2)*AS244</f>
        <v>3.657313008489095</v>
      </c>
      <c r="AV244" s="64">
        <f t="shared" si="151"/>
        <v>5.9859681228113502</v>
      </c>
      <c r="AW244" s="40">
        <f t="shared" si="152"/>
        <v>2532.1263527587498</v>
      </c>
      <c r="AX244" s="65">
        <f t="shared" si="153"/>
        <v>15157.227630544443</v>
      </c>
      <c r="AY244" s="65">
        <f t="shared" si="154"/>
        <v>10268.111481398024</v>
      </c>
      <c r="AZ244" s="65">
        <f t="shared" si="155"/>
        <v>3399.9954625592459</v>
      </c>
    </row>
    <row r="245" spans="1:52" ht="15" customHeight="1" x14ac:dyDescent="0.35">
      <c r="A245" s="59" t="str">
        <f>Segments!$A$225</f>
        <v>Greek</v>
      </c>
      <c r="B245" s="59" t="str">
        <f>Segments!$B$225</f>
        <v>On campus</v>
      </c>
      <c r="C245" s="59" t="str">
        <f>Segments!$C$225</f>
        <v>No</v>
      </c>
      <c r="D245" s="59" t="str">
        <f>Segments!$D$225</f>
        <v>&lt;1.0</v>
      </c>
      <c r="E245" s="59" t="str">
        <f>Segments!$E$225</f>
        <v>Freshman</v>
      </c>
      <c r="F245" s="59">
        <f>Segments!$F$225</f>
        <v>1</v>
      </c>
      <c r="G245" s="59" t="str">
        <f>Segments!$G$225</f>
        <v>Base</v>
      </c>
      <c r="H245" s="60">
        <f>Segments!$H$225</f>
        <v>8</v>
      </c>
      <c r="I245" s="26">
        <f>Segments!$Y$225</f>
        <v>2160.0608199582612</v>
      </c>
      <c r="J245" s="29">
        <v>0</v>
      </c>
      <c r="K245" s="14">
        <f t="shared" si="117"/>
        <v>3554.0939575074176</v>
      </c>
      <c r="L245" s="14">
        <f t="shared" si="118"/>
        <v>2160.0608199582612</v>
      </c>
      <c r="M245" s="14">
        <f t="shared" si="119"/>
        <v>3554.0939575074176</v>
      </c>
      <c r="N245" s="14">
        <f t="shared" si="120"/>
        <v>2251.4339046319737</v>
      </c>
      <c r="O245" s="14">
        <f t="shared" si="121"/>
        <v>3554.0939575074176</v>
      </c>
      <c r="P245" s="33">
        <f t="shared" si="122"/>
        <v>0.56070435374642258</v>
      </c>
      <c r="Q245" s="33">
        <f t="shared" si="123"/>
        <v>6.0704353746422579E-2</v>
      </c>
      <c r="R245" s="51">
        <f t="shared" si="124"/>
        <v>0</v>
      </c>
      <c r="S245" s="51">
        <f>APPLICANTS_PER_YEAR*($H245/Segments!$AH$2)*Q245</f>
        <v>0.58276179596565669</v>
      </c>
      <c r="T245" s="51">
        <f t="shared" si="125"/>
        <v>0.58276179596565669</v>
      </c>
      <c r="U245" s="14">
        <f t="shared" si="126"/>
        <v>3554.0939575074176</v>
      </c>
      <c r="V245" s="44">
        <f t="shared" si="127"/>
        <v>2071.190177707711</v>
      </c>
      <c r="W245" s="44">
        <f t="shared" si="128"/>
        <v>1409.8570335739967</v>
      </c>
      <c r="X245" s="44">
        <f t="shared" si="129"/>
        <v>490.17088062498186</v>
      </c>
      <c r="Y245" s="14">
        <f t="shared" si="130"/>
        <v>3659.4667762326403</v>
      </c>
      <c r="Z245" s="14">
        <f t="shared" si="131"/>
        <v>2224.8626445570089</v>
      </c>
      <c r="AA245" s="14">
        <f t="shared" si="132"/>
        <v>3659.4667762326403</v>
      </c>
      <c r="AB245" s="14">
        <f t="shared" si="133"/>
        <v>2318.5809653471902</v>
      </c>
      <c r="AC245" s="14">
        <f t="shared" si="134"/>
        <v>3659.4667762326403</v>
      </c>
      <c r="AD245" s="33">
        <f t="shared" si="135"/>
        <v>0.56083912295366778</v>
      </c>
      <c r="AE245" s="33">
        <f t="shared" si="136"/>
        <v>6.0839122953667779E-2</v>
      </c>
      <c r="AF245" s="51">
        <f t="shared" si="137"/>
        <v>0</v>
      </c>
      <c r="AG245" s="51">
        <f>APPLICANTS_PER_YEAR*($H245/Segments!$AH$2)*AE245</f>
        <v>0.58405558035521066</v>
      </c>
      <c r="AH245" s="51">
        <f t="shared" si="138"/>
        <v>0.58405558035521066</v>
      </c>
      <c r="AI245" s="14">
        <f t="shared" si="139"/>
        <v>3659.4667762326399</v>
      </c>
      <c r="AJ245" s="44">
        <f t="shared" si="140"/>
        <v>2137.3319917831664</v>
      </c>
      <c r="AK245" s="44">
        <f t="shared" si="141"/>
        <v>1455.3766562466576</v>
      </c>
      <c r="AL245" s="44">
        <f t="shared" si="142"/>
        <v>505.04486727541382</v>
      </c>
      <c r="AM245" s="14">
        <f t="shared" si="143"/>
        <v>3768.0007795196198</v>
      </c>
      <c r="AN245" s="14">
        <f t="shared" si="144"/>
        <v>2291.6085238937194</v>
      </c>
      <c r="AO245" s="14">
        <f t="shared" si="145"/>
        <v>3768.0007795196198</v>
      </c>
      <c r="AP245" s="14">
        <f t="shared" si="146"/>
        <v>2387.742371237975</v>
      </c>
      <c r="AQ245" s="14">
        <f t="shared" si="147"/>
        <v>3768.0007795196198</v>
      </c>
      <c r="AR245" s="33">
        <f t="shared" si="148"/>
        <v>0.56096998886734561</v>
      </c>
      <c r="AS245" s="33">
        <f t="shared" si="149"/>
        <v>6.0969988867345615E-2</v>
      </c>
      <c r="AT245" s="51">
        <f t="shared" si="150"/>
        <v>0</v>
      </c>
      <c r="AU245" s="51">
        <f>APPLICANTS_PER_YEAR*($H245/Segments!$AH$2)*AS245</f>
        <v>0.58531189312651788</v>
      </c>
      <c r="AV245" s="51">
        <f t="shared" si="151"/>
        <v>0.58531189312651788</v>
      </c>
      <c r="AW245" s="14">
        <f t="shared" si="152"/>
        <v>3768.0007795196202</v>
      </c>
      <c r="AX245" s="44">
        <f t="shared" si="153"/>
        <v>2205.4556695628239</v>
      </c>
      <c r="AY245" s="44">
        <f t="shared" si="154"/>
        <v>1502.2624102361099</v>
      </c>
      <c r="AZ245" s="44">
        <f t="shared" si="155"/>
        <v>520.36110517276586</v>
      </c>
    </row>
    <row r="246" spans="1:52" ht="15" customHeight="1" x14ac:dyDescent="0.35">
      <c r="A246" s="59" t="str">
        <f>Segments!$A$226</f>
        <v>Greek</v>
      </c>
      <c r="B246" s="59" t="str">
        <f>Segments!$B$226</f>
        <v>On campus</v>
      </c>
      <c r="C246" s="59" t="str">
        <f>Segments!$C$226</f>
        <v>No</v>
      </c>
      <c r="D246" s="59" t="str">
        <f>Segments!$D$226</f>
        <v>&lt;1.0</v>
      </c>
      <c r="E246" s="59" t="str">
        <f>Segments!$E$226</f>
        <v>Sophomore</v>
      </c>
      <c r="F246" s="59">
        <f>Segments!$F$226</f>
        <v>1</v>
      </c>
      <c r="G246" s="59" t="str">
        <f>Segments!$G$226</f>
        <v>Sophomore</v>
      </c>
      <c r="H246" s="60">
        <f>Segments!$H$226</f>
        <v>8</v>
      </c>
      <c r="I246" s="26">
        <f>Segments!$Y$226</f>
        <v>2138.0848856817647</v>
      </c>
      <c r="J246" s="29">
        <v>1</v>
      </c>
      <c r="K246" s="14">
        <f t="shared" si="117"/>
        <v>1426.2297754450396</v>
      </c>
      <c r="L246" s="14">
        <f t="shared" si="118"/>
        <v>2138.0848856817647</v>
      </c>
      <c r="M246" s="14">
        <f t="shared" si="119"/>
        <v>3518.3593751376584</v>
      </c>
      <c r="N246" s="14">
        <f t="shared" si="120"/>
        <v>2240.0868066969042</v>
      </c>
      <c r="O246" s="14">
        <f t="shared" si="121"/>
        <v>1782.7872193062994</v>
      </c>
      <c r="P246" s="33">
        <f t="shared" si="122"/>
        <v>0.87707184516766801</v>
      </c>
      <c r="Q246" s="33">
        <f t="shared" si="123"/>
        <v>6.4682358598946998E-2</v>
      </c>
      <c r="R246" s="51">
        <f t="shared" si="124"/>
        <v>7.0165747613413441</v>
      </c>
      <c r="S246" s="51">
        <f>APPLICANTS_PER_YEAR*($H246/Segments!$AH$2)*Q246</f>
        <v>0.62095064254989119</v>
      </c>
      <c r="T246" s="51">
        <f t="shared" si="125"/>
        <v>7.6375254038912352</v>
      </c>
      <c r="U246" s="14">
        <f t="shared" si="126"/>
        <v>1923.8937411656052</v>
      </c>
      <c r="V246" s="44">
        <f t="shared" si="127"/>
        <v>14693.787322539658</v>
      </c>
      <c r="W246" s="44">
        <f t="shared" si="128"/>
        <v>18289.238945678811</v>
      </c>
      <c r="X246" s="44">
        <f t="shared" si="129"/>
        <v>3021.8655411165278</v>
      </c>
      <c r="Y246" s="14">
        <f t="shared" si="130"/>
        <v>3554.0939575074176</v>
      </c>
      <c r="Z246" s="14">
        <f t="shared" si="131"/>
        <v>2202.2274322522176</v>
      </c>
      <c r="AA246" s="14">
        <f t="shared" si="132"/>
        <v>3622.660156391788</v>
      </c>
      <c r="AB246" s="14">
        <f t="shared" si="133"/>
        <v>2306.8914484225916</v>
      </c>
      <c r="AC246" s="14">
        <f t="shared" si="134"/>
        <v>3622.660156391788</v>
      </c>
      <c r="AD246" s="33">
        <f t="shared" si="135"/>
        <v>0.55903015840655068</v>
      </c>
      <c r="AE246" s="33">
        <f t="shared" si="136"/>
        <v>6.4817810593364888E-2</v>
      </c>
      <c r="AF246" s="51">
        <f t="shared" si="137"/>
        <v>0.32578141911196701</v>
      </c>
      <c r="AG246" s="51">
        <f>APPLICANTS_PER_YEAR*($H246/Segments!$AH$2)*AE246</f>
        <v>0.62225098169630289</v>
      </c>
      <c r="AH246" s="51">
        <f t="shared" si="138"/>
        <v>0.94803240080826989</v>
      </c>
      <c r="AI246" s="14">
        <f t="shared" si="139"/>
        <v>3622.6601563917884</v>
      </c>
      <c r="AJ246" s="44">
        <f t="shared" si="140"/>
        <v>3434.3992053765696</v>
      </c>
      <c r="AK246" s="44">
        <f t="shared" si="141"/>
        <v>2338.31691489077</v>
      </c>
      <c r="AL246" s="44">
        <f t="shared" si="142"/>
        <v>762.51550672808514</v>
      </c>
      <c r="AM246" s="14">
        <f t="shared" si="143"/>
        <v>3659.4667762326399</v>
      </c>
      <c r="AN246" s="14">
        <f t="shared" si="144"/>
        <v>2268.2942552197842</v>
      </c>
      <c r="AO246" s="14">
        <f t="shared" si="145"/>
        <v>3730.0899610835418</v>
      </c>
      <c r="AP246" s="14">
        <f t="shared" si="146"/>
        <v>2375.700161735896</v>
      </c>
      <c r="AQ246" s="14">
        <f t="shared" si="147"/>
        <v>3730.0899610835418</v>
      </c>
      <c r="AR246" s="33">
        <f t="shared" si="148"/>
        <v>0.55915971061169478</v>
      </c>
      <c r="AS246" s="33">
        <f t="shared" si="149"/>
        <v>6.4949339743696988E-2</v>
      </c>
      <c r="AT246" s="51">
        <f t="shared" si="150"/>
        <v>0.32658034929256502</v>
      </c>
      <c r="AU246" s="51">
        <f>APPLICANTS_PER_YEAR*($H246/Segments!$AH$2)*AS246</f>
        <v>0.62351366153949106</v>
      </c>
      <c r="AV246" s="51">
        <f t="shared" si="151"/>
        <v>0.95009401083205614</v>
      </c>
      <c r="AW246" s="14">
        <f t="shared" si="152"/>
        <v>3730.0899610835418</v>
      </c>
      <c r="AX246" s="44">
        <f t="shared" si="153"/>
        <v>3543.9361318902502</v>
      </c>
      <c r="AY246" s="44">
        <f t="shared" si="154"/>
        <v>2413.703921091766</v>
      </c>
      <c r="AZ246" s="44">
        <f t="shared" si="155"/>
        <v>785.79532241512709</v>
      </c>
    </row>
    <row r="247" spans="1:52" ht="15" customHeight="1" x14ac:dyDescent="0.35">
      <c r="A247" s="59" t="str">
        <f>Segments!$A$227</f>
        <v>Greek</v>
      </c>
      <c r="B247" s="59" t="str">
        <f>Segments!$B$227</f>
        <v>On campus</v>
      </c>
      <c r="C247" s="59" t="str">
        <f>Segments!$C$227</f>
        <v>No</v>
      </c>
      <c r="D247" s="59" t="str">
        <f>Segments!$D$227</f>
        <v>&lt;1.0</v>
      </c>
      <c r="E247" s="59" t="str">
        <f>Segments!$E$227</f>
        <v>Junior</v>
      </c>
      <c r="F247" s="59">
        <f>Segments!$F$227</f>
        <v>2</v>
      </c>
      <c r="G247" s="59" t="str">
        <f>Segments!$G$227</f>
        <v>Base</v>
      </c>
      <c r="H247" s="60">
        <f>Segments!$H$227</f>
        <v>10</v>
      </c>
      <c r="I247" s="26">
        <f>Segments!$Y$227</f>
        <v>2555.9214584061378</v>
      </c>
      <c r="J247" s="29">
        <v>2</v>
      </c>
      <c r="K247" s="14">
        <f t="shared" si="117"/>
        <v>1426.2297754450396</v>
      </c>
      <c r="L247" s="14">
        <f t="shared" si="118"/>
        <v>2555.9214584061378</v>
      </c>
      <c r="M247" s="14">
        <f t="shared" si="119"/>
        <v>4197.7942167810588</v>
      </c>
      <c r="N247" s="14">
        <f t="shared" si="120"/>
        <v>2446.8385936068885</v>
      </c>
      <c r="O247" s="14">
        <f t="shared" si="121"/>
        <v>1782.7872193062994</v>
      </c>
      <c r="P247" s="33">
        <f t="shared" si="122"/>
        <v>0.9106957863987486</v>
      </c>
      <c r="Q247" s="33">
        <f t="shared" si="123"/>
        <v>0.02</v>
      </c>
      <c r="R247" s="51">
        <f t="shared" si="124"/>
        <v>7.2855662911899888</v>
      </c>
      <c r="S247" s="51">
        <f>APPLICANTS_PER_YEAR*($H247/Segments!$AH$2)*Q247</f>
        <v>0.24</v>
      </c>
      <c r="T247" s="51">
        <f t="shared" si="125"/>
        <v>7.525566291189989</v>
      </c>
      <c r="U247" s="14">
        <f t="shared" si="126"/>
        <v>1859.8049023572703</v>
      </c>
      <c r="V247" s="44">
        <f t="shared" si="127"/>
        <v>13996.085081369762</v>
      </c>
      <c r="W247" s="44">
        <f t="shared" si="128"/>
        <v>21542.927134747635</v>
      </c>
      <c r="X247" s="44">
        <f t="shared" si="129"/>
        <v>2837.0328776236456</v>
      </c>
      <c r="Y247" s="14">
        <f t="shared" si="130"/>
        <v>1923.8937411656052</v>
      </c>
      <c r="Z247" s="14">
        <f t="shared" si="131"/>
        <v>2632.5991021583222</v>
      </c>
      <c r="AA247" s="14">
        <f t="shared" si="132"/>
        <v>4322.4780432844909</v>
      </c>
      <c r="AB247" s="14">
        <f t="shared" si="133"/>
        <v>2519.8794208673849</v>
      </c>
      <c r="AC247" s="14">
        <f t="shared" si="134"/>
        <v>2404.8671764570063</v>
      </c>
      <c r="AD247" s="33">
        <f t="shared" si="135"/>
        <v>0.79782098172197258</v>
      </c>
      <c r="AE247" s="33">
        <f t="shared" si="136"/>
        <v>0.02</v>
      </c>
      <c r="AF247" s="51">
        <f t="shared" si="137"/>
        <v>6.0933780156590105</v>
      </c>
      <c r="AG247" s="51">
        <f>APPLICANTS_PER_YEAR*($H247/Segments!$AH$2)*AE247</f>
        <v>0.24</v>
      </c>
      <c r="AH247" s="51">
        <f t="shared" si="138"/>
        <v>6.3333780156590107</v>
      </c>
      <c r="AI247" s="14">
        <f t="shared" si="139"/>
        <v>2477.534022948832</v>
      </c>
      <c r="AJ247" s="44">
        <f t="shared" si="140"/>
        <v>15691.159513991359</v>
      </c>
      <c r="AK247" s="44">
        <f t="shared" si="141"/>
        <v>18674.034710971551</v>
      </c>
      <c r="AL247" s="44">
        <f t="shared" si="142"/>
        <v>3134.6055240211367</v>
      </c>
      <c r="AM247" s="14">
        <f t="shared" si="143"/>
        <v>3622.6601563917884</v>
      </c>
      <c r="AN247" s="14">
        <f t="shared" si="144"/>
        <v>2711.5770752230715</v>
      </c>
      <c r="AO247" s="14">
        <f t="shared" si="145"/>
        <v>4450.9023845830252</v>
      </c>
      <c r="AP247" s="14">
        <f t="shared" si="146"/>
        <v>2595.1114210296982</v>
      </c>
      <c r="AQ247" s="14">
        <f t="shared" si="147"/>
        <v>4450.9023845830252</v>
      </c>
      <c r="AR247" s="33">
        <f t="shared" si="148"/>
        <v>0.42385638259617814</v>
      </c>
      <c r="AS247" s="33">
        <f t="shared" si="149"/>
        <v>0.02</v>
      </c>
      <c r="AT247" s="51">
        <f t="shared" si="150"/>
        <v>0.40182958399056334</v>
      </c>
      <c r="AU247" s="51">
        <f>APPLICANTS_PER_YEAR*($H247/Segments!$AH$2)*AS247</f>
        <v>0.24</v>
      </c>
      <c r="AV247" s="51">
        <f t="shared" si="151"/>
        <v>0.64182958399056333</v>
      </c>
      <c r="AW247" s="14">
        <f t="shared" si="152"/>
        <v>4450.9023845830243</v>
      </c>
      <c r="AX247" s="44">
        <f t="shared" si="153"/>
        <v>2856.720825879529</v>
      </c>
      <c r="AY247" s="44">
        <f t="shared" si="154"/>
        <v>1949.2148324866253</v>
      </c>
      <c r="AZ247" s="44">
        <f t="shared" si="155"/>
        <v>596.14440780153961</v>
      </c>
    </row>
    <row r="248" spans="1:52" ht="15" customHeight="1" x14ac:dyDescent="0.35">
      <c r="A248" s="59" t="str">
        <f>Segments!$A$228</f>
        <v>Greek</v>
      </c>
      <c r="B248" s="59" t="str">
        <f>Segments!$B$228</f>
        <v>On campus</v>
      </c>
      <c r="C248" s="59" t="str">
        <f>Segments!$C$228</f>
        <v>No</v>
      </c>
      <c r="D248" s="59" t="str">
        <f>Segments!$D$228</f>
        <v>&lt;1.0</v>
      </c>
      <c r="E248" s="59" t="str">
        <f>Segments!$E$228</f>
        <v>Senior</v>
      </c>
      <c r="F248" s="59">
        <f>Segments!$F$228</f>
        <v>3</v>
      </c>
      <c r="G248" s="59" t="str">
        <f>Segments!$G$228</f>
        <v>Base</v>
      </c>
      <c r="H248" s="60">
        <f>Segments!$H$228</f>
        <v>5</v>
      </c>
      <c r="I248" s="26">
        <f>Segments!$Y$228</f>
        <v>2388.9877268445393</v>
      </c>
      <c r="J248" s="29">
        <v>3</v>
      </c>
      <c r="K248" s="14">
        <f t="shared" si="117"/>
        <v>1426.2297754450396</v>
      </c>
      <c r="L248" s="14">
        <f t="shared" si="118"/>
        <v>2388.9877268445393</v>
      </c>
      <c r="M248" s="14">
        <f t="shared" si="119"/>
        <v>3926.3469551663729</v>
      </c>
      <c r="N248" s="14">
        <f t="shared" si="120"/>
        <v>2366.4050659568516</v>
      </c>
      <c r="O248" s="14">
        <f t="shared" si="121"/>
        <v>1782.7872193062994</v>
      </c>
      <c r="P248" s="33">
        <f t="shared" si="122"/>
        <v>0.89831317555191403</v>
      </c>
      <c r="Q248" s="33">
        <f t="shared" si="123"/>
        <v>2.0398379455217719E-2</v>
      </c>
      <c r="R248" s="51">
        <f t="shared" si="124"/>
        <v>8.9831317555191408</v>
      </c>
      <c r="S248" s="51">
        <f>APPLICANTS_PER_YEAR*($H248/Segments!$AH$2)*Q248</f>
        <v>0.12239027673130631</v>
      </c>
      <c r="T248" s="51">
        <f t="shared" si="125"/>
        <v>9.1055220322504464</v>
      </c>
      <c r="U248" s="14">
        <f t="shared" si="126"/>
        <v>1811.5995013844488</v>
      </c>
      <c r="V248" s="44">
        <f t="shared" si="127"/>
        <v>16495.559173470021</v>
      </c>
      <c r="W248" s="44">
        <f t="shared" si="128"/>
        <v>24363.33802734593</v>
      </c>
      <c r="X248" s="44">
        <f t="shared" si="129"/>
        <v>3319.6500155126332</v>
      </c>
      <c r="Y248" s="14">
        <f t="shared" si="130"/>
        <v>1859.8049023572703</v>
      </c>
      <c r="Z248" s="14">
        <f t="shared" si="131"/>
        <v>2460.6573586498757</v>
      </c>
      <c r="AA248" s="14">
        <f t="shared" si="132"/>
        <v>4042.8873638213645</v>
      </c>
      <c r="AB248" s="14">
        <f t="shared" si="133"/>
        <v>2437.0205019991331</v>
      </c>
      <c r="AC248" s="14">
        <f t="shared" si="134"/>
        <v>2324.7561279465881</v>
      </c>
      <c r="AD248" s="33">
        <f t="shared" si="135"/>
        <v>0.798033120558578</v>
      </c>
      <c r="AE248" s="33">
        <f t="shared" si="136"/>
        <v>2.052659989833705E-2</v>
      </c>
      <c r="AF248" s="51">
        <f t="shared" si="137"/>
        <v>6.0056511513287916</v>
      </c>
      <c r="AG248" s="51">
        <f>APPLICANTS_PER_YEAR*($H248/Segments!$AH$2)*AE248</f>
        <v>0.1231595993900223</v>
      </c>
      <c r="AH248" s="51">
        <f t="shared" si="138"/>
        <v>6.1288107507188139</v>
      </c>
      <c r="AI248" s="14">
        <f t="shared" si="139"/>
        <v>2359.2822967771403</v>
      </c>
      <c r="AJ248" s="44">
        <f t="shared" si="140"/>
        <v>14459.594704468313</v>
      </c>
      <c r="AK248" s="44">
        <f t="shared" si="141"/>
        <v>16890.611666352164</v>
      </c>
      <c r="AL248" s="44">
        <f t="shared" si="142"/>
        <v>2875.9458177273905</v>
      </c>
      <c r="AM248" s="14">
        <f t="shared" si="143"/>
        <v>2477.534022948832</v>
      </c>
      <c r="AN248" s="14">
        <f t="shared" si="144"/>
        <v>2534.4770794093715</v>
      </c>
      <c r="AO248" s="14">
        <f t="shared" si="145"/>
        <v>4162.923984736005</v>
      </c>
      <c r="AP248" s="14">
        <f t="shared" si="146"/>
        <v>2509.7543437291711</v>
      </c>
      <c r="AQ248" s="14">
        <f t="shared" si="147"/>
        <v>3096.91752868604</v>
      </c>
      <c r="AR248" s="33">
        <f t="shared" si="148"/>
        <v>0.65802377353705066</v>
      </c>
      <c r="AS248" s="33">
        <f t="shared" si="149"/>
        <v>2.0651104731143288E-2</v>
      </c>
      <c r="AT248" s="51">
        <f t="shared" si="150"/>
        <v>4.1675133011005405</v>
      </c>
      <c r="AU248" s="51">
        <f>APPLICANTS_PER_YEAR*($H248/Segments!$AH$2)*AS248</f>
        <v>0.12390662838685973</v>
      </c>
      <c r="AV248" s="51">
        <f t="shared" si="151"/>
        <v>4.2914199294874003</v>
      </c>
      <c r="AW248" s="14">
        <f t="shared" si="152"/>
        <v>3127.6964475469481</v>
      </c>
      <c r="AX248" s="44">
        <f t="shared" si="153"/>
        <v>13422.258868389916</v>
      </c>
      <c r="AY248" s="44">
        <f t="shared" si="154"/>
        <v>12181.686103335165</v>
      </c>
      <c r="AZ248" s="44">
        <f t="shared" si="155"/>
        <v>2643.7864760563934</v>
      </c>
    </row>
    <row r="249" spans="1:52" ht="15" customHeight="1" x14ac:dyDescent="0.35">
      <c r="A249" s="59" t="str">
        <f>Segments!$A$229</f>
        <v>Greek</v>
      </c>
      <c r="B249" s="59" t="str">
        <f>Segments!$B$229</f>
        <v>On campus</v>
      </c>
      <c r="C249" s="59" t="str">
        <f>Segments!$C$229</f>
        <v>No</v>
      </c>
      <c r="D249" s="59" t="str">
        <f>Segments!$D$229</f>
        <v>&lt;1.0</v>
      </c>
      <c r="E249" s="59" t="str">
        <f>Segments!$E$229</f>
        <v>Grad student</v>
      </c>
      <c r="F249" s="59">
        <f>Segments!$F$229</f>
        <v>3</v>
      </c>
      <c r="G249" s="59" t="str">
        <f>Segments!$G$229</f>
        <v>Grad</v>
      </c>
      <c r="H249" s="60">
        <f>Segments!$H$229</f>
        <v>4</v>
      </c>
      <c r="I249" s="26">
        <f>Segments!$Y$229</f>
        <v>2844.5209266402048</v>
      </c>
      <c r="J249" s="29">
        <v>4</v>
      </c>
      <c r="K249" s="14">
        <f t="shared" si="117"/>
        <v>1426.2297754450396</v>
      </c>
      <c r="L249" s="14">
        <f t="shared" si="118"/>
        <v>2844.5209266402048</v>
      </c>
      <c r="M249" s="14">
        <f t="shared" si="119"/>
        <v>4667.0794512436023</v>
      </c>
      <c r="N249" s="14">
        <f t="shared" si="120"/>
        <v>2579.9859840183867</v>
      </c>
      <c r="O249" s="14">
        <f t="shared" si="121"/>
        <v>1782.7872193062994</v>
      </c>
      <c r="P249" s="33">
        <f t="shared" si="122"/>
        <v>0.92949672394545968</v>
      </c>
      <c r="Q249" s="33">
        <f t="shared" si="123"/>
        <v>0.02</v>
      </c>
      <c r="R249" s="51">
        <f t="shared" si="124"/>
        <v>1.8589934478909194</v>
      </c>
      <c r="S249" s="51">
        <f>APPLICANTS_PER_YEAR*($H249/Segments!$AH$2)*Q249</f>
        <v>9.6000000000000002E-2</v>
      </c>
      <c r="T249" s="51">
        <f t="shared" si="125"/>
        <v>1.9549934478909194</v>
      </c>
      <c r="U249" s="14">
        <f t="shared" si="126"/>
        <v>1924.4204583152061</v>
      </c>
      <c r="V249" s="44">
        <f t="shared" si="127"/>
        <v>3762.2293869934683</v>
      </c>
      <c r="W249" s="44">
        <f t="shared" si="128"/>
        <v>6228.3421468466322</v>
      </c>
      <c r="X249" s="44">
        <f t="shared" si="129"/>
        <v>768.24261005576238</v>
      </c>
      <c r="Y249" s="14">
        <f t="shared" si="130"/>
        <v>1924.4204583152061</v>
      </c>
      <c r="Z249" s="14">
        <f t="shared" si="131"/>
        <v>2929.856554439411</v>
      </c>
      <c r="AA249" s="14">
        <f t="shared" si="132"/>
        <v>4805.8418347809102</v>
      </c>
      <c r="AB249" s="14">
        <f t="shared" si="133"/>
        <v>2657.0400377994442</v>
      </c>
      <c r="AC249" s="14">
        <f t="shared" si="134"/>
        <v>2405.5255728940078</v>
      </c>
      <c r="AD249" s="33">
        <f t="shared" si="135"/>
        <v>0.82232982215686534</v>
      </c>
      <c r="AE249" s="33">
        <f t="shared" si="136"/>
        <v>0.02</v>
      </c>
      <c r="AF249" s="51">
        <f t="shared" si="137"/>
        <v>0.80382470716098842</v>
      </c>
      <c r="AG249" s="51">
        <f>APPLICANTS_PER_YEAR*($H249/Segments!$AH$2)*AE249</f>
        <v>9.6000000000000002E-2</v>
      </c>
      <c r="AH249" s="51">
        <f t="shared" si="138"/>
        <v>0.89982470716098839</v>
      </c>
      <c r="AI249" s="14">
        <f t="shared" si="139"/>
        <v>2661.6091848545716</v>
      </c>
      <c r="AJ249" s="44">
        <f t="shared" si="140"/>
        <v>2394.9817053387619</v>
      </c>
      <c r="AK249" s="44">
        <f t="shared" si="141"/>
        <v>2952.7201940568029</v>
      </c>
      <c r="AL249" s="44">
        <f t="shared" si="142"/>
        <v>489.1956650171096</v>
      </c>
      <c r="AM249" s="14">
        <f t="shared" si="143"/>
        <v>2661.6091848545716</v>
      </c>
      <c r="AN249" s="14">
        <f t="shared" si="144"/>
        <v>3017.752251072593</v>
      </c>
      <c r="AO249" s="14">
        <f t="shared" si="145"/>
        <v>4948.7670898243368</v>
      </c>
      <c r="AP249" s="14">
        <f t="shared" si="146"/>
        <v>2736.405668909983</v>
      </c>
      <c r="AQ249" s="14">
        <f t="shared" si="147"/>
        <v>3327.0114810682144</v>
      </c>
      <c r="AR249" s="33">
        <f t="shared" si="148"/>
        <v>0.66708365213015131</v>
      </c>
      <c r="AS249" s="33">
        <f t="shared" si="149"/>
        <v>0.02</v>
      </c>
      <c r="AT249" s="51">
        <f t="shared" si="150"/>
        <v>0.30012917596494804</v>
      </c>
      <c r="AU249" s="51">
        <f>APPLICANTS_PER_YEAR*($H249/Segments!$AH$2)*AS249</f>
        <v>9.6000000000000002E-2</v>
      </c>
      <c r="AV249" s="51">
        <f t="shared" si="151"/>
        <v>0.39612917596494801</v>
      </c>
      <c r="AW249" s="14">
        <f t="shared" si="152"/>
        <v>3720.0361505118108</v>
      </c>
      <c r="AX249" s="44">
        <f t="shared" si="153"/>
        <v>1473.6148548620608</v>
      </c>
      <c r="AY249" s="44">
        <f t="shared" si="154"/>
        <v>1338.8700779818037</v>
      </c>
      <c r="AZ249" s="44">
        <f t="shared" si="155"/>
        <v>305.46364851003818</v>
      </c>
    </row>
    <row r="250" spans="1:52" ht="15" customHeight="1" x14ac:dyDescent="0.35">
      <c r="A250" s="61" t="str">
        <f>Segments!$A$230</f>
        <v>Greek</v>
      </c>
      <c r="B250" s="61" t="str">
        <f>Segments!$B$230</f>
        <v>On campus</v>
      </c>
      <c r="C250" s="61" t="str">
        <f>Segments!$C$230</f>
        <v>No</v>
      </c>
      <c r="D250" s="61" t="str">
        <f>Segments!$D$230</f>
        <v>1.0-2.0</v>
      </c>
      <c r="E250" s="61" t="str">
        <f>Segments!$E$230</f>
        <v>Freshman</v>
      </c>
      <c r="F250" s="61">
        <f>Segments!$F$230</f>
        <v>1</v>
      </c>
      <c r="G250" s="61" t="str">
        <f>Segments!$G$230</f>
        <v>Base</v>
      </c>
      <c r="H250" s="62">
        <f>Segments!$H$230</f>
        <v>24</v>
      </c>
      <c r="I250" s="63">
        <f>Segments!$Y$230</f>
        <v>1960.0847278091142</v>
      </c>
      <c r="J250" s="42">
        <v>0</v>
      </c>
      <c r="K250" s="40">
        <f t="shared" si="117"/>
        <v>3228.9172416064639</v>
      </c>
      <c r="L250" s="40">
        <f t="shared" si="118"/>
        <v>1960.0847278091142</v>
      </c>
      <c r="M250" s="40">
        <f t="shared" si="119"/>
        <v>3228.9172416064639</v>
      </c>
      <c r="N250" s="40">
        <f t="shared" si="120"/>
        <v>2145.9678265125513</v>
      </c>
      <c r="O250" s="40">
        <f t="shared" si="121"/>
        <v>3228.9172416064639</v>
      </c>
      <c r="P250" s="41">
        <f t="shared" si="122"/>
        <v>0.59767808684861967</v>
      </c>
      <c r="Q250" s="41">
        <f t="shared" si="123"/>
        <v>9.7678086848619672E-2</v>
      </c>
      <c r="R250" s="64">
        <f t="shared" si="124"/>
        <v>0</v>
      </c>
      <c r="S250" s="64">
        <f>APPLICANTS_PER_YEAR*($H250/Segments!$AH$2)*Q250</f>
        <v>2.8131289012402463</v>
      </c>
      <c r="T250" s="64">
        <f t="shared" si="125"/>
        <v>2.8131289012402463</v>
      </c>
      <c r="U250" s="40">
        <f t="shared" si="126"/>
        <v>3228.9172416064639</v>
      </c>
      <c r="V250" s="65">
        <f t="shared" si="127"/>
        <v>9083.3604120760792</v>
      </c>
      <c r="W250" s="65">
        <f t="shared" si="128"/>
        <v>6175.6475162809738</v>
      </c>
      <c r="X250" s="65">
        <f t="shared" si="129"/>
        <v>2161.263532860853</v>
      </c>
      <c r="Y250" s="40">
        <f t="shared" si="130"/>
        <v>3324.5347588546579</v>
      </c>
      <c r="Z250" s="40">
        <f t="shared" si="131"/>
        <v>2018.8872696433875</v>
      </c>
      <c r="AA250" s="40">
        <f t="shared" si="132"/>
        <v>3324.5347588546579</v>
      </c>
      <c r="AB250" s="40">
        <f t="shared" si="133"/>
        <v>2209.9314415741324</v>
      </c>
      <c r="AC250" s="40">
        <f t="shared" si="134"/>
        <v>3324.5347588546579</v>
      </c>
      <c r="AD250" s="41">
        <f t="shared" si="135"/>
        <v>0.59781948066076773</v>
      </c>
      <c r="AE250" s="41">
        <f t="shared" si="136"/>
        <v>9.7819480660767733E-2</v>
      </c>
      <c r="AF250" s="64">
        <f t="shared" si="137"/>
        <v>0</v>
      </c>
      <c r="AG250" s="64">
        <f>APPLICANTS_PER_YEAR*($H250/Segments!$AH$2)*AE250</f>
        <v>2.8172010430301104</v>
      </c>
      <c r="AH250" s="64">
        <f t="shared" si="138"/>
        <v>2.8172010430301104</v>
      </c>
      <c r="AI250" s="40">
        <f t="shared" si="139"/>
        <v>3324.5347588546579</v>
      </c>
      <c r="AJ250" s="65">
        <f t="shared" si="140"/>
        <v>9365.8827902351986</v>
      </c>
      <c r="AK250" s="65">
        <f t="shared" si="141"/>
        <v>6370.1246804155116</v>
      </c>
      <c r="AL250" s="65">
        <f t="shared" si="142"/>
        <v>2224.7317919490392</v>
      </c>
      <c r="AM250" s="40">
        <f t="shared" si="143"/>
        <v>3423.0208016202973</v>
      </c>
      <c r="AN250" s="40">
        <f t="shared" si="144"/>
        <v>2079.4538877326891</v>
      </c>
      <c r="AO250" s="40">
        <f t="shared" si="145"/>
        <v>3423.0208016202973</v>
      </c>
      <c r="AP250" s="40">
        <f t="shared" si="146"/>
        <v>2275.8138881207419</v>
      </c>
      <c r="AQ250" s="40">
        <f t="shared" si="147"/>
        <v>3423.0208016202973</v>
      </c>
      <c r="AR250" s="41">
        <f t="shared" si="148"/>
        <v>0.59795678164024568</v>
      </c>
      <c r="AS250" s="41">
        <f t="shared" si="149"/>
        <v>9.7956781640245683E-2</v>
      </c>
      <c r="AT250" s="64">
        <f t="shared" si="150"/>
        <v>0</v>
      </c>
      <c r="AU250" s="64">
        <f>APPLICANTS_PER_YEAR*($H250/Segments!$AH$2)*AS250</f>
        <v>2.8211553112390755</v>
      </c>
      <c r="AV250" s="64">
        <f t="shared" si="151"/>
        <v>2.8211553112390755</v>
      </c>
      <c r="AW250" s="40">
        <f t="shared" si="152"/>
        <v>3423.0208016202973</v>
      </c>
      <c r="AX250" s="65">
        <f t="shared" si="153"/>
        <v>9656.8733149729396</v>
      </c>
      <c r="AY250" s="65">
        <f t="shared" si="154"/>
        <v>6570.4378654362781</v>
      </c>
      <c r="AZ250" s="65">
        <f t="shared" si="155"/>
        <v>2290.0916115596965</v>
      </c>
    </row>
    <row r="251" spans="1:52" ht="15" customHeight="1" x14ac:dyDescent="0.35">
      <c r="A251" s="61" t="str">
        <f>Segments!$A$231</f>
        <v>Greek</v>
      </c>
      <c r="B251" s="61" t="str">
        <f>Segments!$B$231</f>
        <v>On campus</v>
      </c>
      <c r="C251" s="61" t="str">
        <f>Segments!$C$231</f>
        <v>No</v>
      </c>
      <c r="D251" s="61" t="str">
        <f>Segments!$D$231</f>
        <v>1.0-2.0</v>
      </c>
      <c r="E251" s="61" t="str">
        <f>Segments!$E$231</f>
        <v>Sophomore</v>
      </c>
      <c r="F251" s="61">
        <f>Segments!$F$231</f>
        <v>1</v>
      </c>
      <c r="G251" s="61" t="str">
        <f>Segments!$G$231</f>
        <v>Sophomore</v>
      </c>
      <c r="H251" s="62">
        <f>Segments!$H$231</f>
        <v>23</v>
      </c>
      <c r="I251" s="63">
        <f>Segments!$Y$231</f>
        <v>1940.1433017359677</v>
      </c>
      <c r="J251" s="42">
        <v>1</v>
      </c>
      <c r="K251" s="40">
        <f t="shared" si="117"/>
        <v>1426.2297754450396</v>
      </c>
      <c r="L251" s="40">
        <f t="shared" si="118"/>
        <v>1940.1433017359677</v>
      </c>
      <c r="M251" s="40">
        <f t="shared" si="119"/>
        <v>3196.4909281849018</v>
      </c>
      <c r="N251" s="40">
        <f t="shared" si="120"/>
        <v>2135.1652251564183</v>
      </c>
      <c r="O251" s="40">
        <f t="shared" si="121"/>
        <v>1782.7872193062994</v>
      </c>
      <c r="P251" s="41">
        <f t="shared" si="122"/>
        <v>0.8575177371986058</v>
      </c>
      <c r="Q251" s="41">
        <f t="shared" si="123"/>
        <v>0.10146520500521616</v>
      </c>
      <c r="R251" s="64">
        <f t="shared" si="124"/>
        <v>20.580425692766539</v>
      </c>
      <c r="S251" s="64">
        <f>APPLICANTS_PER_YEAR*($H251/Segments!$AH$2)*Q251</f>
        <v>2.8004396581439659</v>
      </c>
      <c r="T251" s="64">
        <f t="shared" si="125"/>
        <v>23.380865350910504</v>
      </c>
      <c r="U251" s="40">
        <f t="shared" si="126"/>
        <v>1952.113370062079</v>
      </c>
      <c r="V251" s="65">
        <f t="shared" si="127"/>
        <v>45642.099855133594</v>
      </c>
      <c r="W251" s="65">
        <f t="shared" si="128"/>
        <v>50805.696815282747</v>
      </c>
      <c r="X251" s="65">
        <f t="shared" si="129"/>
        <v>9477.2904697685826</v>
      </c>
      <c r="Y251" s="40">
        <f t="shared" si="130"/>
        <v>3228.9172416064639</v>
      </c>
      <c r="Z251" s="40">
        <f t="shared" si="131"/>
        <v>1998.3476007880467</v>
      </c>
      <c r="AA251" s="40">
        <f t="shared" si="132"/>
        <v>3291.1356560304489</v>
      </c>
      <c r="AB251" s="40">
        <f t="shared" si="133"/>
        <v>2198.8026600150488</v>
      </c>
      <c r="AC251" s="40">
        <f t="shared" si="134"/>
        <v>3291.1356560304489</v>
      </c>
      <c r="AD251" s="41">
        <f t="shared" si="135"/>
        <v>0.59582657640085046</v>
      </c>
      <c r="AE251" s="41">
        <f t="shared" si="136"/>
        <v>0.10160731431716474</v>
      </c>
      <c r="AF251" s="64">
        <f t="shared" si="137"/>
        <v>1.6761369622002622</v>
      </c>
      <c r="AG251" s="64">
        <f>APPLICANTS_PER_YEAR*($H251/Segments!$AH$2)*AE251</f>
        <v>2.8043618751537469</v>
      </c>
      <c r="AH251" s="64">
        <f t="shared" si="138"/>
        <v>4.4804988373540091</v>
      </c>
      <c r="AI251" s="40">
        <f t="shared" si="139"/>
        <v>3291.1356560304484</v>
      </c>
      <c r="AJ251" s="65">
        <f t="shared" si="140"/>
        <v>14745.929480418748</v>
      </c>
      <c r="AK251" s="65">
        <f t="shared" si="141"/>
        <v>10028.025394195221</v>
      </c>
      <c r="AL251" s="65">
        <f t="shared" si="142"/>
        <v>3269.7334330156491</v>
      </c>
      <c r="AM251" s="40">
        <f t="shared" si="143"/>
        <v>3324.5347588546579</v>
      </c>
      <c r="AN251" s="40">
        <f t="shared" si="144"/>
        <v>2058.2980288116883</v>
      </c>
      <c r="AO251" s="40">
        <f t="shared" si="145"/>
        <v>3388.6197257113627</v>
      </c>
      <c r="AP251" s="40">
        <f t="shared" si="146"/>
        <v>2264.3491397780444</v>
      </c>
      <c r="AQ251" s="40">
        <f t="shared" si="147"/>
        <v>3388.6197257113627</v>
      </c>
      <c r="AR251" s="41">
        <f t="shared" si="148"/>
        <v>0.59596239891460157</v>
      </c>
      <c r="AS251" s="41">
        <f t="shared" si="149"/>
        <v>0.10174531034478163</v>
      </c>
      <c r="AT251" s="64">
        <f t="shared" si="150"/>
        <v>1.6789458918289424</v>
      </c>
      <c r="AU251" s="64">
        <f>APPLICANTS_PER_YEAR*($H251/Segments!$AH$2)*AS251</f>
        <v>2.8081705655159728</v>
      </c>
      <c r="AV251" s="64">
        <f t="shared" si="151"/>
        <v>4.4871164573449152</v>
      </c>
      <c r="AW251" s="40">
        <f t="shared" si="152"/>
        <v>3388.6197257113627</v>
      </c>
      <c r="AX251" s="65">
        <f t="shared" si="153"/>
        <v>15205.131338923067</v>
      </c>
      <c r="AY251" s="65">
        <f t="shared" si="154"/>
        <v>10344.121714305709</v>
      </c>
      <c r="AZ251" s="65">
        <f t="shared" si="155"/>
        <v>3366.7701923426885</v>
      </c>
    </row>
    <row r="252" spans="1:52" ht="15" customHeight="1" x14ac:dyDescent="0.35">
      <c r="A252" s="61" t="str">
        <f>Segments!$A$232</f>
        <v>Greek</v>
      </c>
      <c r="B252" s="61" t="str">
        <f>Segments!$B$232</f>
        <v>On campus</v>
      </c>
      <c r="C252" s="61" t="str">
        <f>Segments!$C$232</f>
        <v>No</v>
      </c>
      <c r="D252" s="61" t="str">
        <f>Segments!$D$232</f>
        <v>1.0-2.0</v>
      </c>
      <c r="E252" s="61" t="str">
        <f>Segments!$E$232</f>
        <v>Junior</v>
      </c>
      <c r="F252" s="61">
        <f>Segments!$F$232</f>
        <v>2</v>
      </c>
      <c r="G252" s="61" t="str">
        <f>Segments!$G$232</f>
        <v>Base</v>
      </c>
      <c r="H252" s="62">
        <f>Segments!$H$232</f>
        <v>22</v>
      </c>
      <c r="I252" s="63">
        <f>Segments!$Y$232</f>
        <v>2319.2970169230116</v>
      </c>
      <c r="J252" s="42">
        <v>2</v>
      </c>
      <c r="K252" s="40">
        <f t="shared" si="117"/>
        <v>1426.2297754450396</v>
      </c>
      <c r="L252" s="40">
        <f t="shared" si="118"/>
        <v>2319.2970169230116</v>
      </c>
      <c r="M252" s="40">
        <f t="shared" si="119"/>
        <v>3813.0244277705142</v>
      </c>
      <c r="N252" s="40">
        <f t="shared" si="120"/>
        <v>2332.0053544933362</v>
      </c>
      <c r="O252" s="40">
        <f t="shared" si="121"/>
        <v>1782.7872193062994</v>
      </c>
      <c r="P252" s="41">
        <f t="shared" si="122"/>
        <v>0.89275661966830322</v>
      </c>
      <c r="Q252" s="41">
        <f t="shared" si="123"/>
        <v>3.245804615681247E-2</v>
      </c>
      <c r="R252" s="64">
        <f t="shared" si="124"/>
        <v>20.533402252370973</v>
      </c>
      <c r="S252" s="64">
        <f>APPLICANTS_PER_YEAR*($H252/Segments!$AH$2)*Q252</f>
        <v>0.85689241853984932</v>
      </c>
      <c r="T252" s="64">
        <f t="shared" si="125"/>
        <v>21.390294670910823</v>
      </c>
      <c r="U252" s="40">
        <f t="shared" si="126"/>
        <v>1864.1182574493291</v>
      </c>
      <c r="V252" s="65">
        <f t="shared" si="127"/>
        <v>39874.038828265955</v>
      </c>
      <c r="W252" s="65">
        <f t="shared" si="128"/>
        <v>55563.70021590939</v>
      </c>
      <c r="X252" s="65">
        <f t="shared" si="129"/>
        <v>8099.778852759212</v>
      </c>
      <c r="Y252" s="40">
        <f t="shared" si="130"/>
        <v>1952.113370062079</v>
      </c>
      <c r="Z252" s="40">
        <f t="shared" si="131"/>
        <v>2388.8759274307022</v>
      </c>
      <c r="AA252" s="40">
        <f t="shared" si="132"/>
        <v>3926.1651606036303</v>
      </c>
      <c r="AB252" s="40">
        <f t="shared" si="133"/>
        <v>2401.5832413282883</v>
      </c>
      <c r="AC252" s="40">
        <f t="shared" si="134"/>
        <v>2440.1417125775988</v>
      </c>
      <c r="AD252" s="41">
        <f t="shared" si="135"/>
        <v>0.76697228091332281</v>
      </c>
      <c r="AE252" s="41">
        <f t="shared" si="136"/>
        <v>3.2588158295085101E-2</v>
      </c>
      <c r="AF252" s="64">
        <f t="shared" si="137"/>
        <v>17.932475627915107</v>
      </c>
      <c r="AG252" s="64">
        <f>APPLICANTS_PER_YEAR*($H252/Segments!$AH$2)*AE252</f>
        <v>0.86032737899024669</v>
      </c>
      <c r="AH252" s="64">
        <f t="shared" si="138"/>
        <v>18.792803006905352</v>
      </c>
      <c r="AI252" s="40">
        <f t="shared" si="139"/>
        <v>2508.1713012285586</v>
      </c>
      <c r="AJ252" s="65">
        <f t="shared" si="140"/>
        <v>47135.569171561765</v>
      </c>
      <c r="AK252" s="65">
        <f t="shared" si="141"/>
        <v>50280.915677600737</v>
      </c>
      <c r="AL252" s="65">
        <f t="shared" si="142"/>
        <v>9424.2093764117089</v>
      </c>
      <c r="AM252" s="40">
        <f t="shared" si="143"/>
        <v>3291.1356560304484</v>
      </c>
      <c r="AN252" s="40">
        <f t="shared" si="144"/>
        <v>2460.5422052536228</v>
      </c>
      <c r="AO252" s="40">
        <f t="shared" si="145"/>
        <v>4042.7001154217382</v>
      </c>
      <c r="AP252" s="40">
        <f t="shared" si="146"/>
        <v>2473.2484047964504</v>
      </c>
      <c r="AQ252" s="40">
        <f t="shared" si="147"/>
        <v>4042.7001154217382</v>
      </c>
      <c r="AR252" s="41">
        <f t="shared" si="148"/>
        <v>0.46420643485694812</v>
      </c>
      <c r="AS252" s="41">
        <f t="shared" si="149"/>
        <v>3.2714500577135763E-2</v>
      </c>
      <c r="AT252" s="64">
        <f t="shared" si="150"/>
        <v>2.0798763916688054</v>
      </c>
      <c r="AU252" s="64">
        <f>APPLICANTS_PER_YEAR*($H252/Segments!$AH$2)*AS252</f>
        <v>0.86366281523638422</v>
      </c>
      <c r="AV252" s="64">
        <f t="shared" si="151"/>
        <v>2.9435392069051898</v>
      </c>
      <c r="AW252" s="40">
        <f t="shared" si="152"/>
        <v>4042.7001154217378</v>
      </c>
      <c r="AX252" s="65">
        <f t="shared" si="153"/>
        <v>11899.846291504022</v>
      </c>
      <c r="AY252" s="65">
        <f t="shared" si="154"/>
        <v>8111.8267455780751</v>
      </c>
      <c r="AZ252" s="65">
        <f t="shared" si="155"/>
        <v>2451.7368453127292</v>
      </c>
    </row>
    <row r="253" spans="1:52" ht="15" customHeight="1" x14ac:dyDescent="0.35">
      <c r="A253" s="61" t="str">
        <f>Segments!$A$233</f>
        <v>Greek</v>
      </c>
      <c r="B253" s="61" t="str">
        <f>Segments!$B$233</f>
        <v>On campus</v>
      </c>
      <c r="C253" s="61" t="str">
        <f>Segments!$C$233</f>
        <v>No</v>
      </c>
      <c r="D253" s="61" t="str">
        <f>Segments!$D$233</f>
        <v>1.0-2.0</v>
      </c>
      <c r="E253" s="61" t="str">
        <f>Segments!$E$233</f>
        <v>Senior</v>
      </c>
      <c r="F253" s="61">
        <f>Segments!$F$233</f>
        <v>3</v>
      </c>
      <c r="G253" s="61" t="str">
        <f>Segments!$G$233</f>
        <v>Base</v>
      </c>
      <c r="H253" s="62">
        <f>Segments!$H$233</f>
        <v>23</v>
      </c>
      <c r="I253" s="63">
        <f>Segments!$Y$233</f>
        <v>2167.8178295006874</v>
      </c>
      <c r="J253" s="42">
        <v>3</v>
      </c>
      <c r="K253" s="40">
        <f t="shared" si="117"/>
        <v>1426.2297754450396</v>
      </c>
      <c r="L253" s="40">
        <f t="shared" si="118"/>
        <v>2167.8178295006874</v>
      </c>
      <c r="M253" s="40">
        <f t="shared" si="119"/>
        <v>3566.7074597571627</v>
      </c>
      <c r="N253" s="40">
        <f t="shared" si="120"/>
        <v>2255.4255428649394</v>
      </c>
      <c r="O253" s="40">
        <f t="shared" si="121"/>
        <v>1782.7872193062994</v>
      </c>
      <c r="P253" s="41">
        <f t="shared" si="122"/>
        <v>0.87977808169146532</v>
      </c>
      <c r="Q253" s="41">
        <f t="shared" si="123"/>
        <v>5.930498658213823E-2</v>
      </c>
      <c r="R253" s="64">
        <f t="shared" si="124"/>
        <v>19.355117797212237</v>
      </c>
      <c r="S253" s="64">
        <f>APPLICANTS_PER_YEAR*($H253/Segments!$AH$2)*Q253</f>
        <v>1.6368176296670149</v>
      </c>
      <c r="T253" s="64">
        <f t="shared" si="125"/>
        <v>20.991935426879252</v>
      </c>
      <c r="U253" s="40">
        <f t="shared" si="126"/>
        <v>1921.885975095674</v>
      </c>
      <c r="V253" s="65">
        <f t="shared" si="127"/>
        <v>40344.106287033253</v>
      </c>
      <c r="W253" s="65">
        <f t="shared" si="128"/>
        <v>50967.494921409889</v>
      </c>
      <c r="X253" s="65">
        <f t="shared" si="129"/>
        <v>8290.1269752783828</v>
      </c>
      <c r="Y253" s="40">
        <f t="shared" si="130"/>
        <v>1864.1182574493291</v>
      </c>
      <c r="Z253" s="40">
        <f t="shared" si="131"/>
        <v>2232.8523643857079</v>
      </c>
      <c r="AA253" s="40">
        <f t="shared" si="132"/>
        <v>3672.4586835498776</v>
      </c>
      <c r="AB253" s="40">
        <f t="shared" si="133"/>
        <v>2322.6930536077389</v>
      </c>
      <c r="AC253" s="40">
        <f t="shared" si="134"/>
        <v>2330.1478218116613</v>
      </c>
      <c r="AD253" s="41">
        <f t="shared" si="135"/>
        <v>0.77339523173491587</v>
      </c>
      <c r="AE253" s="41">
        <f t="shared" si="136"/>
        <v>5.9439517235046146E-2</v>
      </c>
      <c r="AF253" s="64">
        <f t="shared" si="137"/>
        <v>16.54315190388721</v>
      </c>
      <c r="AG253" s="64">
        <f>APPLICANTS_PER_YEAR*($H253/Segments!$AH$2)*AE253</f>
        <v>1.6405306756872735</v>
      </c>
      <c r="AH253" s="64">
        <f t="shared" si="138"/>
        <v>18.183682579574484</v>
      </c>
      <c r="AI253" s="40">
        <f t="shared" si="139"/>
        <v>2451.2510216367259</v>
      </c>
      <c r="AJ253" s="65">
        <f t="shared" si="140"/>
        <v>44572.770500299892</v>
      </c>
      <c r="AK253" s="65">
        <f t="shared" si="141"/>
        <v>45473.656077967149</v>
      </c>
      <c r="AL253" s="65">
        <f t="shared" si="142"/>
        <v>9039.8078824348686</v>
      </c>
      <c r="AM253" s="40">
        <f t="shared" si="143"/>
        <v>2508.1713012285586</v>
      </c>
      <c r="AN253" s="40">
        <f t="shared" si="144"/>
        <v>2299.8379353172791</v>
      </c>
      <c r="AO253" s="40">
        <f t="shared" si="145"/>
        <v>3781.382444056374</v>
      </c>
      <c r="AP253" s="40">
        <f t="shared" si="146"/>
        <v>2391.9785233802768</v>
      </c>
      <c r="AQ253" s="40">
        <f t="shared" si="147"/>
        <v>3135.2141265356981</v>
      </c>
      <c r="AR253" s="41">
        <f t="shared" si="148"/>
        <v>0.61963999239736034</v>
      </c>
      <c r="AS253" s="41">
        <f t="shared" si="149"/>
        <v>5.9570151425809903E-2</v>
      </c>
      <c r="AT253" s="64">
        <f t="shared" si="150"/>
        <v>11.644772312323923</v>
      </c>
      <c r="AU253" s="64">
        <f>APPLICANTS_PER_YEAR*($H253/Segments!$AH$2)*AS253</f>
        <v>1.6441361793523532</v>
      </c>
      <c r="AV253" s="64">
        <f t="shared" si="151"/>
        <v>13.288908491676276</v>
      </c>
      <c r="AW253" s="40">
        <f t="shared" si="152"/>
        <v>3215.1596472270644</v>
      </c>
      <c r="AX253" s="65">
        <f t="shared" si="153"/>
        <v>42725.962338130637</v>
      </c>
      <c r="AY253" s="65">
        <f t="shared" si="154"/>
        <v>34229.816172291074</v>
      </c>
      <c r="AZ253" s="65">
        <f t="shared" si="155"/>
        <v>8599.6872251724562</v>
      </c>
    </row>
    <row r="254" spans="1:52" ht="15" customHeight="1" x14ac:dyDescent="0.35">
      <c r="A254" s="61" t="str">
        <f>Segments!$A$234</f>
        <v>Greek</v>
      </c>
      <c r="B254" s="61" t="str">
        <f>Segments!$B$234</f>
        <v>On campus</v>
      </c>
      <c r="C254" s="61" t="str">
        <f>Segments!$C$234</f>
        <v>No</v>
      </c>
      <c r="D254" s="61" t="str">
        <f>Segments!$D$234</f>
        <v>1.0-2.0</v>
      </c>
      <c r="E254" s="61" t="str">
        <f>Segments!$E$234</f>
        <v>Grad student</v>
      </c>
      <c r="F254" s="61">
        <f>Segments!$F$234</f>
        <v>3</v>
      </c>
      <c r="G254" s="61" t="str">
        <f>Segments!$G$234</f>
        <v>Grad</v>
      </c>
      <c r="H254" s="62">
        <f>Segments!$H$234</f>
        <v>8</v>
      </c>
      <c r="I254" s="63">
        <f>Segments!$Y$234</f>
        <v>2581.1782588365409</v>
      </c>
      <c r="J254" s="42">
        <v>4</v>
      </c>
      <c r="K254" s="40">
        <f t="shared" si="117"/>
        <v>1426.2297754450396</v>
      </c>
      <c r="L254" s="40">
        <f t="shared" si="118"/>
        <v>2581.1782588365409</v>
      </c>
      <c r="M254" s="40">
        <f t="shared" si="119"/>
        <v>4238.8637432922524</v>
      </c>
      <c r="N254" s="40">
        <f t="shared" si="120"/>
        <v>2458.778901149477</v>
      </c>
      <c r="O254" s="40">
        <f t="shared" si="121"/>
        <v>1782.7872193062994</v>
      </c>
      <c r="P254" s="41">
        <f t="shared" si="122"/>
        <v>0.9124649183639798</v>
      </c>
      <c r="Q254" s="41">
        <f t="shared" si="123"/>
        <v>0.02</v>
      </c>
      <c r="R254" s="64">
        <f t="shared" si="124"/>
        <v>3.6498596734559192</v>
      </c>
      <c r="S254" s="64">
        <f>APPLICANTS_PER_YEAR*($H254/Segments!$AH$2)*Q254</f>
        <v>0.192</v>
      </c>
      <c r="T254" s="64">
        <f t="shared" si="125"/>
        <v>3.8418596734559194</v>
      </c>
      <c r="U254" s="40">
        <f t="shared" si="126"/>
        <v>1905.5316016332854</v>
      </c>
      <c r="V254" s="65">
        <f t="shared" si="127"/>
        <v>7320.7850168107889</v>
      </c>
      <c r="W254" s="65">
        <f t="shared" si="128"/>
        <v>11106.507622140305</v>
      </c>
      <c r="X254" s="65">
        <f t="shared" si="129"/>
        <v>1493.7507260012812</v>
      </c>
      <c r="Y254" s="40">
        <f t="shared" si="130"/>
        <v>1905.5316016332854</v>
      </c>
      <c r="Z254" s="40">
        <f t="shared" si="131"/>
        <v>2658.613606601637</v>
      </c>
      <c r="AA254" s="40">
        <f t="shared" si="132"/>
        <v>4364.7796555910199</v>
      </c>
      <c r="AB254" s="40">
        <f t="shared" si="133"/>
        <v>2532.1797071500432</v>
      </c>
      <c r="AC254" s="40">
        <f t="shared" si="134"/>
        <v>2381.9145020416067</v>
      </c>
      <c r="AD254" s="41">
        <f t="shared" si="135"/>
        <v>0.80467111786816259</v>
      </c>
      <c r="AE254" s="41">
        <f t="shared" si="136"/>
        <v>0.02</v>
      </c>
      <c r="AF254" s="64">
        <f t="shared" si="137"/>
        <v>1.5457167590661944</v>
      </c>
      <c r="AG254" s="64">
        <f>APPLICANTS_PER_YEAR*($H254/Segments!$AH$2)*AE254</f>
        <v>0.192</v>
      </c>
      <c r="AH254" s="64">
        <f t="shared" si="138"/>
        <v>1.7377167590661944</v>
      </c>
      <c r="AI254" s="40">
        <f t="shared" si="139"/>
        <v>2601.0009023397033</v>
      </c>
      <c r="AJ254" s="65">
        <f t="shared" si="140"/>
        <v>4519.8028583419964</v>
      </c>
      <c r="AK254" s="65">
        <f t="shared" si="141"/>
        <v>5174.3075104818536</v>
      </c>
      <c r="AL254" s="65">
        <f t="shared" si="142"/>
        <v>923.12839469353287</v>
      </c>
      <c r="AM254" s="40">
        <f t="shared" si="143"/>
        <v>2601.0009023397033</v>
      </c>
      <c r="AN254" s="40">
        <f t="shared" si="144"/>
        <v>2738.372014799686</v>
      </c>
      <c r="AO254" s="40">
        <f t="shared" si="145"/>
        <v>4494.4730452587501</v>
      </c>
      <c r="AP254" s="40">
        <f t="shared" si="146"/>
        <v>2607.7824861675172</v>
      </c>
      <c r="AQ254" s="40">
        <f t="shared" si="147"/>
        <v>3251.2511279246291</v>
      </c>
      <c r="AR254" s="41">
        <f t="shared" si="148"/>
        <v>0.6516253233982765</v>
      </c>
      <c r="AS254" s="41">
        <f t="shared" si="149"/>
        <v>0.02</v>
      </c>
      <c r="AT254" s="64">
        <f t="shared" si="150"/>
        <v>0.56617012255055688</v>
      </c>
      <c r="AU254" s="64">
        <f>APPLICANTS_PER_YEAR*($H254/Segments!$AH$2)*AS254</f>
        <v>0.192</v>
      </c>
      <c r="AV254" s="64">
        <f t="shared" si="151"/>
        <v>0.75817012255055682</v>
      </c>
      <c r="AW254" s="40">
        <f t="shared" si="152"/>
        <v>3566.0862830282704</v>
      </c>
      <c r="AX254" s="65">
        <f t="shared" si="153"/>
        <v>2703.7000742294035</v>
      </c>
      <c r="AY254" s="65">
        <f t="shared" si="154"/>
        <v>2325.2900675756564</v>
      </c>
      <c r="AZ254" s="65">
        <f t="shared" si="155"/>
        <v>561.16557534450726</v>
      </c>
    </row>
    <row r="255" spans="1:52" ht="15" customHeight="1" x14ac:dyDescent="0.35">
      <c r="A255" s="59" t="str">
        <f>Segments!$A$235</f>
        <v>Greek</v>
      </c>
      <c r="B255" s="59" t="str">
        <f>Segments!$B$235</f>
        <v>On campus</v>
      </c>
      <c r="C255" s="59" t="str">
        <f>Segments!$C$235</f>
        <v>No</v>
      </c>
      <c r="D255" s="59" t="str">
        <f>Segments!$D$235</f>
        <v>2.0-3.0</v>
      </c>
      <c r="E255" s="59" t="str">
        <f>Segments!$E$235</f>
        <v>Freshman</v>
      </c>
      <c r="F255" s="59">
        <f>Segments!$F$235</f>
        <v>1</v>
      </c>
      <c r="G255" s="59" t="str">
        <f>Segments!$G$235</f>
        <v>Base</v>
      </c>
      <c r="H255" s="60">
        <f>Segments!$H$235</f>
        <v>34</v>
      </c>
      <c r="I255" s="26">
        <f>Segments!$Y$235</f>
        <v>1926.1355105826724</v>
      </c>
      <c r="J255" s="29">
        <v>0</v>
      </c>
      <c r="K255" s="14">
        <f t="shared" si="117"/>
        <v>3173.7131677271277</v>
      </c>
      <c r="L255" s="14">
        <f t="shared" si="118"/>
        <v>1926.1355105826724</v>
      </c>
      <c r="M255" s="14">
        <f t="shared" si="119"/>
        <v>3173.7131677271277</v>
      </c>
      <c r="N255" s="14">
        <f t="shared" si="120"/>
        <v>2127.5441754601543</v>
      </c>
      <c r="O255" s="14">
        <f t="shared" si="121"/>
        <v>3173.7131677271277</v>
      </c>
      <c r="P255" s="33">
        <f t="shared" si="122"/>
        <v>0.60413695181189275</v>
      </c>
      <c r="Q255" s="33">
        <f t="shared" si="123"/>
        <v>0.10413695181189275</v>
      </c>
      <c r="R255" s="51">
        <f t="shared" si="124"/>
        <v>0</v>
      </c>
      <c r="S255" s="51">
        <f>APPLICANTS_PER_YEAR*($H255/Segments!$AH$2)*Q255</f>
        <v>4.2487876339252244</v>
      </c>
      <c r="T255" s="51">
        <f t="shared" si="125"/>
        <v>4.2487876339252244</v>
      </c>
      <c r="U255" s="14">
        <f t="shared" si="126"/>
        <v>3173.7131677271277</v>
      </c>
      <c r="V255" s="44">
        <f t="shared" si="127"/>
        <v>13484.433260664671</v>
      </c>
      <c r="W255" s="44">
        <f t="shared" si="128"/>
        <v>9165.789627263257</v>
      </c>
      <c r="X255" s="44">
        <f t="shared" si="129"/>
        <v>3211.7084939155216</v>
      </c>
      <c r="Y255" s="14">
        <f t="shared" si="130"/>
        <v>3267.6745627589421</v>
      </c>
      <c r="Z255" s="14">
        <f t="shared" si="131"/>
        <v>1983.9195759001527</v>
      </c>
      <c r="AA255" s="14">
        <f t="shared" si="132"/>
        <v>3267.6745627589421</v>
      </c>
      <c r="AB255" s="14">
        <f t="shared" si="133"/>
        <v>2190.9514829423515</v>
      </c>
      <c r="AC255" s="14">
        <f t="shared" si="134"/>
        <v>3267.6745627589421</v>
      </c>
      <c r="AD255" s="33">
        <f t="shared" si="135"/>
        <v>0.60427957026903245</v>
      </c>
      <c r="AE255" s="33">
        <f t="shared" si="136"/>
        <v>0.10427957026903245</v>
      </c>
      <c r="AF255" s="51">
        <f t="shared" si="137"/>
        <v>0</v>
      </c>
      <c r="AG255" s="51">
        <f>APPLICANTS_PER_YEAR*($H255/Segments!$AH$2)*AE255</f>
        <v>4.254606466976524</v>
      </c>
      <c r="AH255" s="51">
        <f t="shared" si="138"/>
        <v>4.254606466976524</v>
      </c>
      <c r="AI255" s="14">
        <f t="shared" si="139"/>
        <v>3267.6745627589421</v>
      </c>
      <c r="AJ255" s="44">
        <f t="shared" si="140"/>
        <v>13902.66932668888</v>
      </c>
      <c r="AK255" s="44">
        <f t="shared" si="141"/>
        <v>9453.6927044964468</v>
      </c>
      <c r="AL255" s="44">
        <f t="shared" si="142"/>
        <v>3305.6552201922527</v>
      </c>
      <c r="AM255" s="14">
        <f t="shared" si="143"/>
        <v>3364.45479964171</v>
      </c>
      <c r="AN255" s="14">
        <f t="shared" si="144"/>
        <v>2043.4371631771571</v>
      </c>
      <c r="AO255" s="14">
        <f t="shared" si="145"/>
        <v>3364.45479964171</v>
      </c>
      <c r="AP255" s="14">
        <f t="shared" si="146"/>
        <v>2256.2609306645609</v>
      </c>
      <c r="AQ255" s="14">
        <f t="shared" si="147"/>
        <v>3364.45479964171</v>
      </c>
      <c r="AR255" s="33">
        <f t="shared" si="148"/>
        <v>0.60441806089095795</v>
      </c>
      <c r="AS255" s="33">
        <f t="shared" si="149"/>
        <v>0.10441806089095795</v>
      </c>
      <c r="AT255" s="51">
        <f t="shared" si="150"/>
        <v>0</v>
      </c>
      <c r="AU255" s="51">
        <f>APPLICANTS_PER_YEAR*($H255/Segments!$AH$2)*AS255</f>
        <v>4.260256884351084</v>
      </c>
      <c r="AV255" s="51">
        <f t="shared" si="151"/>
        <v>4.260256884351084</v>
      </c>
      <c r="AW255" s="14">
        <f t="shared" si="152"/>
        <v>3364.45479964171</v>
      </c>
      <c r="AX255" s="44">
        <f t="shared" si="153"/>
        <v>14333.441722261641</v>
      </c>
      <c r="AY255" s="44">
        <f t="shared" si="154"/>
        <v>9750.2353112240526</v>
      </c>
      <c r="AZ255" s="44">
        <f t="shared" si="155"/>
        <v>3402.4025055824068</v>
      </c>
    </row>
    <row r="256" spans="1:52" ht="15" customHeight="1" x14ac:dyDescent="0.35">
      <c r="A256" s="59" t="str">
        <f>Segments!$A$236</f>
        <v>Greek</v>
      </c>
      <c r="B256" s="59" t="str">
        <f>Segments!$B$236</f>
        <v>On campus</v>
      </c>
      <c r="C256" s="59" t="str">
        <f>Segments!$C$236</f>
        <v>No</v>
      </c>
      <c r="D256" s="59" t="str">
        <f>Segments!$D$236</f>
        <v>2.0-3.0</v>
      </c>
      <c r="E256" s="59" t="str">
        <f>Segments!$E$236</f>
        <v>Sophomore</v>
      </c>
      <c r="F256" s="59">
        <f>Segments!$F$236</f>
        <v>1</v>
      </c>
      <c r="G256" s="59" t="str">
        <f>Segments!$G$236</f>
        <v>Sophomore</v>
      </c>
      <c r="H256" s="60">
        <f>Segments!$H$236</f>
        <v>39</v>
      </c>
      <c r="I256" s="26">
        <f>Segments!$Y$236</f>
        <v>1906.5394756020423</v>
      </c>
      <c r="J256" s="29">
        <v>1</v>
      </c>
      <c r="K256" s="14">
        <f t="shared" si="117"/>
        <v>1426.2297754450396</v>
      </c>
      <c r="L256" s="14">
        <f t="shared" si="118"/>
        <v>1906.5394756020423</v>
      </c>
      <c r="M256" s="14">
        <f t="shared" si="119"/>
        <v>3141.8484871485666</v>
      </c>
      <c r="N256" s="14">
        <f t="shared" si="120"/>
        <v>2116.8367585404972</v>
      </c>
      <c r="O256" s="14">
        <f t="shared" si="121"/>
        <v>1782.7872193062994</v>
      </c>
      <c r="P256" s="33">
        <f t="shared" si="122"/>
        <v>0.85390299946050541</v>
      </c>
      <c r="Q256" s="33">
        <f t="shared" si="123"/>
        <v>0.10789070071827644</v>
      </c>
      <c r="R256" s="51">
        <f t="shared" si="124"/>
        <v>29.032701981657183</v>
      </c>
      <c r="S256" s="51">
        <f>APPLICANTS_PER_YEAR*($H256/Segments!$AH$2)*Q256</f>
        <v>5.0492847936153371</v>
      </c>
      <c r="T256" s="51">
        <f t="shared" si="125"/>
        <v>34.081986775272519</v>
      </c>
      <c r="U256" s="14">
        <f t="shared" si="126"/>
        <v>1984.13367949231</v>
      </c>
      <c r="V256" s="44">
        <f t="shared" si="127"/>
        <v>67623.217824829713</v>
      </c>
      <c r="W256" s="44">
        <f t="shared" si="128"/>
        <v>72776.091577284271</v>
      </c>
      <c r="X256" s="44">
        <f t="shared" si="129"/>
        <v>14143.90309688874</v>
      </c>
      <c r="Y256" s="14">
        <f t="shared" si="130"/>
        <v>3173.7131677271277</v>
      </c>
      <c r="Z256" s="14">
        <f t="shared" si="131"/>
        <v>1963.7356598701037</v>
      </c>
      <c r="AA256" s="14">
        <f t="shared" si="132"/>
        <v>3234.8539417630241</v>
      </c>
      <c r="AB256" s="14">
        <f t="shared" si="133"/>
        <v>2179.9207236243533</v>
      </c>
      <c r="AC256" s="14">
        <f t="shared" si="134"/>
        <v>3234.8539417630241</v>
      </c>
      <c r="AD256" s="33">
        <f t="shared" si="135"/>
        <v>0.60225461728908358</v>
      </c>
      <c r="AE256" s="33">
        <f t="shared" si="136"/>
        <v>0.10803404070934963</v>
      </c>
      <c r="AF256" s="51">
        <f t="shared" si="137"/>
        <v>2.5588519704122268</v>
      </c>
      <c r="AG256" s="51">
        <f>APPLICANTS_PER_YEAR*($H256/Segments!$AH$2)*AE256</f>
        <v>5.0559931051975626</v>
      </c>
      <c r="AH256" s="51">
        <f t="shared" si="138"/>
        <v>7.6148450756097894</v>
      </c>
      <c r="AI256" s="14">
        <f t="shared" si="139"/>
        <v>3234.8539417630241</v>
      </c>
      <c r="AJ256" s="44">
        <f t="shared" si="140"/>
        <v>24632.911608751081</v>
      </c>
      <c r="AK256" s="44">
        <f t="shared" si="141"/>
        <v>16747.967957684545</v>
      </c>
      <c r="AL256" s="44">
        <f t="shared" si="142"/>
        <v>5506.755996101715</v>
      </c>
      <c r="AM256" s="14">
        <f t="shared" si="143"/>
        <v>3267.6745627589421</v>
      </c>
      <c r="AN256" s="14">
        <f t="shared" si="144"/>
        <v>2022.6477296662067</v>
      </c>
      <c r="AO256" s="14">
        <f t="shared" si="145"/>
        <v>3330.6495600159146</v>
      </c>
      <c r="AP256" s="14">
        <f t="shared" si="146"/>
        <v>2244.8971274711757</v>
      </c>
      <c r="AQ256" s="14">
        <f t="shared" si="147"/>
        <v>3330.6495600159146</v>
      </c>
      <c r="AR256" s="33">
        <f t="shared" si="148"/>
        <v>0.60239159799568109</v>
      </c>
      <c r="AS256" s="33">
        <f t="shared" si="149"/>
        <v>0.10817323224788167</v>
      </c>
      <c r="AT256" s="51">
        <f t="shared" si="150"/>
        <v>2.5629391884847474</v>
      </c>
      <c r="AU256" s="51">
        <f>APPLICANTS_PER_YEAR*($H256/Segments!$AH$2)*AS256</f>
        <v>5.0625072692008617</v>
      </c>
      <c r="AV256" s="51">
        <f t="shared" si="151"/>
        <v>7.6254464576856087</v>
      </c>
      <c r="AW256" s="14">
        <f t="shared" si="152"/>
        <v>3330.6495600159151</v>
      </c>
      <c r="AX256" s="44">
        <f t="shared" si="153"/>
        <v>25397.68988921549</v>
      </c>
      <c r="AY256" s="44">
        <f t="shared" si="154"/>
        <v>17274.423001168499</v>
      </c>
      <c r="AZ256" s="44">
        <f t="shared" si="155"/>
        <v>5669.3853162514042</v>
      </c>
    </row>
    <row r="257" spans="1:52" ht="15" customHeight="1" x14ac:dyDescent="0.35">
      <c r="A257" s="59" t="str">
        <f>Segments!$A$237</f>
        <v>Greek</v>
      </c>
      <c r="B257" s="59" t="str">
        <f>Segments!$B$237</f>
        <v>On campus</v>
      </c>
      <c r="C257" s="59" t="str">
        <f>Segments!$C$237</f>
        <v>No</v>
      </c>
      <c r="D257" s="59" t="str">
        <f>Segments!$D$237</f>
        <v>2.0-3.0</v>
      </c>
      <c r="E257" s="59" t="str">
        <f>Segments!$E$237</f>
        <v>Junior</v>
      </c>
      <c r="F257" s="59">
        <f>Segments!$F$237</f>
        <v>2</v>
      </c>
      <c r="G257" s="59" t="str">
        <f>Segments!$G$237</f>
        <v>Base</v>
      </c>
      <c r="H257" s="60">
        <f>Segments!$H$237</f>
        <v>38</v>
      </c>
      <c r="I257" s="26">
        <f>Segments!$Y$237</f>
        <v>2279.1261421016115</v>
      </c>
      <c r="J257" s="29">
        <v>2</v>
      </c>
      <c r="K257" s="14">
        <f t="shared" si="117"/>
        <v>1426.2297754450396</v>
      </c>
      <c r="L257" s="14">
        <f t="shared" si="118"/>
        <v>2279.1261421016115</v>
      </c>
      <c r="M257" s="14">
        <f t="shared" si="119"/>
        <v>3747.7034536035185</v>
      </c>
      <c r="N257" s="14">
        <f t="shared" si="120"/>
        <v>2311.944258641965</v>
      </c>
      <c r="O257" s="14">
        <f t="shared" si="121"/>
        <v>1782.7872193062994</v>
      </c>
      <c r="P257" s="33">
        <f t="shared" si="122"/>
        <v>0.88943983507770474</v>
      </c>
      <c r="Q257" s="33">
        <f t="shared" si="123"/>
        <v>3.9490957752390199E-2</v>
      </c>
      <c r="R257" s="51">
        <f t="shared" si="124"/>
        <v>34.688153568030486</v>
      </c>
      <c r="S257" s="51">
        <f>APPLICANTS_PER_YEAR*($H257/Segments!$AH$2)*Q257</f>
        <v>1.8007876735089932</v>
      </c>
      <c r="T257" s="51">
        <f t="shared" si="125"/>
        <v>36.488941241539479</v>
      </c>
      <c r="U257" s="14">
        <f t="shared" si="126"/>
        <v>1879.7589815390711</v>
      </c>
      <c r="V257" s="44">
        <f t="shared" si="127"/>
        <v>68590.415025635259</v>
      </c>
      <c r="W257" s="44">
        <f t="shared" si="128"/>
        <v>93142.447866946546</v>
      </c>
      <c r="X257" s="44">
        <f t="shared" si="129"/>
        <v>13974.595592926149</v>
      </c>
      <c r="Y257" s="14">
        <f t="shared" si="130"/>
        <v>1984.13367949231</v>
      </c>
      <c r="Z257" s="14">
        <f t="shared" si="131"/>
        <v>2347.49992636466</v>
      </c>
      <c r="AA257" s="14">
        <f t="shared" si="132"/>
        <v>3858.8845572116243</v>
      </c>
      <c r="AB257" s="14">
        <f t="shared" si="133"/>
        <v>2380.9169950179435</v>
      </c>
      <c r="AC257" s="14">
        <f t="shared" si="134"/>
        <v>2480.1670993653875</v>
      </c>
      <c r="AD257" s="33">
        <f t="shared" si="135"/>
        <v>0.75415716831894508</v>
      </c>
      <c r="AE257" s="33">
        <f t="shared" si="136"/>
        <v>3.962219907575093E-2</v>
      </c>
      <c r="AF257" s="51">
        <f t="shared" si="137"/>
        <v>25.703174637123258</v>
      </c>
      <c r="AG257" s="51">
        <f>APPLICANTS_PER_YEAR*($H257/Segments!$AH$2)*AE257</f>
        <v>1.8067722778542425</v>
      </c>
      <c r="AH257" s="51">
        <f t="shared" si="138"/>
        <v>27.509946914977501</v>
      </c>
      <c r="AI257" s="14">
        <f t="shared" si="139"/>
        <v>2570.7172007352319</v>
      </c>
      <c r="AJ257" s="44">
        <f t="shared" si="140"/>
        <v>70720.293725645795</v>
      </c>
      <c r="AK257" s="44">
        <f t="shared" si="141"/>
        <v>72329.150160070043</v>
      </c>
      <c r="AL257" s="44">
        <f t="shared" si="142"/>
        <v>14205.528156842305</v>
      </c>
      <c r="AM257" s="14">
        <f t="shared" si="143"/>
        <v>3234.8539417630241</v>
      </c>
      <c r="AN257" s="14">
        <f t="shared" si="144"/>
        <v>2417.9249241555995</v>
      </c>
      <c r="AO257" s="14">
        <f t="shared" si="145"/>
        <v>3973.4010939279724</v>
      </c>
      <c r="AP257" s="14">
        <f t="shared" si="146"/>
        <v>2451.9588519381145</v>
      </c>
      <c r="AQ257" s="14">
        <f t="shared" si="147"/>
        <v>3973.4010939279724</v>
      </c>
      <c r="AR257" s="33">
        <f t="shared" si="148"/>
        <v>0.47125685623189811</v>
      </c>
      <c r="AS257" s="33">
        <f t="shared" si="149"/>
        <v>3.9749638174544355E-2</v>
      </c>
      <c r="AT257" s="51">
        <f t="shared" si="150"/>
        <v>3.5885479510248199</v>
      </c>
      <c r="AU257" s="51">
        <f>APPLICANTS_PER_YEAR*($H257/Segments!$AH$2)*AS257</f>
        <v>1.8125835007592226</v>
      </c>
      <c r="AV257" s="51">
        <f t="shared" si="151"/>
        <v>5.4011314517840425</v>
      </c>
      <c r="AW257" s="14">
        <f t="shared" si="152"/>
        <v>3973.4010939279729</v>
      </c>
      <c r="AX257" s="44">
        <f t="shared" si="153"/>
        <v>21460.861618967494</v>
      </c>
      <c r="AY257" s="44">
        <f t="shared" si="154"/>
        <v>14626.673998618477</v>
      </c>
      <c r="AZ257" s="44">
        <f t="shared" si="155"/>
        <v>4461.5143068058542</v>
      </c>
    </row>
    <row r="258" spans="1:52" ht="15" customHeight="1" x14ac:dyDescent="0.35">
      <c r="A258" s="59" t="str">
        <f>Segments!$A$238</f>
        <v>Greek</v>
      </c>
      <c r="B258" s="59" t="str">
        <f>Segments!$B$238</f>
        <v>On campus</v>
      </c>
      <c r="C258" s="59" t="str">
        <f>Segments!$C$238</f>
        <v>No</v>
      </c>
      <c r="D258" s="59" t="str">
        <f>Segments!$D$238</f>
        <v>2.0-3.0</v>
      </c>
      <c r="E258" s="59" t="str">
        <f>Segments!$E$238</f>
        <v>Senior</v>
      </c>
      <c r="F258" s="59">
        <f>Segments!$F$238</f>
        <v>3</v>
      </c>
      <c r="G258" s="59" t="str">
        <f>Segments!$G$238</f>
        <v>Base</v>
      </c>
      <c r="H258" s="60">
        <f>Segments!$H$238</f>
        <v>41</v>
      </c>
      <c r="I258" s="26">
        <f>Segments!$Y$238</f>
        <v>2130.2706166904873</v>
      </c>
      <c r="J258" s="29">
        <v>3</v>
      </c>
      <c r="K258" s="14">
        <f t="shared" si="117"/>
        <v>1426.2297754450396</v>
      </c>
      <c r="L258" s="14">
        <f t="shared" si="118"/>
        <v>2130.2706166904873</v>
      </c>
      <c r="M258" s="14">
        <f t="shared" si="119"/>
        <v>3505.6527645601541</v>
      </c>
      <c r="N258" s="14">
        <f t="shared" si="120"/>
        <v>2236.038093411405</v>
      </c>
      <c r="O258" s="14">
        <f t="shared" si="121"/>
        <v>1782.7872193062994</v>
      </c>
      <c r="P258" s="33">
        <f t="shared" si="122"/>
        <v>0.8763513310530423</v>
      </c>
      <c r="Q258" s="33">
        <f t="shared" si="123"/>
        <v>6.6101734829623338E-2</v>
      </c>
      <c r="R258" s="51">
        <f t="shared" si="124"/>
        <v>33.301350580015608</v>
      </c>
      <c r="S258" s="51">
        <f>APPLICANTS_PER_YEAR*($H258/Segments!$AH$2)*Q258</f>
        <v>3.2522053536174682</v>
      </c>
      <c r="T258" s="51">
        <f t="shared" si="125"/>
        <v>36.553555933633078</v>
      </c>
      <c r="U258" s="14">
        <f t="shared" si="126"/>
        <v>1936.0722392373486</v>
      </c>
      <c r="V258" s="44">
        <f t="shared" si="127"/>
        <v>70770.324888516669</v>
      </c>
      <c r="W258" s="44">
        <f t="shared" si="128"/>
        <v>87213.242077887262</v>
      </c>
      <c r="X258" s="44">
        <f t="shared" si="129"/>
        <v>14587.006250551673</v>
      </c>
      <c r="Y258" s="14">
        <f t="shared" si="130"/>
        <v>1879.7589815390711</v>
      </c>
      <c r="Z258" s="14">
        <f t="shared" si="131"/>
        <v>2194.1787351912021</v>
      </c>
      <c r="AA258" s="14">
        <f t="shared" si="132"/>
        <v>3609.5723474969591</v>
      </c>
      <c r="AB258" s="14">
        <f t="shared" si="133"/>
        <v>2302.7205530376255</v>
      </c>
      <c r="AC258" s="14">
        <f t="shared" si="134"/>
        <v>2349.6987269238389</v>
      </c>
      <c r="AD258" s="33">
        <f t="shared" si="135"/>
        <v>0.76479941925123263</v>
      </c>
      <c r="AE258" s="33">
        <f t="shared" si="136"/>
        <v>6.6237432124491846E-2</v>
      </c>
      <c r="AF258" s="51">
        <f t="shared" si="137"/>
        <v>27.906721070621746</v>
      </c>
      <c r="AG258" s="51">
        <f>APPLICANTS_PER_YEAR*($H258/Segments!$AH$2)*AE258</f>
        <v>3.2588816605249988</v>
      </c>
      <c r="AH258" s="51">
        <f t="shared" si="138"/>
        <v>31.165602731146745</v>
      </c>
      <c r="AI258" s="14">
        <f t="shared" si="139"/>
        <v>2481.4394499281038</v>
      </c>
      <c r="AJ258" s="44">
        <f t="shared" si="140"/>
        <v>77335.556097854584</v>
      </c>
      <c r="AK258" s="44">
        <f t="shared" si="141"/>
        <v>76588.851115950936</v>
      </c>
      <c r="AL258" s="44">
        <f t="shared" si="142"/>
        <v>15732.915118026438</v>
      </c>
      <c r="AM258" s="14">
        <f t="shared" si="143"/>
        <v>2570.7172007352319</v>
      </c>
      <c r="AN258" s="14">
        <f t="shared" si="144"/>
        <v>2260.0040972469378</v>
      </c>
      <c r="AO258" s="14">
        <f t="shared" si="145"/>
        <v>3716.6095179218673</v>
      </c>
      <c r="AP258" s="14">
        <f t="shared" si="146"/>
        <v>2371.4034184201355</v>
      </c>
      <c r="AQ258" s="14">
        <f t="shared" si="147"/>
        <v>3213.3965009190397</v>
      </c>
      <c r="AR258" s="33">
        <f t="shared" si="148"/>
        <v>0.59746945501582926</v>
      </c>
      <c r="AS258" s="33">
        <f t="shared" si="149"/>
        <v>6.6369199552320679E-2</v>
      </c>
      <c r="AT258" s="51">
        <f t="shared" si="150"/>
        <v>16.436352990806</v>
      </c>
      <c r="AU258" s="51">
        <f>APPLICANTS_PER_YEAR*($H258/Segments!$AH$2)*AS258</f>
        <v>3.2653646179741775</v>
      </c>
      <c r="AV258" s="51">
        <f t="shared" si="151"/>
        <v>19.701717608780179</v>
      </c>
      <c r="AW258" s="14">
        <f t="shared" si="152"/>
        <v>3296.799075945939</v>
      </c>
      <c r="AX258" s="44">
        <f t="shared" si="153"/>
        <v>64952.604407174324</v>
      </c>
      <c r="AY258" s="44">
        <f t="shared" si="154"/>
        <v>49869.078020882793</v>
      </c>
      <c r="AZ258" s="44">
        <f t="shared" si="155"/>
        <v>13176.473683233589</v>
      </c>
    </row>
    <row r="259" spans="1:52" ht="15" customHeight="1" x14ac:dyDescent="0.35">
      <c r="A259" s="59" t="str">
        <f>Segments!$A$239</f>
        <v>Greek</v>
      </c>
      <c r="B259" s="59" t="str">
        <f>Segments!$B$239</f>
        <v>On campus</v>
      </c>
      <c r="C259" s="59" t="str">
        <f>Segments!$C$239</f>
        <v>No</v>
      </c>
      <c r="D259" s="59" t="str">
        <f>Segments!$D$239</f>
        <v>2.0-3.0</v>
      </c>
      <c r="E259" s="59" t="str">
        <f>Segments!$E$239</f>
        <v>Grad student</v>
      </c>
      <c r="F259" s="59">
        <f>Segments!$F$239</f>
        <v>3</v>
      </c>
      <c r="G259" s="59" t="str">
        <f>Segments!$G$239</f>
        <v>Grad</v>
      </c>
      <c r="H259" s="60">
        <f>Segments!$H$239</f>
        <v>16</v>
      </c>
      <c r="I259" s="26">
        <f>Segments!$Y$239</f>
        <v>2536.4715274559248</v>
      </c>
      <c r="J259" s="29">
        <v>4</v>
      </c>
      <c r="K259" s="14">
        <f t="shared" si="117"/>
        <v>1426.2297754450396</v>
      </c>
      <c r="L259" s="14">
        <f t="shared" si="118"/>
        <v>2536.4715274559248</v>
      </c>
      <c r="M259" s="14">
        <f t="shared" si="119"/>
        <v>4166.167112746175</v>
      </c>
      <c r="N259" s="14">
        <f t="shared" si="120"/>
        <v>2437.603656396685</v>
      </c>
      <c r="O259" s="14">
        <f t="shared" si="121"/>
        <v>1782.7872193062994</v>
      </c>
      <c r="P259" s="33">
        <f t="shared" si="122"/>
        <v>0.90931560856336024</v>
      </c>
      <c r="Q259" s="33">
        <f t="shared" si="123"/>
        <v>0.02</v>
      </c>
      <c r="R259" s="51">
        <f t="shared" si="124"/>
        <v>7.274524868506882</v>
      </c>
      <c r="S259" s="51">
        <f>APPLICANTS_PER_YEAR*($H259/Segments!$AH$2)*Q259</f>
        <v>0.38400000000000001</v>
      </c>
      <c r="T259" s="51">
        <f t="shared" si="125"/>
        <v>7.6585248685068823</v>
      </c>
      <c r="U259" s="14">
        <f t="shared" si="126"/>
        <v>1902.29037360752</v>
      </c>
      <c r="V259" s="44">
        <f t="shared" si="127"/>
        <v>14568.73813339444</v>
      </c>
      <c r="W259" s="44">
        <f t="shared" si="128"/>
        <v>21756.705903834543</v>
      </c>
      <c r="X259" s="44">
        <f t="shared" si="129"/>
        <v>2972.2552905769949</v>
      </c>
      <c r="Y259" s="14">
        <f t="shared" si="130"/>
        <v>1902.29037360752</v>
      </c>
      <c r="Z259" s="14">
        <f t="shared" si="131"/>
        <v>2612.5656732796028</v>
      </c>
      <c r="AA259" s="14">
        <f t="shared" si="132"/>
        <v>4289.9021261285607</v>
      </c>
      <c r="AB259" s="14">
        <f t="shared" si="133"/>
        <v>2510.3660550625723</v>
      </c>
      <c r="AC259" s="14">
        <f t="shared" si="134"/>
        <v>2377.8629670094001</v>
      </c>
      <c r="AD259" s="33">
        <f t="shared" si="135"/>
        <v>0.8013911886049363</v>
      </c>
      <c r="AE259" s="33">
        <f t="shared" si="136"/>
        <v>0.02</v>
      </c>
      <c r="AF259" s="51">
        <f t="shared" si="137"/>
        <v>3.0687371736665972</v>
      </c>
      <c r="AG259" s="51">
        <f>APPLICANTS_PER_YEAR*($H259/Segments!$AH$2)*AE259</f>
        <v>0.38400000000000001</v>
      </c>
      <c r="AH259" s="51">
        <f t="shared" si="138"/>
        <v>3.452737173666597</v>
      </c>
      <c r="AI259" s="14">
        <f t="shared" si="139"/>
        <v>2590.5125259452911</v>
      </c>
      <c r="AJ259" s="44">
        <f t="shared" si="140"/>
        <v>8944.3588971802619</v>
      </c>
      <c r="AK259" s="44">
        <f t="shared" si="141"/>
        <v>10102.962933031122</v>
      </c>
      <c r="AL259" s="44">
        <f t="shared" si="142"/>
        <v>1826.7948596155693</v>
      </c>
      <c r="AM259" s="14">
        <f t="shared" si="143"/>
        <v>2590.5125259452911</v>
      </c>
      <c r="AN259" s="14">
        <f t="shared" si="144"/>
        <v>2690.9426434779907</v>
      </c>
      <c r="AO259" s="14">
        <f t="shared" si="145"/>
        <v>4417.3491899124174</v>
      </c>
      <c r="AP259" s="14">
        <f t="shared" si="146"/>
        <v>2585.3112731799733</v>
      </c>
      <c r="AQ259" s="14">
        <f t="shared" si="147"/>
        <v>3238.1406574316138</v>
      </c>
      <c r="AR259" s="33">
        <f t="shared" si="148"/>
        <v>0.6487425951327227</v>
      </c>
      <c r="AS259" s="33">
        <f t="shared" si="149"/>
        <v>0.02</v>
      </c>
      <c r="AT259" s="51">
        <f t="shared" si="150"/>
        <v>1.1199688371778451</v>
      </c>
      <c r="AU259" s="51">
        <f>APPLICANTS_PER_YEAR*($H259/Segments!$AH$2)*AS259</f>
        <v>0.38400000000000001</v>
      </c>
      <c r="AV259" s="51">
        <f t="shared" si="151"/>
        <v>1.5039688371778452</v>
      </c>
      <c r="AW259" s="14">
        <f t="shared" si="152"/>
        <v>3539.2214147445943</v>
      </c>
      <c r="AX259" s="44">
        <f t="shared" si="153"/>
        <v>5322.8787156483559</v>
      </c>
      <c r="AY259" s="44">
        <f t="shared" si="154"/>
        <v>4532.7451438347352</v>
      </c>
      <c r="AZ259" s="44">
        <f t="shared" si="155"/>
        <v>1105.0726271135188</v>
      </c>
    </row>
    <row r="260" spans="1:52" ht="15" customHeight="1" x14ac:dyDescent="0.35">
      <c r="A260" s="61" t="str">
        <f>Segments!$A$240</f>
        <v>Greek</v>
      </c>
      <c r="B260" s="61" t="str">
        <f>Segments!$B$240</f>
        <v>On campus</v>
      </c>
      <c r="C260" s="61" t="str">
        <f>Segments!$C$240</f>
        <v>No</v>
      </c>
      <c r="D260" s="61" t="str">
        <f>Segments!$D$240</f>
        <v>3.0+</v>
      </c>
      <c r="E260" s="61" t="str">
        <f>Segments!$E$240</f>
        <v>Freshman</v>
      </c>
      <c r="F260" s="61">
        <f>Segments!$F$240</f>
        <v>1</v>
      </c>
      <c r="G260" s="61" t="str">
        <f>Segments!$G$240</f>
        <v>Base</v>
      </c>
      <c r="H260" s="62">
        <f>Segments!$H$240</f>
        <v>16</v>
      </c>
      <c r="I260" s="63">
        <f>Segments!$Y$240</f>
        <v>1688.3494930956354</v>
      </c>
      <c r="J260" s="42">
        <v>0</v>
      </c>
      <c r="K260" s="40">
        <f t="shared" si="117"/>
        <v>2787.0545655781643</v>
      </c>
      <c r="L260" s="40">
        <f t="shared" si="118"/>
        <v>1688.3494930956354</v>
      </c>
      <c r="M260" s="40">
        <f t="shared" si="119"/>
        <v>2787.0545655781643</v>
      </c>
      <c r="N260" s="40">
        <f t="shared" si="120"/>
        <v>1993.7352399999397</v>
      </c>
      <c r="O260" s="40">
        <f t="shared" si="121"/>
        <v>2787.0545655781643</v>
      </c>
      <c r="P260" s="41">
        <f t="shared" si="122"/>
        <v>0.65104697211996698</v>
      </c>
      <c r="Q260" s="41">
        <f t="shared" si="123"/>
        <v>0.15104697211996698</v>
      </c>
      <c r="R260" s="64">
        <f t="shared" si="124"/>
        <v>0</v>
      </c>
      <c r="S260" s="64">
        <f>APPLICANTS_PER_YEAR*($H260/Segments!$AH$2)*Q260</f>
        <v>2.9001018647033661</v>
      </c>
      <c r="T260" s="64">
        <f t="shared" si="125"/>
        <v>2.9001018647033661</v>
      </c>
      <c r="U260" s="40">
        <f t="shared" si="126"/>
        <v>2787.0545655781643</v>
      </c>
      <c r="V260" s="65">
        <f t="shared" si="127"/>
        <v>8082.7421426632645</v>
      </c>
      <c r="W260" s="65">
        <f t="shared" si="128"/>
        <v>5483.9517747813516</v>
      </c>
      <c r="X260" s="65">
        <f t="shared" si="129"/>
        <v>1941.0388238682228</v>
      </c>
      <c r="Y260" s="40">
        <f t="shared" si="130"/>
        <v>2869.4162025455093</v>
      </c>
      <c r="Z260" s="40">
        <f t="shared" si="131"/>
        <v>1738.9999778885044</v>
      </c>
      <c r="AA260" s="40">
        <f t="shared" si="132"/>
        <v>2869.4162025455093</v>
      </c>
      <c r="AB260" s="40">
        <f t="shared" si="133"/>
        <v>2053.1001512350254</v>
      </c>
      <c r="AC260" s="40">
        <f t="shared" si="134"/>
        <v>2869.4162025455093</v>
      </c>
      <c r="AD260" s="41">
        <f t="shared" si="135"/>
        <v>0.65119916439063241</v>
      </c>
      <c r="AE260" s="41">
        <f t="shared" si="136"/>
        <v>0.15119916439063241</v>
      </c>
      <c r="AF260" s="64">
        <f t="shared" si="137"/>
        <v>0</v>
      </c>
      <c r="AG260" s="64">
        <f>APPLICANTS_PER_YEAR*($H260/Segments!$AH$2)*AE260</f>
        <v>2.9030239563001423</v>
      </c>
      <c r="AH260" s="64">
        <f t="shared" si="138"/>
        <v>2.9030239563001423</v>
      </c>
      <c r="AI260" s="40">
        <f t="shared" si="139"/>
        <v>2869.4162025455098</v>
      </c>
      <c r="AJ260" s="65">
        <f t="shared" si="140"/>
        <v>8329.9839765853958</v>
      </c>
      <c r="AK260" s="65">
        <f t="shared" si="141"/>
        <v>5654.1616273136369</v>
      </c>
      <c r="AL260" s="65">
        <f t="shared" si="142"/>
        <v>1996.5524887886349</v>
      </c>
      <c r="AM260" s="40">
        <f t="shared" si="143"/>
        <v>2954.2486886218749</v>
      </c>
      <c r="AN260" s="40">
        <f t="shared" si="144"/>
        <v>1791.1699772251595</v>
      </c>
      <c r="AO260" s="40">
        <f t="shared" si="145"/>
        <v>2954.2486886218749</v>
      </c>
      <c r="AP260" s="40">
        <f t="shared" si="146"/>
        <v>2114.2459138208833</v>
      </c>
      <c r="AQ260" s="40">
        <f t="shared" si="147"/>
        <v>2954.2486886218749</v>
      </c>
      <c r="AR260" s="41">
        <f t="shared" si="148"/>
        <v>0.6513469555954039</v>
      </c>
      <c r="AS260" s="41">
        <f t="shared" si="149"/>
        <v>0.1513469555954039</v>
      </c>
      <c r="AT260" s="64">
        <f t="shared" si="150"/>
        <v>0</v>
      </c>
      <c r="AU260" s="64">
        <f>APPLICANTS_PER_YEAR*($H260/Segments!$AH$2)*AS260</f>
        <v>2.9058615474317548</v>
      </c>
      <c r="AV260" s="64">
        <f t="shared" si="151"/>
        <v>2.9058615474317548</v>
      </c>
      <c r="AW260" s="40">
        <f t="shared" si="152"/>
        <v>2954.2486886218749</v>
      </c>
      <c r="AX260" s="65">
        <f t="shared" si="153"/>
        <v>8584.6376658169938</v>
      </c>
      <c r="AY260" s="65">
        <f t="shared" si="154"/>
        <v>5829.4789971407399</v>
      </c>
      <c r="AZ260" s="65">
        <f t="shared" si="155"/>
        <v>2053.7226067774354</v>
      </c>
    </row>
    <row r="261" spans="1:52" ht="15" customHeight="1" x14ac:dyDescent="0.35">
      <c r="A261" s="61" t="str">
        <f>Segments!$A$241</f>
        <v>Greek</v>
      </c>
      <c r="B261" s="61" t="str">
        <f>Segments!$B$241</f>
        <v>On campus</v>
      </c>
      <c r="C261" s="61" t="str">
        <f>Segments!$C$241</f>
        <v>No</v>
      </c>
      <c r="D261" s="61" t="str">
        <f>Segments!$D$241</f>
        <v>3.0+</v>
      </c>
      <c r="E261" s="61" t="str">
        <f>Segments!$E$241</f>
        <v>Sophomore</v>
      </c>
      <c r="F261" s="61">
        <f>Segments!$F$241</f>
        <v>1</v>
      </c>
      <c r="G261" s="61" t="str">
        <f>Segments!$G$241</f>
        <v>Sophomore</v>
      </c>
      <c r="H261" s="62">
        <f>Segments!$H$241</f>
        <v>23</v>
      </c>
      <c r="I261" s="63">
        <f>Segments!$Y$241</f>
        <v>1671.1726353177405</v>
      </c>
      <c r="J261" s="42">
        <v>1</v>
      </c>
      <c r="K261" s="40">
        <f t="shared" si="117"/>
        <v>1426.2297754450396</v>
      </c>
      <c r="L261" s="40">
        <f t="shared" si="118"/>
        <v>1671.1726353177405</v>
      </c>
      <c r="M261" s="40">
        <f t="shared" si="119"/>
        <v>2759.1236557294624</v>
      </c>
      <c r="N261" s="40">
        <f t="shared" si="120"/>
        <v>1983.719816893537</v>
      </c>
      <c r="O261" s="40">
        <f t="shared" si="121"/>
        <v>1782.7872193062994</v>
      </c>
      <c r="P261" s="41">
        <f t="shared" si="122"/>
        <v>0.82564540765184624</v>
      </c>
      <c r="Q261" s="41">
        <f t="shared" si="123"/>
        <v>0.1545581255395756</v>
      </c>
      <c r="R261" s="64">
        <f t="shared" si="124"/>
        <v>13.21032652242954</v>
      </c>
      <c r="S261" s="64">
        <f>APPLICANTS_PER_YEAR*($H261/Segments!$AH$2)*Q261</f>
        <v>4.265804264892286</v>
      </c>
      <c r="T261" s="64">
        <f t="shared" si="125"/>
        <v>17.476130787321825</v>
      </c>
      <c r="U261" s="40">
        <f t="shared" si="126"/>
        <v>2021.1042807398917</v>
      </c>
      <c r="V261" s="65">
        <f t="shared" si="127"/>
        <v>35321.082745026353</v>
      </c>
      <c r="W261" s="65">
        <f t="shared" si="128"/>
        <v>32710.307328166851</v>
      </c>
      <c r="X261" s="65">
        <f t="shared" si="129"/>
        <v>7543.798212207882</v>
      </c>
      <c r="Y261" s="40">
        <f t="shared" si="130"/>
        <v>2787.0545655781643</v>
      </c>
      <c r="Z261" s="40">
        <f t="shared" si="131"/>
        <v>1721.3078143772727</v>
      </c>
      <c r="AA261" s="40">
        <f t="shared" si="132"/>
        <v>2840.6473654013462</v>
      </c>
      <c r="AB261" s="40">
        <f t="shared" si="133"/>
        <v>2042.7820073853088</v>
      </c>
      <c r="AC261" s="40">
        <f t="shared" si="134"/>
        <v>2840.6473654013462</v>
      </c>
      <c r="AD261" s="41">
        <f t="shared" si="135"/>
        <v>0.64894232957944831</v>
      </c>
      <c r="AE261" s="41">
        <f t="shared" si="136"/>
        <v>0.15471108636861408</v>
      </c>
      <c r="AF261" s="64">
        <f t="shared" si="137"/>
        <v>1.8819988600983044</v>
      </c>
      <c r="AG261" s="64">
        <f>APPLICANTS_PER_YEAR*($H261/Segments!$AH$2)*AE261</f>
        <v>4.2700259837737482</v>
      </c>
      <c r="AH261" s="64">
        <f t="shared" si="138"/>
        <v>6.1520248438720522</v>
      </c>
      <c r="AI261" s="40">
        <f t="shared" si="139"/>
        <v>2840.6473654013466</v>
      </c>
      <c r="AJ261" s="65">
        <f t="shared" si="140"/>
        <v>17475.733164628775</v>
      </c>
      <c r="AK261" s="65">
        <f t="shared" si="141"/>
        <v>11860.271850560097</v>
      </c>
      <c r="AL261" s="65">
        <f t="shared" si="142"/>
        <v>3957.2420467216998</v>
      </c>
      <c r="AM261" s="40">
        <f t="shared" si="143"/>
        <v>2869.4162025455098</v>
      </c>
      <c r="AN261" s="40">
        <f t="shared" si="144"/>
        <v>1772.9470488085908</v>
      </c>
      <c r="AO261" s="40">
        <f t="shared" si="145"/>
        <v>2924.6167863633864</v>
      </c>
      <c r="AP261" s="40">
        <f t="shared" si="146"/>
        <v>2103.6159661437132</v>
      </c>
      <c r="AQ261" s="40">
        <f t="shared" si="147"/>
        <v>2924.6167863633864</v>
      </c>
      <c r="AR261" s="41">
        <f t="shared" si="148"/>
        <v>0.64908835440454316</v>
      </c>
      <c r="AS261" s="41">
        <f t="shared" si="149"/>
        <v>0.15485962422962884</v>
      </c>
      <c r="AT261" s="64">
        <f t="shared" si="150"/>
        <v>1.8843190425918257</v>
      </c>
      <c r="AU261" s="64">
        <f>APPLICANTS_PER_YEAR*($H261/Segments!$AH$2)*AS261</f>
        <v>4.2741256287377558</v>
      </c>
      <c r="AV261" s="64">
        <f t="shared" si="151"/>
        <v>6.1584446713295815</v>
      </c>
      <c r="AW261" s="40">
        <f t="shared" si="152"/>
        <v>2924.6167863633864</v>
      </c>
      <c r="AX261" s="65">
        <f t="shared" si="153"/>
        <v>18011.090663660641</v>
      </c>
      <c r="AY261" s="65">
        <f t="shared" si="154"/>
        <v>12228.827861918946</v>
      </c>
      <c r="AZ261" s="65">
        <f t="shared" si="155"/>
        <v>4071.6244542060308</v>
      </c>
    </row>
    <row r="262" spans="1:52" ht="15" customHeight="1" x14ac:dyDescent="0.35">
      <c r="A262" s="61" t="str">
        <f>Segments!$A$242</f>
        <v>Greek</v>
      </c>
      <c r="B262" s="61" t="str">
        <f>Segments!$B$242</f>
        <v>On campus</v>
      </c>
      <c r="C262" s="61" t="str">
        <f>Segments!$C$242</f>
        <v>No</v>
      </c>
      <c r="D262" s="61" t="str">
        <f>Segments!$D$242</f>
        <v>3.0+</v>
      </c>
      <c r="E262" s="61" t="str">
        <f>Segments!$E$242</f>
        <v>Junior</v>
      </c>
      <c r="F262" s="61">
        <f>Segments!$F$242</f>
        <v>2</v>
      </c>
      <c r="G262" s="61" t="str">
        <f>Segments!$G$242</f>
        <v>Base</v>
      </c>
      <c r="H262" s="62">
        <f>Segments!$H$242</f>
        <v>24</v>
      </c>
      <c r="I262" s="63">
        <f>Segments!$Y$242</f>
        <v>1997.7625902106056</v>
      </c>
      <c r="J262" s="42">
        <v>2</v>
      </c>
      <c r="K262" s="40">
        <f t="shared" si="117"/>
        <v>1426.2297754450396</v>
      </c>
      <c r="L262" s="40">
        <f t="shared" si="118"/>
        <v>1997.7625902106056</v>
      </c>
      <c r="M262" s="40">
        <f t="shared" si="119"/>
        <v>3290.1843832243089</v>
      </c>
      <c r="N262" s="40">
        <f t="shared" si="120"/>
        <v>2166.2315051856258</v>
      </c>
      <c r="O262" s="40">
        <f t="shared" si="121"/>
        <v>1782.7872193062994</v>
      </c>
      <c r="P262" s="41">
        <f t="shared" si="122"/>
        <v>0.86350491855589295</v>
      </c>
      <c r="Q262" s="41">
        <f t="shared" si="123"/>
        <v>9.0574154851844613E-2</v>
      </c>
      <c r="R262" s="64">
        <f t="shared" si="124"/>
        <v>19.860613126785537</v>
      </c>
      <c r="S262" s="64">
        <f>APPLICANTS_PER_YEAR*($H262/Segments!$AH$2)*Q262</f>
        <v>2.6085356597331244</v>
      </c>
      <c r="T262" s="64">
        <f t="shared" si="125"/>
        <v>22.469148786518662</v>
      </c>
      <c r="U262" s="40">
        <f t="shared" si="126"/>
        <v>1957.7871399895405</v>
      </c>
      <c r="V262" s="65">
        <f t="shared" si="127"/>
        <v>43989.810540757826</v>
      </c>
      <c r="W262" s="65">
        <f t="shared" si="128"/>
        <v>50274.587865132969</v>
      </c>
      <c r="X262" s="65">
        <f t="shared" si="129"/>
        <v>9129.0602746027471</v>
      </c>
      <c r="Y262" s="40">
        <f t="shared" si="130"/>
        <v>2021.1042807398917</v>
      </c>
      <c r="Z262" s="40">
        <f t="shared" si="131"/>
        <v>2057.6954679169239</v>
      </c>
      <c r="AA262" s="40">
        <f t="shared" si="132"/>
        <v>3387.6399147210386</v>
      </c>
      <c r="AB262" s="40">
        <f t="shared" si="133"/>
        <v>2230.8069173075191</v>
      </c>
      <c r="AC262" s="40">
        <f t="shared" si="134"/>
        <v>2526.3803509248646</v>
      </c>
      <c r="AD262" s="41">
        <f t="shared" si="135"/>
        <v>0.70875190131333987</v>
      </c>
      <c r="AE262" s="41">
        <f t="shared" si="136"/>
        <v>9.0714225772223323E-2</v>
      </c>
      <c r="AF262" s="64">
        <f t="shared" si="137"/>
        <v>12.386240923114938</v>
      </c>
      <c r="AG262" s="64">
        <f>APPLICANTS_PER_YEAR*($H262/Segments!$AH$2)*AE262</f>
        <v>2.6125697022400316</v>
      </c>
      <c r="AH262" s="64">
        <f t="shared" si="138"/>
        <v>14.99881062535497</v>
      </c>
      <c r="AI262" s="40">
        <f t="shared" si="139"/>
        <v>2676.3989556224019</v>
      </c>
      <c r="AJ262" s="65">
        <f t="shared" si="140"/>
        <v>40142.801093278227</v>
      </c>
      <c r="AK262" s="65">
        <f t="shared" si="141"/>
        <v>34566.542805689583</v>
      </c>
      <c r="AL262" s="65">
        <f t="shared" si="142"/>
        <v>8262.0454508081566</v>
      </c>
      <c r="AM262" s="40">
        <f t="shared" si="143"/>
        <v>2840.6473654013466</v>
      </c>
      <c r="AN262" s="40">
        <f t="shared" si="144"/>
        <v>2119.4263319544316</v>
      </c>
      <c r="AO262" s="40">
        <f t="shared" si="145"/>
        <v>3488.0191121626694</v>
      </c>
      <c r="AP262" s="40">
        <f t="shared" si="146"/>
        <v>2297.3195169668097</v>
      </c>
      <c r="AQ262" s="40">
        <f t="shared" si="147"/>
        <v>3488.0191121626694</v>
      </c>
      <c r="AR262" s="41">
        <f t="shared" si="148"/>
        <v>0.52248148659122273</v>
      </c>
      <c r="AS262" s="41">
        <f t="shared" si="149"/>
        <v>9.0850241683411825E-2</v>
      </c>
      <c r="AT262" s="64">
        <f t="shared" si="150"/>
        <v>3.2143190859724049</v>
      </c>
      <c r="AU262" s="64">
        <f>APPLICANTS_PER_YEAR*($H262/Segments!$AH$2)*AS262</f>
        <v>2.6164869604822605</v>
      </c>
      <c r="AV262" s="64">
        <f t="shared" si="151"/>
        <v>5.8308060464546649</v>
      </c>
      <c r="AW262" s="40">
        <f t="shared" si="152"/>
        <v>3488.0191121626694</v>
      </c>
      <c r="AX262" s="65">
        <f t="shared" si="153"/>
        <v>20337.962929347526</v>
      </c>
      <c r="AY262" s="65">
        <f t="shared" si="154"/>
        <v>13840.919535940149</v>
      </c>
      <c r="AZ262" s="65">
        <f t="shared" si="155"/>
        <v>4345.3257669588611</v>
      </c>
    </row>
    <row r="263" spans="1:52" ht="15" customHeight="1" x14ac:dyDescent="0.35">
      <c r="A263" s="61" t="str">
        <f>Segments!$A$243</f>
        <v>Greek</v>
      </c>
      <c r="B263" s="61" t="str">
        <f>Segments!$B$243</f>
        <v>On campus</v>
      </c>
      <c r="C263" s="61" t="str">
        <f>Segments!$C$243</f>
        <v>No</v>
      </c>
      <c r="D263" s="61" t="str">
        <f>Segments!$D$243</f>
        <v>3.0+</v>
      </c>
      <c r="E263" s="61" t="str">
        <f>Segments!$E$243</f>
        <v>Senior</v>
      </c>
      <c r="F263" s="61">
        <f>Segments!$F$243</f>
        <v>3</v>
      </c>
      <c r="G263" s="61" t="str">
        <f>Segments!$G$243</f>
        <v>Base</v>
      </c>
      <c r="H263" s="62">
        <f>Segments!$H$243</f>
        <v>23</v>
      </c>
      <c r="I263" s="63">
        <f>Segments!$Y$243</f>
        <v>1867.2836340356425</v>
      </c>
      <c r="J263" s="42">
        <v>3</v>
      </c>
      <c r="K263" s="40">
        <f t="shared" si="117"/>
        <v>1426.2297754450396</v>
      </c>
      <c r="L263" s="40">
        <f t="shared" si="118"/>
        <v>1867.2836340356425</v>
      </c>
      <c r="M263" s="40">
        <f t="shared" si="119"/>
        <v>3078.0154283898751</v>
      </c>
      <c r="N263" s="40">
        <f t="shared" si="120"/>
        <v>2095.2224829952688</v>
      </c>
      <c r="O263" s="40">
        <f t="shared" si="121"/>
        <v>1782.7872193062994</v>
      </c>
      <c r="P263" s="41">
        <f t="shared" si="122"/>
        <v>0.8495589707595923</v>
      </c>
      <c r="Q263" s="41">
        <f t="shared" si="123"/>
        <v>0.11546811773668197</v>
      </c>
      <c r="R263" s="64">
        <f t="shared" si="124"/>
        <v>20.389415298230215</v>
      </c>
      <c r="S263" s="64">
        <f>APPLICANTS_PER_YEAR*($H263/Segments!$AH$2)*Q263</f>
        <v>3.1869200495324224</v>
      </c>
      <c r="T263" s="64">
        <f t="shared" si="125"/>
        <v>23.576335347762637</v>
      </c>
      <c r="U263" s="40">
        <f t="shared" si="126"/>
        <v>1957.8690836996198</v>
      </c>
      <c r="V263" s="65">
        <f t="shared" si="127"/>
        <v>46159.378084318989</v>
      </c>
      <c r="W263" s="65">
        <f t="shared" si="128"/>
        <v>49306.549762862771</v>
      </c>
      <c r="X263" s="65">
        <f t="shared" si="129"/>
        <v>9618.6507839825554</v>
      </c>
      <c r="Y263" s="40">
        <f t="shared" si="130"/>
        <v>1957.7871399895405</v>
      </c>
      <c r="Z263" s="40">
        <f t="shared" si="131"/>
        <v>1923.3021430567119</v>
      </c>
      <c r="AA263" s="40">
        <f t="shared" si="132"/>
        <v>3169.1058912415715</v>
      </c>
      <c r="AB263" s="40">
        <f t="shared" si="133"/>
        <v>2157.6536745121607</v>
      </c>
      <c r="AC263" s="40">
        <f t="shared" si="134"/>
        <v>2447.2339249869256</v>
      </c>
      <c r="AD263" s="41">
        <f t="shared" si="135"/>
        <v>0.70789464062386243</v>
      </c>
      <c r="AE263" s="41">
        <f t="shared" si="136"/>
        <v>0.11561293671049933</v>
      </c>
      <c r="AF263" s="64">
        <f t="shared" si="137"/>
        <v>15.905790005356723</v>
      </c>
      <c r="AG263" s="64">
        <f>APPLICANTS_PER_YEAR*($H263/Segments!$AH$2)*AE263</f>
        <v>3.1909170532097813</v>
      </c>
      <c r="AH263" s="64">
        <f t="shared" si="138"/>
        <v>19.096707058566505</v>
      </c>
      <c r="AI263" s="40">
        <f t="shared" si="139"/>
        <v>2567.8533365059779</v>
      </c>
      <c r="AJ263" s="65">
        <f t="shared" si="140"/>
        <v>49037.542936617261</v>
      </c>
      <c r="AK263" s="65">
        <f t="shared" si="141"/>
        <v>41136.186124395266</v>
      </c>
      <c r="AL263" s="65">
        <f t="shared" si="142"/>
        <v>10083.735073634896</v>
      </c>
      <c r="AM263" s="40">
        <f t="shared" si="143"/>
        <v>2676.3989556224019</v>
      </c>
      <c r="AN263" s="40">
        <f t="shared" si="144"/>
        <v>1981.0012073484131</v>
      </c>
      <c r="AO263" s="40">
        <f t="shared" si="145"/>
        <v>3262.9290679788182</v>
      </c>
      <c r="AP263" s="40">
        <f t="shared" si="146"/>
        <v>2221.957719076634</v>
      </c>
      <c r="AQ263" s="40">
        <f t="shared" si="147"/>
        <v>3262.9290679788182</v>
      </c>
      <c r="AR263" s="41">
        <f t="shared" si="148"/>
        <v>0.55000886973271235</v>
      </c>
      <c r="AS263" s="41">
        <f t="shared" si="149"/>
        <v>0.11575356498350142</v>
      </c>
      <c r="AT263" s="64">
        <f t="shared" si="150"/>
        <v>8.2494788793864835</v>
      </c>
      <c r="AU263" s="64">
        <f>APPLICANTS_PER_YEAR*($H263/Segments!$AH$2)*AS263</f>
        <v>3.1947983935446391</v>
      </c>
      <c r="AV263" s="64">
        <f t="shared" si="151"/>
        <v>11.444277272931123</v>
      </c>
      <c r="AW263" s="40">
        <f t="shared" si="152"/>
        <v>3262.9290679788182</v>
      </c>
      <c r="AX263" s="65">
        <f t="shared" si="153"/>
        <v>37341.864975856319</v>
      </c>
      <c r="AY263" s="65">
        <f t="shared" si="154"/>
        <v>25391.662346295347</v>
      </c>
      <c r="AZ263" s="65">
        <f t="shared" si="155"/>
        <v>7731.2220047960927</v>
      </c>
    </row>
    <row r="264" spans="1:52" ht="15" customHeight="1" x14ac:dyDescent="0.35">
      <c r="A264" s="61" t="str">
        <f>Segments!$A$244</f>
        <v>Greek</v>
      </c>
      <c r="B264" s="61" t="str">
        <f>Segments!$B$244</f>
        <v>On campus</v>
      </c>
      <c r="C264" s="61" t="str">
        <f>Segments!$C$244</f>
        <v>No</v>
      </c>
      <c r="D264" s="61" t="str">
        <f>Segments!$D$244</f>
        <v>3.0+</v>
      </c>
      <c r="E264" s="61" t="str">
        <f>Segments!$E$244</f>
        <v>Grad student</v>
      </c>
      <c r="F264" s="61">
        <f>Segments!$F$244</f>
        <v>3</v>
      </c>
      <c r="G264" s="61" t="str">
        <f>Segments!$G$244</f>
        <v>Grad</v>
      </c>
      <c r="H264" s="62">
        <f>Segments!$H$244</f>
        <v>13</v>
      </c>
      <c r="I264" s="63">
        <f>Segments!$Y$244</f>
        <v>2223.3380746592666</v>
      </c>
      <c r="J264" s="42">
        <v>4</v>
      </c>
      <c r="K264" s="40">
        <f t="shared" si="117"/>
        <v>1426.2297754450396</v>
      </c>
      <c r="L264" s="40">
        <f t="shared" si="118"/>
        <v>2223.3380746592666</v>
      </c>
      <c r="M264" s="40">
        <f t="shared" si="119"/>
        <v>3656.9877067239731</v>
      </c>
      <c r="N264" s="40">
        <f t="shared" si="120"/>
        <v>2283.7917496492983</v>
      </c>
      <c r="O264" s="40">
        <f t="shared" si="121"/>
        <v>1782.7872193062994</v>
      </c>
      <c r="P264" s="41">
        <f t="shared" si="122"/>
        <v>0.8846869997932022</v>
      </c>
      <c r="Q264" s="41">
        <f t="shared" si="123"/>
        <v>4.9360513653325722E-2</v>
      </c>
      <c r="R264" s="64">
        <f t="shared" si="124"/>
        <v>5.7504654986558146</v>
      </c>
      <c r="S264" s="64">
        <f>APPLICANTS_PER_YEAR*($H264/Segments!$AH$2)*Q264</f>
        <v>0.77002401299188128</v>
      </c>
      <c r="T264" s="64">
        <f t="shared" si="125"/>
        <v>6.5204895116476962</v>
      </c>
      <c r="U264" s="40">
        <f t="shared" si="126"/>
        <v>2004.1171329415738</v>
      </c>
      <c r="V264" s="65">
        <f t="shared" si="127"/>
        <v>13067.824745458984</v>
      </c>
      <c r="W264" s="65">
        <f t="shared" si="128"/>
        <v>16236.922908262261</v>
      </c>
      <c r="X264" s="65">
        <f t="shared" si="129"/>
        <v>2718.038159678274</v>
      </c>
      <c r="Y264" s="40">
        <f t="shared" si="130"/>
        <v>2004.1171329415738</v>
      </c>
      <c r="Z264" s="40">
        <f t="shared" si="131"/>
        <v>2290.0382168990445</v>
      </c>
      <c r="AA264" s="40">
        <f t="shared" si="132"/>
        <v>3765.4473379256924</v>
      </c>
      <c r="AB264" s="40">
        <f t="shared" si="133"/>
        <v>2351.9151567512972</v>
      </c>
      <c r="AC264" s="40">
        <f t="shared" si="134"/>
        <v>2505.1464161769673</v>
      </c>
      <c r="AD264" s="41">
        <f t="shared" si="135"/>
        <v>0.74242415240069115</v>
      </c>
      <c r="AE264" s="41">
        <f t="shared" si="136"/>
        <v>4.9493373067311497E-2</v>
      </c>
      <c r="AF264" s="64">
        <f t="shared" si="137"/>
        <v>2.4204844494613189</v>
      </c>
      <c r="AG264" s="64">
        <f>APPLICANTS_PER_YEAR*($H264/Segments!$AH$2)*AE264</f>
        <v>0.77209661985005928</v>
      </c>
      <c r="AH264" s="64">
        <f t="shared" si="138"/>
        <v>3.1925810693113781</v>
      </c>
      <c r="AI264" s="40">
        <f t="shared" si="139"/>
        <v>2809.9387019640881</v>
      </c>
      <c r="AJ264" s="65">
        <f t="shared" si="140"/>
        <v>8970.9571058159345</v>
      </c>
      <c r="AK264" s="65">
        <f t="shared" si="141"/>
        <v>8188.4685783840505</v>
      </c>
      <c r="AL264" s="65">
        <f t="shared" si="142"/>
        <v>1880.4200505459451</v>
      </c>
      <c r="AM264" s="40">
        <f t="shared" si="143"/>
        <v>2809.9387019640881</v>
      </c>
      <c r="AN264" s="40">
        <f t="shared" si="144"/>
        <v>2358.7393634060159</v>
      </c>
      <c r="AO264" s="40">
        <f t="shared" si="145"/>
        <v>3877.1607580634632</v>
      </c>
      <c r="AP264" s="40">
        <f t="shared" si="146"/>
        <v>2422.0822022142452</v>
      </c>
      <c r="AQ264" s="40">
        <f t="shared" si="147"/>
        <v>3512.4233774551103</v>
      </c>
      <c r="AR264" s="41">
        <f t="shared" si="148"/>
        <v>0.54991656264925992</v>
      </c>
      <c r="AS264" s="41">
        <f t="shared" si="149"/>
        <v>4.962238388957263E-2</v>
      </c>
      <c r="AT264" s="64">
        <f t="shared" si="150"/>
        <v>0.87782660380740585</v>
      </c>
      <c r="AU264" s="64">
        <f>APPLICANTS_PER_YEAR*($H264/Segments!$AH$2)*AS264</f>
        <v>0.77410918867733303</v>
      </c>
      <c r="AV264" s="64">
        <f t="shared" si="151"/>
        <v>1.6519357924847389</v>
      </c>
      <c r="AW264" s="40">
        <f t="shared" si="152"/>
        <v>3683.3419803860024</v>
      </c>
      <c r="AX264" s="65">
        <f t="shared" si="153"/>
        <v>6084.6444533612585</v>
      </c>
      <c r="AY264" s="65">
        <f t="shared" si="154"/>
        <v>4364.0642970994331</v>
      </c>
      <c r="AZ264" s="65">
        <f t="shared" si="155"/>
        <v>1307.4363491597696</v>
      </c>
    </row>
    <row r="265" spans="1:52" ht="15" customHeight="1" x14ac:dyDescent="0.35">
      <c r="A265" s="59" t="str">
        <f>Segments!$A$245</f>
        <v>Greek</v>
      </c>
      <c r="B265" s="59" t="str">
        <f>Segments!$B$245</f>
        <v>Off 0-1mi</v>
      </c>
      <c r="C265" s="59" t="str">
        <f>Segments!$C$245</f>
        <v>Yes</v>
      </c>
      <c r="D265" s="59" t="str">
        <f>Segments!$D$245</f>
        <v>&lt;1.0</v>
      </c>
      <c r="E265" s="59" t="str">
        <f>Segments!$E$245</f>
        <v>Freshman</v>
      </c>
      <c r="F265" s="59">
        <f>Segments!$F$245</f>
        <v>1</v>
      </c>
      <c r="G265" s="59" t="str">
        <f>Segments!$G$245</f>
        <v>Base</v>
      </c>
      <c r="H265" s="60">
        <f>Segments!$H$245</f>
        <v>1</v>
      </c>
      <c r="I265" s="26">
        <f>Segments!$Y$245</f>
        <v>3200.6454870823927</v>
      </c>
      <c r="J265" s="29">
        <v>0</v>
      </c>
      <c r="K265" s="14">
        <f t="shared" si="117"/>
        <v>5246.1657498692011</v>
      </c>
      <c r="L265" s="14">
        <f t="shared" si="118"/>
        <v>3200.6454870823927</v>
      </c>
      <c r="M265" s="14">
        <f t="shared" si="119"/>
        <v>5246.1657498692011</v>
      </c>
      <c r="N265" s="14">
        <f t="shared" si="120"/>
        <v>2735.3679458865145</v>
      </c>
      <c r="O265" s="14">
        <f t="shared" si="121"/>
        <v>5246.1657498692011</v>
      </c>
      <c r="P265" s="33">
        <f t="shared" si="122"/>
        <v>0.39104934808524383</v>
      </c>
      <c r="Q265" s="33">
        <f t="shared" si="123"/>
        <v>0.02</v>
      </c>
      <c r="R265" s="51">
        <f t="shared" si="124"/>
        <v>0</v>
      </c>
      <c r="S265" s="51">
        <f>APPLICANTS_PER_YEAR*($H265/Segments!$AH$2)*Q265</f>
        <v>2.4E-2</v>
      </c>
      <c r="T265" s="51">
        <f t="shared" si="125"/>
        <v>2.4E-2</v>
      </c>
      <c r="U265" s="14">
        <f t="shared" si="126"/>
        <v>5246.1657498692011</v>
      </c>
      <c r="V265" s="44">
        <f t="shared" si="127"/>
        <v>125.90797799686084</v>
      </c>
      <c r="W265" s="44">
        <f t="shared" si="128"/>
        <v>86.033350692774718</v>
      </c>
      <c r="X265" s="44">
        <f t="shared" si="129"/>
        <v>29.283387071296829</v>
      </c>
      <c r="Y265" s="14">
        <f t="shared" si="130"/>
        <v>5402.3007223652776</v>
      </c>
      <c r="Z265" s="14">
        <f t="shared" si="131"/>
        <v>3296.6648516948644</v>
      </c>
      <c r="AA265" s="14">
        <f t="shared" si="132"/>
        <v>5402.3007223652776</v>
      </c>
      <c r="AB265" s="14">
        <f t="shared" si="133"/>
        <v>2817.1030883746466</v>
      </c>
      <c r="AC265" s="14">
        <f t="shared" si="134"/>
        <v>5402.3007223652776</v>
      </c>
      <c r="AD265" s="33">
        <f t="shared" si="135"/>
        <v>0.39116027122703123</v>
      </c>
      <c r="AE265" s="33">
        <f t="shared" si="136"/>
        <v>0.02</v>
      </c>
      <c r="AF265" s="51">
        <f t="shared" si="137"/>
        <v>0</v>
      </c>
      <c r="AG265" s="51">
        <f>APPLICANTS_PER_YEAR*($H265/Segments!$AH$2)*AE265</f>
        <v>2.4E-2</v>
      </c>
      <c r="AH265" s="51">
        <f t="shared" si="138"/>
        <v>2.4E-2</v>
      </c>
      <c r="AI265" s="14">
        <f t="shared" si="139"/>
        <v>5402.3007223652776</v>
      </c>
      <c r="AJ265" s="44">
        <f t="shared" si="140"/>
        <v>129.65521733676667</v>
      </c>
      <c r="AK265" s="44">
        <f t="shared" si="141"/>
        <v>88.614351213557967</v>
      </c>
      <c r="AL265" s="44">
        <f t="shared" si="142"/>
        <v>30.122768683435737</v>
      </c>
      <c r="AM265" s="14">
        <f t="shared" si="143"/>
        <v>5563.1197440362357</v>
      </c>
      <c r="AN265" s="14">
        <f t="shared" si="144"/>
        <v>3395.5647972457105</v>
      </c>
      <c r="AO265" s="14">
        <f t="shared" si="145"/>
        <v>5563.1197440362357</v>
      </c>
      <c r="AP265" s="14">
        <f t="shared" si="146"/>
        <v>2901.2902479811091</v>
      </c>
      <c r="AQ265" s="14">
        <f t="shared" si="147"/>
        <v>5563.1197440362357</v>
      </c>
      <c r="AR265" s="33">
        <f t="shared" si="148"/>
        <v>0.39126797587601125</v>
      </c>
      <c r="AS265" s="33">
        <f t="shared" si="149"/>
        <v>0.02</v>
      </c>
      <c r="AT265" s="51">
        <f t="shared" si="150"/>
        <v>0</v>
      </c>
      <c r="AU265" s="51">
        <f>APPLICANTS_PER_YEAR*($H265/Segments!$AH$2)*AS265</f>
        <v>2.4E-2</v>
      </c>
      <c r="AV265" s="51">
        <f t="shared" si="151"/>
        <v>2.4E-2</v>
      </c>
      <c r="AW265" s="14">
        <f t="shared" si="152"/>
        <v>5563.1197440362357</v>
      </c>
      <c r="AX265" s="44">
        <f t="shared" si="153"/>
        <v>133.51487385686966</v>
      </c>
      <c r="AY265" s="44">
        <f t="shared" si="154"/>
        <v>91.272781749964707</v>
      </c>
      <c r="AZ265" s="44">
        <f t="shared" si="155"/>
        <v>30.987331743938807</v>
      </c>
    </row>
    <row r="266" spans="1:52" ht="15" customHeight="1" x14ac:dyDescent="0.35">
      <c r="A266" s="59" t="str">
        <f>Segments!$A$246</f>
        <v>Greek</v>
      </c>
      <c r="B266" s="59" t="str">
        <f>Segments!$B$246</f>
        <v>Off 0-1mi</v>
      </c>
      <c r="C266" s="59" t="str">
        <f>Segments!$C$246</f>
        <v>Yes</v>
      </c>
      <c r="D266" s="59" t="str">
        <f>Segments!$D$246</f>
        <v>&lt;1.0</v>
      </c>
      <c r="E266" s="59" t="str">
        <f>Segments!$E$246</f>
        <v>Sophomore</v>
      </c>
      <c r="F266" s="59">
        <f>Segments!$F$246</f>
        <v>1</v>
      </c>
      <c r="G266" s="59" t="str">
        <f>Segments!$G$246</f>
        <v>Sophomore</v>
      </c>
      <c r="H266" s="60">
        <f>Segments!$H$246</f>
        <v>3</v>
      </c>
      <c r="I266" s="26">
        <f>Segments!$Y$246</f>
        <v>3168.0828970772427</v>
      </c>
      <c r="J266" s="29">
        <v>1</v>
      </c>
      <c r="K266" s="14">
        <f t="shared" si="117"/>
        <v>1426.2297754450396</v>
      </c>
      <c r="L266" s="14">
        <f t="shared" si="118"/>
        <v>3168.0828970772427</v>
      </c>
      <c r="M266" s="14">
        <f t="shared" si="119"/>
        <v>5193.2164399526609</v>
      </c>
      <c r="N266" s="14">
        <f t="shared" si="120"/>
        <v>2721.5289667742236</v>
      </c>
      <c r="O266" s="14">
        <f t="shared" si="121"/>
        <v>1782.7872193062994</v>
      </c>
      <c r="P266" s="33">
        <f t="shared" si="122"/>
        <v>0.94746587468451549</v>
      </c>
      <c r="Q266" s="33">
        <f t="shared" si="123"/>
        <v>0.02</v>
      </c>
      <c r="R266" s="51">
        <f t="shared" si="124"/>
        <v>0.94746587468451549</v>
      </c>
      <c r="S266" s="51">
        <f>APPLICANTS_PER_YEAR*($H266/Segments!$AH$2)*Q266</f>
        <v>7.1999999999999995E-2</v>
      </c>
      <c r="T266" s="51">
        <f t="shared" si="125"/>
        <v>1.0194658746845155</v>
      </c>
      <c r="U266" s="14">
        <f t="shared" si="126"/>
        <v>2023.6495276817768</v>
      </c>
      <c r="V266" s="44">
        <f t="shared" si="127"/>
        <v>2063.0416357930094</v>
      </c>
      <c r="W266" s="44">
        <f t="shared" si="128"/>
        <v>3617.3226899509345</v>
      </c>
      <c r="X266" s="44">
        <f t="shared" si="129"/>
        <v>425.19109208724984</v>
      </c>
      <c r="Y266" s="14">
        <f t="shared" si="130"/>
        <v>5246.1657498692011</v>
      </c>
      <c r="Z266" s="14">
        <f t="shared" si="131"/>
        <v>3263.1253839895599</v>
      </c>
      <c r="AA266" s="14">
        <f t="shared" si="132"/>
        <v>5347.7629331512408</v>
      </c>
      <c r="AB266" s="14">
        <f t="shared" si="133"/>
        <v>2802.8472825147019</v>
      </c>
      <c r="AC266" s="14">
        <f t="shared" si="134"/>
        <v>5347.7629331512408</v>
      </c>
      <c r="AD266" s="33">
        <f t="shared" si="135"/>
        <v>0.39020263413507833</v>
      </c>
      <c r="AE266" s="33">
        <f t="shared" si="136"/>
        <v>0.02</v>
      </c>
      <c r="AF266" s="51">
        <f t="shared" si="137"/>
        <v>9.3648632192418809E-3</v>
      </c>
      <c r="AG266" s="51">
        <f>APPLICANTS_PER_YEAR*($H266/Segments!$AH$2)*AE266</f>
        <v>7.1999999999999995E-2</v>
      </c>
      <c r="AH266" s="51">
        <f t="shared" si="138"/>
        <v>8.136486321924187E-2</v>
      </c>
      <c r="AI266" s="14">
        <f t="shared" si="139"/>
        <v>5347.7629331512417</v>
      </c>
      <c r="AJ266" s="44">
        <f t="shared" si="140"/>
        <v>435.11999958478248</v>
      </c>
      <c r="AK266" s="44">
        <f t="shared" si="141"/>
        <v>297.36420059981231</v>
      </c>
      <c r="AL266" s="44">
        <f t="shared" si="142"/>
        <v>99.141339777449843</v>
      </c>
      <c r="AM266" s="14">
        <f t="shared" si="143"/>
        <v>5402.3007223652776</v>
      </c>
      <c r="AN266" s="14">
        <f t="shared" si="144"/>
        <v>3361.0191455092468</v>
      </c>
      <c r="AO266" s="14">
        <f t="shared" si="145"/>
        <v>5506.9458211457777</v>
      </c>
      <c r="AP266" s="14">
        <f t="shared" si="146"/>
        <v>2886.6051100012414</v>
      </c>
      <c r="AQ266" s="14">
        <f t="shared" si="147"/>
        <v>5506.9458211457777</v>
      </c>
      <c r="AR266" s="33">
        <f t="shared" si="148"/>
        <v>0.39030954236453713</v>
      </c>
      <c r="AS266" s="33">
        <f t="shared" si="149"/>
        <v>0.02</v>
      </c>
      <c r="AT266" s="51">
        <f t="shared" si="150"/>
        <v>9.3674290167488905E-3</v>
      </c>
      <c r="AU266" s="51">
        <f>APPLICANTS_PER_YEAR*($H266/Segments!$AH$2)*AS266</f>
        <v>7.1999999999999995E-2</v>
      </c>
      <c r="AV266" s="51">
        <f t="shared" si="151"/>
        <v>8.1367429016748885E-2</v>
      </c>
      <c r="AW266" s="14">
        <f t="shared" si="152"/>
        <v>5506.9458211457777</v>
      </c>
      <c r="AX266" s="44">
        <f t="shared" si="153"/>
        <v>448.08602320116097</v>
      </c>
      <c r="AY266" s="44">
        <f t="shared" si="154"/>
        <v>306.29478515569656</v>
      </c>
      <c r="AZ266" s="44">
        <f t="shared" si="155"/>
        <v>101.99311043464175</v>
      </c>
    </row>
    <row r="267" spans="1:52" ht="15" customHeight="1" x14ac:dyDescent="0.35">
      <c r="A267" s="59" t="str">
        <f>Segments!$A$247</f>
        <v>Greek</v>
      </c>
      <c r="B267" s="59" t="str">
        <f>Segments!$B$247</f>
        <v>Off 0-1mi</v>
      </c>
      <c r="C267" s="59" t="str">
        <f>Segments!$C$247</f>
        <v>Yes</v>
      </c>
      <c r="D267" s="59" t="str">
        <f>Segments!$D$247</f>
        <v>&lt;1.0</v>
      </c>
      <c r="E267" s="59" t="str">
        <f>Segments!$E$247</f>
        <v>Junior</v>
      </c>
      <c r="F267" s="59">
        <f>Segments!$F$247</f>
        <v>2</v>
      </c>
      <c r="G267" s="59" t="str">
        <f>Segments!$G$247</f>
        <v>Base</v>
      </c>
      <c r="H267" s="60">
        <f>Segments!$H$247</f>
        <v>0</v>
      </c>
      <c r="I267" s="26">
        <f>Segments!$Y$247</f>
        <v>3787.2074737889689</v>
      </c>
      <c r="J267" s="29">
        <v>2</v>
      </c>
      <c r="K267" s="14">
        <f t="shared" si="117"/>
        <v>1426.2297754450396</v>
      </c>
      <c r="L267" s="14">
        <f t="shared" si="118"/>
        <v>3787.2074737889689</v>
      </c>
      <c r="M267" s="14">
        <f t="shared" si="119"/>
        <v>6199.9612684221274</v>
      </c>
      <c r="N267" s="14">
        <f t="shared" si="120"/>
        <v>2973.6458039971126</v>
      </c>
      <c r="O267" s="14">
        <f t="shared" si="121"/>
        <v>1782.7872193062994</v>
      </c>
      <c r="P267" s="33">
        <f t="shared" si="122"/>
        <v>0.95</v>
      </c>
      <c r="Q267" s="33">
        <f t="shared" si="123"/>
        <v>0.02</v>
      </c>
      <c r="R267" s="51">
        <f t="shared" si="124"/>
        <v>2.8499999999999996</v>
      </c>
      <c r="S267" s="51">
        <f>APPLICANTS_PER_YEAR*($H267/Segments!$AH$2)*Q267</f>
        <v>0</v>
      </c>
      <c r="T267" s="51">
        <f t="shared" si="125"/>
        <v>2.8499999999999996</v>
      </c>
      <c r="U267" s="14">
        <f t="shared" si="126"/>
        <v>1782.7872193062997</v>
      </c>
      <c r="V267" s="44">
        <f t="shared" si="127"/>
        <v>5080.9435750229532</v>
      </c>
      <c r="W267" s="44">
        <f t="shared" si="128"/>
        <v>12088.766256334389</v>
      </c>
      <c r="X267" s="44">
        <f t="shared" si="129"/>
        <v>1017.2983356793382</v>
      </c>
      <c r="Y267" s="14">
        <f t="shared" si="130"/>
        <v>2023.6495276817768</v>
      </c>
      <c r="Z267" s="14">
        <f t="shared" si="131"/>
        <v>3900.8236980026381</v>
      </c>
      <c r="AA267" s="14">
        <f t="shared" si="132"/>
        <v>6384.7101064747912</v>
      </c>
      <c r="AB267" s="14">
        <f t="shared" si="133"/>
        <v>3062.5553988919764</v>
      </c>
      <c r="AC267" s="14">
        <f t="shared" si="134"/>
        <v>2529.561909602221</v>
      </c>
      <c r="AD267" s="33">
        <f t="shared" si="135"/>
        <v>0.86201777108792732</v>
      </c>
      <c r="AE267" s="33">
        <f t="shared" si="136"/>
        <v>0.02</v>
      </c>
      <c r="AF267" s="51">
        <f t="shared" si="137"/>
        <v>0.87879770099575027</v>
      </c>
      <c r="AG267" s="51">
        <f>APPLICANTS_PER_YEAR*($H267/Segments!$AH$2)*AE267</f>
        <v>0</v>
      </c>
      <c r="AH267" s="51">
        <f t="shared" si="138"/>
        <v>0.87879770099575027</v>
      </c>
      <c r="AI267" s="14">
        <f t="shared" si="139"/>
        <v>2529.5619096022215</v>
      </c>
      <c r="AJ267" s="44">
        <f t="shared" si="140"/>
        <v>2222.9731906848519</v>
      </c>
      <c r="AK267" s="44">
        <f t="shared" si="141"/>
        <v>3839.3990855297943</v>
      </c>
      <c r="AL267" s="44">
        <f t="shared" si="142"/>
        <v>437.71788705935199</v>
      </c>
      <c r="AM267" s="14">
        <f t="shared" si="143"/>
        <v>5347.7629331512417</v>
      </c>
      <c r="AN267" s="14">
        <f t="shared" si="144"/>
        <v>4017.848408942717</v>
      </c>
      <c r="AO267" s="14">
        <f t="shared" si="145"/>
        <v>6575.0014096690347</v>
      </c>
      <c r="AP267" s="14">
        <f t="shared" si="146"/>
        <v>3154.1322527142911</v>
      </c>
      <c r="AQ267" s="14">
        <f t="shared" si="147"/>
        <v>6575.0014096690347</v>
      </c>
      <c r="AR267" s="33">
        <f t="shared" si="148"/>
        <v>0.3</v>
      </c>
      <c r="AS267" s="33">
        <f t="shared" si="149"/>
        <v>0.02</v>
      </c>
      <c r="AT267" s="51">
        <f t="shared" si="150"/>
        <v>2.4409458965772561E-2</v>
      </c>
      <c r="AU267" s="51">
        <f>APPLICANTS_PER_YEAR*($H267/Segments!$AH$2)*AS267</f>
        <v>0</v>
      </c>
      <c r="AV267" s="51">
        <f t="shared" si="151"/>
        <v>2.4409458965772561E-2</v>
      </c>
      <c r="AW267" s="14">
        <f t="shared" si="152"/>
        <v>6575.0014096690347</v>
      </c>
      <c r="AX267" s="44">
        <f t="shared" si="153"/>
        <v>160.49222710921305</v>
      </c>
      <c r="AY267" s="44">
        <f t="shared" si="154"/>
        <v>109.84232657303565</v>
      </c>
      <c r="AZ267" s="44">
        <f t="shared" si="155"/>
        <v>30.821220102956719</v>
      </c>
    </row>
    <row r="268" spans="1:52" ht="15" customHeight="1" x14ac:dyDescent="0.35">
      <c r="A268" s="59" t="str">
        <f>Segments!$A$248</f>
        <v>Greek</v>
      </c>
      <c r="B268" s="59" t="str">
        <f>Segments!$B$248</f>
        <v>Off 0-1mi</v>
      </c>
      <c r="C268" s="59" t="str">
        <f>Segments!$C$248</f>
        <v>Yes</v>
      </c>
      <c r="D268" s="59" t="str">
        <f>Segments!$D$248</f>
        <v>&lt;1.0</v>
      </c>
      <c r="E268" s="59" t="str">
        <f>Segments!$E$248</f>
        <v>Senior</v>
      </c>
      <c r="F268" s="59">
        <f>Segments!$F$248</f>
        <v>3</v>
      </c>
      <c r="G268" s="59" t="str">
        <f>Segments!$G$248</f>
        <v>Base</v>
      </c>
      <c r="H268" s="60">
        <f>Segments!$H$248</f>
        <v>1</v>
      </c>
      <c r="I268" s="26">
        <f>Segments!$Y$248</f>
        <v>3539.8553207256209</v>
      </c>
      <c r="J268" s="29">
        <v>3</v>
      </c>
      <c r="K268" s="14">
        <f t="shared" si="117"/>
        <v>1426.2297754450396</v>
      </c>
      <c r="L268" s="14">
        <f t="shared" si="118"/>
        <v>3539.8553207256209</v>
      </c>
      <c r="M268" s="14">
        <f t="shared" si="119"/>
        <v>5797.7473840534876</v>
      </c>
      <c r="N268" s="14">
        <f t="shared" si="120"/>
        <v>2875.5729776247504</v>
      </c>
      <c r="O268" s="14">
        <f t="shared" si="121"/>
        <v>1782.7872193062994</v>
      </c>
      <c r="P268" s="33">
        <f t="shared" si="122"/>
        <v>0.95</v>
      </c>
      <c r="Q268" s="33">
        <f t="shared" si="123"/>
        <v>0.02</v>
      </c>
      <c r="R268" s="51">
        <f t="shared" si="124"/>
        <v>0</v>
      </c>
      <c r="S268" s="51">
        <f>APPLICANTS_PER_YEAR*($H268/Segments!$AH$2)*Q268</f>
        <v>2.4E-2</v>
      </c>
      <c r="T268" s="51">
        <f t="shared" si="125"/>
        <v>2.4E-2</v>
      </c>
      <c r="U268" s="14">
        <f t="shared" si="126"/>
        <v>5797.7473840534876</v>
      </c>
      <c r="V268" s="44">
        <f t="shared" si="127"/>
        <v>139.14593721728372</v>
      </c>
      <c r="W268" s="44">
        <f t="shared" si="128"/>
        <v>95.151311021104689</v>
      </c>
      <c r="X268" s="44">
        <f t="shared" si="129"/>
        <v>32.248689936671553</v>
      </c>
      <c r="Y268" s="14">
        <f t="shared" si="130"/>
        <v>1782.7872193062997</v>
      </c>
      <c r="Z268" s="14">
        <f t="shared" si="131"/>
        <v>3646.0509803473897</v>
      </c>
      <c r="AA268" s="14">
        <f t="shared" si="132"/>
        <v>5970.4298055750924</v>
      </c>
      <c r="AB268" s="14">
        <f t="shared" si="133"/>
        <v>2961.5301625584038</v>
      </c>
      <c r="AC268" s="14">
        <f t="shared" si="134"/>
        <v>2228.4840241328748</v>
      </c>
      <c r="AD268" s="33">
        <f t="shared" si="135"/>
        <v>0.89876138316826493</v>
      </c>
      <c r="AE268" s="33">
        <f t="shared" si="136"/>
        <v>0.02</v>
      </c>
      <c r="AF268" s="51">
        <f t="shared" si="137"/>
        <v>2.5614699420295546</v>
      </c>
      <c r="AG268" s="51">
        <f>APPLICANTS_PER_YEAR*($H268/Segments!$AH$2)*AE268</f>
        <v>2.4E-2</v>
      </c>
      <c r="AH268" s="51">
        <f t="shared" si="138"/>
        <v>2.5854699420295546</v>
      </c>
      <c r="AI268" s="14">
        <f t="shared" si="139"/>
        <v>2263.2191789667063</v>
      </c>
      <c r="AJ268" s="44">
        <f t="shared" si="140"/>
        <v>5851.4851594432257</v>
      </c>
      <c r="AK268" s="44">
        <f t="shared" si="141"/>
        <v>10557.965842811034</v>
      </c>
      <c r="AL268" s="44">
        <f t="shared" si="142"/>
        <v>1163.2552550120438</v>
      </c>
      <c r="AM268" s="14">
        <f t="shared" si="143"/>
        <v>2529.5619096022215</v>
      </c>
      <c r="AN268" s="14">
        <f t="shared" si="144"/>
        <v>3755.4325097578112</v>
      </c>
      <c r="AO268" s="14">
        <f t="shared" si="145"/>
        <v>6148.2926997423447</v>
      </c>
      <c r="AP268" s="14">
        <f t="shared" si="146"/>
        <v>3050.0660310590338</v>
      </c>
      <c r="AQ268" s="14">
        <f t="shared" si="147"/>
        <v>3161.952387002777</v>
      </c>
      <c r="AR268" s="33">
        <f t="shared" si="148"/>
        <v>0.75665837152304305</v>
      </c>
      <c r="AS268" s="33">
        <f t="shared" si="149"/>
        <v>0.02</v>
      </c>
      <c r="AT268" s="51">
        <f t="shared" si="150"/>
        <v>0.66494963733363854</v>
      </c>
      <c r="AU268" s="51">
        <f>APPLICANTS_PER_YEAR*($H268/Segments!$AH$2)*AS268</f>
        <v>2.4E-2</v>
      </c>
      <c r="AV268" s="51">
        <f t="shared" si="151"/>
        <v>0.68894963733363856</v>
      </c>
      <c r="AW268" s="14">
        <f t="shared" si="152"/>
        <v>3265.9834563609579</v>
      </c>
      <c r="AX268" s="44">
        <f t="shared" si="153"/>
        <v>2250.0981177975455</v>
      </c>
      <c r="AY268" s="44">
        <f t="shared" si="154"/>
        <v>2897.7803295040326</v>
      </c>
      <c r="AZ268" s="44">
        <f t="shared" si="155"/>
        <v>444.81210287819249</v>
      </c>
    </row>
    <row r="269" spans="1:52" ht="15" customHeight="1" x14ac:dyDescent="0.35">
      <c r="A269" s="59" t="str">
        <f>Segments!$A$249</f>
        <v>Greek</v>
      </c>
      <c r="B269" s="59" t="str">
        <f>Segments!$B$249</f>
        <v>Off 0-1mi</v>
      </c>
      <c r="C269" s="59" t="str">
        <f>Segments!$C$249</f>
        <v>Yes</v>
      </c>
      <c r="D269" s="59" t="str">
        <f>Segments!$D$249</f>
        <v>&lt;1.0</v>
      </c>
      <c r="E269" s="59" t="str">
        <f>Segments!$E$249</f>
        <v>Grad student</v>
      </c>
      <c r="F269" s="59">
        <f>Segments!$F$249</f>
        <v>3</v>
      </c>
      <c r="G269" s="59" t="str">
        <f>Segments!$G$249</f>
        <v>Grad</v>
      </c>
      <c r="H269" s="60">
        <f>Segments!$H$249</f>
        <v>0</v>
      </c>
      <c r="I269" s="26">
        <f>Segments!$Y$249</f>
        <v>4214.8364447156264</v>
      </c>
      <c r="J269" s="29">
        <v>4</v>
      </c>
      <c r="K269" s="14">
        <f t="shared" si="117"/>
        <v>1426.2297754450396</v>
      </c>
      <c r="L269" s="14">
        <f t="shared" si="118"/>
        <v>4214.8364447156264</v>
      </c>
      <c r="M269" s="14">
        <f t="shared" si="119"/>
        <v>6895.3193129543924</v>
      </c>
      <c r="N269" s="14">
        <f t="shared" si="120"/>
        <v>3135.970298860751</v>
      </c>
      <c r="O269" s="14">
        <f t="shared" si="121"/>
        <v>1782.7872193062994</v>
      </c>
      <c r="P269" s="33">
        <f t="shared" si="122"/>
        <v>0.95</v>
      </c>
      <c r="Q269" s="33">
        <f t="shared" si="123"/>
        <v>0.02</v>
      </c>
      <c r="R269" s="51">
        <f t="shared" si="124"/>
        <v>0</v>
      </c>
      <c r="S269" s="51">
        <f>APPLICANTS_PER_YEAR*($H269/Segments!$AH$2)*Q269</f>
        <v>0</v>
      </c>
      <c r="T269" s="51">
        <f t="shared" si="125"/>
        <v>0</v>
      </c>
      <c r="U269" s="14">
        <f t="shared" si="126"/>
        <v>6895.3193129543924</v>
      </c>
      <c r="V269" s="44">
        <f t="shared" si="127"/>
        <v>0</v>
      </c>
      <c r="W269" s="44">
        <f t="shared" si="128"/>
        <v>0</v>
      </c>
      <c r="X269" s="44">
        <f t="shared" si="129"/>
        <v>0</v>
      </c>
      <c r="Y269" s="14">
        <f t="shared" si="130"/>
        <v>6895.3193129543924</v>
      </c>
      <c r="Z269" s="14">
        <f t="shared" si="131"/>
        <v>4341.2815380570955</v>
      </c>
      <c r="AA269" s="14">
        <f t="shared" si="132"/>
        <v>7100.9288923430249</v>
      </c>
      <c r="AB269" s="14">
        <f t="shared" si="133"/>
        <v>3229.7651472150283</v>
      </c>
      <c r="AC269" s="14">
        <f t="shared" si="134"/>
        <v>7100.9288923430249</v>
      </c>
      <c r="AD269" s="33">
        <f t="shared" si="135"/>
        <v>0.3</v>
      </c>
      <c r="AE269" s="33">
        <f t="shared" si="136"/>
        <v>0.02</v>
      </c>
      <c r="AF269" s="51">
        <f t="shared" si="137"/>
        <v>0</v>
      </c>
      <c r="AG269" s="51">
        <f>APPLICANTS_PER_YEAR*($H269/Segments!$AH$2)*AE269</f>
        <v>0</v>
      </c>
      <c r="AH269" s="51">
        <f t="shared" si="138"/>
        <v>0</v>
      </c>
      <c r="AI269" s="14">
        <f t="shared" si="139"/>
        <v>7100.9288923430249</v>
      </c>
      <c r="AJ269" s="44">
        <f t="shared" si="140"/>
        <v>0</v>
      </c>
      <c r="AK269" s="44">
        <f t="shared" si="141"/>
        <v>0</v>
      </c>
      <c r="AL269" s="44">
        <f t="shared" si="142"/>
        <v>0</v>
      </c>
      <c r="AM269" s="14">
        <f t="shared" si="143"/>
        <v>7100.9288923430249</v>
      </c>
      <c r="AN269" s="14">
        <f t="shared" si="144"/>
        <v>4471.5199841988078</v>
      </c>
      <c r="AO269" s="14">
        <f t="shared" si="145"/>
        <v>7312.7067591133145</v>
      </c>
      <c r="AP269" s="14">
        <f t="shared" si="146"/>
        <v>3326.3738163636081</v>
      </c>
      <c r="AQ269" s="14">
        <f t="shared" si="147"/>
        <v>7312.7067591133145</v>
      </c>
      <c r="AR269" s="33">
        <f t="shared" si="148"/>
        <v>0.3</v>
      </c>
      <c r="AS269" s="33">
        <f t="shared" si="149"/>
        <v>0.02</v>
      </c>
      <c r="AT269" s="51">
        <f t="shared" si="150"/>
        <v>0</v>
      </c>
      <c r="AU269" s="51">
        <f>APPLICANTS_PER_YEAR*($H269/Segments!$AH$2)*AS269</f>
        <v>0</v>
      </c>
      <c r="AV269" s="51">
        <f t="shared" si="151"/>
        <v>0</v>
      </c>
      <c r="AW269" s="14">
        <f t="shared" si="152"/>
        <v>7312.7067591133145</v>
      </c>
      <c r="AX269" s="44">
        <f t="shared" si="153"/>
        <v>0</v>
      </c>
      <c r="AY269" s="44">
        <f t="shared" si="154"/>
        <v>0</v>
      </c>
      <c r="AZ269" s="44">
        <f t="shared" si="155"/>
        <v>0</v>
      </c>
    </row>
    <row r="270" spans="1:52" ht="15" customHeight="1" x14ac:dyDescent="0.35">
      <c r="A270" s="61" t="str">
        <f>Segments!$A$250</f>
        <v>Greek</v>
      </c>
      <c r="B270" s="61" t="str">
        <f>Segments!$B$250</f>
        <v>Off 0-1mi</v>
      </c>
      <c r="C270" s="61" t="str">
        <f>Segments!$C$250</f>
        <v>Yes</v>
      </c>
      <c r="D270" s="61" t="str">
        <f>Segments!$D$250</f>
        <v>1.0-2.0</v>
      </c>
      <c r="E270" s="61" t="str">
        <f>Segments!$E$250</f>
        <v>Freshman</v>
      </c>
      <c r="F270" s="61">
        <f>Segments!$F$250</f>
        <v>1</v>
      </c>
      <c r="G270" s="61" t="str">
        <f>Segments!$G$250</f>
        <v>Base</v>
      </c>
      <c r="H270" s="62">
        <f>Segments!$H$250</f>
        <v>2</v>
      </c>
      <c r="I270" s="63">
        <f>Segments!$Y$250</f>
        <v>2904.3331930267523</v>
      </c>
      <c r="J270" s="42">
        <v>0</v>
      </c>
      <c r="K270" s="40">
        <f t="shared" si="117"/>
        <v>4764.3388593315676</v>
      </c>
      <c r="L270" s="40">
        <f t="shared" si="118"/>
        <v>2904.3331930267523</v>
      </c>
      <c r="M270" s="40">
        <f t="shared" si="119"/>
        <v>4764.3388593315676</v>
      </c>
      <c r="N270" s="40">
        <f t="shared" si="120"/>
        <v>2606.7301244065407</v>
      </c>
      <c r="O270" s="40">
        <f t="shared" si="121"/>
        <v>4764.3388593315676</v>
      </c>
      <c r="P270" s="41">
        <f t="shared" si="122"/>
        <v>0.43614650693534351</v>
      </c>
      <c r="Q270" s="41">
        <f t="shared" si="123"/>
        <v>0.02</v>
      </c>
      <c r="R270" s="64">
        <f t="shared" si="124"/>
        <v>0</v>
      </c>
      <c r="S270" s="64">
        <f>APPLICANTS_PER_YEAR*($H270/Segments!$AH$2)*Q270</f>
        <v>4.8000000000000001E-2</v>
      </c>
      <c r="T270" s="64">
        <f t="shared" si="125"/>
        <v>4.8000000000000001E-2</v>
      </c>
      <c r="U270" s="40">
        <f t="shared" si="126"/>
        <v>4764.3388593315676</v>
      </c>
      <c r="V270" s="65">
        <f t="shared" si="127"/>
        <v>228.68826524791524</v>
      </c>
      <c r="W270" s="65">
        <f t="shared" si="128"/>
        <v>156.13695245711824</v>
      </c>
      <c r="X270" s="65">
        <f t="shared" si="129"/>
        <v>53.38617141553302</v>
      </c>
      <c r="Y270" s="40">
        <f t="shared" si="130"/>
        <v>4906.0190251115146</v>
      </c>
      <c r="Z270" s="40">
        <f t="shared" si="131"/>
        <v>2991.463188817555</v>
      </c>
      <c r="AA270" s="40">
        <f t="shared" si="132"/>
        <v>4906.0190251115146</v>
      </c>
      <c r="AB270" s="40">
        <f t="shared" si="133"/>
        <v>2684.5900478265394</v>
      </c>
      <c r="AC270" s="40">
        <f t="shared" si="134"/>
        <v>4906.0190251115146</v>
      </c>
      <c r="AD270" s="41">
        <f t="shared" si="135"/>
        <v>0.43626290463166661</v>
      </c>
      <c r="AE270" s="41">
        <f t="shared" si="136"/>
        <v>0.02</v>
      </c>
      <c r="AF270" s="64">
        <f t="shared" si="137"/>
        <v>0</v>
      </c>
      <c r="AG270" s="64">
        <f>APPLICANTS_PER_YEAR*($H270/Segments!$AH$2)*AE270</f>
        <v>4.8000000000000001E-2</v>
      </c>
      <c r="AH270" s="64">
        <f t="shared" si="138"/>
        <v>4.8000000000000001E-2</v>
      </c>
      <c r="AI270" s="40">
        <f t="shared" si="139"/>
        <v>4906.0190251115146</v>
      </c>
      <c r="AJ270" s="65">
        <f t="shared" si="140"/>
        <v>235.4889132053527</v>
      </c>
      <c r="AK270" s="65">
        <f t="shared" si="141"/>
        <v>160.82106103083177</v>
      </c>
      <c r="AL270" s="65">
        <f t="shared" si="142"/>
        <v>54.909516557999012</v>
      </c>
      <c r="AM270" s="40">
        <f t="shared" si="143"/>
        <v>5051.9495958648595</v>
      </c>
      <c r="AN270" s="40">
        <f t="shared" si="144"/>
        <v>3081.2070844820814</v>
      </c>
      <c r="AO270" s="40">
        <f t="shared" si="145"/>
        <v>5051.9495958648595</v>
      </c>
      <c r="AP270" s="40">
        <f t="shared" si="146"/>
        <v>2764.7857260146038</v>
      </c>
      <c r="AQ270" s="40">
        <f t="shared" si="147"/>
        <v>5051.9495958648595</v>
      </c>
      <c r="AR270" s="41">
        <f t="shared" si="148"/>
        <v>0.43637592629155253</v>
      </c>
      <c r="AS270" s="41">
        <f t="shared" si="149"/>
        <v>0.02</v>
      </c>
      <c r="AT270" s="64">
        <f t="shared" si="150"/>
        <v>0</v>
      </c>
      <c r="AU270" s="64">
        <f>APPLICANTS_PER_YEAR*($H270/Segments!$AH$2)*AS270</f>
        <v>4.8000000000000001E-2</v>
      </c>
      <c r="AV270" s="64">
        <f t="shared" si="151"/>
        <v>4.8000000000000001E-2</v>
      </c>
      <c r="AW270" s="40">
        <f t="shared" si="152"/>
        <v>5051.9495958648595</v>
      </c>
      <c r="AX270" s="65">
        <f t="shared" si="153"/>
        <v>242.49358060151326</v>
      </c>
      <c r="AY270" s="65">
        <f t="shared" si="154"/>
        <v>165.64569286175671</v>
      </c>
      <c r="AZ270" s="65">
        <f t="shared" si="155"/>
        <v>56.478562054738973</v>
      </c>
    </row>
    <row r="271" spans="1:52" ht="15" customHeight="1" x14ac:dyDescent="0.35">
      <c r="A271" s="61" t="str">
        <f>Segments!$A$251</f>
        <v>Greek</v>
      </c>
      <c r="B271" s="61" t="str">
        <f>Segments!$B$251</f>
        <v>Off 0-1mi</v>
      </c>
      <c r="C271" s="61" t="str">
        <f>Segments!$C$251</f>
        <v>Yes</v>
      </c>
      <c r="D271" s="61" t="str">
        <f>Segments!$D$251</f>
        <v>1.0-2.0</v>
      </c>
      <c r="E271" s="61" t="str">
        <f>Segments!$E$251</f>
        <v>Sophomore</v>
      </c>
      <c r="F271" s="61">
        <f>Segments!$F$251</f>
        <v>1</v>
      </c>
      <c r="G271" s="61" t="str">
        <f>Segments!$G$251</f>
        <v>Sophomore</v>
      </c>
      <c r="H271" s="62">
        <f>Segments!$H$251</f>
        <v>5</v>
      </c>
      <c r="I271" s="63">
        <f>Segments!$Y$251</f>
        <v>2874.7852123508019</v>
      </c>
      <c r="J271" s="42">
        <v>1</v>
      </c>
      <c r="K271" s="40">
        <f t="shared" si="117"/>
        <v>1426.2297754450396</v>
      </c>
      <c r="L271" s="40">
        <f t="shared" si="118"/>
        <v>2874.7852123508019</v>
      </c>
      <c r="M271" s="40">
        <f t="shared" si="119"/>
        <v>4716.2915392021978</v>
      </c>
      <c r="N271" s="40">
        <f t="shared" si="120"/>
        <v>2593.5526643755838</v>
      </c>
      <c r="O271" s="40">
        <f t="shared" si="121"/>
        <v>1782.7872193062994</v>
      </c>
      <c r="P271" s="41">
        <f t="shared" si="122"/>
        <v>0.93130402578782445</v>
      </c>
      <c r="Q271" s="41">
        <f t="shared" si="123"/>
        <v>0.02</v>
      </c>
      <c r="R271" s="64">
        <f t="shared" si="124"/>
        <v>1.8626080515756489</v>
      </c>
      <c r="S271" s="64">
        <f>APPLICANTS_PER_YEAR*($H271/Segments!$AH$2)*Q271</f>
        <v>0.12</v>
      </c>
      <c r="T271" s="64">
        <f t="shared" si="125"/>
        <v>1.982608051575649</v>
      </c>
      <c r="U271" s="40">
        <f t="shared" si="126"/>
        <v>1960.3414858229437</v>
      </c>
      <c r="V271" s="65">
        <f t="shared" si="127"/>
        <v>3886.5888136303392</v>
      </c>
      <c r="W271" s="65">
        <f t="shared" si="128"/>
        <v>6383.5209855841895</v>
      </c>
      <c r="X271" s="65">
        <f t="shared" si="129"/>
        <v>797.02587127229629</v>
      </c>
      <c r="Y271" s="40">
        <f t="shared" si="130"/>
        <v>4764.3388593315676</v>
      </c>
      <c r="Z271" s="40">
        <f t="shared" si="131"/>
        <v>2961.0287687213258</v>
      </c>
      <c r="AA271" s="40">
        <f t="shared" si="132"/>
        <v>4856.5302853782632</v>
      </c>
      <c r="AB271" s="40">
        <f t="shared" si="133"/>
        <v>2671.0155262199032</v>
      </c>
      <c r="AC271" s="40">
        <f t="shared" si="134"/>
        <v>4856.5302853782632</v>
      </c>
      <c r="AD271" s="41">
        <f t="shared" si="135"/>
        <v>0.43507808699806927</v>
      </c>
      <c r="AE271" s="41">
        <f t="shared" si="136"/>
        <v>0.02</v>
      </c>
      <c r="AF271" s="64">
        <f t="shared" si="137"/>
        <v>2.0883748175907324E-2</v>
      </c>
      <c r="AG271" s="64">
        <f>APPLICANTS_PER_YEAR*($H271/Segments!$AH$2)*AE271</f>
        <v>0.12</v>
      </c>
      <c r="AH271" s="64">
        <f t="shared" si="138"/>
        <v>0.14088374817590732</v>
      </c>
      <c r="AI271" s="40">
        <f t="shared" si="139"/>
        <v>4856.5302853782632</v>
      </c>
      <c r="AJ271" s="65">
        <f t="shared" si="140"/>
        <v>684.20618973389855</v>
      </c>
      <c r="AK271" s="65">
        <f t="shared" si="141"/>
        <v>467.22013116145047</v>
      </c>
      <c r="AL271" s="65">
        <f t="shared" si="142"/>
        <v>155.53007202181371</v>
      </c>
      <c r="AM271" s="40">
        <f t="shared" si="143"/>
        <v>4906.0190251115146</v>
      </c>
      <c r="AN271" s="40">
        <f t="shared" si="144"/>
        <v>3049.8596317829656</v>
      </c>
      <c r="AO271" s="40">
        <f t="shared" si="145"/>
        <v>5000.9761939396112</v>
      </c>
      <c r="AP271" s="40">
        <f t="shared" si="146"/>
        <v>2750.8022303270855</v>
      </c>
      <c r="AQ271" s="40">
        <f t="shared" si="147"/>
        <v>5000.9761939396112</v>
      </c>
      <c r="AR271" s="41">
        <f t="shared" si="148"/>
        <v>0.43519020404933939</v>
      </c>
      <c r="AS271" s="41">
        <f t="shared" si="149"/>
        <v>0.02</v>
      </c>
      <c r="AT271" s="64">
        <f t="shared" si="150"/>
        <v>2.0889129794368293E-2</v>
      </c>
      <c r="AU271" s="64">
        <f>APPLICANTS_PER_YEAR*($H271/Segments!$AH$2)*AS271</f>
        <v>0.12</v>
      </c>
      <c r="AV271" s="64">
        <f t="shared" si="151"/>
        <v>0.1408891297943683</v>
      </c>
      <c r="AW271" s="40">
        <f t="shared" si="152"/>
        <v>5000.9761939396112</v>
      </c>
      <c r="AX271" s="65">
        <f t="shared" si="153"/>
        <v>704.58318408650382</v>
      </c>
      <c r="AY271" s="65">
        <f t="shared" si="154"/>
        <v>481.25511785889955</v>
      </c>
      <c r="AZ271" s="65">
        <f t="shared" si="155"/>
        <v>159.98810440278294</v>
      </c>
    </row>
    <row r="272" spans="1:52" ht="15" customHeight="1" x14ac:dyDescent="0.35">
      <c r="A272" s="61" t="str">
        <f>Segments!$A$252</f>
        <v>Greek</v>
      </c>
      <c r="B272" s="61" t="str">
        <f>Segments!$B$252</f>
        <v>Off 0-1mi</v>
      </c>
      <c r="C272" s="61" t="str">
        <f>Segments!$C$252</f>
        <v>Yes</v>
      </c>
      <c r="D272" s="61" t="str">
        <f>Segments!$D$252</f>
        <v>1.0-2.0</v>
      </c>
      <c r="E272" s="61" t="str">
        <f>Segments!$E$252</f>
        <v>Junior</v>
      </c>
      <c r="F272" s="61">
        <f>Segments!$F$252</f>
        <v>2</v>
      </c>
      <c r="G272" s="61" t="str">
        <f>Segments!$G$252</f>
        <v>Base</v>
      </c>
      <c r="H272" s="62">
        <f>Segments!$H$252</f>
        <v>5</v>
      </c>
      <c r="I272" s="63">
        <f>Segments!$Y$252</f>
        <v>3436.591906037967</v>
      </c>
      <c r="J272" s="42">
        <v>2</v>
      </c>
      <c r="K272" s="40">
        <f t="shared" si="117"/>
        <v>1426.2297754450396</v>
      </c>
      <c r="L272" s="40">
        <f t="shared" si="118"/>
        <v>3436.591906037967</v>
      </c>
      <c r="M272" s="40">
        <f t="shared" si="119"/>
        <v>5629.833021391546</v>
      </c>
      <c r="N272" s="40">
        <f t="shared" si="120"/>
        <v>2833.625854959037</v>
      </c>
      <c r="O272" s="40">
        <f t="shared" si="121"/>
        <v>1782.7872193062994</v>
      </c>
      <c r="P272" s="41">
        <f t="shared" si="122"/>
        <v>0.95</v>
      </c>
      <c r="Q272" s="41">
        <f t="shared" si="123"/>
        <v>0.02</v>
      </c>
      <c r="R272" s="64">
        <f t="shared" si="124"/>
        <v>4.75</v>
      </c>
      <c r="S272" s="64">
        <f>APPLICANTS_PER_YEAR*($H272/Segments!$AH$2)*Q272</f>
        <v>0.12</v>
      </c>
      <c r="T272" s="64">
        <f t="shared" si="125"/>
        <v>4.87</v>
      </c>
      <c r="U272" s="40">
        <f t="shared" si="126"/>
        <v>1877.5809557026505</v>
      </c>
      <c r="V272" s="65">
        <f t="shared" si="127"/>
        <v>9143.819254271908</v>
      </c>
      <c r="W272" s="65">
        <f t="shared" si="128"/>
        <v>18744.546892293489</v>
      </c>
      <c r="X272" s="65">
        <f t="shared" si="129"/>
        <v>1852.227137747235</v>
      </c>
      <c r="Y272" s="40">
        <f t="shared" si="130"/>
        <v>1960.3414858229437</v>
      </c>
      <c r="Z272" s="40">
        <f t="shared" si="131"/>
        <v>3539.689663219106</v>
      </c>
      <c r="AA272" s="40">
        <f t="shared" si="132"/>
        <v>5797.4780120332925</v>
      </c>
      <c r="AB272" s="40">
        <f t="shared" si="133"/>
        <v>2918.3200366216333</v>
      </c>
      <c r="AC272" s="40">
        <f t="shared" si="134"/>
        <v>2450.4268572786796</v>
      </c>
      <c r="AD272" s="41">
        <f t="shared" si="135"/>
        <v>0.85516481631065489</v>
      </c>
      <c r="AE272" s="41">
        <f t="shared" si="136"/>
        <v>0.02</v>
      </c>
      <c r="AF272" s="64">
        <f t="shared" si="137"/>
        <v>1.6954566502417152</v>
      </c>
      <c r="AG272" s="64">
        <f>APPLICANTS_PER_YEAR*($H272/Segments!$AH$2)*AE272</f>
        <v>0.12</v>
      </c>
      <c r="AH272" s="64">
        <f t="shared" si="138"/>
        <v>1.8154566502417153</v>
      </c>
      <c r="AI272" s="40">
        <f t="shared" si="139"/>
        <v>2671.6638328446211</v>
      </c>
      <c r="AJ272" s="65">
        <f t="shared" si="140"/>
        <v>4850.2898725480381</v>
      </c>
      <c r="AK272" s="65">
        <f t="shared" si="141"/>
        <v>7197.2915155489418</v>
      </c>
      <c r="AL272" s="65">
        <f t="shared" si="142"/>
        <v>980.36332656695333</v>
      </c>
      <c r="AM272" s="40">
        <f t="shared" si="143"/>
        <v>4856.5302853782632</v>
      </c>
      <c r="AN272" s="40">
        <f t="shared" si="144"/>
        <v>3645.8803531156791</v>
      </c>
      <c r="AO272" s="40">
        <f t="shared" si="145"/>
        <v>5970.1523523942915</v>
      </c>
      <c r="AP272" s="40">
        <f t="shared" si="146"/>
        <v>3005.5550103113569</v>
      </c>
      <c r="AQ272" s="40">
        <f t="shared" si="147"/>
        <v>5970.1523523942915</v>
      </c>
      <c r="AR272" s="41">
        <f t="shared" si="148"/>
        <v>0.3</v>
      </c>
      <c r="AS272" s="41">
        <f t="shared" si="149"/>
        <v>0.02</v>
      </c>
      <c r="AT272" s="64">
        <f t="shared" si="150"/>
        <v>4.2265124452772196E-2</v>
      </c>
      <c r="AU272" s="64">
        <f>APPLICANTS_PER_YEAR*($H272/Segments!$AH$2)*AS272</f>
        <v>0.12</v>
      </c>
      <c r="AV272" s="64">
        <f t="shared" si="151"/>
        <v>0.16226512445277219</v>
      </c>
      <c r="AW272" s="40">
        <f t="shared" si="152"/>
        <v>5970.1523523942915</v>
      </c>
      <c r="AX272" s="65">
        <f t="shared" si="153"/>
        <v>968.74751446327036</v>
      </c>
      <c r="AY272" s="65">
        <f t="shared" si="154"/>
        <v>662.59113674682078</v>
      </c>
      <c r="AZ272" s="65">
        <f t="shared" si="155"/>
        <v>214.41322260266955</v>
      </c>
    </row>
    <row r="273" spans="1:52" ht="15" customHeight="1" x14ac:dyDescent="0.35">
      <c r="A273" s="61" t="str">
        <f>Segments!$A$253</f>
        <v>Greek</v>
      </c>
      <c r="B273" s="61" t="str">
        <f>Segments!$B$253</f>
        <v>Off 0-1mi</v>
      </c>
      <c r="C273" s="61" t="str">
        <f>Segments!$C$253</f>
        <v>Yes</v>
      </c>
      <c r="D273" s="61" t="str">
        <f>Segments!$D$253</f>
        <v>1.0-2.0</v>
      </c>
      <c r="E273" s="61" t="str">
        <f>Segments!$E$253</f>
        <v>Senior</v>
      </c>
      <c r="F273" s="61">
        <f>Segments!$F$253</f>
        <v>3</v>
      </c>
      <c r="G273" s="61" t="str">
        <f>Segments!$G$253</f>
        <v>Base</v>
      </c>
      <c r="H273" s="62">
        <f>Segments!$H$253</f>
        <v>6</v>
      </c>
      <c r="I273" s="63">
        <f>Segments!$Y$253</f>
        <v>3212.139347512536</v>
      </c>
      <c r="J273" s="42">
        <v>3</v>
      </c>
      <c r="K273" s="40">
        <f t="shared" si="117"/>
        <v>1426.2297754450396</v>
      </c>
      <c r="L273" s="40">
        <f t="shared" si="118"/>
        <v>3212.139347512536</v>
      </c>
      <c r="M273" s="40">
        <f t="shared" si="119"/>
        <v>5264.8556629859677</v>
      </c>
      <c r="N273" s="40">
        <f t="shared" si="120"/>
        <v>2740.2361047856848</v>
      </c>
      <c r="O273" s="40">
        <f t="shared" si="121"/>
        <v>1782.7872193062994</v>
      </c>
      <c r="P273" s="41">
        <f t="shared" si="122"/>
        <v>0.94970189590729959</v>
      </c>
      <c r="Q273" s="41">
        <f t="shared" si="123"/>
        <v>0.02</v>
      </c>
      <c r="R273" s="64">
        <f t="shared" si="124"/>
        <v>4.7485094795364979</v>
      </c>
      <c r="S273" s="64">
        <f>APPLICANTS_PER_YEAR*($H273/Segments!$AH$2)*Q273</f>
        <v>0.14399999999999999</v>
      </c>
      <c r="T273" s="64">
        <f t="shared" si="125"/>
        <v>4.8925094795364981</v>
      </c>
      <c r="U273" s="40">
        <f t="shared" si="126"/>
        <v>1885.2740633251228</v>
      </c>
      <c r="V273" s="65">
        <f t="shared" si="127"/>
        <v>9223.7212263424553</v>
      </c>
      <c r="W273" s="65">
        <f t="shared" si="128"/>
        <v>17601.272872172936</v>
      </c>
      <c r="X273" s="65">
        <f t="shared" si="129"/>
        <v>1871.2683739109034</v>
      </c>
      <c r="Y273" s="40">
        <f t="shared" si="130"/>
        <v>1877.5809557026505</v>
      </c>
      <c r="Z273" s="40">
        <f t="shared" si="131"/>
        <v>3308.5035279379122</v>
      </c>
      <c r="AA273" s="40">
        <f t="shared" si="132"/>
        <v>5421.5513328755469</v>
      </c>
      <c r="AB273" s="40">
        <f t="shared" si="133"/>
        <v>2822.1178710770341</v>
      </c>
      <c r="AC273" s="40">
        <f t="shared" si="134"/>
        <v>2346.9761946283134</v>
      </c>
      <c r="AD273" s="41">
        <f t="shared" si="135"/>
        <v>0.85918175607020042</v>
      </c>
      <c r="AE273" s="41">
        <f t="shared" si="136"/>
        <v>0.02</v>
      </c>
      <c r="AF273" s="64">
        <f t="shared" si="137"/>
        <v>4.184215152061876</v>
      </c>
      <c r="AG273" s="64">
        <f>APPLICANTS_PER_YEAR*($H273/Segments!$AH$2)*AE273</f>
        <v>0.14399999999999999</v>
      </c>
      <c r="AH273" s="64">
        <f t="shared" si="138"/>
        <v>4.3282151520618761</v>
      </c>
      <c r="AI273" s="40">
        <f t="shared" si="139"/>
        <v>2449.2675097207921</v>
      </c>
      <c r="AJ273" s="65">
        <f t="shared" si="140"/>
        <v>10600.95674702639</v>
      </c>
      <c r="AK273" s="65">
        <f t="shared" si="141"/>
        <v>16038.304912303571</v>
      </c>
      <c r="AL273" s="65">
        <f t="shared" si="142"/>
        <v>2121.0697469469178</v>
      </c>
      <c r="AM273" s="40">
        <f t="shared" si="143"/>
        <v>2671.6638328446211</v>
      </c>
      <c r="AN273" s="40">
        <f t="shared" si="144"/>
        <v>3407.7586337760495</v>
      </c>
      <c r="AO273" s="40">
        <f t="shared" si="145"/>
        <v>5582.9478728618133</v>
      </c>
      <c r="AP273" s="40">
        <f t="shared" si="146"/>
        <v>2906.4560533985336</v>
      </c>
      <c r="AQ273" s="40">
        <f t="shared" si="147"/>
        <v>3339.5797910557762</v>
      </c>
      <c r="AR273" s="41">
        <f t="shared" si="148"/>
        <v>0.70048937095560271</v>
      </c>
      <c r="AS273" s="41">
        <f t="shared" si="149"/>
        <v>0.02</v>
      </c>
      <c r="AT273" s="64">
        <f t="shared" si="150"/>
        <v>1.2717080869249848</v>
      </c>
      <c r="AU273" s="64">
        <f>APPLICANTS_PER_YEAR*($H273/Segments!$AH$2)*AS273</f>
        <v>0.14399999999999999</v>
      </c>
      <c r="AV273" s="64">
        <f t="shared" si="151"/>
        <v>1.4157080869249847</v>
      </c>
      <c r="AW273" s="40">
        <f t="shared" si="152"/>
        <v>3567.7659593510671</v>
      </c>
      <c r="AX273" s="65">
        <f t="shared" si="153"/>
        <v>5050.9151209089823</v>
      </c>
      <c r="AY273" s="65">
        <f t="shared" si="154"/>
        <v>5403.318430860214</v>
      </c>
      <c r="AZ273" s="65">
        <f t="shared" si="155"/>
        <v>1014.675176869521</v>
      </c>
    </row>
    <row r="274" spans="1:52" ht="15" customHeight="1" x14ac:dyDescent="0.35">
      <c r="A274" s="61" t="str">
        <f>Segments!$A$254</f>
        <v>Greek</v>
      </c>
      <c r="B274" s="61" t="str">
        <f>Segments!$B$254</f>
        <v>Off 0-1mi</v>
      </c>
      <c r="C274" s="61" t="str">
        <f>Segments!$C$254</f>
        <v>Yes</v>
      </c>
      <c r="D274" s="61" t="str">
        <f>Segments!$D$254</f>
        <v>1.0-2.0</v>
      </c>
      <c r="E274" s="61" t="str">
        <f>Segments!$E$254</f>
        <v>Grad student</v>
      </c>
      <c r="F274" s="61">
        <f>Segments!$F$254</f>
        <v>3</v>
      </c>
      <c r="G274" s="61" t="str">
        <f>Segments!$G$254</f>
        <v>Grad</v>
      </c>
      <c r="H274" s="62">
        <f>Segments!$H$254</f>
        <v>3</v>
      </c>
      <c r="I274" s="63">
        <f>Segments!$Y$254</f>
        <v>3824.6314498033435</v>
      </c>
      <c r="J274" s="42">
        <v>4</v>
      </c>
      <c r="K274" s="40">
        <f t="shared" si="117"/>
        <v>1426.2297754450396</v>
      </c>
      <c r="L274" s="40">
        <f t="shared" si="118"/>
        <v>3824.6314498033435</v>
      </c>
      <c r="M274" s="40">
        <f t="shared" si="119"/>
        <v>6260.8155709816265</v>
      </c>
      <c r="N274" s="40">
        <f t="shared" si="120"/>
        <v>2988.2037390218111</v>
      </c>
      <c r="O274" s="40">
        <f t="shared" si="121"/>
        <v>1782.7872193062994</v>
      </c>
      <c r="P274" s="41">
        <f t="shared" si="122"/>
        <v>0.95</v>
      </c>
      <c r="Q274" s="41">
        <f t="shared" si="123"/>
        <v>0.02</v>
      </c>
      <c r="R274" s="64">
        <f t="shared" si="124"/>
        <v>1.4249999999999998</v>
      </c>
      <c r="S274" s="64">
        <f>APPLICANTS_PER_YEAR*($H274/Segments!$AH$2)*Q274</f>
        <v>7.1999999999999995E-2</v>
      </c>
      <c r="T274" s="64">
        <f t="shared" si="125"/>
        <v>1.4969999999999999</v>
      </c>
      <c r="U274" s="40">
        <f t="shared" si="126"/>
        <v>1998.1633324129284</v>
      </c>
      <c r="V274" s="65">
        <f t="shared" si="127"/>
        <v>2991.2505086221536</v>
      </c>
      <c r="W274" s="65">
        <f t="shared" si="128"/>
        <v>6412.5300739982777</v>
      </c>
      <c r="X274" s="65">
        <f t="shared" si="129"/>
        <v>612.86360136846065</v>
      </c>
      <c r="Y274" s="40">
        <f t="shared" si="130"/>
        <v>1998.1633324129284</v>
      </c>
      <c r="Z274" s="40">
        <f t="shared" si="131"/>
        <v>3939.370393297444</v>
      </c>
      <c r="AA274" s="40">
        <f t="shared" si="132"/>
        <v>6447.3900381110752</v>
      </c>
      <c r="AB274" s="40">
        <f t="shared" si="133"/>
        <v>3077.5515325741658</v>
      </c>
      <c r="AC274" s="40">
        <f t="shared" si="134"/>
        <v>2497.7041655161606</v>
      </c>
      <c r="AD274" s="41">
        <f t="shared" si="135"/>
        <v>0.86920595576071502</v>
      </c>
      <c r="AE274" s="41">
        <f t="shared" si="136"/>
        <v>0.02</v>
      </c>
      <c r="AF274" s="64">
        <f t="shared" si="137"/>
        <v>0.65060065788689514</v>
      </c>
      <c r="AG274" s="64">
        <f>APPLICANTS_PER_YEAR*($H274/Segments!$AH$2)*AE274</f>
        <v>7.1999999999999995E-2</v>
      </c>
      <c r="AH274" s="64">
        <f t="shared" si="138"/>
        <v>0.72260065788689509</v>
      </c>
      <c r="AI274" s="40">
        <f t="shared" si="139"/>
        <v>2891.2512509262956</v>
      </c>
      <c r="AJ274" s="65">
        <f t="shared" si="140"/>
        <v>2089.2200560356496</v>
      </c>
      <c r="AK274" s="65">
        <f t="shared" si="141"/>
        <v>3188.1826343997168</v>
      </c>
      <c r="AL274" s="65">
        <f t="shared" si="142"/>
        <v>427.36202664451565</v>
      </c>
      <c r="AM274" s="40">
        <f t="shared" si="143"/>
        <v>2891.2512509262956</v>
      </c>
      <c r="AN274" s="40">
        <f t="shared" si="144"/>
        <v>4057.5515050963668</v>
      </c>
      <c r="AO274" s="40">
        <f t="shared" si="145"/>
        <v>6639.5617392544063</v>
      </c>
      <c r="AP274" s="40">
        <f t="shared" si="146"/>
        <v>3169.579731434389</v>
      </c>
      <c r="AQ274" s="40">
        <f t="shared" si="147"/>
        <v>3614.0640636578696</v>
      </c>
      <c r="AR274" s="41">
        <f t="shared" si="148"/>
        <v>0.70488276524245541</v>
      </c>
      <c r="AS274" s="41">
        <f t="shared" si="149"/>
        <v>0.02</v>
      </c>
      <c r="AT274" s="64">
        <f t="shared" si="150"/>
        <v>0.25467437494866607</v>
      </c>
      <c r="AU274" s="64">
        <f>APPLICANTS_PER_YEAR*($H274/Segments!$AH$2)*AS274</f>
        <v>7.1999999999999995E-2</v>
      </c>
      <c r="AV274" s="64">
        <f t="shared" si="151"/>
        <v>0.32667437494866608</v>
      </c>
      <c r="AW274" s="40">
        <f t="shared" si="152"/>
        <v>4280.8927142895018</v>
      </c>
      <c r="AX274" s="65">
        <f t="shared" si="153"/>
        <v>1398.4579516628214</v>
      </c>
      <c r="AY274" s="65">
        <f t="shared" si="154"/>
        <v>1484.5578739593</v>
      </c>
      <c r="AZ274" s="65">
        <f t="shared" si="155"/>
        <v>289.3737359461677</v>
      </c>
    </row>
    <row r="275" spans="1:52" ht="15" customHeight="1" x14ac:dyDescent="0.35">
      <c r="A275" s="59" t="str">
        <f>Segments!$A$255</f>
        <v>Greek</v>
      </c>
      <c r="B275" s="59" t="str">
        <f>Segments!$B$255</f>
        <v>Off 0-1mi</v>
      </c>
      <c r="C275" s="59" t="str">
        <f>Segments!$C$255</f>
        <v>Yes</v>
      </c>
      <c r="D275" s="59" t="str">
        <f>Segments!$D$255</f>
        <v>2.0-3.0</v>
      </c>
      <c r="E275" s="59" t="str">
        <f>Segments!$E$255</f>
        <v>Freshman</v>
      </c>
      <c r="F275" s="59">
        <f>Segments!$F$255</f>
        <v>1</v>
      </c>
      <c r="G275" s="59" t="str">
        <f>Segments!$G$255</f>
        <v>Base</v>
      </c>
      <c r="H275" s="60">
        <f>Segments!$H$255</f>
        <v>8</v>
      </c>
      <c r="I275" s="26">
        <f>Segments!$Y$255</f>
        <v>2854.0293275513854</v>
      </c>
      <c r="J275" s="29">
        <v>0</v>
      </c>
      <c r="K275" s="14">
        <f t="shared" si="117"/>
        <v>4682.5408523968026</v>
      </c>
      <c r="L275" s="14">
        <f t="shared" si="118"/>
        <v>2854.0293275513854</v>
      </c>
      <c r="M275" s="14">
        <f t="shared" si="119"/>
        <v>4682.5408523968026</v>
      </c>
      <c r="N275" s="14">
        <f t="shared" si="120"/>
        <v>2584.2560222288575</v>
      </c>
      <c r="O275" s="14">
        <f t="shared" si="121"/>
        <v>4682.5408523968026</v>
      </c>
      <c r="P275" s="33">
        <f t="shared" si="122"/>
        <v>0.44402535737186255</v>
      </c>
      <c r="Q275" s="33">
        <f t="shared" si="123"/>
        <v>0.02</v>
      </c>
      <c r="R275" s="51">
        <f t="shared" si="124"/>
        <v>0</v>
      </c>
      <c r="S275" s="51">
        <f>APPLICANTS_PER_YEAR*($H275/Segments!$AH$2)*Q275</f>
        <v>0.192</v>
      </c>
      <c r="T275" s="51">
        <f t="shared" si="125"/>
        <v>0.192</v>
      </c>
      <c r="U275" s="14">
        <f t="shared" si="126"/>
        <v>4682.5408523968026</v>
      </c>
      <c r="V275" s="44">
        <f t="shared" si="127"/>
        <v>899.04784366018612</v>
      </c>
      <c r="W275" s="44">
        <f t="shared" si="128"/>
        <v>613.73046659664999</v>
      </c>
      <c r="X275" s="44">
        <f t="shared" si="129"/>
        <v>210.02671697988171</v>
      </c>
      <c r="Y275" s="14">
        <f t="shared" si="130"/>
        <v>4821.7670779687069</v>
      </c>
      <c r="Z275" s="14">
        <f t="shared" si="131"/>
        <v>2939.650207377927</v>
      </c>
      <c r="AA275" s="14">
        <f t="shared" si="132"/>
        <v>4821.7670779687069</v>
      </c>
      <c r="AB275" s="14">
        <f t="shared" si="133"/>
        <v>2661.438748152093</v>
      </c>
      <c r="AC275" s="14">
        <f t="shared" si="134"/>
        <v>4821.7670779687069</v>
      </c>
      <c r="AD275" s="33">
        <f t="shared" si="135"/>
        <v>0.4441427674567775</v>
      </c>
      <c r="AE275" s="33">
        <f t="shared" si="136"/>
        <v>0.02</v>
      </c>
      <c r="AF275" s="51">
        <f t="shared" si="137"/>
        <v>0</v>
      </c>
      <c r="AG275" s="51">
        <f>APPLICANTS_PER_YEAR*($H275/Segments!$AH$2)*AE275</f>
        <v>0.192</v>
      </c>
      <c r="AH275" s="51">
        <f t="shared" si="138"/>
        <v>0.192</v>
      </c>
      <c r="AI275" s="14">
        <f t="shared" si="139"/>
        <v>4821.7670779687069</v>
      </c>
      <c r="AJ275" s="44">
        <f t="shared" si="140"/>
        <v>925.77927896999176</v>
      </c>
      <c r="AK275" s="44">
        <f t="shared" si="141"/>
        <v>632.14238059454954</v>
      </c>
      <c r="AL275" s="44">
        <f t="shared" si="142"/>
        <v>216.01455848927819</v>
      </c>
      <c r="AM275" s="14">
        <f t="shared" si="143"/>
        <v>4965.1700903077672</v>
      </c>
      <c r="AN275" s="14">
        <f t="shared" si="144"/>
        <v>3027.8397135992645</v>
      </c>
      <c r="AO275" s="14">
        <f t="shared" si="145"/>
        <v>4965.1700903077672</v>
      </c>
      <c r="AP275" s="14">
        <f t="shared" si="146"/>
        <v>2740.9369117882829</v>
      </c>
      <c r="AQ275" s="14">
        <f t="shared" si="147"/>
        <v>4965.1700903077672</v>
      </c>
      <c r="AR275" s="33">
        <f t="shared" si="148"/>
        <v>0.44425677239168615</v>
      </c>
      <c r="AS275" s="33">
        <f t="shared" si="149"/>
        <v>0.02</v>
      </c>
      <c r="AT275" s="51">
        <f t="shared" si="150"/>
        <v>0</v>
      </c>
      <c r="AU275" s="51">
        <f>APPLICANTS_PER_YEAR*($H275/Segments!$AH$2)*AS275</f>
        <v>0.192</v>
      </c>
      <c r="AV275" s="51">
        <f t="shared" si="151"/>
        <v>0.192</v>
      </c>
      <c r="AW275" s="14">
        <f t="shared" si="152"/>
        <v>4965.1700903077672</v>
      </c>
      <c r="AX275" s="44">
        <f t="shared" si="153"/>
        <v>953.31265733909129</v>
      </c>
      <c r="AY275" s="44">
        <f t="shared" si="154"/>
        <v>651.10665201238589</v>
      </c>
      <c r="AZ275" s="44">
        <f t="shared" si="155"/>
        <v>222.18203524395648</v>
      </c>
    </row>
    <row r="276" spans="1:52" ht="15" customHeight="1" x14ac:dyDescent="0.35">
      <c r="A276" s="59" t="str">
        <f>Segments!$A$256</f>
        <v>Greek</v>
      </c>
      <c r="B276" s="59" t="str">
        <f>Segments!$B$256</f>
        <v>Off 0-1mi</v>
      </c>
      <c r="C276" s="59" t="str">
        <f>Segments!$C$256</f>
        <v>Yes</v>
      </c>
      <c r="D276" s="59" t="str">
        <f>Segments!$D$256</f>
        <v>2.0-3.0</v>
      </c>
      <c r="E276" s="59" t="str">
        <f>Segments!$E$256</f>
        <v>Sophomore</v>
      </c>
      <c r="F276" s="59">
        <f>Segments!$F$256</f>
        <v>1</v>
      </c>
      <c r="G276" s="59" t="str">
        <f>Segments!$G$256</f>
        <v>Sophomore</v>
      </c>
      <c r="H276" s="60">
        <f>Segments!$H$256</f>
        <v>13</v>
      </c>
      <c r="I276" s="26">
        <f>Segments!$Y$256</f>
        <v>2824.993126188002</v>
      </c>
      <c r="J276" s="29">
        <v>1</v>
      </c>
      <c r="K276" s="14">
        <f t="shared" si="117"/>
        <v>1426.2297754450396</v>
      </c>
      <c r="L276" s="14">
        <f t="shared" si="118"/>
        <v>2824.993126188002</v>
      </c>
      <c r="M276" s="14">
        <f t="shared" si="119"/>
        <v>4635.3257253278034</v>
      </c>
      <c r="N276" s="14">
        <f t="shared" si="120"/>
        <v>2571.1941911004869</v>
      </c>
      <c r="O276" s="14">
        <f t="shared" si="121"/>
        <v>1782.7872193062994</v>
      </c>
      <c r="P276" s="33">
        <f t="shared" si="122"/>
        <v>0.92831532999783728</v>
      </c>
      <c r="Q276" s="33">
        <f t="shared" si="123"/>
        <v>0.02</v>
      </c>
      <c r="R276" s="51">
        <f t="shared" si="124"/>
        <v>7.4265226399826982</v>
      </c>
      <c r="S276" s="51">
        <f>APPLICANTS_PER_YEAR*($H276/Segments!$AH$2)*Q276</f>
        <v>0.312</v>
      </c>
      <c r="T276" s="51">
        <f t="shared" si="125"/>
        <v>7.7385226399826985</v>
      </c>
      <c r="U276" s="14">
        <f t="shared" si="126"/>
        <v>1897.7952195776147</v>
      </c>
      <c r="V276" s="44">
        <f t="shared" si="127"/>
        <v>14686.131272752307</v>
      </c>
      <c r="W276" s="44">
        <f t="shared" si="128"/>
        <v>24484.626056577516</v>
      </c>
      <c r="X276" s="44">
        <f t="shared" si="129"/>
        <v>2988.8670202704197</v>
      </c>
      <c r="Y276" s="14">
        <f t="shared" si="130"/>
        <v>4682.5408523968026</v>
      </c>
      <c r="Z276" s="14">
        <f t="shared" si="131"/>
        <v>2909.7429199736421</v>
      </c>
      <c r="AA276" s="14">
        <f t="shared" si="132"/>
        <v>4773.1354970876373</v>
      </c>
      <c r="AB276" s="14">
        <f t="shared" si="133"/>
        <v>2647.9833094688206</v>
      </c>
      <c r="AC276" s="14">
        <f t="shared" si="134"/>
        <v>4773.1354970876373</v>
      </c>
      <c r="AD276" s="33">
        <f t="shared" si="135"/>
        <v>0.44291831300187007</v>
      </c>
      <c r="AE276" s="33">
        <f t="shared" si="136"/>
        <v>0.02</v>
      </c>
      <c r="AF276" s="51">
        <f t="shared" si="137"/>
        <v>8.504031609635905E-2</v>
      </c>
      <c r="AG276" s="51">
        <f>APPLICANTS_PER_YEAR*($H276/Segments!$AH$2)*AE276</f>
        <v>0.312</v>
      </c>
      <c r="AH276" s="51">
        <f t="shared" si="138"/>
        <v>0.39704031609635904</v>
      </c>
      <c r="AI276" s="14">
        <f t="shared" si="139"/>
        <v>4773.1354970876373</v>
      </c>
      <c r="AJ276" s="44">
        <f t="shared" si="140"/>
        <v>1895.1272265344273</v>
      </c>
      <c r="AK276" s="44">
        <f t="shared" si="141"/>
        <v>1293.9194785501352</v>
      </c>
      <c r="AL276" s="44">
        <f t="shared" si="142"/>
        <v>426.04249176513093</v>
      </c>
      <c r="AM276" s="14">
        <f t="shared" si="143"/>
        <v>4821.7670779687069</v>
      </c>
      <c r="AN276" s="14">
        <f t="shared" si="144"/>
        <v>2997.035207572851</v>
      </c>
      <c r="AO276" s="14">
        <f t="shared" si="145"/>
        <v>4915.0795620002664</v>
      </c>
      <c r="AP276" s="14">
        <f t="shared" si="146"/>
        <v>2727.0760566483141</v>
      </c>
      <c r="AQ276" s="14">
        <f t="shared" si="147"/>
        <v>4915.0795620002664</v>
      </c>
      <c r="AR276" s="33">
        <f t="shared" si="148"/>
        <v>0.44303139262752234</v>
      </c>
      <c r="AS276" s="33">
        <f t="shared" si="149"/>
        <v>0.02</v>
      </c>
      <c r="AT276" s="51">
        <f t="shared" si="150"/>
        <v>8.506202738448429E-2</v>
      </c>
      <c r="AU276" s="51">
        <f>APPLICANTS_PER_YEAR*($H276/Segments!$AH$2)*AS276</f>
        <v>0.312</v>
      </c>
      <c r="AV276" s="51">
        <f t="shared" si="151"/>
        <v>0.39706202738448426</v>
      </c>
      <c r="AW276" s="14">
        <f t="shared" si="152"/>
        <v>4915.0795620002664</v>
      </c>
      <c r="AX276" s="44">
        <f t="shared" si="153"/>
        <v>1951.5914556438688</v>
      </c>
      <c r="AY276" s="44">
        <f t="shared" si="154"/>
        <v>1332.8099407409416</v>
      </c>
      <c r="AZ276" s="44">
        <f t="shared" si="155"/>
        <v>438.26469448142387</v>
      </c>
    </row>
    <row r="277" spans="1:52" ht="15" customHeight="1" x14ac:dyDescent="0.35">
      <c r="A277" s="59" t="str">
        <f>Segments!$A$257</f>
        <v>Greek</v>
      </c>
      <c r="B277" s="59" t="str">
        <f>Segments!$B$257</f>
        <v>Off 0-1mi</v>
      </c>
      <c r="C277" s="59" t="str">
        <f>Segments!$C$257</f>
        <v>Yes</v>
      </c>
      <c r="D277" s="59" t="str">
        <f>Segments!$D$257</f>
        <v>2.0-3.0</v>
      </c>
      <c r="E277" s="59" t="str">
        <f>Segments!$E$257</f>
        <v>Junior</v>
      </c>
      <c r="F277" s="59">
        <f>Segments!$F$257</f>
        <v>2</v>
      </c>
      <c r="G277" s="59" t="str">
        <f>Segments!$G$257</f>
        <v>Base</v>
      </c>
      <c r="H277" s="60">
        <f>Segments!$H$257</f>
        <v>8</v>
      </c>
      <c r="I277" s="26">
        <f>Segments!$Y$257</f>
        <v>3377.0691703717785</v>
      </c>
      <c r="J277" s="29">
        <v>2</v>
      </c>
      <c r="K277" s="14">
        <f t="shared" si="117"/>
        <v>1426.2297754450396</v>
      </c>
      <c r="L277" s="14">
        <f t="shared" si="118"/>
        <v>3377.0691703717785</v>
      </c>
      <c r="M277" s="14">
        <f t="shared" si="119"/>
        <v>5533.0444128265981</v>
      </c>
      <c r="N277" s="14">
        <f t="shared" si="120"/>
        <v>2809.1622755606541</v>
      </c>
      <c r="O277" s="14">
        <f t="shared" si="121"/>
        <v>1782.7872193062994</v>
      </c>
      <c r="P277" s="33">
        <f t="shared" si="122"/>
        <v>0.95</v>
      </c>
      <c r="Q277" s="33">
        <f t="shared" si="123"/>
        <v>0.02</v>
      </c>
      <c r="R277" s="51">
        <f t="shared" si="124"/>
        <v>12.35</v>
      </c>
      <c r="S277" s="51">
        <f>APPLICANTS_PER_YEAR*($H277/Segments!$AH$2)*Q277</f>
        <v>0.192</v>
      </c>
      <c r="T277" s="51">
        <f t="shared" si="125"/>
        <v>12.542</v>
      </c>
      <c r="U277" s="14">
        <f t="shared" si="126"/>
        <v>1840.1982686728993</v>
      </c>
      <c r="V277" s="44">
        <f t="shared" si="127"/>
        <v>23079.766685695504</v>
      </c>
      <c r="W277" s="44">
        <f t="shared" si="128"/>
        <v>47437.825718979191</v>
      </c>
      <c r="X277" s="44">
        <f t="shared" si="129"/>
        <v>4654.8979620506452</v>
      </c>
      <c r="Y277" s="14">
        <f t="shared" si="130"/>
        <v>1897.7952195776147</v>
      </c>
      <c r="Z277" s="14">
        <f t="shared" si="131"/>
        <v>3478.3812454829317</v>
      </c>
      <c r="AA277" s="14">
        <f t="shared" si="132"/>
        <v>5697.7857452113958</v>
      </c>
      <c r="AB277" s="14">
        <f t="shared" si="133"/>
        <v>2893.1198099015187</v>
      </c>
      <c r="AC277" s="14">
        <f t="shared" si="134"/>
        <v>2372.2440244720183</v>
      </c>
      <c r="AD277" s="33">
        <f t="shared" si="135"/>
        <v>0.86501973987507119</v>
      </c>
      <c r="AE277" s="33">
        <f t="shared" si="136"/>
        <v>0.02</v>
      </c>
      <c r="AF277" s="51">
        <f t="shared" si="137"/>
        <v>6.6939748410551827</v>
      </c>
      <c r="AG277" s="51">
        <f>APPLICANTS_PER_YEAR*($H277/Segments!$AH$2)*AE277</f>
        <v>0.192</v>
      </c>
      <c r="AH277" s="51">
        <f t="shared" si="138"/>
        <v>6.8859748410551829</v>
      </c>
      <c r="AI277" s="14">
        <f t="shared" si="139"/>
        <v>2464.9693139364972</v>
      </c>
      <c r="AJ277" s="44">
        <f t="shared" si="140"/>
        <v>16973.716679739773</v>
      </c>
      <c r="AK277" s="44">
        <f t="shared" si="141"/>
        <v>26826.291233272899</v>
      </c>
      <c r="AL277" s="44">
        <f t="shared" si="142"/>
        <v>3388.8410694997415</v>
      </c>
      <c r="AM277" s="14">
        <f t="shared" si="143"/>
        <v>4773.1354970876373</v>
      </c>
      <c r="AN277" s="14">
        <f t="shared" si="144"/>
        <v>3582.7326828474197</v>
      </c>
      <c r="AO277" s="14">
        <f t="shared" si="145"/>
        <v>5867.4693175677376</v>
      </c>
      <c r="AP277" s="14">
        <f t="shared" si="146"/>
        <v>2979.5960359688552</v>
      </c>
      <c r="AQ277" s="14">
        <f t="shared" si="147"/>
        <v>5867.4693175677376</v>
      </c>
      <c r="AR277" s="33">
        <f t="shared" si="148"/>
        <v>0.3</v>
      </c>
      <c r="AS277" s="33">
        <f t="shared" si="149"/>
        <v>0.02</v>
      </c>
      <c r="AT277" s="51">
        <f t="shared" si="150"/>
        <v>0.11911209482890771</v>
      </c>
      <c r="AU277" s="51">
        <f>APPLICANTS_PER_YEAR*($H277/Segments!$AH$2)*AS277</f>
        <v>0.192</v>
      </c>
      <c r="AV277" s="51">
        <f t="shared" si="151"/>
        <v>0.31111209482890773</v>
      </c>
      <c r="AW277" s="14">
        <f t="shared" si="152"/>
        <v>5867.4693175677367</v>
      </c>
      <c r="AX277" s="44">
        <f t="shared" si="153"/>
        <v>1825.4406707328403</v>
      </c>
      <c r="AY277" s="44">
        <f t="shared" si="154"/>
        <v>1248.3872465933721</v>
      </c>
      <c r="AZ277" s="44">
        <f t="shared" si="155"/>
        <v>395.45992247914023</v>
      </c>
    </row>
    <row r="278" spans="1:52" ht="15" customHeight="1" x14ac:dyDescent="0.35">
      <c r="A278" s="59" t="str">
        <f>Segments!$A$258</f>
        <v>Greek</v>
      </c>
      <c r="B278" s="59" t="str">
        <f>Segments!$B$258</f>
        <v>Off 0-1mi</v>
      </c>
      <c r="C278" s="59" t="str">
        <f>Segments!$C$258</f>
        <v>Yes</v>
      </c>
      <c r="D278" s="59" t="str">
        <f>Segments!$D$258</f>
        <v>2.0-3.0</v>
      </c>
      <c r="E278" s="59" t="str">
        <f>Segments!$E$258</f>
        <v>Senior</v>
      </c>
      <c r="F278" s="59">
        <f>Segments!$F$258</f>
        <v>3</v>
      </c>
      <c r="G278" s="59" t="str">
        <f>Segments!$G$258</f>
        <v>Base</v>
      </c>
      <c r="H278" s="60">
        <f>Segments!$H$258</f>
        <v>2</v>
      </c>
      <c r="I278" s="26">
        <f>Segments!$Y$258</f>
        <v>3156.5041931117394</v>
      </c>
      <c r="J278" s="29">
        <v>3</v>
      </c>
      <c r="K278" s="14">
        <f t="shared" si="117"/>
        <v>1426.2297754450396</v>
      </c>
      <c r="L278" s="14">
        <f t="shared" si="118"/>
        <v>3156.5041931117394</v>
      </c>
      <c r="M278" s="14">
        <f t="shared" si="119"/>
        <v>5174.3885646330273</v>
      </c>
      <c r="N278" s="14">
        <f t="shared" si="120"/>
        <v>2716.5910698156144</v>
      </c>
      <c r="O278" s="14">
        <f t="shared" si="121"/>
        <v>1782.7872193062994</v>
      </c>
      <c r="P278" s="33">
        <f t="shared" si="122"/>
        <v>0.94687052200916932</v>
      </c>
      <c r="Q278" s="33">
        <f t="shared" si="123"/>
        <v>0.02</v>
      </c>
      <c r="R278" s="51">
        <f t="shared" si="124"/>
        <v>7.5749641760733546</v>
      </c>
      <c r="S278" s="51">
        <f>APPLICANTS_PER_YEAR*($H278/Segments!$AH$2)*Q278</f>
        <v>4.8000000000000001E-2</v>
      </c>
      <c r="T278" s="51">
        <f t="shared" si="125"/>
        <v>7.6229641760733546</v>
      </c>
      <c r="U278" s="14">
        <f t="shared" si="126"/>
        <v>1804.1433297136737</v>
      </c>
      <c r="V278" s="44">
        <f t="shared" si="127"/>
        <v>13752.919970909034</v>
      </c>
      <c r="W278" s="44">
        <f t="shared" si="128"/>
        <v>26949.348592002054</v>
      </c>
      <c r="X278" s="44">
        <f t="shared" si="129"/>
        <v>2761.6541308118576</v>
      </c>
      <c r="Y278" s="14">
        <f t="shared" si="130"/>
        <v>1840.1982686728993</v>
      </c>
      <c r="Z278" s="14">
        <f t="shared" si="131"/>
        <v>3251.1993189050918</v>
      </c>
      <c r="AA278" s="14">
        <f t="shared" si="132"/>
        <v>5328.3702215720186</v>
      </c>
      <c r="AB278" s="14">
        <f t="shared" si="133"/>
        <v>2797.7606531901038</v>
      </c>
      <c r="AC278" s="14">
        <f t="shared" si="134"/>
        <v>2300.247835841124</v>
      </c>
      <c r="AD278" s="33">
        <f t="shared" si="135"/>
        <v>0.86391268393200438</v>
      </c>
      <c r="AE278" s="33">
        <f t="shared" si="136"/>
        <v>0.02</v>
      </c>
      <c r="AF278" s="51">
        <f t="shared" si="137"/>
        <v>10.835192881875198</v>
      </c>
      <c r="AG278" s="51">
        <f>APPLICANTS_PER_YEAR*($H278/Segments!$AH$2)*AE278</f>
        <v>4.8000000000000001E-2</v>
      </c>
      <c r="AH278" s="51">
        <f t="shared" si="138"/>
        <v>10.883192881875198</v>
      </c>
      <c r="AI278" s="14">
        <f t="shared" si="139"/>
        <v>2313.6032799734385</v>
      </c>
      <c r="AJ278" s="44">
        <f t="shared" si="140"/>
        <v>25179.390748090034</v>
      </c>
      <c r="AK278" s="44">
        <f t="shared" si="141"/>
        <v>39629.440799273238</v>
      </c>
      <c r="AL278" s="44">
        <f t="shared" si="142"/>
        <v>4986.7203709987616</v>
      </c>
      <c r="AM278" s="14">
        <f t="shared" si="143"/>
        <v>2464.9693139364972</v>
      </c>
      <c r="AN278" s="14">
        <f t="shared" si="144"/>
        <v>3348.7352984722443</v>
      </c>
      <c r="AO278" s="14">
        <f t="shared" si="145"/>
        <v>5486.9713282191788</v>
      </c>
      <c r="AP278" s="14">
        <f t="shared" si="146"/>
        <v>2881.3652861335308</v>
      </c>
      <c r="AQ278" s="14">
        <f t="shared" si="147"/>
        <v>3081.2116424206215</v>
      </c>
      <c r="AR278" s="33">
        <f t="shared" si="148"/>
        <v>0.740320891931189</v>
      </c>
      <c r="AS278" s="33">
        <f t="shared" si="149"/>
        <v>0.02</v>
      </c>
      <c r="AT278" s="51">
        <f t="shared" si="150"/>
        <v>5.0978310361457</v>
      </c>
      <c r="AU278" s="51">
        <f>APPLICANTS_PER_YEAR*($H278/Segments!$AH$2)*AS278</f>
        <v>4.8000000000000001E-2</v>
      </c>
      <c r="AV278" s="51">
        <f t="shared" si="151"/>
        <v>5.1458310361457</v>
      </c>
      <c r="AW278" s="14">
        <f t="shared" si="152"/>
        <v>3103.6524229490128</v>
      </c>
      <c r="AX278" s="44">
        <f t="shared" si="153"/>
        <v>15970.870963419831</v>
      </c>
      <c r="AY278" s="44">
        <f t="shared" si="154"/>
        <v>19299.869154400923</v>
      </c>
      <c r="AZ278" s="44">
        <f t="shared" si="155"/>
        <v>3131.8293446406706</v>
      </c>
    </row>
    <row r="279" spans="1:52" ht="15" customHeight="1" x14ac:dyDescent="0.35">
      <c r="A279" s="59" t="str">
        <f>Segments!$A$259</f>
        <v>Greek</v>
      </c>
      <c r="B279" s="59" t="str">
        <f>Segments!$B$259</f>
        <v>Off 0-1mi</v>
      </c>
      <c r="C279" s="59" t="str">
        <f>Segments!$C$259</f>
        <v>Yes</v>
      </c>
      <c r="D279" s="59" t="str">
        <f>Segments!$D$259</f>
        <v>2.0-3.0</v>
      </c>
      <c r="E279" s="59" t="str">
        <f>Segments!$E$259</f>
        <v>Grad student</v>
      </c>
      <c r="F279" s="59">
        <f>Segments!$F$259</f>
        <v>3</v>
      </c>
      <c r="G279" s="59" t="str">
        <f>Segments!$G$259</f>
        <v>Grad</v>
      </c>
      <c r="H279" s="60">
        <f>Segments!$H$259</f>
        <v>5</v>
      </c>
      <c r="I279" s="26">
        <f>Segments!$Y$259</f>
        <v>3758.3877604065146</v>
      </c>
      <c r="J279" s="29">
        <v>4</v>
      </c>
      <c r="K279" s="14">
        <f t="shared" si="117"/>
        <v>1426.2297754450396</v>
      </c>
      <c r="L279" s="14">
        <f t="shared" si="118"/>
        <v>3758.3877604065146</v>
      </c>
      <c r="M279" s="14">
        <f t="shared" si="119"/>
        <v>6153.0981676874471</v>
      </c>
      <c r="N279" s="14">
        <f t="shared" si="120"/>
        <v>2962.3861696261265</v>
      </c>
      <c r="O279" s="14">
        <f t="shared" si="121"/>
        <v>1782.7872193062994</v>
      </c>
      <c r="P279" s="33">
        <f t="shared" si="122"/>
        <v>0.95</v>
      </c>
      <c r="Q279" s="33">
        <f t="shared" si="123"/>
        <v>0.02</v>
      </c>
      <c r="R279" s="51">
        <f t="shared" si="124"/>
        <v>2.375</v>
      </c>
      <c r="S279" s="51">
        <f>APPLICANTS_PER_YEAR*($H279/Segments!$AH$2)*Q279</f>
        <v>0.12</v>
      </c>
      <c r="T279" s="51">
        <f t="shared" si="125"/>
        <v>2.4950000000000001</v>
      </c>
      <c r="U279" s="14">
        <f t="shared" si="126"/>
        <v>1992.9825354609036</v>
      </c>
      <c r="V279" s="44">
        <f t="shared" si="127"/>
        <v>4972.4914259749548</v>
      </c>
      <c r="W279" s="44">
        <f t="shared" si="128"/>
        <v>10502.438757679967</v>
      </c>
      <c r="X279" s="44">
        <f t="shared" si="129"/>
        <v>1018.5438918135536</v>
      </c>
      <c r="Y279" s="14">
        <f t="shared" si="130"/>
        <v>1992.9825354609036</v>
      </c>
      <c r="Z279" s="14">
        <f t="shared" si="131"/>
        <v>3871.1393932187102</v>
      </c>
      <c r="AA279" s="14">
        <f t="shared" si="132"/>
        <v>6336.4411127180701</v>
      </c>
      <c r="AB279" s="14">
        <f t="shared" si="133"/>
        <v>3050.9568359568752</v>
      </c>
      <c r="AC279" s="14">
        <f t="shared" si="134"/>
        <v>2491.2281693261293</v>
      </c>
      <c r="AD279" s="33">
        <f t="shared" si="135"/>
        <v>0.86673002056831749</v>
      </c>
      <c r="AE279" s="33">
        <f t="shared" si="136"/>
        <v>0.02</v>
      </c>
      <c r="AF279" s="51">
        <f t="shared" si="137"/>
        <v>1.0812457006589762</v>
      </c>
      <c r="AG279" s="51">
        <f>APPLICANTS_PER_YEAR*($H279/Segments!$AH$2)*AE279</f>
        <v>0.12</v>
      </c>
      <c r="AH279" s="51">
        <f t="shared" si="138"/>
        <v>1.2012457006589763</v>
      </c>
      <c r="AI279" s="14">
        <f t="shared" si="139"/>
        <v>2875.3507122446217</v>
      </c>
      <c r="AJ279" s="44">
        <f t="shared" si="140"/>
        <v>3454.0026809705773</v>
      </c>
      <c r="AK279" s="44">
        <f t="shared" si="141"/>
        <v>5208.2122990862426</v>
      </c>
      <c r="AL279" s="44">
        <f t="shared" si="142"/>
        <v>706.44447339003455</v>
      </c>
      <c r="AM279" s="14">
        <f t="shared" si="143"/>
        <v>2875.3507122446217</v>
      </c>
      <c r="AN279" s="14">
        <f t="shared" si="144"/>
        <v>3987.273575015271</v>
      </c>
      <c r="AO279" s="14">
        <f t="shared" si="145"/>
        <v>6525.2843460996119</v>
      </c>
      <c r="AP279" s="14">
        <f t="shared" si="146"/>
        <v>3142.1845930270761</v>
      </c>
      <c r="AQ279" s="14">
        <f t="shared" si="147"/>
        <v>3594.1883903057769</v>
      </c>
      <c r="AR279" s="33">
        <f t="shared" si="148"/>
        <v>0.70307491350416573</v>
      </c>
      <c r="AS279" s="33">
        <f t="shared" si="149"/>
        <v>0.02</v>
      </c>
      <c r="AT279" s="51">
        <f t="shared" si="150"/>
        <v>0.42228285854403036</v>
      </c>
      <c r="AU279" s="51">
        <f>APPLICANTS_PER_YEAR*($H279/Segments!$AH$2)*AS279</f>
        <v>0.12</v>
      </c>
      <c r="AV279" s="51">
        <f t="shared" si="151"/>
        <v>0.54228285854403036</v>
      </c>
      <c r="AW279" s="14">
        <f t="shared" si="152"/>
        <v>4242.8010269648457</v>
      </c>
      <c r="AX279" s="44">
        <f t="shared" si="153"/>
        <v>2300.7982691360439</v>
      </c>
      <c r="AY279" s="44">
        <f t="shared" si="154"/>
        <v>2421.6977255031197</v>
      </c>
      <c r="AZ279" s="44">
        <f t="shared" si="155"/>
        <v>476.1027242912113</v>
      </c>
    </row>
    <row r="280" spans="1:52" ht="15" customHeight="1" x14ac:dyDescent="0.35">
      <c r="A280" s="61" t="str">
        <f>Segments!$A$260</f>
        <v>Greek</v>
      </c>
      <c r="B280" s="61" t="str">
        <f>Segments!$B$260</f>
        <v>Off 0-1mi</v>
      </c>
      <c r="C280" s="61" t="str">
        <f>Segments!$C$260</f>
        <v>Yes</v>
      </c>
      <c r="D280" s="61" t="str">
        <f>Segments!$D$260</f>
        <v>3.0+</v>
      </c>
      <c r="E280" s="61" t="str">
        <f>Segments!$E$260</f>
        <v>Freshman</v>
      </c>
      <c r="F280" s="61">
        <f>Segments!$F$260</f>
        <v>1</v>
      </c>
      <c r="G280" s="61" t="str">
        <f>Segments!$G$260</f>
        <v>Base</v>
      </c>
      <c r="H280" s="62">
        <f>Segments!$H$260</f>
        <v>6</v>
      </c>
      <c r="I280" s="63">
        <f>Segments!$Y$260</f>
        <v>2501.6926078029637</v>
      </c>
      <c r="J280" s="42">
        <v>0</v>
      </c>
      <c r="K280" s="40">
        <f t="shared" si="117"/>
        <v>4109.6138780380061</v>
      </c>
      <c r="L280" s="40">
        <f t="shared" si="118"/>
        <v>2501.6926078029637</v>
      </c>
      <c r="M280" s="40">
        <f t="shared" si="119"/>
        <v>4109.6138780380061</v>
      </c>
      <c r="N280" s="40">
        <f t="shared" si="120"/>
        <v>2421.0026184289773</v>
      </c>
      <c r="O280" s="40">
        <f t="shared" si="121"/>
        <v>4109.6138780380061</v>
      </c>
      <c r="P280" s="41">
        <f t="shared" si="122"/>
        <v>0.50125786177282361</v>
      </c>
      <c r="Q280" s="41">
        <f t="shared" si="123"/>
        <v>0.02</v>
      </c>
      <c r="R280" s="64">
        <f t="shared" si="124"/>
        <v>0</v>
      </c>
      <c r="S280" s="64">
        <f>APPLICANTS_PER_YEAR*($H280/Segments!$AH$2)*Q280</f>
        <v>0.14399999999999999</v>
      </c>
      <c r="T280" s="64">
        <f t="shared" si="125"/>
        <v>0.14399999999999999</v>
      </c>
      <c r="U280" s="40">
        <f t="shared" si="126"/>
        <v>4109.6138780380061</v>
      </c>
      <c r="V280" s="65">
        <f t="shared" si="127"/>
        <v>591.78439843747287</v>
      </c>
      <c r="W280" s="65">
        <f t="shared" si="128"/>
        <v>403.47298378646201</v>
      </c>
      <c r="X280" s="65">
        <f t="shared" si="129"/>
        <v>139.03970524999392</v>
      </c>
      <c r="Y280" s="40">
        <f t="shared" si="130"/>
        <v>4231.652294379147</v>
      </c>
      <c r="Z280" s="40">
        <f t="shared" si="131"/>
        <v>2576.7433860370529</v>
      </c>
      <c r="AA280" s="40">
        <f t="shared" si="132"/>
        <v>4231.652294379147</v>
      </c>
      <c r="AB280" s="40">
        <f t="shared" si="133"/>
        <v>2493.2644778725489</v>
      </c>
      <c r="AC280" s="40">
        <f t="shared" si="134"/>
        <v>4231.652294379147</v>
      </c>
      <c r="AD280" s="41">
        <f t="shared" si="135"/>
        <v>0.5013831902041278</v>
      </c>
      <c r="AE280" s="41">
        <f t="shared" si="136"/>
        <v>0.02</v>
      </c>
      <c r="AF280" s="64">
        <f t="shared" si="137"/>
        <v>0</v>
      </c>
      <c r="AG280" s="64">
        <f>APPLICANTS_PER_YEAR*($H280/Segments!$AH$2)*AE280</f>
        <v>0.14399999999999999</v>
      </c>
      <c r="AH280" s="64">
        <f t="shared" si="138"/>
        <v>0.14399999999999999</v>
      </c>
      <c r="AI280" s="40">
        <f t="shared" si="139"/>
        <v>4231.652294379147</v>
      </c>
      <c r="AJ280" s="65">
        <f t="shared" si="140"/>
        <v>609.35793039059706</v>
      </c>
      <c r="AK280" s="65">
        <f t="shared" si="141"/>
        <v>415.5771733000559</v>
      </c>
      <c r="AL280" s="65">
        <f t="shared" si="142"/>
        <v>142.97617640749374</v>
      </c>
      <c r="AM280" s="40">
        <f t="shared" si="143"/>
        <v>4357.3518632105215</v>
      </c>
      <c r="AN280" s="40">
        <f t="shared" si="144"/>
        <v>2654.0456876181643</v>
      </c>
      <c r="AO280" s="40">
        <f t="shared" si="145"/>
        <v>4357.3518632105215</v>
      </c>
      <c r="AP280" s="40">
        <f t="shared" si="146"/>
        <v>2567.6941395030549</v>
      </c>
      <c r="AQ280" s="40">
        <f t="shared" si="147"/>
        <v>4357.3518632105215</v>
      </c>
      <c r="AR280" s="41">
        <f t="shared" si="148"/>
        <v>0.50150488600370591</v>
      </c>
      <c r="AS280" s="41">
        <f t="shared" si="149"/>
        <v>0.02</v>
      </c>
      <c r="AT280" s="64">
        <f t="shared" si="150"/>
        <v>0</v>
      </c>
      <c r="AU280" s="64">
        <f>APPLICANTS_PER_YEAR*($H280/Segments!$AH$2)*AS280</f>
        <v>0.14399999999999999</v>
      </c>
      <c r="AV280" s="64">
        <f t="shared" si="151"/>
        <v>0.14399999999999999</v>
      </c>
      <c r="AW280" s="40">
        <f t="shared" si="152"/>
        <v>4357.3518632105215</v>
      </c>
      <c r="AX280" s="65">
        <f t="shared" si="153"/>
        <v>627.458668302315</v>
      </c>
      <c r="AY280" s="65">
        <f t="shared" si="154"/>
        <v>428.04448849905754</v>
      </c>
      <c r="AZ280" s="65">
        <f t="shared" si="155"/>
        <v>147.03074169971856</v>
      </c>
    </row>
    <row r="281" spans="1:52" ht="15" customHeight="1" x14ac:dyDescent="0.35">
      <c r="A281" s="61" t="str">
        <f>Segments!$A$261</f>
        <v>Greek</v>
      </c>
      <c r="B281" s="61" t="str">
        <f>Segments!$B$261</f>
        <v>Off 0-1mi</v>
      </c>
      <c r="C281" s="61" t="str">
        <f>Segments!$C$261</f>
        <v>Yes</v>
      </c>
      <c r="D281" s="61" t="str">
        <f>Segments!$D$261</f>
        <v>3.0+</v>
      </c>
      <c r="E281" s="61" t="str">
        <f>Segments!$E$261</f>
        <v>Sophomore</v>
      </c>
      <c r="F281" s="61">
        <f>Segments!$F$261</f>
        <v>1</v>
      </c>
      <c r="G281" s="61" t="str">
        <f>Segments!$G$261</f>
        <v>Sophomore</v>
      </c>
      <c r="H281" s="62">
        <f>Segments!$H$261</f>
        <v>4</v>
      </c>
      <c r="I281" s="63">
        <f>Segments!$Y$261</f>
        <v>2476.2409946719326</v>
      </c>
      <c r="J281" s="42">
        <v>1</v>
      </c>
      <c r="K281" s="40">
        <f t="shared" ref="K281:K344" si="156">IF($J281=0,M281,CURRENT_FLAT)</f>
        <v>1426.2297754450396</v>
      </c>
      <c r="L281" s="40">
        <f t="shared" ref="L281:L344" si="157">$I281*(1+LOSS_TREND)^0</f>
        <v>2476.2409946719326</v>
      </c>
      <c r="M281" s="40">
        <f t="shared" ref="M281:M344" si="158">L281*GROSS_MULT+POLICY_FEE</f>
        <v>4068.2275708880611</v>
      </c>
      <c r="N281" s="40">
        <f t="shared" ref="N281:N344" si="159">M281^MARKET_RISK_WEIGHT*(CURRENT_FLAT*(1+LOSS_TREND)^0)^(1-MARKET_RISK_WEIGHT)</f>
        <v>2408.7812883047309</v>
      </c>
      <c r="O281" s="40">
        <f t="shared" ref="O281:O344" si="160">MIN(M281,K281*(1+CAP_UP))</f>
        <v>1782.7872193062994</v>
      </c>
      <c r="P281" s="41">
        <f t="shared" ref="P281:P344" si="161">MEDIAN(RET_FLOOR,BASE_RETENTION-ELAST_MARKET*(O281/N281-1)-ELAST_INCREASE*MAX(O281/K281-1,0),RET_CEIL)</f>
        <v>0.90493999746631171</v>
      </c>
      <c r="Q281" s="41">
        <f t="shared" ref="Q281:Q344" si="162">MEDIAN(CONV_FLOOR,BASE_CONVERSION-ELAST_MARKET*(M281/N281-1),CONV_CEIL)</f>
        <v>0.02</v>
      </c>
      <c r="R281" s="64">
        <f t="shared" ref="R281:R344" si="163">IF($J281=0,0,IF($J281=4,$H281*GRAD_CONTINUE,$H280)*P281)</f>
        <v>5.4296399847978698</v>
      </c>
      <c r="S281" s="64">
        <f>APPLICANTS_PER_YEAR*($H281/Segments!$AH$2)*Q281</f>
        <v>9.6000000000000002E-2</v>
      </c>
      <c r="T281" s="64">
        <f t="shared" ref="T281:T344" si="164">R281+S281</f>
        <v>5.5256399847978699</v>
      </c>
      <c r="U281" s="40">
        <f t="shared" ref="U281:U344" si="165">IFERROR((R281*O281+S281*M281)/T281,M281)</f>
        <v>1822.4934387406938</v>
      </c>
      <c r="V281" s="65">
        <f t="shared" ref="V281:V344" si="166">R281*O281+S281*M281</f>
        <v>10070.442617137345</v>
      </c>
      <c r="W281" s="65">
        <f t="shared" ref="W281:W344" si="167">T281*L281*(1+LAE_RATIO)</f>
        <v>15324.754202413467</v>
      </c>
      <c r="X281" s="65">
        <f t="shared" ref="X281:X344" si="168">R281*O281*(PREMIUM_TAX+OTHER_VARIABLE+COMMISSION_RN)+S281*M281*(PREMIUM_TAX+OTHER_VARIABLE+COMMISSION_NB)+T281*FIXED_PER_POLICY+S281*NB_ACQUISITION</f>
        <v>2029.8956989730998</v>
      </c>
      <c r="Y281" s="40">
        <f t="shared" ref="Y281:Y344" si="169">IF($J281=0,AA281,IF($J281=4,U281,U280))</f>
        <v>4109.6138780380061</v>
      </c>
      <c r="Z281" s="40">
        <f t="shared" ref="Z281:Z344" si="170">$I281*(1+LOSS_TREND)^1</f>
        <v>2550.5282245120907</v>
      </c>
      <c r="AA281" s="40">
        <f t="shared" ref="AA281:AA344" si="171">Z281*GROSS_MULT+POLICY_FEE</f>
        <v>4189.0243980147034</v>
      </c>
      <c r="AB281" s="40">
        <f t="shared" ref="AB281:AB344" si="172">AA281^MARKET_RISK_WEIGHT*(CURRENT_FLAT*(1+LOSS_TREND)^1)^(1-MARKET_RISK_WEIGHT)</f>
        <v>2480.6746393490885</v>
      </c>
      <c r="AC281" s="40">
        <f t="shared" ref="AC281:AC344" si="173">MIN(AA281,Y281*(1+CAP_UP))</f>
        <v>4189.0243980147034</v>
      </c>
      <c r="AD281" s="41">
        <f t="shared" ref="AD281:AD344" si="174">MEDIAN(RET_FLOOR,BASE_RETENTION-ELAST_MARKET*(AC281/AB281-1)-ELAST_INCREASE*MAX(AC281/Y281-1,0),RET_CEIL)</f>
        <v>0.49987138174219847</v>
      </c>
      <c r="AE281" s="41">
        <f t="shared" ref="AE281:AE344" si="175">MEDIAN(CONV_FLOOR,BASE_CONVERSION-ELAST_MARKET*(AA281/AB281-1),CONV_CEIL)</f>
        <v>0.02</v>
      </c>
      <c r="AF281" s="64">
        <f t="shared" ref="AF281:AF344" si="176">IF($J281=0,0,IF($J281=4,T281*GRAD_CONTINUE,T280)*AD281)</f>
        <v>7.1981478970876575E-2</v>
      </c>
      <c r="AG281" s="64">
        <f>APPLICANTS_PER_YEAR*($H281/Segments!$AH$2)*AE281</f>
        <v>9.6000000000000002E-2</v>
      </c>
      <c r="AH281" s="64">
        <f t="shared" ref="AH281:AH344" si="177">AF281+AG281</f>
        <v>0.16798147897087656</v>
      </c>
      <c r="AI281" s="40">
        <f t="shared" ref="AI281:AI344" si="178">IFERROR((AF281*AC281+AG281*AA281)/AH281,AA281)</f>
        <v>4189.0243980147043</v>
      </c>
      <c r="AJ281" s="65">
        <f t="shared" ref="AJ281:AJ344" si="179">AF281*AC281+AG281*AA281</f>
        <v>703.67851382359584</v>
      </c>
      <c r="AK281" s="65">
        <f t="shared" ref="AK281:AK344" si="180">AH281*Z281*(1+LAE_RATIO)</f>
        <v>479.85448370776555</v>
      </c>
      <c r="AL281" s="65">
        <f t="shared" ref="AL281:AL344" si="181">AF281*AC281*(PREMIUM_TAX+OTHER_VARIABLE+COMMISSION_RN)+AG281*AA281*(PREMIUM_TAX+OTHER_VARIABLE+COMMISSION_NB)+AH281*FIXED_PER_POLICY+AG281*NB_ACQUISITION</f>
        <v>152.82999066940658</v>
      </c>
      <c r="AM281" s="40">
        <f t="shared" ref="AM281:AM344" si="182">IF($J281=0,AO281,IF($J281=4,AI281,AI280))</f>
        <v>4231.652294379147</v>
      </c>
      <c r="AN281" s="40">
        <f t="shared" ref="AN281:AN344" si="183">$I281*(1+LOSS_TREND)^2</f>
        <v>2627.0440712474533</v>
      </c>
      <c r="AO281" s="40">
        <f t="shared" ref="AO281:AO344" si="184">AN281*GROSS_MULT+POLICY_FEE</f>
        <v>4313.4451299551447</v>
      </c>
      <c r="AP281" s="40">
        <f t="shared" ref="AP281:AP344" si="185">AO281^MARKET_RISK_WEIGHT*(CURRENT_FLAT*(1+LOSS_TREND)^2)^(1-MARKET_RISK_WEIGHT)</f>
        <v>2554.7247365082276</v>
      </c>
      <c r="AQ281" s="40">
        <f t="shared" ref="AQ281:AQ344" si="186">MIN(AO281,AM281*(1+CAP_UP))</f>
        <v>4313.4451299551447</v>
      </c>
      <c r="AR281" s="41">
        <f t="shared" ref="AR281:AR344" si="187">MEDIAN(RET_FLOOR,BASE_RETENTION-ELAST_MARKET*(AQ281/AP281-1)-ELAST_INCREASE*MAX(AQ281/AM281-1,0),RET_CEIL)</f>
        <v>0.49999198288479585</v>
      </c>
      <c r="AS281" s="41">
        <f t="shared" ref="AS281:AS344" si="188">MEDIAN(CONV_FLOOR,BASE_CONVERSION-ELAST_MARKET*(AO281/AP281-1),CONV_CEIL)</f>
        <v>0.02</v>
      </c>
      <c r="AT281" s="64">
        <f t="shared" ref="AT281:AT344" si="189">IF($J281=0,0,IF($J281=4,AH281*GRAD_CONTINUE,AH280)*AR281)</f>
        <v>7.1998845535410597E-2</v>
      </c>
      <c r="AU281" s="64">
        <f>APPLICANTS_PER_YEAR*($H281/Segments!$AH$2)*AS281</f>
        <v>9.6000000000000002E-2</v>
      </c>
      <c r="AV281" s="64">
        <f t="shared" ref="AV281:AV344" si="190">AT281+AU281</f>
        <v>0.16799884553541061</v>
      </c>
      <c r="AW281" s="40">
        <f t="shared" ref="AW281:AW344" si="191">IFERROR((AT281*AQ281+AU281*AO281)/AV281,AO281)</f>
        <v>4313.4451299551447</v>
      </c>
      <c r="AX281" s="65">
        <f t="shared" ref="AX281:AX344" si="192">AT281*AQ281+AU281*AO281</f>
        <v>724.65380211280353</v>
      </c>
      <c r="AY281" s="65">
        <f t="shared" ref="AY281:AY344" si="193">AV281*AN281*(1+LAE_RATIO)</f>
        <v>494.30121567704327</v>
      </c>
      <c r="AZ281" s="65">
        <f t="shared" ref="AZ281:AZ344" si="194">AT281*AQ281*(PREMIUM_TAX+OTHER_VARIABLE+COMMISSION_RN)+AU281*AO281*(PREMIUM_TAX+OTHER_VARIABLE+COMMISSION_NB)+AV281*FIXED_PER_POLICY+AU281*NB_ACQUISITION</f>
        <v>157.21272114667735</v>
      </c>
    </row>
    <row r="282" spans="1:52" ht="15" customHeight="1" x14ac:dyDescent="0.35">
      <c r="A282" s="61" t="str">
        <f>Segments!$A$262</f>
        <v>Greek</v>
      </c>
      <c r="B282" s="61" t="str">
        <f>Segments!$B$262</f>
        <v>Off 0-1mi</v>
      </c>
      <c r="C282" s="61" t="str">
        <f>Segments!$C$262</f>
        <v>Yes</v>
      </c>
      <c r="D282" s="61" t="str">
        <f>Segments!$D$262</f>
        <v>3.0+</v>
      </c>
      <c r="E282" s="61" t="str">
        <f>Segments!$E$262</f>
        <v>Junior</v>
      </c>
      <c r="F282" s="61">
        <f>Segments!$F$262</f>
        <v>2</v>
      </c>
      <c r="G282" s="61" t="str">
        <f>Segments!$G$262</f>
        <v>Base</v>
      </c>
      <c r="H282" s="62">
        <f>Segments!$H$262</f>
        <v>6</v>
      </c>
      <c r="I282" s="63">
        <f>Segments!$Y$262</f>
        <v>2960.1619359695442</v>
      </c>
      <c r="J282" s="42">
        <v>2</v>
      </c>
      <c r="K282" s="40">
        <f t="shared" si="156"/>
        <v>1426.2297754450396</v>
      </c>
      <c r="L282" s="40">
        <f t="shared" si="157"/>
        <v>2960.1619359695442</v>
      </c>
      <c r="M282" s="40">
        <f t="shared" si="158"/>
        <v>4855.1207477458875</v>
      </c>
      <c r="N282" s="40">
        <f t="shared" si="159"/>
        <v>2631.4478474437169</v>
      </c>
      <c r="O282" s="40">
        <f t="shared" si="160"/>
        <v>1782.7872193062994</v>
      </c>
      <c r="P282" s="41">
        <f t="shared" si="161"/>
        <v>0.93625355267098231</v>
      </c>
      <c r="Q282" s="41">
        <f t="shared" si="162"/>
        <v>0.02</v>
      </c>
      <c r="R282" s="64">
        <f t="shared" si="163"/>
        <v>3.7450142106839293</v>
      </c>
      <c r="S282" s="64">
        <f>APPLICANTS_PER_YEAR*($H282/Segments!$AH$2)*Q282</f>
        <v>0.14399999999999999</v>
      </c>
      <c r="T282" s="64">
        <f t="shared" si="164"/>
        <v>3.8890142106839294</v>
      </c>
      <c r="U282" s="40">
        <f t="shared" si="165"/>
        <v>1896.5476748170795</v>
      </c>
      <c r="V282" s="65">
        <f t="shared" si="166"/>
        <v>7375.7008586031861</v>
      </c>
      <c r="W282" s="65">
        <f t="shared" si="167"/>
        <v>12893.565255100555</v>
      </c>
      <c r="X282" s="65">
        <f t="shared" si="168"/>
        <v>1499.85755505832</v>
      </c>
      <c r="Y282" s="40">
        <f t="shared" si="169"/>
        <v>1822.4934387406938</v>
      </c>
      <c r="Z282" s="40">
        <f t="shared" si="170"/>
        <v>3048.9667940486306</v>
      </c>
      <c r="AA282" s="40">
        <f t="shared" si="171"/>
        <v>4999.5243701782638</v>
      </c>
      <c r="AB282" s="40">
        <f t="shared" si="172"/>
        <v>2710.052515248678</v>
      </c>
      <c r="AC282" s="40">
        <f t="shared" si="173"/>
        <v>2278.1167984258673</v>
      </c>
      <c r="AD282" s="41">
        <f t="shared" si="174"/>
        <v>0.85469139239782876</v>
      </c>
      <c r="AE282" s="41">
        <f t="shared" si="175"/>
        <v>0.02</v>
      </c>
      <c r="AF282" s="64">
        <f t="shared" si="176"/>
        <v>4.7227169324960085</v>
      </c>
      <c r="AG282" s="64">
        <f>APPLICANTS_PER_YEAR*($H282/Segments!$AH$2)*AE282</f>
        <v>0.14399999999999999</v>
      </c>
      <c r="AH282" s="64">
        <f t="shared" si="177"/>
        <v>4.8667169324960087</v>
      </c>
      <c r="AI282" s="40">
        <f t="shared" si="178"/>
        <v>2358.6398072155648</v>
      </c>
      <c r="AJ282" s="65">
        <f t="shared" si="179"/>
        <v>11478.832287435111</v>
      </c>
      <c r="AK282" s="65">
        <f t="shared" si="180"/>
        <v>16619.073322000288</v>
      </c>
      <c r="AL282" s="65">
        <f t="shared" si="181"/>
        <v>2295.631243800854</v>
      </c>
      <c r="AM282" s="40">
        <f t="shared" si="182"/>
        <v>4189.0243980147043</v>
      </c>
      <c r="AN282" s="40">
        <f t="shared" si="183"/>
        <v>3140.4357978700891</v>
      </c>
      <c r="AO282" s="40">
        <f t="shared" si="184"/>
        <v>5148.2601012836112</v>
      </c>
      <c r="AP282" s="40">
        <f t="shared" si="185"/>
        <v>2791.0152813520986</v>
      </c>
      <c r="AQ282" s="40">
        <f t="shared" si="186"/>
        <v>5148.2601012836112</v>
      </c>
      <c r="AR282" s="41">
        <f t="shared" si="187"/>
        <v>0.35901200783374038</v>
      </c>
      <c r="AS282" s="41">
        <f t="shared" si="188"/>
        <v>0.02</v>
      </c>
      <c r="AT282" s="64">
        <f t="shared" si="189"/>
        <v>6.0307368044215631E-2</v>
      </c>
      <c r="AU282" s="64">
        <f>APPLICANTS_PER_YEAR*($H282/Segments!$AH$2)*AS282</f>
        <v>0.14399999999999999</v>
      </c>
      <c r="AV282" s="64">
        <f t="shared" si="190"/>
        <v>0.20430736804421562</v>
      </c>
      <c r="AW282" s="40">
        <f t="shared" si="191"/>
        <v>5148.2601012836112</v>
      </c>
      <c r="AX282" s="65">
        <f t="shared" si="192"/>
        <v>1051.8274713003016</v>
      </c>
      <c r="AY282" s="65">
        <f t="shared" si="193"/>
        <v>718.60787305963527</v>
      </c>
      <c r="AZ282" s="65">
        <f t="shared" si="194"/>
        <v>232.42877034711071</v>
      </c>
    </row>
    <row r="283" spans="1:52" ht="15" customHeight="1" x14ac:dyDescent="0.35">
      <c r="A283" s="61" t="str">
        <f>Segments!$A$263</f>
        <v>Greek</v>
      </c>
      <c r="B283" s="61" t="str">
        <f>Segments!$B$263</f>
        <v>Off 0-1mi</v>
      </c>
      <c r="C283" s="61" t="str">
        <f>Segments!$C$263</f>
        <v>Yes</v>
      </c>
      <c r="D283" s="61" t="str">
        <f>Segments!$D$263</f>
        <v>3.0+</v>
      </c>
      <c r="E283" s="61" t="str">
        <f>Segments!$E$263</f>
        <v>Senior</v>
      </c>
      <c r="F283" s="61">
        <f>Segments!$F$263</f>
        <v>3</v>
      </c>
      <c r="G283" s="61" t="str">
        <f>Segments!$G$263</f>
        <v>Base</v>
      </c>
      <c r="H283" s="62">
        <f>Segments!$H$263</f>
        <v>3</v>
      </c>
      <c r="I283" s="63">
        <f>Segments!$Y$263</f>
        <v>2766.8262306125589</v>
      </c>
      <c r="J283" s="42">
        <v>3</v>
      </c>
      <c r="K283" s="40">
        <f t="shared" si="156"/>
        <v>1426.2297754450396</v>
      </c>
      <c r="L283" s="40">
        <f t="shared" si="157"/>
        <v>2766.8262306125589</v>
      </c>
      <c r="M283" s="40">
        <f t="shared" si="158"/>
        <v>4540.741818451228</v>
      </c>
      <c r="N283" s="40">
        <f t="shared" si="159"/>
        <v>2544.8263563716082</v>
      </c>
      <c r="O283" s="40">
        <f t="shared" si="160"/>
        <v>1782.7872193062994</v>
      </c>
      <c r="P283" s="41">
        <f t="shared" si="161"/>
        <v>0.92472320904280036</v>
      </c>
      <c r="Q283" s="41">
        <f t="shared" si="162"/>
        <v>0.02</v>
      </c>
      <c r="R283" s="64">
        <f t="shared" si="163"/>
        <v>5.5483392542568026</v>
      </c>
      <c r="S283" s="64">
        <f>APPLICANTS_PER_YEAR*($H283/Segments!$AH$2)*Q283</f>
        <v>7.1999999999999995E-2</v>
      </c>
      <c r="T283" s="64">
        <f t="shared" si="164"/>
        <v>5.6203392542568027</v>
      </c>
      <c r="U283" s="40">
        <f t="shared" si="165"/>
        <v>1818.1183127074739</v>
      </c>
      <c r="V283" s="65">
        <f t="shared" si="166"/>
        <v>10218.44172179296</v>
      </c>
      <c r="W283" s="65">
        <f t="shared" si="167"/>
        <v>17416.56232245345</v>
      </c>
      <c r="X283" s="65">
        <f t="shared" si="168"/>
        <v>2056.9349398865029</v>
      </c>
      <c r="Y283" s="40">
        <f t="shared" si="169"/>
        <v>1896.5476748170795</v>
      </c>
      <c r="Z283" s="40">
        <f t="shared" si="170"/>
        <v>2849.8310175309357</v>
      </c>
      <c r="AA283" s="40">
        <f t="shared" si="171"/>
        <v>4675.7140730047649</v>
      </c>
      <c r="AB283" s="40">
        <f t="shared" si="172"/>
        <v>2620.8208468642797</v>
      </c>
      <c r="AC283" s="40">
        <f t="shared" si="173"/>
        <v>2370.6845935213496</v>
      </c>
      <c r="AD283" s="41">
        <f t="shared" si="174"/>
        <v>0.82272097521320642</v>
      </c>
      <c r="AE283" s="41">
        <f t="shared" si="175"/>
        <v>0.02</v>
      </c>
      <c r="AF283" s="64">
        <f t="shared" si="176"/>
        <v>3.1995735640319007</v>
      </c>
      <c r="AG283" s="64">
        <f>APPLICANTS_PER_YEAR*($H283/Segments!$AH$2)*AE283</f>
        <v>7.1999999999999995E-2</v>
      </c>
      <c r="AH283" s="64">
        <f t="shared" si="177"/>
        <v>3.2715735640319008</v>
      </c>
      <c r="AI283" s="40">
        <f t="shared" si="178"/>
        <v>2421.4131249985003</v>
      </c>
      <c r="AJ283" s="65">
        <f t="shared" si="179"/>
        <v>7921.8311673449662</v>
      </c>
      <c r="AK283" s="65">
        <f t="shared" si="180"/>
        <v>10442.243637181824</v>
      </c>
      <c r="AL283" s="65">
        <f t="shared" si="181"/>
        <v>1576.2403613728086</v>
      </c>
      <c r="AM283" s="40">
        <f t="shared" si="182"/>
        <v>2358.6398072155648</v>
      </c>
      <c r="AN283" s="40">
        <f t="shared" si="183"/>
        <v>2935.3259480568636</v>
      </c>
      <c r="AO283" s="40">
        <f t="shared" si="184"/>
        <v>4814.7354951949083</v>
      </c>
      <c r="AP283" s="40">
        <f t="shared" si="185"/>
        <v>2699.0951259263106</v>
      </c>
      <c r="AQ283" s="40">
        <f t="shared" si="186"/>
        <v>2948.2997590194559</v>
      </c>
      <c r="AR283" s="41">
        <f t="shared" si="187"/>
        <v>0.72883552237574067</v>
      </c>
      <c r="AS283" s="41">
        <f t="shared" si="188"/>
        <v>0.02</v>
      </c>
      <c r="AT283" s="64">
        <f t="shared" si="189"/>
        <v>3.5470361777505905</v>
      </c>
      <c r="AU283" s="64">
        <f>APPLICANTS_PER_YEAR*($H283/Segments!$AH$2)*AS283</f>
        <v>7.1999999999999995E-2</v>
      </c>
      <c r="AV283" s="64">
        <f t="shared" si="190"/>
        <v>3.6190361777505906</v>
      </c>
      <c r="AW283" s="40">
        <f t="shared" si="191"/>
        <v>2985.4321242140359</v>
      </c>
      <c r="AX283" s="65">
        <f t="shared" si="192"/>
        <v>10804.386863749391</v>
      </c>
      <c r="AY283" s="65">
        <f t="shared" si="193"/>
        <v>11897.816895448783</v>
      </c>
      <c r="AZ283" s="65">
        <f t="shared" si="194"/>
        <v>2128.3429742515377</v>
      </c>
    </row>
    <row r="284" spans="1:52" ht="15" customHeight="1" x14ac:dyDescent="0.35">
      <c r="A284" s="61" t="str">
        <f>Segments!$A$264</f>
        <v>Greek</v>
      </c>
      <c r="B284" s="61" t="str">
        <f>Segments!$B$264</f>
        <v>Off 0-1mi</v>
      </c>
      <c r="C284" s="61" t="str">
        <f>Segments!$C$264</f>
        <v>Yes</v>
      </c>
      <c r="D284" s="61" t="str">
        <f>Segments!$D$264</f>
        <v>3.0+</v>
      </c>
      <c r="E284" s="61" t="str">
        <f>Segments!$E$264</f>
        <v>Grad student</v>
      </c>
      <c r="F284" s="61">
        <f>Segments!$F$264</f>
        <v>3</v>
      </c>
      <c r="G284" s="61" t="str">
        <f>Segments!$G$264</f>
        <v>Grad</v>
      </c>
      <c r="H284" s="62">
        <f>Segments!$H$264</f>
        <v>4</v>
      </c>
      <c r="I284" s="63">
        <f>Segments!$Y$264</f>
        <v>3294.4058376347671</v>
      </c>
      <c r="J284" s="42">
        <v>4</v>
      </c>
      <c r="K284" s="40">
        <f t="shared" si="156"/>
        <v>1426.2297754450396</v>
      </c>
      <c r="L284" s="40">
        <f t="shared" si="157"/>
        <v>3294.4058376347671</v>
      </c>
      <c r="M284" s="40">
        <f t="shared" si="158"/>
        <v>5398.6273893916104</v>
      </c>
      <c r="N284" s="40">
        <f t="shared" si="159"/>
        <v>2774.8302883750275</v>
      </c>
      <c r="O284" s="40">
        <f t="shared" si="160"/>
        <v>1782.7872193062994</v>
      </c>
      <c r="P284" s="41">
        <f t="shared" si="161"/>
        <v>0.95</v>
      </c>
      <c r="Q284" s="41">
        <f t="shared" si="162"/>
        <v>0.02</v>
      </c>
      <c r="R284" s="64">
        <f t="shared" si="163"/>
        <v>1.9</v>
      </c>
      <c r="S284" s="64">
        <f>APPLICANTS_PER_YEAR*($H284/Segments!$AH$2)*Q284</f>
        <v>9.6000000000000002E-2</v>
      </c>
      <c r="T284" s="64">
        <f t="shared" si="164"/>
        <v>1.996</v>
      </c>
      <c r="U284" s="40">
        <f t="shared" si="165"/>
        <v>1956.6953637593003</v>
      </c>
      <c r="V284" s="65">
        <f t="shared" si="166"/>
        <v>3905.5639460635634</v>
      </c>
      <c r="W284" s="65">
        <f t="shared" si="167"/>
        <v>7364.7101381492757</v>
      </c>
      <c r="X284" s="65">
        <f t="shared" si="168"/>
        <v>798.61097383436925</v>
      </c>
      <c r="Y284" s="40">
        <f t="shared" si="169"/>
        <v>1956.6953637593003</v>
      </c>
      <c r="Z284" s="40">
        <f t="shared" si="170"/>
        <v>3393.2380127638103</v>
      </c>
      <c r="AA284" s="40">
        <f t="shared" si="171"/>
        <v>5559.3362110733588</v>
      </c>
      <c r="AB284" s="40">
        <f t="shared" si="172"/>
        <v>2857.7539364019626</v>
      </c>
      <c r="AC284" s="40">
        <f t="shared" si="173"/>
        <v>2445.8692046991255</v>
      </c>
      <c r="AD284" s="41">
        <f t="shared" si="174"/>
        <v>0.84706441507371666</v>
      </c>
      <c r="AE284" s="41">
        <f t="shared" si="175"/>
        <v>0.02</v>
      </c>
      <c r="AF284" s="64">
        <f t="shared" si="176"/>
        <v>0.84537028624356925</v>
      </c>
      <c r="AG284" s="64">
        <f>APPLICANTS_PER_YEAR*($H284/Segments!$AH$2)*AE284</f>
        <v>9.6000000000000002E-2</v>
      </c>
      <c r="AH284" s="64">
        <f t="shared" si="177"/>
        <v>0.94137028624356922</v>
      </c>
      <c r="AI284" s="40">
        <f t="shared" si="178"/>
        <v>2763.3774551503097</v>
      </c>
      <c r="AJ284" s="65">
        <f t="shared" si="179"/>
        <v>2601.3614259538731</v>
      </c>
      <c r="AK284" s="65">
        <f t="shared" si="180"/>
        <v>3577.6086520921917</v>
      </c>
      <c r="AL284" s="65">
        <f t="shared" si="181"/>
        <v>531.56408489935995</v>
      </c>
      <c r="AM284" s="40">
        <f t="shared" si="182"/>
        <v>2763.3774551503097</v>
      </c>
      <c r="AN284" s="40">
        <f t="shared" si="183"/>
        <v>3495.035153146724</v>
      </c>
      <c r="AO284" s="40">
        <f t="shared" si="184"/>
        <v>5724.8662974055587</v>
      </c>
      <c r="AP284" s="40">
        <f t="shared" si="185"/>
        <v>2943.1652582765587</v>
      </c>
      <c r="AQ284" s="40">
        <f t="shared" si="186"/>
        <v>3454.2218189378873</v>
      </c>
      <c r="AR284" s="41">
        <f t="shared" si="187"/>
        <v>0.68817909192761573</v>
      </c>
      <c r="AS284" s="41">
        <f t="shared" si="188"/>
        <v>0.02</v>
      </c>
      <c r="AT284" s="64">
        <f t="shared" si="189"/>
        <v>0.32391567437736957</v>
      </c>
      <c r="AU284" s="64">
        <f>APPLICANTS_PER_YEAR*($H284/Segments!$AH$2)*AS284</f>
        <v>9.6000000000000002E-2</v>
      </c>
      <c r="AV284" s="64">
        <f t="shared" si="190"/>
        <v>0.41991567437736954</v>
      </c>
      <c r="AW284" s="40">
        <f t="shared" si="191"/>
        <v>3973.3304953551451</v>
      </c>
      <c r="AX284" s="65">
        <f t="shared" si="192"/>
        <v>1668.4637544812235</v>
      </c>
      <c r="AY284" s="65">
        <f t="shared" si="193"/>
        <v>1643.7344485029662</v>
      </c>
      <c r="AZ284" s="65">
        <f t="shared" si="194"/>
        <v>345.37351384378127</v>
      </c>
    </row>
    <row r="285" spans="1:52" ht="15" customHeight="1" x14ac:dyDescent="0.35">
      <c r="A285" s="59" t="str">
        <f>Segments!$A$265</f>
        <v>Greek</v>
      </c>
      <c r="B285" s="59" t="str">
        <f>Segments!$B$265</f>
        <v>Off 0-1mi</v>
      </c>
      <c r="C285" s="59" t="str">
        <f>Segments!$C$265</f>
        <v>No</v>
      </c>
      <c r="D285" s="59" t="str">
        <f>Segments!$D$265</f>
        <v>&lt;1.0</v>
      </c>
      <c r="E285" s="59" t="str">
        <f>Segments!$E$265</f>
        <v>Freshman</v>
      </c>
      <c r="F285" s="59">
        <f>Segments!$F$265</f>
        <v>1</v>
      </c>
      <c r="G285" s="59" t="str">
        <f>Segments!$G$265</f>
        <v>Base</v>
      </c>
      <c r="H285" s="60">
        <f>Segments!$H$265</f>
        <v>3</v>
      </c>
      <c r="I285" s="26">
        <f>Segments!$Y$265</f>
        <v>4929.2333150043378</v>
      </c>
      <c r="J285" s="29">
        <v>0</v>
      </c>
      <c r="K285" s="14">
        <f t="shared" si="156"/>
        <v>8056.9843181748365</v>
      </c>
      <c r="L285" s="14">
        <f t="shared" si="157"/>
        <v>4929.2333150043378</v>
      </c>
      <c r="M285" s="14">
        <f t="shared" si="158"/>
        <v>8056.9843181748365</v>
      </c>
      <c r="N285" s="14">
        <f t="shared" si="159"/>
        <v>3389.8541170490957</v>
      </c>
      <c r="O285" s="14">
        <f t="shared" si="160"/>
        <v>8056.9843181748365</v>
      </c>
      <c r="P285" s="33">
        <f t="shared" si="161"/>
        <v>0.3</v>
      </c>
      <c r="Q285" s="33">
        <f t="shared" si="162"/>
        <v>0.02</v>
      </c>
      <c r="R285" s="51">
        <f t="shared" si="163"/>
        <v>0</v>
      </c>
      <c r="S285" s="51">
        <f>APPLICANTS_PER_YEAR*($H285/Segments!$AH$2)*Q285</f>
        <v>7.1999999999999995E-2</v>
      </c>
      <c r="T285" s="51">
        <f t="shared" si="164"/>
        <v>7.1999999999999995E-2</v>
      </c>
      <c r="U285" s="14">
        <f t="shared" si="165"/>
        <v>8056.9843181748365</v>
      </c>
      <c r="V285" s="44">
        <f t="shared" si="166"/>
        <v>580.10287090858822</v>
      </c>
      <c r="W285" s="44">
        <f t="shared" si="167"/>
        <v>397.49337452194982</v>
      </c>
      <c r="X285" s="44">
        <f t="shared" si="168"/>
        <v>133.18304308352378</v>
      </c>
      <c r="Y285" s="14">
        <f t="shared" si="169"/>
        <v>8297.4438477200802</v>
      </c>
      <c r="Z285" s="14">
        <f t="shared" si="170"/>
        <v>5077.1103144544677</v>
      </c>
      <c r="AA285" s="14">
        <f t="shared" si="171"/>
        <v>8297.4438477200802</v>
      </c>
      <c r="AB285" s="14">
        <f t="shared" si="172"/>
        <v>3491.2867713742285</v>
      </c>
      <c r="AC285" s="14">
        <f t="shared" si="173"/>
        <v>8297.4438477200802</v>
      </c>
      <c r="AD285" s="33">
        <f t="shared" si="174"/>
        <v>0.3</v>
      </c>
      <c r="AE285" s="33">
        <f t="shared" si="175"/>
        <v>0.02</v>
      </c>
      <c r="AF285" s="51">
        <f t="shared" si="176"/>
        <v>0</v>
      </c>
      <c r="AG285" s="51">
        <f>APPLICANTS_PER_YEAR*($H285/Segments!$AH$2)*AE285</f>
        <v>7.1999999999999995E-2</v>
      </c>
      <c r="AH285" s="51">
        <f t="shared" si="177"/>
        <v>7.1999999999999995E-2</v>
      </c>
      <c r="AI285" s="14">
        <f t="shared" si="178"/>
        <v>8297.4438477200802</v>
      </c>
      <c r="AJ285" s="44">
        <f t="shared" si="179"/>
        <v>597.41595703584574</v>
      </c>
      <c r="AK285" s="44">
        <f t="shared" si="180"/>
        <v>409.41817575760825</v>
      </c>
      <c r="AL285" s="44">
        <f t="shared" si="181"/>
        <v>137.06117437602947</v>
      </c>
      <c r="AM285" s="14">
        <f t="shared" si="182"/>
        <v>8545.1171631516845</v>
      </c>
      <c r="AN285" s="14">
        <f t="shared" si="183"/>
        <v>5229.4236238881022</v>
      </c>
      <c r="AO285" s="14">
        <f t="shared" si="184"/>
        <v>8545.1171631516845</v>
      </c>
      <c r="AP285" s="14">
        <f t="shared" si="185"/>
        <v>3595.7623858088932</v>
      </c>
      <c r="AQ285" s="14">
        <f t="shared" si="186"/>
        <v>8545.1171631516845</v>
      </c>
      <c r="AR285" s="33">
        <f t="shared" si="187"/>
        <v>0.3</v>
      </c>
      <c r="AS285" s="33">
        <f t="shared" si="188"/>
        <v>0.02</v>
      </c>
      <c r="AT285" s="51">
        <f t="shared" si="189"/>
        <v>0</v>
      </c>
      <c r="AU285" s="51">
        <f>APPLICANTS_PER_YEAR*($H285/Segments!$AH$2)*AS285</f>
        <v>7.1999999999999995E-2</v>
      </c>
      <c r="AV285" s="51">
        <f t="shared" si="190"/>
        <v>7.1999999999999995E-2</v>
      </c>
      <c r="AW285" s="14">
        <f t="shared" si="191"/>
        <v>8545.1171631516845</v>
      </c>
      <c r="AX285" s="44">
        <f t="shared" si="192"/>
        <v>615.24843574692125</v>
      </c>
      <c r="AY285" s="44">
        <f t="shared" si="193"/>
        <v>421.70072103033658</v>
      </c>
      <c r="AZ285" s="44">
        <f t="shared" si="194"/>
        <v>141.05564960731036</v>
      </c>
    </row>
    <row r="286" spans="1:52" ht="15" customHeight="1" x14ac:dyDescent="0.35">
      <c r="A286" s="59" t="str">
        <f>Segments!$A$266</f>
        <v>Greek</v>
      </c>
      <c r="B286" s="59" t="str">
        <f>Segments!$B$266</f>
        <v>Off 0-1mi</v>
      </c>
      <c r="C286" s="59" t="str">
        <f>Segments!$C$266</f>
        <v>No</v>
      </c>
      <c r="D286" s="59" t="str">
        <f>Segments!$D$266</f>
        <v>&lt;1.0</v>
      </c>
      <c r="E286" s="59" t="str">
        <f>Segments!$E$266</f>
        <v>Sophomore</v>
      </c>
      <c r="F286" s="59">
        <f>Segments!$F$266</f>
        <v>1</v>
      </c>
      <c r="G286" s="59" t="str">
        <f>Segments!$G$266</f>
        <v>Sophomore</v>
      </c>
      <c r="H286" s="60">
        <f>Segments!$H$266</f>
        <v>0</v>
      </c>
      <c r="I286" s="26">
        <f>Segments!$Y$266</f>
        <v>4879.0844921734379</v>
      </c>
      <c r="J286" s="29">
        <v>1</v>
      </c>
      <c r="K286" s="14">
        <f t="shared" si="156"/>
        <v>1426.2297754450396</v>
      </c>
      <c r="L286" s="14">
        <f t="shared" si="157"/>
        <v>4879.0844921734379</v>
      </c>
      <c r="M286" s="14">
        <f t="shared" si="158"/>
        <v>7975.4384226670454</v>
      </c>
      <c r="N286" s="14">
        <f t="shared" si="159"/>
        <v>3372.6558897456707</v>
      </c>
      <c r="O286" s="14">
        <f t="shared" si="160"/>
        <v>1782.7872193062994</v>
      </c>
      <c r="P286" s="33">
        <f t="shared" si="161"/>
        <v>0.95</v>
      </c>
      <c r="Q286" s="33">
        <f t="shared" si="162"/>
        <v>0.02</v>
      </c>
      <c r="R286" s="51">
        <f t="shared" si="163"/>
        <v>2.8499999999999996</v>
      </c>
      <c r="S286" s="51">
        <f>APPLICANTS_PER_YEAR*($H286/Segments!$AH$2)*Q286</f>
        <v>0</v>
      </c>
      <c r="T286" s="51">
        <f t="shared" si="164"/>
        <v>2.8499999999999996</v>
      </c>
      <c r="U286" s="14">
        <f t="shared" si="165"/>
        <v>1782.7872193062997</v>
      </c>
      <c r="V286" s="44">
        <f t="shared" si="166"/>
        <v>5080.9435750229532</v>
      </c>
      <c r="W286" s="44">
        <f t="shared" si="167"/>
        <v>15574.037699017612</v>
      </c>
      <c r="X286" s="44">
        <f t="shared" si="168"/>
        <v>1017.2983356793382</v>
      </c>
      <c r="Y286" s="14">
        <f t="shared" si="169"/>
        <v>8056.9843181748365</v>
      </c>
      <c r="Z286" s="14">
        <f t="shared" si="170"/>
        <v>5025.4570269386413</v>
      </c>
      <c r="AA286" s="14">
        <f t="shared" si="171"/>
        <v>8213.4515753470569</v>
      </c>
      <c r="AB286" s="14">
        <f t="shared" si="172"/>
        <v>3473.5712561877895</v>
      </c>
      <c r="AC286" s="14">
        <f t="shared" si="173"/>
        <v>8213.4515753470569</v>
      </c>
      <c r="AD286" s="33">
        <f t="shared" si="174"/>
        <v>0.3</v>
      </c>
      <c r="AE286" s="33">
        <f t="shared" si="175"/>
        <v>0.02</v>
      </c>
      <c r="AF286" s="51">
        <f t="shared" si="176"/>
        <v>2.1599999999999998E-2</v>
      </c>
      <c r="AG286" s="51">
        <f>APPLICANTS_PER_YEAR*($H286/Segments!$AH$2)*AE286</f>
        <v>0</v>
      </c>
      <c r="AH286" s="51">
        <f t="shared" si="177"/>
        <v>2.1599999999999998E-2</v>
      </c>
      <c r="AI286" s="14">
        <f t="shared" si="178"/>
        <v>8213.4515753470569</v>
      </c>
      <c r="AJ286" s="44">
        <f t="shared" si="179"/>
        <v>177.4105540274964</v>
      </c>
      <c r="AK286" s="44">
        <f t="shared" si="180"/>
        <v>121.57585639569962</v>
      </c>
      <c r="AL286" s="44">
        <f t="shared" si="181"/>
        <v>33.962594711196822</v>
      </c>
      <c r="AM286" s="14">
        <f t="shared" si="182"/>
        <v>8297.4438477200802</v>
      </c>
      <c r="AN286" s="14">
        <f t="shared" si="183"/>
        <v>5176.2207377468003</v>
      </c>
      <c r="AO286" s="14">
        <f t="shared" si="184"/>
        <v>8458.6051226074669</v>
      </c>
      <c r="AP286" s="14">
        <f t="shared" si="185"/>
        <v>3577.5140638027588</v>
      </c>
      <c r="AQ286" s="14">
        <f t="shared" si="186"/>
        <v>8458.6051226074669</v>
      </c>
      <c r="AR286" s="33">
        <f t="shared" si="187"/>
        <v>0.3</v>
      </c>
      <c r="AS286" s="33">
        <f t="shared" si="188"/>
        <v>0.02</v>
      </c>
      <c r="AT286" s="51">
        <f t="shared" si="189"/>
        <v>2.1599999999999998E-2</v>
      </c>
      <c r="AU286" s="51">
        <f>APPLICANTS_PER_YEAR*($H286/Segments!$AH$2)*AS286</f>
        <v>0</v>
      </c>
      <c r="AV286" s="51">
        <f t="shared" si="190"/>
        <v>2.1599999999999998E-2</v>
      </c>
      <c r="AW286" s="14">
        <f t="shared" si="191"/>
        <v>8458.6051226074669</v>
      </c>
      <c r="AX286" s="44">
        <f t="shared" si="192"/>
        <v>182.70587064832125</v>
      </c>
      <c r="AY286" s="44">
        <f t="shared" si="193"/>
        <v>125.22313208757059</v>
      </c>
      <c r="AZ286" s="44">
        <f t="shared" si="194"/>
        <v>34.963409552532717</v>
      </c>
    </row>
    <row r="287" spans="1:52" ht="15" customHeight="1" x14ac:dyDescent="0.35">
      <c r="A287" s="59" t="str">
        <f>Segments!$A$267</f>
        <v>Greek</v>
      </c>
      <c r="B287" s="59" t="str">
        <f>Segments!$B$267</f>
        <v>Off 0-1mi</v>
      </c>
      <c r="C287" s="59" t="str">
        <f>Segments!$C$267</f>
        <v>No</v>
      </c>
      <c r="D287" s="59" t="str">
        <f>Segments!$D$267</f>
        <v>&lt;1.0</v>
      </c>
      <c r="E287" s="59" t="str">
        <f>Segments!$E$267</f>
        <v>Junior</v>
      </c>
      <c r="F287" s="59">
        <f>Segments!$F$267</f>
        <v>2</v>
      </c>
      <c r="G287" s="59" t="str">
        <f>Segments!$G$267</f>
        <v>Base</v>
      </c>
      <c r="H287" s="60">
        <f>Segments!$H$267</f>
        <v>1</v>
      </c>
      <c r="I287" s="26">
        <f>Segments!$Y$267</f>
        <v>5832.5826230918146</v>
      </c>
      <c r="J287" s="29">
        <v>2</v>
      </c>
      <c r="K287" s="14">
        <f t="shared" si="156"/>
        <v>1426.2297754450396</v>
      </c>
      <c r="L287" s="14">
        <f t="shared" si="157"/>
        <v>5832.5826230918146</v>
      </c>
      <c r="M287" s="14">
        <f t="shared" si="158"/>
        <v>9525.9007179222626</v>
      </c>
      <c r="N287" s="14">
        <f t="shared" si="159"/>
        <v>3685.9358705536388</v>
      </c>
      <c r="O287" s="14">
        <f t="shared" si="160"/>
        <v>1782.7872193062994</v>
      </c>
      <c r="P287" s="33">
        <f t="shared" si="161"/>
        <v>0.95</v>
      </c>
      <c r="Q287" s="33">
        <f t="shared" si="162"/>
        <v>0.02</v>
      </c>
      <c r="R287" s="51">
        <f t="shared" si="163"/>
        <v>0</v>
      </c>
      <c r="S287" s="51">
        <f>APPLICANTS_PER_YEAR*($H287/Segments!$AH$2)*Q287</f>
        <v>2.4E-2</v>
      </c>
      <c r="T287" s="51">
        <f t="shared" si="164"/>
        <v>2.4E-2</v>
      </c>
      <c r="U287" s="14">
        <f t="shared" si="165"/>
        <v>9525.9007179222626</v>
      </c>
      <c r="V287" s="44">
        <f t="shared" si="166"/>
        <v>228.62161723013432</v>
      </c>
      <c r="W287" s="44">
        <f t="shared" si="167"/>
        <v>156.77982090870799</v>
      </c>
      <c r="X287" s="44">
        <f t="shared" si="168"/>
        <v>52.291242259550089</v>
      </c>
      <c r="Y287" s="14">
        <f t="shared" si="169"/>
        <v>1782.7872193062997</v>
      </c>
      <c r="Z287" s="14">
        <f t="shared" si="170"/>
        <v>6007.5601017845693</v>
      </c>
      <c r="AA287" s="14">
        <f t="shared" si="171"/>
        <v>9810.4277394599303</v>
      </c>
      <c r="AB287" s="14">
        <f t="shared" si="172"/>
        <v>3796.2721025271376</v>
      </c>
      <c r="AC287" s="14">
        <f t="shared" si="173"/>
        <v>2228.4840241328748</v>
      </c>
      <c r="AD287" s="33">
        <f t="shared" si="174"/>
        <v>0.95</v>
      </c>
      <c r="AE287" s="33">
        <f t="shared" si="175"/>
        <v>0.02</v>
      </c>
      <c r="AF287" s="51">
        <f t="shared" si="176"/>
        <v>2.7074999999999996</v>
      </c>
      <c r="AG287" s="51">
        <f>APPLICANTS_PER_YEAR*($H287/Segments!$AH$2)*AE287</f>
        <v>2.4E-2</v>
      </c>
      <c r="AH287" s="51">
        <f t="shared" si="177"/>
        <v>2.7314999999999996</v>
      </c>
      <c r="AI287" s="14">
        <f t="shared" si="178"/>
        <v>2295.101871164853</v>
      </c>
      <c r="AJ287" s="44">
        <f t="shared" si="179"/>
        <v>6269.0707610867958</v>
      </c>
      <c r="AK287" s="44">
        <f t="shared" si="180"/>
        <v>18378.808468187497</v>
      </c>
      <c r="AL287" s="44">
        <f t="shared" si="181"/>
        <v>1248.3251331465508</v>
      </c>
      <c r="AM287" s="14">
        <f t="shared" si="182"/>
        <v>8213.4515753470569</v>
      </c>
      <c r="AN287" s="14">
        <f t="shared" si="183"/>
        <v>6187.7869048381062</v>
      </c>
      <c r="AO287" s="14">
        <f t="shared" si="184"/>
        <v>10103.490571643728</v>
      </c>
      <c r="AP287" s="14">
        <f t="shared" si="185"/>
        <v>3909.9184062764261</v>
      </c>
      <c r="AQ287" s="14">
        <f t="shared" si="186"/>
        <v>10103.490571643728</v>
      </c>
      <c r="AR287" s="33">
        <f t="shared" si="187"/>
        <v>0.3</v>
      </c>
      <c r="AS287" s="33">
        <f t="shared" si="188"/>
        <v>0.02</v>
      </c>
      <c r="AT287" s="51">
        <f t="shared" si="189"/>
        <v>6.4799999999999988E-3</v>
      </c>
      <c r="AU287" s="51">
        <f>APPLICANTS_PER_YEAR*($H287/Segments!$AH$2)*AS287</f>
        <v>2.4E-2</v>
      </c>
      <c r="AV287" s="51">
        <f t="shared" si="190"/>
        <v>3.048E-2</v>
      </c>
      <c r="AW287" s="14">
        <f t="shared" si="191"/>
        <v>10103.490571643728</v>
      </c>
      <c r="AX287" s="44">
        <f t="shared" si="192"/>
        <v>307.95439262370081</v>
      </c>
      <c r="AY287" s="44">
        <f t="shared" si="193"/>
        <v>211.23619424260136</v>
      </c>
      <c r="AZ287" s="44">
        <f t="shared" si="194"/>
        <v>67.899912286060186</v>
      </c>
    </row>
    <row r="288" spans="1:52" ht="15" customHeight="1" x14ac:dyDescent="0.35">
      <c r="A288" s="59" t="str">
        <f>Segments!$A$268</f>
        <v>Greek</v>
      </c>
      <c r="B288" s="59" t="str">
        <f>Segments!$B$268</f>
        <v>Off 0-1mi</v>
      </c>
      <c r="C288" s="59" t="str">
        <f>Segments!$C$268</f>
        <v>No</v>
      </c>
      <c r="D288" s="59" t="str">
        <f>Segments!$D$268</f>
        <v>&lt;1.0</v>
      </c>
      <c r="E288" s="59" t="str">
        <f>Segments!$E$268</f>
        <v>Senior</v>
      </c>
      <c r="F288" s="59">
        <f>Segments!$F$268</f>
        <v>3</v>
      </c>
      <c r="G288" s="59" t="str">
        <f>Segments!$G$268</f>
        <v>Base</v>
      </c>
      <c r="H288" s="60">
        <f>Segments!$H$268</f>
        <v>1</v>
      </c>
      <c r="I288" s="26">
        <f>Segments!$Y$268</f>
        <v>5451.6418165142823</v>
      </c>
      <c r="J288" s="29">
        <v>3</v>
      </c>
      <c r="K288" s="14">
        <f t="shared" si="156"/>
        <v>1426.2297754450396</v>
      </c>
      <c r="L288" s="14">
        <f t="shared" si="157"/>
        <v>5451.6418165142823</v>
      </c>
      <c r="M288" s="14">
        <f t="shared" si="158"/>
        <v>8906.4612684146941</v>
      </c>
      <c r="N288" s="14">
        <f t="shared" si="159"/>
        <v>3564.0791594549401</v>
      </c>
      <c r="O288" s="14">
        <f t="shared" si="160"/>
        <v>1782.7872193062994</v>
      </c>
      <c r="P288" s="33">
        <f t="shared" si="161"/>
        <v>0.95</v>
      </c>
      <c r="Q288" s="33">
        <f t="shared" si="162"/>
        <v>0.02</v>
      </c>
      <c r="R288" s="51">
        <f t="shared" si="163"/>
        <v>0.95</v>
      </c>
      <c r="S288" s="51">
        <f>APPLICANTS_PER_YEAR*($H288/Segments!$AH$2)*Q288</f>
        <v>2.4E-2</v>
      </c>
      <c r="T288" s="51">
        <f t="shared" si="164"/>
        <v>0.97399999999999998</v>
      </c>
      <c r="U288" s="14">
        <f t="shared" si="165"/>
        <v>1958.319228729915</v>
      </c>
      <c r="V288" s="44">
        <f t="shared" si="166"/>
        <v>1907.4029287829371</v>
      </c>
      <c r="W288" s="44">
        <f t="shared" si="167"/>
        <v>5947.0870247991006</v>
      </c>
      <c r="X288" s="44">
        <f t="shared" si="168"/>
        <v>388.06058100544351</v>
      </c>
      <c r="Y288" s="14">
        <f t="shared" si="169"/>
        <v>9525.9007179222626</v>
      </c>
      <c r="Z288" s="14">
        <f t="shared" si="170"/>
        <v>5615.1910710097109</v>
      </c>
      <c r="AA288" s="14">
        <f t="shared" si="171"/>
        <v>9172.4051064671348</v>
      </c>
      <c r="AB288" s="14">
        <f t="shared" si="172"/>
        <v>3670.7514208328221</v>
      </c>
      <c r="AC288" s="14">
        <f t="shared" si="173"/>
        <v>9172.4051064671348</v>
      </c>
      <c r="AD288" s="33">
        <f t="shared" si="174"/>
        <v>0.3</v>
      </c>
      <c r="AE288" s="33">
        <f t="shared" si="175"/>
        <v>0.02</v>
      </c>
      <c r="AF288" s="51">
        <f t="shared" si="176"/>
        <v>7.1999999999999998E-3</v>
      </c>
      <c r="AG288" s="51">
        <f>APPLICANTS_PER_YEAR*($H288/Segments!$AH$2)*AE288</f>
        <v>2.4E-2</v>
      </c>
      <c r="AH288" s="51">
        <f t="shared" si="177"/>
        <v>3.1199999999999999E-2</v>
      </c>
      <c r="AI288" s="14">
        <f t="shared" si="178"/>
        <v>9172.4051064671348</v>
      </c>
      <c r="AJ288" s="44">
        <f t="shared" si="179"/>
        <v>286.17903932177461</v>
      </c>
      <c r="AK288" s="44">
        <f t="shared" si="180"/>
        <v>196.21723678536335</v>
      </c>
      <c r="AL288" s="44">
        <f t="shared" si="181"/>
        <v>63.016658721247801</v>
      </c>
      <c r="AM288" s="14">
        <f t="shared" si="182"/>
        <v>2295.101871164853</v>
      </c>
      <c r="AN288" s="14">
        <f t="shared" si="183"/>
        <v>5783.6468031400018</v>
      </c>
      <c r="AO288" s="14">
        <f t="shared" si="184"/>
        <v>9446.3272596611478</v>
      </c>
      <c r="AP288" s="14">
        <f t="shared" si="185"/>
        <v>3780.6238332571761</v>
      </c>
      <c r="AQ288" s="14">
        <f t="shared" si="186"/>
        <v>2868.8773389560665</v>
      </c>
      <c r="AR288" s="33">
        <f t="shared" si="187"/>
        <v>0.89558148793867165</v>
      </c>
      <c r="AS288" s="33">
        <f t="shared" si="188"/>
        <v>0.02</v>
      </c>
      <c r="AT288" s="51">
        <f t="shared" si="189"/>
        <v>2.4462808343044813</v>
      </c>
      <c r="AU288" s="51">
        <f>APPLICANTS_PER_YEAR*($H288/Segments!$AH$2)*AS288</f>
        <v>2.4E-2</v>
      </c>
      <c r="AV288" s="51">
        <f t="shared" si="190"/>
        <v>2.4702808343044813</v>
      </c>
      <c r="AW288" s="14">
        <f t="shared" si="191"/>
        <v>2932.7805178597587</v>
      </c>
      <c r="AX288" s="44">
        <f t="shared" si="192"/>
        <v>7244.791504490534</v>
      </c>
      <c r="AY288" s="44">
        <f t="shared" si="193"/>
        <v>16001.699672205108</v>
      </c>
      <c r="AZ288" s="44">
        <f t="shared" si="194"/>
        <v>1427.2061259329157</v>
      </c>
    </row>
    <row r="289" spans="1:52" ht="15" customHeight="1" x14ac:dyDescent="0.35">
      <c r="A289" s="59" t="str">
        <f>Segments!$A$269</f>
        <v>Greek</v>
      </c>
      <c r="B289" s="59" t="str">
        <f>Segments!$B$269</f>
        <v>Off 0-1mi</v>
      </c>
      <c r="C289" s="59" t="str">
        <f>Segments!$C$269</f>
        <v>No</v>
      </c>
      <c r="D289" s="59" t="str">
        <f>Segments!$D$269</f>
        <v>&lt;1.0</v>
      </c>
      <c r="E289" s="59" t="str">
        <f>Segments!$E$269</f>
        <v>Grad student</v>
      </c>
      <c r="F289" s="59">
        <f>Segments!$F$269</f>
        <v>3</v>
      </c>
      <c r="G289" s="59" t="str">
        <f>Segments!$G$269</f>
        <v>Grad</v>
      </c>
      <c r="H289" s="60">
        <f>Segments!$H$269</f>
        <v>0</v>
      </c>
      <c r="I289" s="26">
        <f>Segments!$Y$269</f>
        <v>6491.1632058086407</v>
      </c>
      <c r="J289" s="29">
        <v>4</v>
      </c>
      <c r="K289" s="14">
        <f t="shared" si="156"/>
        <v>1426.2297754450396</v>
      </c>
      <c r="L289" s="14">
        <f t="shared" si="157"/>
        <v>6491.1632058086407</v>
      </c>
      <c r="M289" s="14">
        <f t="shared" si="158"/>
        <v>10596.804088132498</v>
      </c>
      <c r="N289" s="14">
        <f t="shared" si="159"/>
        <v>3887.6056275106266</v>
      </c>
      <c r="O289" s="14">
        <f t="shared" si="160"/>
        <v>1782.7872193062994</v>
      </c>
      <c r="P289" s="33">
        <f t="shared" si="161"/>
        <v>0.95</v>
      </c>
      <c r="Q289" s="33">
        <f t="shared" si="162"/>
        <v>0.02</v>
      </c>
      <c r="R289" s="51">
        <f t="shared" si="163"/>
        <v>0</v>
      </c>
      <c r="S289" s="51">
        <f>APPLICANTS_PER_YEAR*($H289/Segments!$AH$2)*Q289</f>
        <v>0</v>
      </c>
      <c r="T289" s="51">
        <f t="shared" si="164"/>
        <v>0</v>
      </c>
      <c r="U289" s="14">
        <f t="shared" si="165"/>
        <v>10596.804088132498</v>
      </c>
      <c r="V289" s="44">
        <f t="shared" si="166"/>
        <v>0</v>
      </c>
      <c r="W289" s="44">
        <f t="shared" si="167"/>
        <v>0</v>
      </c>
      <c r="X289" s="44">
        <f t="shared" si="168"/>
        <v>0</v>
      </c>
      <c r="Y289" s="14">
        <f t="shared" si="169"/>
        <v>10596.804088132498</v>
      </c>
      <c r="Z289" s="14">
        <f t="shared" si="170"/>
        <v>6685.8981019828998</v>
      </c>
      <c r="AA289" s="14">
        <f t="shared" si="171"/>
        <v>10913.458210776473</v>
      </c>
      <c r="AB289" s="14">
        <f t="shared" si="172"/>
        <v>4004.0044986092466</v>
      </c>
      <c r="AC289" s="14">
        <f t="shared" si="173"/>
        <v>10913.458210776473</v>
      </c>
      <c r="AD289" s="33">
        <f t="shared" si="174"/>
        <v>0.3</v>
      </c>
      <c r="AE289" s="33">
        <f t="shared" si="175"/>
        <v>0.02</v>
      </c>
      <c r="AF289" s="51">
        <f t="shared" si="176"/>
        <v>0</v>
      </c>
      <c r="AG289" s="51">
        <f>APPLICANTS_PER_YEAR*($H289/Segments!$AH$2)*AE289</f>
        <v>0</v>
      </c>
      <c r="AH289" s="51">
        <f t="shared" si="177"/>
        <v>0</v>
      </c>
      <c r="AI289" s="14">
        <f t="shared" si="178"/>
        <v>10913.458210776473</v>
      </c>
      <c r="AJ289" s="44">
        <f t="shared" si="179"/>
        <v>0</v>
      </c>
      <c r="AK289" s="44">
        <f t="shared" si="180"/>
        <v>0</v>
      </c>
      <c r="AL289" s="44">
        <f t="shared" si="181"/>
        <v>0</v>
      </c>
      <c r="AM289" s="14">
        <f t="shared" si="182"/>
        <v>10913.458210776473</v>
      </c>
      <c r="AN289" s="14">
        <f t="shared" si="183"/>
        <v>6886.4750450423862</v>
      </c>
      <c r="AO289" s="14">
        <f t="shared" si="184"/>
        <v>11239.611957099765</v>
      </c>
      <c r="AP289" s="14">
        <f t="shared" si="185"/>
        <v>4123.8953229001227</v>
      </c>
      <c r="AQ289" s="14">
        <f t="shared" si="186"/>
        <v>11239.611957099765</v>
      </c>
      <c r="AR289" s="33">
        <f t="shared" si="187"/>
        <v>0.3</v>
      </c>
      <c r="AS289" s="33">
        <f t="shared" si="188"/>
        <v>0.02</v>
      </c>
      <c r="AT289" s="51">
        <f t="shared" si="189"/>
        <v>0</v>
      </c>
      <c r="AU289" s="51">
        <f>APPLICANTS_PER_YEAR*($H289/Segments!$AH$2)*AS289</f>
        <v>0</v>
      </c>
      <c r="AV289" s="51">
        <f t="shared" si="190"/>
        <v>0</v>
      </c>
      <c r="AW289" s="14">
        <f t="shared" si="191"/>
        <v>11239.611957099765</v>
      </c>
      <c r="AX289" s="44">
        <f t="shared" si="192"/>
        <v>0</v>
      </c>
      <c r="AY289" s="44">
        <f t="shared" si="193"/>
        <v>0</v>
      </c>
      <c r="AZ289" s="44">
        <f t="shared" si="194"/>
        <v>0</v>
      </c>
    </row>
    <row r="290" spans="1:52" ht="15" customHeight="1" x14ac:dyDescent="0.35">
      <c r="A290" s="61" t="str">
        <f>Segments!$A$270</f>
        <v>Greek</v>
      </c>
      <c r="B290" s="61" t="str">
        <f>Segments!$B$270</f>
        <v>Off 0-1mi</v>
      </c>
      <c r="C290" s="61" t="str">
        <f>Segments!$C$270</f>
        <v>No</v>
      </c>
      <c r="D290" s="61" t="str">
        <f>Segments!$D$270</f>
        <v>1.0-2.0</v>
      </c>
      <c r="E290" s="61" t="str">
        <f>Segments!$E$270</f>
        <v>Freshman</v>
      </c>
      <c r="F290" s="61">
        <f>Segments!$F$270</f>
        <v>1</v>
      </c>
      <c r="G290" s="61" t="str">
        <f>Segments!$G$270</f>
        <v>Base</v>
      </c>
      <c r="H290" s="62">
        <f>Segments!$H$270</f>
        <v>5</v>
      </c>
      <c r="I290" s="63">
        <f>Segments!$Y$270</f>
        <v>4472.8902312734817</v>
      </c>
      <c r="J290" s="42">
        <v>0</v>
      </c>
      <c r="K290" s="40">
        <f t="shared" si="156"/>
        <v>7314.9348876807189</v>
      </c>
      <c r="L290" s="40">
        <f t="shared" si="157"/>
        <v>4472.8902312734817</v>
      </c>
      <c r="M290" s="40">
        <f t="shared" si="158"/>
        <v>7314.9348876807189</v>
      </c>
      <c r="N290" s="40">
        <f t="shared" si="159"/>
        <v>3229.9811055564951</v>
      </c>
      <c r="O290" s="40">
        <f t="shared" si="160"/>
        <v>7314.9348876807189</v>
      </c>
      <c r="P290" s="41">
        <f t="shared" si="161"/>
        <v>0.3</v>
      </c>
      <c r="Q290" s="41">
        <f t="shared" si="162"/>
        <v>0.02</v>
      </c>
      <c r="R290" s="64">
        <f t="shared" si="163"/>
        <v>0</v>
      </c>
      <c r="S290" s="64">
        <f>APPLICANTS_PER_YEAR*($H290/Segments!$AH$2)*Q290</f>
        <v>0.12</v>
      </c>
      <c r="T290" s="64">
        <f t="shared" si="164"/>
        <v>0.12</v>
      </c>
      <c r="U290" s="40">
        <f t="shared" si="165"/>
        <v>7314.9348876807189</v>
      </c>
      <c r="V290" s="65">
        <f t="shared" si="166"/>
        <v>877.79218652168629</v>
      </c>
      <c r="W290" s="65">
        <f t="shared" si="167"/>
        <v>601.15644708315597</v>
      </c>
      <c r="X290" s="65">
        <f t="shared" si="168"/>
        <v>202.02544978085774</v>
      </c>
      <c r="Y290" s="40">
        <f t="shared" si="169"/>
        <v>7533.1329343111402</v>
      </c>
      <c r="Z290" s="40">
        <f t="shared" si="170"/>
        <v>4607.076938211686</v>
      </c>
      <c r="AA290" s="40">
        <f t="shared" si="171"/>
        <v>7533.1329343111402</v>
      </c>
      <c r="AB290" s="40">
        <f t="shared" si="172"/>
        <v>3326.6045524076371</v>
      </c>
      <c r="AC290" s="40">
        <f t="shared" si="173"/>
        <v>7533.1329343111402</v>
      </c>
      <c r="AD290" s="41">
        <f t="shared" si="174"/>
        <v>0.3</v>
      </c>
      <c r="AE290" s="41">
        <f t="shared" si="175"/>
        <v>0.02</v>
      </c>
      <c r="AF290" s="64">
        <f t="shared" si="176"/>
        <v>0</v>
      </c>
      <c r="AG290" s="64">
        <f>APPLICANTS_PER_YEAR*($H290/Segments!$AH$2)*AE290</f>
        <v>0.12</v>
      </c>
      <c r="AH290" s="64">
        <f t="shared" si="177"/>
        <v>0.12</v>
      </c>
      <c r="AI290" s="40">
        <f t="shared" si="178"/>
        <v>7533.1329343111402</v>
      </c>
      <c r="AJ290" s="65">
        <f t="shared" si="179"/>
        <v>903.97595211733676</v>
      </c>
      <c r="AK290" s="65">
        <f t="shared" si="180"/>
        <v>619.19114049565064</v>
      </c>
      <c r="AL290" s="65">
        <f t="shared" si="181"/>
        <v>207.89061327428345</v>
      </c>
      <c r="AM290" s="40">
        <f t="shared" si="182"/>
        <v>7757.8769223404743</v>
      </c>
      <c r="AN290" s="40">
        <f t="shared" si="183"/>
        <v>4745.2892463580365</v>
      </c>
      <c r="AO290" s="40">
        <f t="shared" si="184"/>
        <v>7757.8769223404743</v>
      </c>
      <c r="AP290" s="40">
        <f t="shared" si="185"/>
        <v>3426.1266800991898</v>
      </c>
      <c r="AQ290" s="40">
        <f t="shared" si="186"/>
        <v>7757.8769223404743</v>
      </c>
      <c r="AR290" s="41">
        <f t="shared" si="187"/>
        <v>0.3</v>
      </c>
      <c r="AS290" s="41">
        <f t="shared" si="188"/>
        <v>0.02</v>
      </c>
      <c r="AT290" s="64">
        <f t="shared" si="189"/>
        <v>0</v>
      </c>
      <c r="AU290" s="64">
        <f>APPLICANTS_PER_YEAR*($H290/Segments!$AH$2)*AS290</f>
        <v>0.12</v>
      </c>
      <c r="AV290" s="64">
        <f t="shared" si="190"/>
        <v>0.12</v>
      </c>
      <c r="AW290" s="40">
        <f t="shared" si="191"/>
        <v>7757.8769223404743</v>
      </c>
      <c r="AX290" s="65">
        <f t="shared" si="192"/>
        <v>930.94523068085687</v>
      </c>
      <c r="AY290" s="65">
        <f t="shared" si="193"/>
        <v>637.76687471052014</v>
      </c>
      <c r="AZ290" s="65">
        <f t="shared" si="194"/>
        <v>213.93173167251194</v>
      </c>
    </row>
    <row r="291" spans="1:52" ht="15" customHeight="1" x14ac:dyDescent="0.35">
      <c r="A291" s="61" t="str">
        <f>Segments!$A$271</f>
        <v>Greek</v>
      </c>
      <c r="B291" s="61" t="str">
        <f>Segments!$B$271</f>
        <v>Off 0-1mi</v>
      </c>
      <c r="C291" s="61" t="str">
        <f>Segments!$C$271</f>
        <v>No</v>
      </c>
      <c r="D291" s="61" t="str">
        <f>Segments!$D$271</f>
        <v>1.0-2.0</v>
      </c>
      <c r="E291" s="61" t="str">
        <f>Segments!$E$271</f>
        <v>Sophomore</v>
      </c>
      <c r="F291" s="61">
        <f>Segments!$F$271</f>
        <v>1</v>
      </c>
      <c r="G291" s="61" t="str">
        <f>Segments!$G$271</f>
        <v>Sophomore</v>
      </c>
      <c r="H291" s="62">
        <f>Segments!$H$271</f>
        <v>3</v>
      </c>
      <c r="I291" s="63">
        <f>Segments!$Y$271</f>
        <v>4427.3841321672771</v>
      </c>
      <c r="J291" s="42">
        <v>1</v>
      </c>
      <c r="K291" s="40">
        <f t="shared" si="156"/>
        <v>1426.2297754450396</v>
      </c>
      <c r="L291" s="40">
        <f t="shared" si="157"/>
        <v>4427.3841321672771</v>
      </c>
      <c r="M291" s="40">
        <f t="shared" si="158"/>
        <v>7240.9384228944054</v>
      </c>
      <c r="N291" s="40">
        <f t="shared" si="159"/>
        <v>3213.6026482588113</v>
      </c>
      <c r="O291" s="40">
        <f t="shared" si="160"/>
        <v>1782.7872193062994</v>
      </c>
      <c r="P291" s="41">
        <f t="shared" si="161"/>
        <v>0.95</v>
      </c>
      <c r="Q291" s="41">
        <f t="shared" si="162"/>
        <v>0.02</v>
      </c>
      <c r="R291" s="64">
        <f t="shared" si="163"/>
        <v>4.75</v>
      </c>
      <c r="S291" s="64">
        <f>APPLICANTS_PER_YEAR*($H291/Segments!$AH$2)*Q291</f>
        <v>7.1999999999999995E-2</v>
      </c>
      <c r="T291" s="64">
        <f t="shared" si="164"/>
        <v>4.8220000000000001</v>
      </c>
      <c r="U291" s="40">
        <f t="shared" si="165"/>
        <v>1864.2859515042139</v>
      </c>
      <c r="V291" s="65">
        <f t="shared" si="166"/>
        <v>8989.5868581533196</v>
      </c>
      <c r="W291" s="65">
        <f t="shared" si="167"/>
        <v>23910.707839547886</v>
      </c>
      <c r="X291" s="65">
        <f t="shared" si="168"/>
        <v>1815.5190810166712</v>
      </c>
      <c r="Y291" s="40">
        <f t="shared" si="169"/>
        <v>7314.9348876807189</v>
      </c>
      <c r="Z291" s="40">
        <f t="shared" si="170"/>
        <v>4560.2056561322952</v>
      </c>
      <c r="AA291" s="40">
        <f t="shared" si="171"/>
        <v>7456.9165755812373</v>
      </c>
      <c r="AB291" s="40">
        <f t="shared" si="172"/>
        <v>3309.7333346807154</v>
      </c>
      <c r="AC291" s="40">
        <f t="shared" si="173"/>
        <v>7456.9165755812373</v>
      </c>
      <c r="AD291" s="41">
        <f t="shared" si="174"/>
        <v>0.3</v>
      </c>
      <c r="AE291" s="41">
        <f t="shared" si="175"/>
        <v>0.02</v>
      </c>
      <c r="AF291" s="64">
        <f t="shared" si="176"/>
        <v>3.5999999999999997E-2</v>
      </c>
      <c r="AG291" s="64">
        <f>APPLICANTS_PER_YEAR*($H291/Segments!$AH$2)*AE291</f>
        <v>7.1999999999999995E-2</v>
      </c>
      <c r="AH291" s="64">
        <f t="shared" si="177"/>
        <v>0.10799999999999998</v>
      </c>
      <c r="AI291" s="40">
        <f t="shared" si="178"/>
        <v>7456.9165755812382</v>
      </c>
      <c r="AJ291" s="65">
        <f t="shared" si="179"/>
        <v>805.34699016277364</v>
      </c>
      <c r="AK291" s="65">
        <f t="shared" si="180"/>
        <v>551.60247616576237</v>
      </c>
      <c r="AL291" s="65">
        <f t="shared" si="181"/>
        <v>174.96201091122893</v>
      </c>
      <c r="AM291" s="40">
        <f t="shared" si="182"/>
        <v>7533.1329343111402</v>
      </c>
      <c r="AN291" s="40">
        <f t="shared" si="183"/>
        <v>4697.0118258162638</v>
      </c>
      <c r="AO291" s="40">
        <f t="shared" si="184"/>
        <v>7679.3740728486737</v>
      </c>
      <c r="AP291" s="40">
        <f t="shared" si="185"/>
        <v>3408.7479187833173</v>
      </c>
      <c r="AQ291" s="40">
        <f t="shared" si="186"/>
        <v>7679.3740728486737</v>
      </c>
      <c r="AR291" s="41">
        <f t="shared" si="187"/>
        <v>0.3</v>
      </c>
      <c r="AS291" s="41">
        <f t="shared" si="188"/>
        <v>0.02</v>
      </c>
      <c r="AT291" s="64">
        <f t="shared" si="189"/>
        <v>3.5999999999999997E-2</v>
      </c>
      <c r="AU291" s="64">
        <f>APPLICANTS_PER_YEAR*($H291/Segments!$AH$2)*AS291</f>
        <v>7.1999999999999995E-2</v>
      </c>
      <c r="AV291" s="64">
        <f t="shared" si="190"/>
        <v>0.10799999999999998</v>
      </c>
      <c r="AW291" s="40">
        <f t="shared" si="191"/>
        <v>7679.3740728486737</v>
      </c>
      <c r="AX291" s="65">
        <f t="shared" si="192"/>
        <v>829.37239986765667</v>
      </c>
      <c r="AY291" s="65">
        <f t="shared" si="193"/>
        <v>568.15055045073518</v>
      </c>
      <c r="AZ291" s="65">
        <f t="shared" si="194"/>
        <v>180.06340623856576</v>
      </c>
    </row>
    <row r="292" spans="1:52" ht="15" customHeight="1" x14ac:dyDescent="0.35">
      <c r="A292" s="61" t="str">
        <f>Segments!$A$272</f>
        <v>Greek</v>
      </c>
      <c r="B292" s="61" t="str">
        <f>Segments!$B$272</f>
        <v>Off 0-1mi</v>
      </c>
      <c r="C292" s="61" t="str">
        <f>Segments!$C$272</f>
        <v>No</v>
      </c>
      <c r="D292" s="61" t="str">
        <f>Segments!$D$272</f>
        <v>1.0-2.0</v>
      </c>
      <c r="E292" s="61" t="str">
        <f>Segments!$E$272</f>
        <v>Junior</v>
      </c>
      <c r="F292" s="61">
        <f>Segments!$F$272</f>
        <v>2</v>
      </c>
      <c r="G292" s="61" t="str">
        <f>Segments!$G$272</f>
        <v>Base</v>
      </c>
      <c r="H292" s="62">
        <f>Segments!$H$272</f>
        <v>1</v>
      </c>
      <c r="I292" s="63">
        <f>Segments!$Y$272</f>
        <v>5292.6084384179494</v>
      </c>
      <c r="J292" s="42">
        <v>2</v>
      </c>
      <c r="K292" s="40">
        <f t="shared" si="156"/>
        <v>1426.2297754450396</v>
      </c>
      <c r="L292" s="40">
        <f t="shared" si="157"/>
        <v>5292.6084384179494</v>
      </c>
      <c r="M292" s="40">
        <f t="shared" si="158"/>
        <v>8647.8605974433322</v>
      </c>
      <c r="N292" s="40">
        <f t="shared" si="159"/>
        <v>3511.9561896429759</v>
      </c>
      <c r="O292" s="40">
        <f t="shared" si="160"/>
        <v>1782.7872193062994</v>
      </c>
      <c r="P292" s="41">
        <f t="shared" si="161"/>
        <v>0.95</v>
      </c>
      <c r="Q292" s="41">
        <f t="shared" si="162"/>
        <v>0.02</v>
      </c>
      <c r="R292" s="64">
        <f t="shared" si="163"/>
        <v>2.8499999999999996</v>
      </c>
      <c r="S292" s="64">
        <f>APPLICANTS_PER_YEAR*($H292/Segments!$AH$2)*Q292</f>
        <v>2.4E-2</v>
      </c>
      <c r="T292" s="64">
        <f t="shared" si="164"/>
        <v>2.8739999999999997</v>
      </c>
      <c r="U292" s="40">
        <f t="shared" si="165"/>
        <v>1840.1155982469011</v>
      </c>
      <c r="V292" s="65">
        <f t="shared" si="166"/>
        <v>5288.4922293615928</v>
      </c>
      <c r="W292" s="65">
        <f t="shared" si="167"/>
        <v>17036.271450254768</v>
      </c>
      <c r="X292" s="65">
        <f t="shared" si="168"/>
        <v>1064.8692342511933</v>
      </c>
      <c r="Y292" s="40">
        <f t="shared" si="169"/>
        <v>1864.2859515042139</v>
      </c>
      <c r="Z292" s="40">
        <f t="shared" si="170"/>
        <v>5451.3866915704884</v>
      </c>
      <c r="AA292" s="40">
        <f t="shared" si="171"/>
        <v>8906.0464153666344</v>
      </c>
      <c r="AB292" s="40">
        <f t="shared" si="172"/>
        <v>3617.0610495904266</v>
      </c>
      <c r="AC292" s="40">
        <f t="shared" si="173"/>
        <v>2330.3574393802674</v>
      </c>
      <c r="AD292" s="41">
        <f t="shared" si="174"/>
        <v>0.95</v>
      </c>
      <c r="AE292" s="41">
        <f t="shared" si="175"/>
        <v>0.02</v>
      </c>
      <c r="AF292" s="64">
        <f t="shared" si="176"/>
        <v>4.5808999999999997</v>
      </c>
      <c r="AG292" s="64">
        <f>APPLICANTS_PER_YEAR*($H292/Segments!$AH$2)*AE292</f>
        <v>2.4E-2</v>
      </c>
      <c r="AH292" s="64">
        <f t="shared" si="177"/>
        <v>4.6048999999999998</v>
      </c>
      <c r="AI292" s="40">
        <f t="shared" si="178"/>
        <v>2364.6288753340718</v>
      </c>
      <c r="AJ292" s="65">
        <f t="shared" si="179"/>
        <v>10888.879508025866</v>
      </c>
      <c r="AK292" s="65">
        <f t="shared" si="180"/>
        <v>28115.461445134497</v>
      </c>
      <c r="AL292" s="65">
        <f t="shared" si="181"/>
        <v>2158.1773060057963</v>
      </c>
      <c r="AM292" s="40">
        <f t="shared" si="182"/>
        <v>7456.9165755812382</v>
      </c>
      <c r="AN292" s="40">
        <f t="shared" si="183"/>
        <v>5614.9282923176024</v>
      </c>
      <c r="AO292" s="40">
        <f t="shared" si="184"/>
        <v>9171.9778078276322</v>
      </c>
      <c r="AP292" s="40">
        <f t="shared" si="185"/>
        <v>3725.3190377823889</v>
      </c>
      <c r="AQ292" s="40">
        <f t="shared" si="186"/>
        <v>9171.9778078276322</v>
      </c>
      <c r="AR292" s="41">
        <f t="shared" si="187"/>
        <v>0.3</v>
      </c>
      <c r="AS292" s="41">
        <f t="shared" si="188"/>
        <v>0.02</v>
      </c>
      <c r="AT292" s="64">
        <f t="shared" si="189"/>
        <v>3.2399999999999991E-2</v>
      </c>
      <c r="AU292" s="64">
        <f>APPLICANTS_PER_YEAR*($H292/Segments!$AH$2)*AS292</f>
        <v>2.4E-2</v>
      </c>
      <c r="AV292" s="64">
        <f t="shared" si="190"/>
        <v>5.6399999999999992E-2</v>
      </c>
      <c r="AW292" s="40">
        <f t="shared" si="191"/>
        <v>9171.9778078276322</v>
      </c>
      <c r="AX292" s="65">
        <f t="shared" si="192"/>
        <v>517.2995483614784</v>
      </c>
      <c r="AY292" s="65">
        <f t="shared" si="193"/>
        <v>354.6837903691183</v>
      </c>
      <c r="AZ292" s="65">
        <f t="shared" si="194"/>
        <v>107.20207599889463</v>
      </c>
    </row>
    <row r="293" spans="1:52" ht="15" customHeight="1" x14ac:dyDescent="0.35">
      <c r="A293" s="61" t="str">
        <f>Segments!$A$273</f>
        <v>Greek</v>
      </c>
      <c r="B293" s="61" t="str">
        <f>Segments!$B$273</f>
        <v>Off 0-1mi</v>
      </c>
      <c r="C293" s="61" t="str">
        <f>Segments!$C$273</f>
        <v>No</v>
      </c>
      <c r="D293" s="61" t="str">
        <f>Segments!$D$273</f>
        <v>1.0-2.0</v>
      </c>
      <c r="E293" s="61" t="str">
        <f>Segments!$E$273</f>
        <v>Senior</v>
      </c>
      <c r="F293" s="61">
        <f>Segments!$F$273</f>
        <v>3</v>
      </c>
      <c r="G293" s="61" t="str">
        <f>Segments!$G$273</f>
        <v>Base</v>
      </c>
      <c r="H293" s="62">
        <f>Segments!$H$273</f>
        <v>4</v>
      </c>
      <c r="I293" s="63">
        <f>Segments!$Y$273</f>
        <v>4946.934719292608</v>
      </c>
      <c r="J293" s="42">
        <v>3</v>
      </c>
      <c r="K293" s="40">
        <f t="shared" si="156"/>
        <v>1426.2297754450396</v>
      </c>
      <c r="L293" s="40">
        <f t="shared" si="157"/>
        <v>4946.934719292608</v>
      </c>
      <c r="M293" s="40">
        <f t="shared" si="158"/>
        <v>8085.7681815428723</v>
      </c>
      <c r="N293" s="40">
        <f t="shared" si="159"/>
        <v>3395.9039058640246</v>
      </c>
      <c r="O293" s="40">
        <f t="shared" si="160"/>
        <v>1782.7872193062994</v>
      </c>
      <c r="P293" s="41">
        <f t="shared" si="161"/>
        <v>0.95</v>
      </c>
      <c r="Q293" s="41">
        <f t="shared" si="162"/>
        <v>0.02</v>
      </c>
      <c r="R293" s="64">
        <f t="shared" si="163"/>
        <v>0.95</v>
      </c>
      <c r="S293" s="64">
        <f>APPLICANTS_PER_YEAR*($H293/Segments!$AH$2)*Q293</f>
        <v>9.6000000000000002E-2</v>
      </c>
      <c r="T293" s="64">
        <f t="shared" si="164"/>
        <v>1.046</v>
      </c>
      <c r="U293" s="40">
        <f t="shared" si="165"/>
        <v>2361.2634835268645</v>
      </c>
      <c r="V293" s="65">
        <f t="shared" si="166"/>
        <v>2469.8816037691004</v>
      </c>
      <c r="W293" s="65">
        <f t="shared" si="167"/>
        <v>5795.4329623456761</v>
      </c>
      <c r="X293" s="65">
        <f t="shared" si="168"/>
        <v>517.2958042023439</v>
      </c>
      <c r="Y293" s="40">
        <f t="shared" si="169"/>
        <v>1840.1155982469011</v>
      </c>
      <c r="Z293" s="40">
        <f t="shared" si="170"/>
        <v>5095.3427608713864</v>
      </c>
      <c r="AA293" s="40">
        <f t="shared" si="171"/>
        <v>8327.0912269891578</v>
      </c>
      <c r="AB293" s="40">
        <f t="shared" si="172"/>
        <v>3497.5185223673197</v>
      </c>
      <c r="AC293" s="40">
        <f t="shared" si="173"/>
        <v>2300.1444978086265</v>
      </c>
      <c r="AD293" s="41">
        <f t="shared" si="174"/>
        <v>0.94617479391477866</v>
      </c>
      <c r="AE293" s="41">
        <f t="shared" si="175"/>
        <v>0.02</v>
      </c>
      <c r="AF293" s="64">
        <f t="shared" si="176"/>
        <v>2.7193063577110737</v>
      </c>
      <c r="AG293" s="64">
        <f>APPLICANTS_PER_YEAR*($H293/Segments!$AH$2)*AE293</f>
        <v>9.6000000000000002E-2</v>
      </c>
      <c r="AH293" s="64">
        <f t="shared" si="177"/>
        <v>2.8153063577110737</v>
      </c>
      <c r="AI293" s="40">
        <f t="shared" si="178"/>
        <v>2505.6592136109016</v>
      </c>
      <c r="AJ293" s="65">
        <f t="shared" si="179"/>
        <v>7054.1983143361012</v>
      </c>
      <c r="AK293" s="65">
        <f t="shared" si="180"/>
        <v>16066.344973726109</v>
      </c>
      <c r="AL293" s="65">
        <f t="shared" si="181"/>
        <v>1419.9286350864284</v>
      </c>
      <c r="AM293" s="40">
        <f t="shared" si="182"/>
        <v>2364.6288753340718</v>
      </c>
      <c r="AN293" s="40">
        <f t="shared" si="183"/>
        <v>5248.2030436975274</v>
      </c>
      <c r="AO293" s="40">
        <f t="shared" si="184"/>
        <v>8575.6539637988317</v>
      </c>
      <c r="AP293" s="40">
        <f t="shared" si="185"/>
        <v>3602.181557949646</v>
      </c>
      <c r="AQ293" s="40">
        <f t="shared" si="186"/>
        <v>2955.7860941675899</v>
      </c>
      <c r="AR293" s="41">
        <f t="shared" si="187"/>
        <v>0.86472277679279208</v>
      </c>
      <c r="AS293" s="41">
        <f t="shared" si="188"/>
        <v>0.02</v>
      </c>
      <c r="AT293" s="64">
        <f t="shared" si="189"/>
        <v>3.981961914853128</v>
      </c>
      <c r="AU293" s="64">
        <f>APPLICANTS_PER_YEAR*($H293/Segments!$AH$2)*AS293</f>
        <v>9.6000000000000002E-2</v>
      </c>
      <c r="AV293" s="64">
        <f t="shared" si="190"/>
        <v>4.0779619148531276</v>
      </c>
      <c r="AW293" s="40">
        <f t="shared" si="191"/>
        <v>3088.0843663803726</v>
      </c>
      <c r="AX293" s="65">
        <f t="shared" si="192"/>
        <v>12593.090435952512</v>
      </c>
      <c r="AY293" s="65">
        <f t="shared" si="193"/>
        <v>23970.208789648557</v>
      </c>
      <c r="AZ293" s="65">
        <f t="shared" si="194"/>
        <v>2492.8675280104517</v>
      </c>
    </row>
    <row r="294" spans="1:52" ht="15" customHeight="1" x14ac:dyDescent="0.35">
      <c r="A294" s="61" t="str">
        <f>Segments!$A$274</f>
        <v>Greek</v>
      </c>
      <c r="B294" s="61" t="str">
        <f>Segments!$B$274</f>
        <v>Off 0-1mi</v>
      </c>
      <c r="C294" s="61" t="str">
        <f>Segments!$C$274</f>
        <v>No</v>
      </c>
      <c r="D294" s="61" t="str">
        <f>Segments!$D$274</f>
        <v>1.0-2.0</v>
      </c>
      <c r="E294" s="61" t="str">
        <f>Segments!$E$274</f>
        <v>Grad student</v>
      </c>
      <c r="F294" s="61">
        <f>Segments!$F$274</f>
        <v>3</v>
      </c>
      <c r="G294" s="61" t="str">
        <f>Segments!$G$274</f>
        <v>Grad</v>
      </c>
      <c r="H294" s="62">
        <f>Segments!$H$274</f>
        <v>0</v>
      </c>
      <c r="I294" s="63">
        <f>Segments!$Y$274</f>
        <v>5890.2183437908088</v>
      </c>
      <c r="J294" s="42">
        <v>4</v>
      </c>
      <c r="K294" s="40">
        <f t="shared" si="156"/>
        <v>1426.2297754450396</v>
      </c>
      <c r="L294" s="40">
        <f t="shared" si="157"/>
        <v>5890.2183437908088</v>
      </c>
      <c r="M294" s="40">
        <f t="shared" si="158"/>
        <v>9619.6208930395242</v>
      </c>
      <c r="N294" s="40">
        <f t="shared" si="159"/>
        <v>3704.0234537791703</v>
      </c>
      <c r="O294" s="40">
        <f t="shared" si="160"/>
        <v>1782.7872193062994</v>
      </c>
      <c r="P294" s="41">
        <f t="shared" si="161"/>
        <v>0.95</v>
      </c>
      <c r="Q294" s="41">
        <f t="shared" si="162"/>
        <v>0.02</v>
      </c>
      <c r="R294" s="64">
        <f t="shared" si="163"/>
        <v>0</v>
      </c>
      <c r="S294" s="64">
        <f>APPLICANTS_PER_YEAR*($H294/Segments!$AH$2)*Q294</f>
        <v>0</v>
      </c>
      <c r="T294" s="64">
        <f t="shared" si="164"/>
        <v>0</v>
      </c>
      <c r="U294" s="40">
        <f t="shared" si="165"/>
        <v>9619.6208930395242</v>
      </c>
      <c r="V294" s="65">
        <f t="shared" si="166"/>
        <v>0</v>
      </c>
      <c r="W294" s="65">
        <f t="shared" si="167"/>
        <v>0</v>
      </c>
      <c r="X294" s="65">
        <f t="shared" si="168"/>
        <v>0</v>
      </c>
      <c r="Y294" s="40">
        <f t="shared" si="169"/>
        <v>9619.6208930395242</v>
      </c>
      <c r="Z294" s="40">
        <f t="shared" si="170"/>
        <v>6066.9248941045335</v>
      </c>
      <c r="AA294" s="40">
        <f t="shared" si="171"/>
        <v>9906.9595198307106</v>
      </c>
      <c r="AB294" s="40">
        <f t="shared" si="172"/>
        <v>3814.9034943037009</v>
      </c>
      <c r="AC294" s="40">
        <f t="shared" si="173"/>
        <v>9906.9595198307106</v>
      </c>
      <c r="AD294" s="41">
        <f t="shared" si="174"/>
        <v>0.3</v>
      </c>
      <c r="AE294" s="41">
        <f t="shared" si="175"/>
        <v>0.02</v>
      </c>
      <c r="AF294" s="64">
        <f t="shared" si="176"/>
        <v>0</v>
      </c>
      <c r="AG294" s="64">
        <f>APPLICANTS_PER_YEAR*($H294/Segments!$AH$2)*AE294</f>
        <v>0</v>
      </c>
      <c r="AH294" s="64">
        <f t="shared" si="177"/>
        <v>0</v>
      </c>
      <c r="AI294" s="40">
        <f t="shared" si="178"/>
        <v>9906.9595198307106</v>
      </c>
      <c r="AJ294" s="65">
        <f t="shared" si="179"/>
        <v>0</v>
      </c>
      <c r="AK294" s="65">
        <f t="shared" si="180"/>
        <v>0</v>
      </c>
      <c r="AL294" s="65">
        <f t="shared" si="181"/>
        <v>0</v>
      </c>
      <c r="AM294" s="40">
        <f t="shared" si="182"/>
        <v>9906.9595198307106</v>
      </c>
      <c r="AN294" s="40">
        <f t="shared" si="183"/>
        <v>6248.9326409276691</v>
      </c>
      <c r="AO294" s="40">
        <f t="shared" si="184"/>
        <v>10202.91830542563</v>
      </c>
      <c r="AP294" s="40">
        <f t="shared" si="185"/>
        <v>3929.109921081927</v>
      </c>
      <c r="AQ294" s="40">
        <f t="shared" si="186"/>
        <v>10202.91830542563</v>
      </c>
      <c r="AR294" s="41">
        <f t="shared" si="187"/>
        <v>0.3</v>
      </c>
      <c r="AS294" s="41">
        <f t="shared" si="188"/>
        <v>0.02</v>
      </c>
      <c r="AT294" s="64">
        <f t="shared" si="189"/>
        <v>0</v>
      </c>
      <c r="AU294" s="64">
        <f>APPLICANTS_PER_YEAR*($H294/Segments!$AH$2)*AS294</f>
        <v>0</v>
      </c>
      <c r="AV294" s="64">
        <f t="shared" si="190"/>
        <v>0</v>
      </c>
      <c r="AW294" s="40">
        <f t="shared" si="191"/>
        <v>10202.91830542563</v>
      </c>
      <c r="AX294" s="65">
        <f t="shared" si="192"/>
        <v>0</v>
      </c>
      <c r="AY294" s="65">
        <f t="shared" si="193"/>
        <v>0</v>
      </c>
      <c r="AZ294" s="65">
        <f t="shared" si="194"/>
        <v>0</v>
      </c>
    </row>
    <row r="295" spans="1:52" ht="15" customHeight="1" x14ac:dyDescent="0.35">
      <c r="A295" s="59" t="str">
        <f>Segments!$A$275</f>
        <v>Greek</v>
      </c>
      <c r="B295" s="59" t="str">
        <f>Segments!$B$275</f>
        <v>Off 0-1mi</v>
      </c>
      <c r="C295" s="59" t="str">
        <f>Segments!$C$275</f>
        <v>No</v>
      </c>
      <c r="D295" s="59" t="str">
        <f>Segments!$D$275</f>
        <v>2.0-3.0</v>
      </c>
      <c r="E295" s="59" t="str">
        <f>Segments!$E$275</f>
        <v>Freshman</v>
      </c>
      <c r="F295" s="59">
        <f>Segments!$F$275</f>
        <v>1</v>
      </c>
      <c r="G295" s="59" t="str">
        <f>Segments!$G$275</f>
        <v>Base</v>
      </c>
      <c r="H295" s="60">
        <f>Segments!$H$275</f>
        <v>6</v>
      </c>
      <c r="I295" s="26">
        <f>Segments!$Y$275</f>
        <v>4395.4185179658307</v>
      </c>
      <c r="J295" s="29">
        <v>0</v>
      </c>
      <c r="K295" s="14">
        <f t="shared" si="156"/>
        <v>7188.9598421747123</v>
      </c>
      <c r="L295" s="14">
        <f t="shared" si="157"/>
        <v>4395.4185179658307</v>
      </c>
      <c r="M295" s="14">
        <f t="shared" si="158"/>
        <v>7188.9598421747123</v>
      </c>
      <c r="N295" s="14">
        <f t="shared" si="159"/>
        <v>3202.0475607629955</v>
      </c>
      <c r="O295" s="14">
        <f t="shared" si="160"/>
        <v>7188.9598421747123</v>
      </c>
      <c r="P295" s="33">
        <f t="shared" si="161"/>
        <v>0.3</v>
      </c>
      <c r="Q295" s="33">
        <f t="shared" si="162"/>
        <v>0.02</v>
      </c>
      <c r="R295" s="51">
        <f t="shared" si="163"/>
        <v>0</v>
      </c>
      <c r="S295" s="51">
        <f>APPLICANTS_PER_YEAR*($H295/Segments!$AH$2)*Q295</f>
        <v>0.14399999999999999</v>
      </c>
      <c r="T295" s="51">
        <f t="shared" si="164"/>
        <v>0.14399999999999999</v>
      </c>
      <c r="U295" s="14">
        <f t="shared" si="165"/>
        <v>7188.9598421747132</v>
      </c>
      <c r="V295" s="44">
        <f t="shared" si="166"/>
        <v>1035.2102172731586</v>
      </c>
      <c r="W295" s="44">
        <f t="shared" si="167"/>
        <v>708.89309857752914</v>
      </c>
      <c r="X295" s="44">
        <f t="shared" si="168"/>
        <v>238.36708866918752</v>
      </c>
      <c r="Y295" s="14">
        <f t="shared" si="169"/>
        <v>7403.3786374399542</v>
      </c>
      <c r="Z295" s="14">
        <f t="shared" si="170"/>
        <v>4527.281073504806</v>
      </c>
      <c r="AA295" s="14">
        <f t="shared" si="171"/>
        <v>7403.3786374399542</v>
      </c>
      <c r="AB295" s="14">
        <f t="shared" si="172"/>
        <v>3297.8305934597229</v>
      </c>
      <c r="AC295" s="14">
        <f t="shared" si="173"/>
        <v>7403.3786374399542</v>
      </c>
      <c r="AD295" s="33">
        <f t="shared" si="174"/>
        <v>0.3</v>
      </c>
      <c r="AE295" s="33">
        <f t="shared" si="175"/>
        <v>0.02</v>
      </c>
      <c r="AF295" s="51">
        <f t="shared" si="176"/>
        <v>0</v>
      </c>
      <c r="AG295" s="51">
        <f>APPLICANTS_PER_YEAR*($H295/Segments!$AH$2)*AE295</f>
        <v>0.14399999999999999</v>
      </c>
      <c r="AH295" s="51">
        <f t="shared" si="177"/>
        <v>0.14399999999999999</v>
      </c>
      <c r="AI295" s="14">
        <f t="shared" si="178"/>
        <v>7403.3786374399542</v>
      </c>
      <c r="AJ295" s="44">
        <f t="shared" si="179"/>
        <v>1066.0865237913533</v>
      </c>
      <c r="AK295" s="44">
        <f t="shared" si="180"/>
        <v>730.15989153485509</v>
      </c>
      <c r="AL295" s="44">
        <f t="shared" si="181"/>
        <v>245.28338132926314</v>
      </c>
      <c r="AM295" s="14">
        <f t="shared" si="182"/>
        <v>7624.2299965631528</v>
      </c>
      <c r="AN295" s="14">
        <f t="shared" si="183"/>
        <v>4663.0995057099499</v>
      </c>
      <c r="AO295" s="14">
        <f t="shared" si="184"/>
        <v>7624.2299965631528</v>
      </c>
      <c r="AP295" s="14">
        <f t="shared" si="185"/>
        <v>3396.487093976411</v>
      </c>
      <c r="AQ295" s="14">
        <f t="shared" si="186"/>
        <v>7624.2299965631528</v>
      </c>
      <c r="AR295" s="33">
        <f t="shared" si="187"/>
        <v>0.3</v>
      </c>
      <c r="AS295" s="33">
        <f t="shared" si="188"/>
        <v>0.02</v>
      </c>
      <c r="AT295" s="51">
        <f t="shared" si="189"/>
        <v>0</v>
      </c>
      <c r="AU295" s="51">
        <f>APPLICANTS_PER_YEAR*($H295/Segments!$AH$2)*AS295</f>
        <v>0.14399999999999999</v>
      </c>
      <c r="AV295" s="51">
        <f t="shared" si="190"/>
        <v>0.14399999999999999</v>
      </c>
      <c r="AW295" s="14">
        <f t="shared" si="191"/>
        <v>7624.2299965631528</v>
      </c>
      <c r="AX295" s="44">
        <f t="shared" si="192"/>
        <v>1097.889119505094</v>
      </c>
      <c r="AY295" s="44">
        <f t="shared" si="193"/>
        <v>752.06468828090078</v>
      </c>
      <c r="AZ295" s="44">
        <f t="shared" si="194"/>
        <v>252.40716276914105</v>
      </c>
    </row>
    <row r="296" spans="1:52" ht="15" customHeight="1" x14ac:dyDescent="0.35">
      <c r="A296" s="59" t="str">
        <f>Segments!$A$276</f>
        <v>Greek</v>
      </c>
      <c r="B296" s="59" t="str">
        <f>Segments!$B$276</f>
        <v>Off 0-1mi</v>
      </c>
      <c r="C296" s="59" t="str">
        <f>Segments!$C$276</f>
        <v>No</v>
      </c>
      <c r="D296" s="59" t="str">
        <f>Segments!$D$276</f>
        <v>2.0-3.0</v>
      </c>
      <c r="E296" s="59" t="str">
        <f>Segments!$E$276</f>
        <v>Sophomore</v>
      </c>
      <c r="F296" s="59">
        <f>Segments!$F$276</f>
        <v>1</v>
      </c>
      <c r="G296" s="59" t="str">
        <f>Segments!$G$276</f>
        <v>Sophomore</v>
      </c>
      <c r="H296" s="60">
        <f>Segments!$H$276</f>
        <v>6</v>
      </c>
      <c r="I296" s="26">
        <f>Segments!$Y$276</f>
        <v>4350.7005972591442</v>
      </c>
      <c r="J296" s="29">
        <v>1</v>
      </c>
      <c r="K296" s="14">
        <f t="shared" si="156"/>
        <v>1426.2297754450396</v>
      </c>
      <c r="L296" s="14">
        <f t="shared" si="157"/>
        <v>4350.7005972591442</v>
      </c>
      <c r="M296" s="14">
        <f t="shared" si="158"/>
        <v>7116.2450169121284</v>
      </c>
      <c r="N296" s="14">
        <f t="shared" si="159"/>
        <v>3185.8123818709832</v>
      </c>
      <c r="O296" s="14">
        <f t="shared" si="160"/>
        <v>1782.7872193062994</v>
      </c>
      <c r="P296" s="33">
        <f t="shared" si="161"/>
        <v>0.95</v>
      </c>
      <c r="Q296" s="33">
        <f t="shared" si="162"/>
        <v>0.02</v>
      </c>
      <c r="R296" s="51">
        <f t="shared" si="163"/>
        <v>5.6999999999999993</v>
      </c>
      <c r="S296" s="51">
        <f>APPLICANTS_PER_YEAR*($H296/Segments!$AH$2)*Q296</f>
        <v>0.14399999999999999</v>
      </c>
      <c r="T296" s="51">
        <f t="shared" si="164"/>
        <v>5.8439999999999994</v>
      </c>
      <c r="U296" s="14">
        <f t="shared" si="165"/>
        <v>1914.2071239700981</v>
      </c>
      <c r="V296" s="44">
        <f t="shared" si="166"/>
        <v>11186.626432481253</v>
      </c>
      <c r="W296" s="44">
        <f t="shared" si="167"/>
        <v>28476.553605228331</v>
      </c>
      <c r="X296" s="44">
        <f t="shared" si="168"/>
        <v>2270.6182706241939</v>
      </c>
      <c r="Y296" s="14">
        <f t="shared" si="169"/>
        <v>7188.9598421747132</v>
      </c>
      <c r="Z296" s="14">
        <f t="shared" si="170"/>
        <v>4481.2216151769189</v>
      </c>
      <c r="AA296" s="14">
        <f t="shared" si="171"/>
        <v>7328.4823674194931</v>
      </c>
      <c r="AB296" s="14">
        <f t="shared" si="172"/>
        <v>3281.1069403594215</v>
      </c>
      <c r="AC296" s="14">
        <f t="shared" si="173"/>
        <v>7328.4823674194931</v>
      </c>
      <c r="AD296" s="33">
        <f t="shared" si="174"/>
        <v>0.3</v>
      </c>
      <c r="AE296" s="33">
        <f t="shared" si="175"/>
        <v>0.02</v>
      </c>
      <c r="AF296" s="51">
        <f t="shared" si="176"/>
        <v>4.3199999999999995E-2</v>
      </c>
      <c r="AG296" s="51">
        <f>APPLICANTS_PER_YEAR*($H296/Segments!$AH$2)*AE296</f>
        <v>0.14399999999999999</v>
      </c>
      <c r="AH296" s="51">
        <f t="shared" si="177"/>
        <v>0.18719999999999998</v>
      </c>
      <c r="AI296" s="14">
        <f t="shared" si="178"/>
        <v>7328.4823674194931</v>
      </c>
      <c r="AJ296" s="44">
        <f t="shared" si="179"/>
        <v>1371.8918991809289</v>
      </c>
      <c r="AK296" s="44">
        <f t="shared" si="180"/>
        <v>939.55084872445354</v>
      </c>
      <c r="AL296" s="44">
        <f t="shared" si="181"/>
        <v>303.5671200769898</v>
      </c>
      <c r="AM296" s="14">
        <f t="shared" si="182"/>
        <v>7403.3786374399542</v>
      </c>
      <c r="AN296" s="14">
        <f t="shared" si="183"/>
        <v>4615.6582636322255</v>
      </c>
      <c r="AO296" s="14">
        <f t="shared" si="184"/>
        <v>7547.0868384420764</v>
      </c>
      <c r="AP296" s="14">
        <f t="shared" si="185"/>
        <v>3379.2603120856129</v>
      </c>
      <c r="AQ296" s="14">
        <f t="shared" si="186"/>
        <v>7547.0868384420764</v>
      </c>
      <c r="AR296" s="33">
        <f t="shared" si="187"/>
        <v>0.3</v>
      </c>
      <c r="AS296" s="33">
        <f t="shared" si="188"/>
        <v>0.02</v>
      </c>
      <c r="AT296" s="51">
        <f t="shared" si="189"/>
        <v>4.3199999999999995E-2</v>
      </c>
      <c r="AU296" s="51">
        <f>APPLICANTS_PER_YEAR*($H296/Segments!$AH$2)*AS296</f>
        <v>0.14399999999999999</v>
      </c>
      <c r="AV296" s="51">
        <f t="shared" si="190"/>
        <v>0.18719999999999998</v>
      </c>
      <c r="AW296" s="14">
        <f t="shared" si="191"/>
        <v>7547.0868384420774</v>
      </c>
      <c r="AX296" s="44">
        <f t="shared" si="192"/>
        <v>1412.8146561563567</v>
      </c>
      <c r="AY296" s="44">
        <f t="shared" si="193"/>
        <v>967.7373741861868</v>
      </c>
      <c r="AZ296" s="44">
        <f t="shared" si="194"/>
        <v>312.40328767929952</v>
      </c>
    </row>
    <row r="297" spans="1:52" ht="15" customHeight="1" x14ac:dyDescent="0.35">
      <c r="A297" s="59" t="str">
        <f>Segments!$A$277</f>
        <v>Greek</v>
      </c>
      <c r="B297" s="59" t="str">
        <f>Segments!$B$277</f>
        <v>Off 0-1mi</v>
      </c>
      <c r="C297" s="59" t="str">
        <f>Segments!$C$277</f>
        <v>No</v>
      </c>
      <c r="D297" s="59" t="str">
        <f>Segments!$D$277</f>
        <v>2.0-3.0</v>
      </c>
      <c r="E297" s="59" t="str">
        <f>Segments!$E$277</f>
        <v>Junior</v>
      </c>
      <c r="F297" s="59">
        <f>Segments!$F$277</f>
        <v>2</v>
      </c>
      <c r="G297" s="59" t="str">
        <f>Segments!$G$277</f>
        <v>Base</v>
      </c>
      <c r="H297" s="60">
        <f>Segments!$H$277</f>
        <v>4</v>
      </c>
      <c r="I297" s="26">
        <f>Segments!$Y$277</f>
        <v>5200.9389758579382</v>
      </c>
      <c r="J297" s="29">
        <v>2</v>
      </c>
      <c r="K297" s="14">
        <f t="shared" si="156"/>
        <v>1426.2297754450396</v>
      </c>
      <c r="L297" s="14">
        <f t="shared" si="157"/>
        <v>5200.9389758579382</v>
      </c>
      <c r="M297" s="14">
        <f t="shared" si="158"/>
        <v>8498.798904801406</v>
      </c>
      <c r="N297" s="14">
        <f t="shared" si="159"/>
        <v>3481.5571305879012</v>
      </c>
      <c r="O297" s="14">
        <f t="shared" si="160"/>
        <v>1782.7872193062994</v>
      </c>
      <c r="P297" s="33">
        <f t="shared" si="161"/>
        <v>0.95</v>
      </c>
      <c r="Q297" s="33">
        <f t="shared" si="162"/>
        <v>0.02</v>
      </c>
      <c r="R297" s="51">
        <f t="shared" si="163"/>
        <v>5.6999999999999993</v>
      </c>
      <c r="S297" s="51">
        <f>APPLICANTS_PER_YEAR*($H297/Segments!$AH$2)*Q297</f>
        <v>9.6000000000000002E-2</v>
      </c>
      <c r="T297" s="51">
        <f t="shared" si="164"/>
        <v>5.7959999999999994</v>
      </c>
      <c r="U297" s="14">
        <f t="shared" si="165"/>
        <v>1894.025508092968</v>
      </c>
      <c r="V297" s="44">
        <f t="shared" si="166"/>
        <v>10977.771844906842</v>
      </c>
      <c r="W297" s="44">
        <f t="shared" si="167"/>
        <v>33761.999380561327</v>
      </c>
      <c r="X297" s="44">
        <f t="shared" si="168"/>
        <v>2221.6748430075259</v>
      </c>
      <c r="Y297" s="14">
        <f t="shared" si="169"/>
        <v>1914.2071239700981</v>
      </c>
      <c r="Z297" s="14">
        <f t="shared" si="170"/>
        <v>5356.9671451336762</v>
      </c>
      <c r="AA297" s="14">
        <f t="shared" si="171"/>
        <v>8752.5128719454478</v>
      </c>
      <c r="AB297" s="14">
        <f t="shared" si="172"/>
        <v>3585.7478023381132</v>
      </c>
      <c r="AC297" s="14">
        <f t="shared" si="173"/>
        <v>2392.7589049626226</v>
      </c>
      <c r="AD297" s="33">
        <f t="shared" si="174"/>
        <v>0.94135147856711976</v>
      </c>
      <c r="AE297" s="33">
        <f t="shared" si="175"/>
        <v>0.02</v>
      </c>
      <c r="AF297" s="51">
        <f t="shared" si="176"/>
        <v>5.5012580407462472</v>
      </c>
      <c r="AG297" s="51">
        <f>APPLICANTS_PER_YEAR*($H297/Segments!$AH$2)*AE297</f>
        <v>9.6000000000000002E-2</v>
      </c>
      <c r="AH297" s="51">
        <f t="shared" si="177"/>
        <v>5.5972580407462473</v>
      </c>
      <c r="AI297" s="14">
        <f t="shared" si="178"/>
        <v>2501.8366670357382</v>
      </c>
      <c r="AJ297" s="44">
        <f t="shared" si="179"/>
        <v>14003.425401199576</v>
      </c>
      <c r="AK297" s="44">
        <f t="shared" si="180"/>
        <v>33582.446718366496</v>
      </c>
      <c r="AL297" s="44">
        <f t="shared" si="181"/>
        <v>2790.4010048913815</v>
      </c>
      <c r="AM297" s="14">
        <f t="shared" si="182"/>
        <v>7328.4823674194931</v>
      </c>
      <c r="AN297" s="14">
        <f t="shared" si="183"/>
        <v>5517.6761594876862</v>
      </c>
      <c r="AO297" s="14">
        <f t="shared" si="184"/>
        <v>9013.8382581038095</v>
      </c>
      <c r="AP297" s="14">
        <f t="shared" si="185"/>
        <v>3693.0641762230157</v>
      </c>
      <c r="AQ297" s="14">
        <f t="shared" si="186"/>
        <v>9013.8382581038095</v>
      </c>
      <c r="AR297" s="33">
        <f t="shared" si="187"/>
        <v>0.3</v>
      </c>
      <c r="AS297" s="33">
        <f t="shared" si="188"/>
        <v>0.02</v>
      </c>
      <c r="AT297" s="51">
        <f t="shared" si="189"/>
        <v>5.6159999999999995E-2</v>
      </c>
      <c r="AU297" s="51">
        <f>APPLICANTS_PER_YEAR*($H297/Segments!$AH$2)*AS297</f>
        <v>9.6000000000000002E-2</v>
      </c>
      <c r="AV297" s="51">
        <f t="shared" si="190"/>
        <v>0.15215999999999999</v>
      </c>
      <c r="AW297" s="14">
        <f t="shared" si="191"/>
        <v>9013.8382581038095</v>
      </c>
      <c r="AX297" s="44">
        <f t="shared" si="192"/>
        <v>1371.5456293530756</v>
      </c>
      <c r="AY297" s="44">
        <f t="shared" si="193"/>
        <v>940.31795695896392</v>
      </c>
      <c r="AZ297" s="44">
        <f t="shared" si="194"/>
        <v>294.95182049496009</v>
      </c>
    </row>
    <row r="298" spans="1:52" ht="15" customHeight="1" x14ac:dyDescent="0.35">
      <c r="A298" s="59" t="str">
        <f>Segments!$A$278</f>
        <v>Greek</v>
      </c>
      <c r="B298" s="59" t="str">
        <f>Segments!$B$278</f>
        <v>Off 0-1mi</v>
      </c>
      <c r="C298" s="59" t="str">
        <f>Segments!$C$278</f>
        <v>No</v>
      </c>
      <c r="D298" s="59" t="str">
        <f>Segments!$D$278</f>
        <v>2.0-3.0</v>
      </c>
      <c r="E298" s="59" t="str">
        <f>Segments!$E$278</f>
        <v>Senior</v>
      </c>
      <c r="F298" s="59">
        <f>Segments!$F$278</f>
        <v>3</v>
      </c>
      <c r="G298" s="59" t="str">
        <f>Segments!$G$278</f>
        <v>Base</v>
      </c>
      <c r="H298" s="60">
        <f>Segments!$H$278</f>
        <v>3</v>
      </c>
      <c r="I298" s="26">
        <f>Segments!$Y$278</f>
        <v>4861.252422498218</v>
      </c>
      <c r="J298" s="29">
        <v>3</v>
      </c>
      <c r="K298" s="14">
        <f t="shared" si="156"/>
        <v>1426.2297754450396</v>
      </c>
      <c r="L298" s="14">
        <f t="shared" si="157"/>
        <v>4861.252422498218</v>
      </c>
      <c r="M298" s="14">
        <f t="shared" si="158"/>
        <v>7946.4420871932016</v>
      </c>
      <c r="N298" s="14">
        <f t="shared" si="159"/>
        <v>3366.5193172777981</v>
      </c>
      <c r="O298" s="14">
        <f t="shared" si="160"/>
        <v>1782.7872193062994</v>
      </c>
      <c r="P298" s="33">
        <f t="shared" si="161"/>
        <v>0.95</v>
      </c>
      <c r="Q298" s="33">
        <f t="shared" si="162"/>
        <v>0.02</v>
      </c>
      <c r="R298" s="51">
        <f t="shared" si="163"/>
        <v>3.8</v>
      </c>
      <c r="S298" s="51">
        <f>APPLICANTS_PER_YEAR*($H298/Segments!$AH$2)*Q298</f>
        <v>7.1999999999999995E-2</v>
      </c>
      <c r="T298" s="51">
        <f t="shared" si="164"/>
        <v>3.8719999999999999</v>
      </c>
      <c r="U298" s="14">
        <f t="shared" si="165"/>
        <v>1897.4006362711386</v>
      </c>
      <c r="V298" s="44">
        <f t="shared" si="166"/>
        <v>7346.7352636418482</v>
      </c>
      <c r="W298" s="44">
        <f t="shared" si="167"/>
        <v>21081.501705502676</v>
      </c>
      <c r="X298" s="44">
        <f t="shared" si="168"/>
        <v>1487.7979988880361</v>
      </c>
      <c r="Y298" s="14">
        <f t="shared" si="169"/>
        <v>1894.025508092968</v>
      </c>
      <c r="Z298" s="14">
        <f t="shared" si="170"/>
        <v>5007.0899951731644</v>
      </c>
      <c r="AA298" s="14">
        <f t="shared" si="171"/>
        <v>8183.5853498089973</v>
      </c>
      <c r="AB298" s="14">
        <f t="shared" si="172"/>
        <v>3467.2501047180322</v>
      </c>
      <c r="AC298" s="14">
        <f t="shared" si="173"/>
        <v>2367.5318851162101</v>
      </c>
      <c r="AD298" s="33">
        <f t="shared" si="174"/>
        <v>0.93358651472897636</v>
      </c>
      <c r="AE298" s="33">
        <f t="shared" si="175"/>
        <v>0.02</v>
      </c>
      <c r="AF298" s="51">
        <f t="shared" si="176"/>
        <v>5.4110674393691465</v>
      </c>
      <c r="AG298" s="51">
        <f>APPLICANTS_PER_YEAR*($H298/Segments!$AH$2)*AE298</f>
        <v>7.1999999999999995E-2</v>
      </c>
      <c r="AH298" s="51">
        <f t="shared" si="177"/>
        <v>5.4830674393691465</v>
      </c>
      <c r="AI298" s="14">
        <f t="shared" si="178"/>
        <v>2443.9044364459928</v>
      </c>
      <c r="AJ298" s="44">
        <f t="shared" si="179"/>
        <v>13400.092840406827</v>
      </c>
      <c r="AK298" s="44">
        <f t="shared" si="180"/>
        <v>30748.717572747999</v>
      </c>
      <c r="AL298" s="44">
        <f t="shared" si="181"/>
        <v>2664.7015307057923</v>
      </c>
      <c r="AM298" s="14">
        <f t="shared" si="182"/>
        <v>2501.8366670357382</v>
      </c>
      <c r="AN298" s="14">
        <f t="shared" si="183"/>
        <v>5157.3026950283593</v>
      </c>
      <c r="AO298" s="14">
        <f t="shared" si="184"/>
        <v>8427.8429103032668</v>
      </c>
      <c r="AP298" s="14">
        <f t="shared" si="185"/>
        <v>3571.0027958524588</v>
      </c>
      <c r="AQ298" s="14">
        <f t="shared" si="186"/>
        <v>3127.2958337946729</v>
      </c>
      <c r="AR298" s="33">
        <f t="shared" si="187"/>
        <v>0.83712638121890159</v>
      </c>
      <c r="AS298" s="33">
        <f t="shared" si="188"/>
        <v>0.02</v>
      </c>
      <c r="AT298" s="51">
        <f t="shared" si="189"/>
        <v>4.6856123683983055</v>
      </c>
      <c r="AU298" s="51">
        <f>APPLICANTS_PER_YEAR*($H298/Segments!$AH$2)*AS298</f>
        <v>7.1999999999999995E-2</v>
      </c>
      <c r="AV298" s="51">
        <f t="shared" si="190"/>
        <v>4.7576123683983056</v>
      </c>
      <c r="AW298" s="14">
        <f t="shared" si="191"/>
        <v>3207.5124130274826</v>
      </c>
      <c r="AX298" s="44">
        <f t="shared" si="192"/>
        <v>15260.100728010646</v>
      </c>
      <c r="AY298" s="44">
        <f t="shared" si="193"/>
        <v>27480.820740173738</v>
      </c>
      <c r="AZ298" s="44">
        <f t="shared" si="194"/>
        <v>3002.3494490959429</v>
      </c>
    </row>
    <row r="299" spans="1:52" ht="15" customHeight="1" x14ac:dyDescent="0.35">
      <c r="A299" s="59" t="str">
        <f>Segments!$A$279</f>
        <v>Greek</v>
      </c>
      <c r="B299" s="59" t="str">
        <f>Segments!$B$279</f>
        <v>Off 0-1mi</v>
      </c>
      <c r="C299" s="59" t="str">
        <f>Segments!$C$279</f>
        <v>No</v>
      </c>
      <c r="D299" s="59" t="str">
        <f>Segments!$D$279</f>
        <v>2.0-3.0</v>
      </c>
      <c r="E299" s="59" t="str">
        <f>Segments!$E$279</f>
        <v>Grad student</v>
      </c>
      <c r="F299" s="59">
        <f>Segments!$F$279</f>
        <v>3</v>
      </c>
      <c r="G299" s="59" t="str">
        <f>Segments!$G$279</f>
        <v>Grad</v>
      </c>
      <c r="H299" s="60">
        <f>Segments!$H$279</f>
        <v>1</v>
      </c>
      <c r="I299" s="26">
        <f>Segments!$Y$279</f>
        <v>5788.1981100593621</v>
      </c>
      <c r="J299" s="29">
        <v>4</v>
      </c>
      <c r="K299" s="14">
        <f t="shared" si="156"/>
        <v>1426.2297754450396</v>
      </c>
      <c r="L299" s="14">
        <f t="shared" si="157"/>
        <v>5788.1981100593621</v>
      </c>
      <c r="M299" s="14">
        <f t="shared" si="158"/>
        <v>9453.7280395303296</v>
      </c>
      <c r="N299" s="14">
        <f t="shared" si="159"/>
        <v>3671.9461350812076</v>
      </c>
      <c r="O299" s="14">
        <f t="shared" si="160"/>
        <v>1782.7872193062994</v>
      </c>
      <c r="P299" s="33">
        <f t="shared" si="161"/>
        <v>0.95</v>
      </c>
      <c r="Q299" s="33">
        <f t="shared" si="162"/>
        <v>0.02</v>
      </c>
      <c r="R299" s="51">
        <f t="shared" si="163"/>
        <v>0.47499999999999998</v>
      </c>
      <c r="S299" s="51">
        <f>APPLICANTS_PER_YEAR*($H299/Segments!$AH$2)*Q299</f>
        <v>2.4E-2</v>
      </c>
      <c r="T299" s="51">
        <f t="shared" si="164"/>
        <v>0.499</v>
      </c>
      <c r="U299" s="14">
        <f t="shared" si="165"/>
        <v>2151.7302647679762</v>
      </c>
      <c r="V299" s="44">
        <f t="shared" si="166"/>
        <v>1073.7134021192201</v>
      </c>
      <c r="W299" s="44">
        <f t="shared" si="167"/>
        <v>3234.9081597499762</v>
      </c>
      <c r="X299" s="44">
        <f t="shared" si="168"/>
        <v>221.45296455373807</v>
      </c>
      <c r="Y299" s="14">
        <f t="shared" si="169"/>
        <v>2151.7302647679762</v>
      </c>
      <c r="Z299" s="14">
        <f t="shared" si="170"/>
        <v>5961.8440533611429</v>
      </c>
      <c r="AA299" s="14">
        <f t="shared" si="171"/>
        <v>9736.0898807162393</v>
      </c>
      <c r="AB299" s="14">
        <f t="shared" si="172"/>
        <v>3781.8617535302951</v>
      </c>
      <c r="AC299" s="14">
        <f t="shared" si="173"/>
        <v>2689.6628309599701</v>
      </c>
      <c r="AD299" s="33">
        <f t="shared" si="174"/>
        <v>0.91939963617797216</v>
      </c>
      <c r="AE299" s="33">
        <f t="shared" si="175"/>
        <v>0.02</v>
      </c>
      <c r="AF299" s="51">
        <f t="shared" si="176"/>
        <v>0.22939020922640405</v>
      </c>
      <c r="AG299" s="51">
        <f>APPLICANTS_PER_YEAR*($H299/Segments!$AH$2)*AE299</f>
        <v>2.4E-2</v>
      </c>
      <c r="AH299" s="51">
        <f t="shared" si="177"/>
        <v>0.25339020922640404</v>
      </c>
      <c r="AI299" s="14">
        <f t="shared" si="178"/>
        <v>3357.0692382969128</v>
      </c>
      <c r="AJ299" s="44">
        <f t="shared" si="179"/>
        <v>850.64847667957952</v>
      </c>
      <c r="AK299" s="44">
        <f t="shared" si="180"/>
        <v>1691.9536615031377</v>
      </c>
      <c r="AL299" s="44">
        <f t="shared" si="181"/>
        <v>174.61868177677025</v>
      </c>
      <c r="AM299" s="14">
        <f t="shared" si="182"/>
        <v>3357.0692382969128</v>
      </c>
      <c r="AN299" s="14">
        <f t="shared" si="183"/>
        <v>6140.6993749619769</v>
      </c>
      <c r="AO299" s="14">
        <f t="shared" si="184"/>
        <v>10026.922577137726</v>
      </c>
      <c r="AP299" s="14">
        <f t="shared" si="185"/>
        <v>3895.0748251752148</v>
      </c>
      <c r="AQ299" s="14">
        <f t="shared" si="186"/>
        <v>4196.3365478711412</v>
      </c>
      <c r="AR299" s="33">
        <f t="shared" si="187"/>
        <v>0.73632786451896026</v>
      </c>
      <c r="AS299" s="33">
        <f t="shared" si="188"/>
        <v>0.02</v>
      </c>
      <c r="AT299" s="51">
        <f t="shared" si="189"/>
        <v>9.3289135824845312E-2</v>
      </c>
      <c r="AU299" s="51">
        <f>APPLICANTS_PER_YEAR*($H299/Segments!$AH$2)*AS299</f>
        <v>2.4E-2</v>
      </c>
      <c r="AV299" s="51">
        <f t="shared" si="190"/>
        <v>0.11728913582484532</v>
      </c>
      <c r="AW299" s="14">
        <f t="shared" si="191"/>
        <v>5389.4058267800565</v>
      </c>
      <c r="AX299" s="44">
        <f t="shared" si="192"/>
        <v>632.1187520324188</v>
      </c>
      <c r="AY299" s="44">
        <f t="shared" si="193"/>
        <v>806.66580181539314</v>
      </c>
      <c r="AZ299" s="44">
        <f t="shared" si="194"/>
        <v>130.83884181541976</v>
      </c>
    </row>
    <row r="300" spans="1:52" ht="15" customHeight="1" x14ac:dyDescent="0.35">
      <c r="A300" s="61" t="str">
        <f>Segments!$A$280</f>
        <v>Greek</v>
      </c>
      <c r="B300" s="61" t="str">
        <f>Segments!$B$280</f>
        <v>Off 0-1mi</v>
      </c>
      <c r="C300" s="61" t="str">
        <f>Segments!$C$280</f>
        <v>No</v>
      </c>
      <c r="D300" s="61" t="str">
        <f>Segments!$D$280</f>
        <v>3.0+</v>
      </c>
      <c r="E300" s="61" t="str">
        <f>Segments!$E$280</f>
        <v>Freshman</v>
      </c>
      <c r="F300" s="61">
        <f>Segments!$F$280</f>
        <v>1</v>
      </c>
      <c r="G300" s="61" t="str">
        <f>Segments!$G$280</f>
        <v>Base</v>
      </c>
      <c r="H300" s="62">
        <f>Segments!$H$280</f>
        <v>3</v>
      </c>
      <c r="I300" s="63">
        <f>Segments!$Y$280</f>
        <v>3852.7936305508752</v>
      </c>
      <c r="J300" s="42">
        <v>0</v>
      </c>
      <c r="K300" s="40">
        <f t="shared" si="156"/>
        <v>6306.6094723909073</v>
      </c>
      <c r="L300" s="40">
        <f t="shared" si="157"/>
        <v>3852.7936305508752</v>
      </c>
      <c r="M300" s="40">
        <f t="shared" si="158"/>
        <v>6306.6094723909073</v>
      </c>
      <c r="N300" s="40">
        <f t="shared" si="159"/>
        <v>2999.1122372508239</v>
      </c>
      <c r="O300" s="40">
        <f t="shared" si="160"/>
        <v>6306.6094723909073</v>
      </c>
      <c r="P300" s="41">
        <f t="shared" si="161"/>
        <v>0.3</v>
      </c>
      <c r="Q300" s="41">
        <f t="shared" si="162"/>
        <v>0.02</v>
      </c>
      <c r="R300" s="64">
        <f t="shared" si="163"/>
        <v>0</v>
      </c>
      <c r="S300" s="64">
        <f>APPLICANTS_PER_YEAR*($H300/Segments!$AH$2)*Q300</f>
        <v>7.1999999999999995E-2</v>
      </c>
      <c r="T300" s="64">
        <f t="shared" si="164"/>
        <v>7.1999999999999995E-2</v>
      </c>
      <c r="U300" s="40">
        <f t="shared" si="165"/>
        <v>6306.6094723909073</v>
      </c>
      <c r="V300" s="65">
        <f t="shared" si="166"/>
        <v>454.07588201214531</v>
      </c>
      <c r="W300" s="65">
        <f t="shared" si="167"/>
        <v>310.68927836762259</v>
      </c>
      <c r="X300" s="65">
        <f t="shared" si="168"/>
        <v>104.95299757072054</v>
      </c>
      <c r="Y300" s="40">
        <f t="shared" si="169"/>
        <v>6494.5577565626354</v>
      </c>
      <c r="Z300" s="40">
        <f t="shared" si="170"/>
        <v>3968.3774394674015</v>
      </c>
      <c r="AA300" s="40">
        <f t="shared" si="171"/>
        <v>6494.5577565626354</v>
      </c>
      <c r="AB300" s="40">
        <f t="shared" si="172"/>
        <v>3088.7883709117855</v>
      </c>
      <c r="AC300" s="40">
        <f t="shared" si="173"/>
        <v>6494.5577565626354</v>
      </c>
      <c r="AD300" s="41">
        <f t="shared" si="174"/>
        <v>0.3</v>
      </c>
      <c r="AE300" s="41">
        <f t="shared" si="175"/>
        <v>0.02</v>
      </c>
      <c r="AF300" s="64">
        <f t="shared" si="176"/>
        <v>0</v>
      </c>
      <c r="AG300" s="64">
        <f>APPLICANTS_PER_YEAR*($H300/Segments!$AH$2)*AE300</f>
        <v>7.1999999999999995E-2</v>
      </c>
      <c r="AH300" s="64">
        <f t="shared" si="177"/>
        <v>7.1999999999999995E-2</v>
      </c>
      <c r="AI300" s="40">
        <f t="shared" si="178"/>
        <v>6494.5577565626354</v>
      </c>
      <c r="AJ300" s="65">
        <f t="shared" si="179"/>
        <v>467.60815847250973</v>
      </c>
      <c r="AK300" s="65">
        <f t="shared" si="180"/>
        <v>320.00995671865121</v>
      </c>
      <c r="AL300" s="65">
        <f t="shared" si="181"/>
        <v>107.98422749784217</v>
      </c>
      <c r="AM300" s="40">
        <f t="shared" si="182"/>
        <v>6688.1444892595136</v>
      </c>
      <c r="AN300" s="40">
        <f t="shared" si="183"/>
        <v>4087.4287626514233</v>
      </c>
      <c r="AO300" s="40">
        <f t="shared" si="184"/>
        <v>6688.1444892595136</v>
      </c>
      <c r="AP300" s="40">
        <f t="shared" si="185"/>
        <v>3181.1547603937734</v>
      </c>
      <c r="AQ300" s="40">
        <f t="shared" si="186"/>
        <v>6688.1444892595136</v>
      </c>
      <c r="AR300" s="41">
        <f t="shared" si="187"/>
        <v>0.3</v>
      </c>
      <c r="AS300" s="41">
        <f t="shared" si="188"/>
        <v>0.02</v>
      </c>
      <c r="AT300" s="64">
        <f t="shared" si="189"/>
        <v>0</v>
      </c>
      <c r="AU300" s="64">
        <f>APPLICANTS_PER_YEAR*($H300/Segments!$AH$2)*AS300</f>
        <v>7.1999999999999995E-2</v>
      </c>
      <c r="AV300" s="64">
        <f t="shared" si="190"/>
        <v>7.1999999999999995E-2</v>
      </c>
      <c r="AW300" s="40">
        <f t="shared" si="191"/>
        <v>6688.1444892595136</v>
      </c>
      <c r="AX300" s="65">
        <f t="shared" si="192"/>
        <v>481.54640322668496</v>
      </c>
      <c r="AY300" s="65">
        <f t="shared" si="193"/>
        <v>329.61025542021076</v>
      </c>
      <c r="AZ300" s="65">
        <f t="shared" si="194"/>
        <v>111.10639432277743</v>
      </c>
    </row>
    <row r="301" spans="1:52" ht="15" customHeight="1" x14ac:dyDescent="0.35">
      <c r="A301" s="61" t="str">
        <f>Segments!$A$281</f>
        <v>Greek</v>
      </c>
      <c r="B301" s="61" t="str">
        <f>Segments!$B$281</f>
        <v>Off 0-1mi</v>
      </c>
      <c r="C301" s="61" t="str">
        <f>Segments!$C$281</f>
        <v>No</v>
      </c>
      <c r="D301" s="61" t="str">
        <f>Segments!$D$281</f>
        <v>3.0+</v>
      </c>
      <c r="E301" s="61" t="str">
        <f>Segments!$E$281</f>
        <v>Sophomore</v>
      </c>
      <c r="F301" s="61">
        <f>Segments!$F$281</f>
        <v>1</v>
      </c>
      <c r="G301" s="61" t="str">
        <f>Segments!$G$281</f>
        <v>Sophomore</v>
      </c>
      <c r="H301" s="62">
        <f>Segments!$H$281</f>
        <v>2</v>
      </c>
      <c r="I301" s="63">
        <f>Segments!$Y$281</f>
        <v>3813.5962436886261</v>
      </c>
      <c r="J301" s="42">
        <v>1</v>
      </c>
      <c r="K301" s="40">
        <f t="shared" si="156"/>
        <v>1426.2297754450396</v>
      </c>
      <c r="L301" s="40">
        <f t="shared" si="157"/>
        <v>3813.5962436886261</v>
      </c>
      <c r="M301" s="40">
        <f t="shared" si="158"/>
        <v>6242.8714655382737</v>
      </c>
      <c r="N301" s="40">
        <f t="shared" si="159"/>
        <v>2983.9184252299688</v>
      </c>
      <c r="O301" s="40">
        <f t="shared" si="160"/>
        <v>1782.7872193062994</v>
      </c>
      <c r="P301" s="41">
        <f t="shared" si="161"/>
        <v>0.95</v>
      </c>
      <c r="Q301" s="41">
        <f t="shared" si="162"/>
        <v>0.02</v>
      </c>
      <c r="R301" s="64">
        <f t="shared" si="163"/>
        <v>2.8499999999999996</v>
      </c>
      <c r="S301" s="64">
        <f>APPLICANTS_PER_YEAR*($H301/Segments!$AH$2)*Q301</f>
        <v>4.8000000000000001E-2</v>
      </c>
      <c r="T301" s="64">
        <f t="shared" si="164"/>
        <v>2.8979999999999997</v>
      </c>
      <c r="U301" s="40">
        <f t="shared" si="165"/>
        <v>1856.6602502997898</v>
      </c>
      <c r="V301" s="65">
        <f t="shared" si="166"/>
        <v>5380.6014053687904</v>
      </c>
      <c r="W301" s="65">
        <f t="shared" si="167"/>
        <v>12378.018143914796</v>
      </c>
      <c r="X301" s="65">
        <f t="shared" si="168"/>
        <v>1086.5816896768058</v>
      </c>
      <c r="Y301" s="40">
        <f t="shared" si="169"/>
        <v>6306.6094723909073</v>
      </c>
      <c r="Z301" s="40">
        <f t="shared" si="170"/>
        <v>3928.0041309992848</v>
      </c>
      <c r="AA301" s="40">
        <f t="shared" si="171"/>
        <v>6428.907609504422</v>
      </c>
      <c r="AB301" s="40">
        <f t="shared" si="172"/>
        <v>3073.1372309007306</v>
      </c>
      <c r="AC301" s="40">
        <f t="shared" si="173"/>
        <v>6428.907609504422</v>
      </c>
      <c r="AD301" s="41">
        <f t="shared" si="174"/>
        <v>0.3</v>
      </c>
      <c r="AE301" s="41">
        <f t="shared" si="175"/>
        <v>0.02</v>
      </c>
      <c r="AF301" s="64">
        <f t="shared" si="176"/>
        <v>2.1599999999999998E-2</v>
      </c>
      <c r="AG301" s="64">
        <f>APPLICANTS_PER_YEAR*($H301/Segments!$AH$2)*AE301</f>
        <v>4.8000000000000001E-2</v>
      </c>
      <c r="AH301" s="64">
        <f t="shared" si="177"/>
        <v>6.9599999999999995E-2</v>
      </c>
      <c r="AI301" s="40">
        <f t="shared" si="178"/>
        <v>6428.907609504422</v>
      </c>
      <c r="AJ301" s="65">
        <f t="shared" si="179"/>
        <v>447.45196962150777</v>
      </c>
      <c r="AK301" s="65">
        <f t="shared" si="180"/>
        <v>306.19577801965625</v>
      </c>
      <c r="AL301" s="65">
        <f t="shared" si="181"/>
        <v>97.960987042432407</v>
      </c>
      <c r="AM301" s="40">
        <f t="shared" si="182"/>
        <v>6494.5577565626354</v>
      </c>
      <c r="AN301" s="40">
        <f t="shared" si="183"/>
        <v>4045.8442549292631</v>
      </c>
      <c r="AO301" s="40">
        <f t="shared" si="184"/>
        <v>6620.5248377895541</v>
      </c>
      <c r="AP301" s="40">
        <f t="shared" si="185"/>
        <v>3165.0325721199292</v>
      </c>
      <c r="AQ301" s="40">
        <f t="shared" si="186"/>
        <v>6620.5248377895541</v>
      </c>
      <c r="AR301" s="41">
        <f t="shared" si="187"/>
        <v>0.3</v>
      </c>
      <c r="AS301" s="41">
        <f t="shared" si="188"/>
        <v>0.02</v>
      </c>
      <c r="AT301" s="64">
        <f t="shared" si="189"/>
        <v>2.1599999999999998E-2</v>
      </c>
      <c r="AU301" s="64">
        <f>APPLICANTS_PER_YEAR*($H301/Segments!$AH$2)*AS301</f>
        <v>4.8000000000000001E-2</v>
      </c>
      <c r="AV301" s="64">
        <f t="shared" si="190"/>
        <v>6.9599999999999995E-2</v>
      </c>
      <c r="AW301" s="40">
        <f t="shared" si="191"/>
        <v>6620.5248377895541</v>
      </c>
      <c r="AX301" s="65">
        <f t="shared" si="192"/>
        <v>460.78852871015295</v>
      </c>
      <c r="AY301" s="65">
        <f t="shared" si="193"/>
        <v>315.38165136024594</v>
      </c>
      <c r="AZ301" s="65">
        <f t="shared" si="194"/>
        <v>100.80351365370535</v>
      </c>
    </row>
    <row r="302" spans="1:52" ht="15" customHeight="1" x14ac:dyDescent="0.35">
      <c r="A302" s="61" t="str">
        <f>Segments!$A$282</f>
        <v>Greek</v>
      </c>
      <c r="B302" s="61" t="str">
        <f>Segments!$B$282</f>
        <v>Off 0-1mi</v>
      </c>
      <c r="C302" s="61" t="str">
        <f>Segments!$C$282</f>
        <v>No</v>
      </c>
      <c r="D302" s="61" t="str">
        <f>Segments!$D$282</f>
        <v>3.0+</v>
      </c>
      <c r="E302" s="61" t="str">
        <f>Segments!$E$282</f>
        <v>Junior</v>
      </c>
      <c r="F302" s="61">
        <f>Segments!$F$282</f>
        <v>2</v>
      </c>
      <c r="G302" s="61" t="str">
        <f>Segments!$G$282</f>
        <v>Base</v>
      </c>
      <c r="H302" s="62">
        <f>Segments!$H$282</f>
        <v>1</v>
      </c>
      <c r="I302" s="63">
        <f>Segments!$Y$282</f>
        <v>4558.8706688942948</v>
      </c>
      <c r="J302" s="42">
        <v>2</v>
      </c>
      <c r="K302" s="40">
        <f t="shared" si="156"/>
        <v>1426.2297754450396</v>
      </c>
      <c r="L302" s="40">
        <f t="shared" si="157"/>
        <v>4558.8706688942948</v>
      </c>
      <c r="M302" s="40">
        <f t="shared" si="158"/>
        <v>7454.7457822571087</v>
      </c>
      <c r="N302" s="40">
        <f t="shared" si="159"/>
        <v>3260.7024401236636</v>
      </c>
      <c r="O302" s="40">
        <f t="shared" si="160"/>
        <v>1782.7872193062994</v>
      </c>
      <c r="P302" s="41">
        <f t="shared" si="161"/>
        <v>0.95</v>
      </c>
      <c r="Q302" s="41">
        <f t="shared" si="162"/>
        <v>0.02</v>
      </c>
      <c r="R302" s="64">
        <f t="shared" si="163"/>
        <v>1.9</v>
      </c>
      <c r="S302" s="64">
        <f>APPLICANTS_PER_YEAR*($H302/Segments!$AH$2)*Q302</f>
        <v>2.4E-2</v>
      </c>
      <c r="T302" s="64">
        <f t="shared" si="164"/>
        <v>1.9239999999999999</v>
      </c>
      <c r="U302" s="40">
        <f t="shared" si="165"/>
        <v>1853.5393011726298</v>
      </c>
      <c r="V302" s="65">
        <f t="shared" si="166"/>
        <v>3566.2096154561395</v>
      </c>
      <c r="W302" s="65">
        <f t="shared" si="167"/>
        <v>9823.8192269869378</v>
      </c>
      <c r="X302" s="65">
        <f t="shared" si="168"/>
        <v>719.35560377830632</v>
      </c>
      <c r="Y302" s="40">
        <f t="shared" si="169"/>
        <v>1856.6602502997898</v>
      </c>
      <c r="Z302" s="40">
        <f t="shared" si="170"/>
        <v>4695.6367889611238</v>
      </c>
      <c r="AA302" s="40">
        <f t="shared" si="171"/>
        <v>7677.1381557248224</v>
      </c>
      <c r="AB302" s="40">
        <f t="shared" si="172"/>
        <v>3358.2501274826086</v>
      </c>
      <c r="AC302" s="40">
        <f t="shared" si="173"/>
        <v>2320.8253128747374</v>
      </c>
      <c r="AD302" s="41">
        <f t="shared" si="174"/>
        <v>0.92945913425536575</v>
      </c>
      <c r="AE302" s="41">
        <f t="shared" si="175"/>
        <v>0.02</v>
      </c>
      <c r="AF302" s="64">
        <f t="shared" si="176"/>
        <v>2.6935725710720497</v>
      </c>
      <c r="AG302" s="64">
        <f>APPLICANTS_PER_YEAR*($H302/Segments!$AH$2)*AE302</f>
        <v>2.4E-2</v>
      </c>
      <c r="AH302" s="64">
        <f t="shared" si="177"/>
        <v>2.7175725710720497</v>
      </c>
      <c r="AI302" s="40">
        <f t="shared" si="178"/>
        <v>2368.1291124482259</v>
      </c>
      <c r="AJ302" s="65">
        <f t="shared" si="179"/>
        <v>6435.5627207464968</v>
      </c>
      <c r="AK302" s="65">
        <f t="shared" si="180"/>
        <v>14292.021790365297</v>
      </c>
      <c r="AL302" s="65">
        <f t="shared" si="181"/>
        <v>1277.7216016933376</v>
      </c>
      <c r="AM302" s="40">
        <f t="shared" si="182"/>
        <v>6428.907609504422</v>
      </c>
      <c r="AN302" s="40">
        <f t="shared" si="183"/>
        <v>4836.5058926299571</v>
      </c>
      <c r="AO302" s="40">
        <f t="shared" si="184"/>
        <v>7906.202300396566</v>
      </c>
      <c r="AP302" s="40">
        <f t="shared" si="185"/>
        <v>3458.7242235291146</v>
      </c>
      <c r="AQ302" s="40">
        <f t="shared" si="186"/>
        <v>7906.202300396566</v>
      </c>
      <c r="AR302" s="41">
        <f t="shared" si="187"/>
        <v>0.3</v>
      </c>
      <c r="AS302" s="41">
        <f t="shared" si="188"/>
        <v>0.02</v>
      </c>
      <c r="AT302" s="64">
        <f t="shared" si="189"/>
        <v>2.0879999999999999E-2</v>
      </c>
      <c r="AU302" s="64">
        <f>APPLICANTS_PER_YEAR*($H302/Segments!$AH$2)*AS302</f>
        <v>2.4E-2</v>
      </c>
      <c r="AV302" s="64">
        <f t="shared" si="190"/>
        <v>4.4880000000000003E-2</v>
      </c>
      <c r="AW302" s="40">
        <f t="shared" si="191"/>
        <v>7906.2023003965651</v>
      </c>
      <c r="AX302" s="65">
        <f t="shared" si="192"/>
        <v>354.83035924179785</v>
      </c>
      <c r="AY302" s="65">
        <f t="shared" si="193"/>
        <v>243.10987059658041</v>
      </c>
      <c r="AZ302" s="65">
        <f t="shared" si="194"/>
        <v>75.201747829032897</v>
      </c>
    </row>
    <row r="303" spans="1:52" ht="15" customHeight="1" x14ac:dyDescent="0.35">
      <c r="A303" s="61" t="str">
        <f>Segments!$A$283</f>
        <v>Greek</v>
      </c>
      <c r="B303" s="61" t="str">
        <f>Segments!$B$283</f>
        <v>Off 0-1mi</v>
      </c>
      <c r="C303" s="61" t="str">
        <f>Segments!$C$283</f>
        <v>No</v>
      </c>
      <c r="D303" s="61" t="str">
        <f>Segments!$D$283</f>
        <v>3.0+</v>
      </c>
      <c r="E303" s="61" t="str">
        <f>Segments!$E$283</f>
        <v>Senior</v>
      </c>
      <c r="F303" s="61">
        <f>Segments!$F$283</f>
        <v>3</v>
      </c>
      <c r="G303" s="61" t="str">
        <f>Segments!$G$283</f>
        <v>Base</v>
      </c>
      <c r="H303" s="62">
        <f>Segments!$H$283</f>
        <v>0</v>
      </c>
      <c r="I303" s="63">
        <f>Segments!$Y$283</f>
        <v>4261.1192297949792</v>
      </c>
      <c r="J303" s="42">
        <v>3</v>
      </c>
      <c r="K303" s="40">
        <f t="shared" si="156"/>
        <v>1426.2297754450396</v>
      </c>
      <c r="L303" s="40">
        <f t="shared" si="157"/>
        <v>4261.1192297949792</v>
      </c>
      <c r="M303" s="40">
        <f t="shared" si="158"/>
        <v>6970.5787296832132</v>
      </c>
      <c r="N303" s="40">
        <f t="shared" si="159"/>
        <v>3153.0377315151268</v>
      </c>
      <c r="O303" s="40">
        <f t="shared" si="160"/>
        <v>1782.7872193062994</v>
      </c>
      <c r="P303" s="41">
        <f t="shared" si="161"/>
        <v>0.95</v>
      </c>
      <c r="Q303" s="41">
        <f t="shared" si="162"/>
        <v>0.02</v>
      </c>
      <c r="R303" s="64">
        <f t="shared" si="163"/>
        <v>0.95</v>
      </c>
      <c r="S303" s="64">
        <f>APPLICANTS_PER_YEAR*($H303/Segments!$AH$2)*Q303</f>
        <v>0</v>
      </c>
      <c r="T303" s="64">
        <f t="shared" si="164"/>
        <v>0.95</v>
      </c>
      <c r="U303" s="40">
        <f t="shared" si="165"/>
        <v>1782.7872193062994</v>
      </c>
      <c r="V303" s="65">
        <f t="shared" si="166"/>
        <v>1693.6478583409844</v>
      </c>
      <c r="W303" s="65">
        <f t="shared" si="167"/>
        <v>4533.8308605018583</v>
      </c>
      <c r="X303" s="65">
        <f t="shared" si="168"/>
        <v>339.09944522644605</v>
      </c>
      <c r="Y303" s="40">
        <f t="shared" si="169"/>
        <v>1853.5393011726298</v>
      </c>
      <c r="Z303" s="40">
        <f t="shared" si="170"/>
        <v>4388.9528066888288</v>
      </c>
      <c r="AA303" s="40">
        <f t="shared" si="171"/>
        <v>7178.44609157371</v>
      </c>
      <c r="AB303" s="40">
        <f t="shared" si="172"/>
        <v>3247.3461416896071</v>
      </c>
      <c r="AC303" s="40">
        <f t="shared" si="173"/>
        <v>2316.9241264657871</v>
      </c>
      <c r="AD303" s="41">
        <f t="shared" si="174"/>
        <v>0.91825882961459071</v>
      </c>
      <c r="AE303" s="41">
        <f t="shared" si="175"/>
        <v>0.02</v>
      </c>
      <c r="AF303" s="64">
        <f t="shared" si="176"/>
        <v>1.7667299881784724</v>
      </c>
      <c r="AG303" s="64">
        <f>APPLICANTS_PER_YEAR*($H303/Segments!$AH$2)*AE303</f>
        <v>0</v>
      </c>
      <c r="AH303" s="64">
        <f t="shared" si="177"/>
        <v>1.7667299881784724</v>
      </c>
      <c r="AI303" s="40">
        <f t="shared" si="178"/>
        <v>2316.9241264657871</v>
      </c>
      <c r="AJ303" s="65">
        <f t="shared" si="179"/>
        <v>4093.3793345613176</v>
      </c>
      <c r="AK303" s="65">
        <f t="shared" si="180"/>
        <v>8684.5858851104949</v>
      </c>
      <c r="AL303" s="65">
        <f t="shared" si="181"/>
        <v>808.98329399565853</v>
      </c>
      <c r="AM303" s="40">
        <f t="shared" si="182"/>
        <v>2368.1291124482259</v>
      </c>
      <c r="AN303" s="40">
        <f t="shared" si="183"/>
        <v>4520.6213908894933</v>
      </c>
      <c r="AO303" s="40">
        <f t="shared" si="184"/>
        <v>7392.5494743209201</v>
      </c>
      <c r="AP303" s="40">
        <f t="shared" si="185"/>
        <v>3344.4837799112961</v>
      </c>
      <c r="AQ303" s="40">
        <f t="shared" si="186"/>
        <v>2960.1613905602826</v>
      </c>
      <c r="AR303" s="41">
        <f t="shared" si="187"/>
        <v>0.83245615985035615</v>
      </c>
      <c r="AS303" s="41">
        <f t="shared" si="188"/>
        <v>0.02</v>
      </c>
      <c r="AT303" s="64">
        <f t="shared" si="189"/>
        <v>2.2622600266292974</v>
      </c>
      <c r="AU303" s="64">
        <f>APPLICANTS_PER_YEAR*($H303/Segments!$AH$2)*AS303</f>
        <v>0</v>
      </c>
      <c r="AV303" s="64">
        <f t="shared" si="190"/>
        <v>2.2622600266292974</v>
      </c>
      <c r="AW303" s="40">
        <f t="shared" si="191"/>
        <v>2960.1613905602826</v>
      </c>
      <c r="AX303" s="65">
        <f t="shared" si="192"/>
        <v>6696.654786235923</v>
      </c>
      <c r="AY303" s="65">
        <f t="shared" si="193"/>
        <v>11454.039596310795</v>
      </c>
      <c r="AZ303" s="65">
        <f t="shared" si="194"/>
        <v>1310.9129551311753</v>
      </c>
    </row>
    <row r="304" spans="1:52" ht="15" customHeight="1" x14ac:dyDescent="0.35">
      <c r="A304" s="61" t="str">
        <f>Segments!$A$284</f>
        <v>Greek</v>
      </c>
      <c r="B304" s="61" t="str">
        <f>Segments!$B$284</f>
        <v>Off 0-1mi</v>
      </c>
      <c r="C304" s="61" t="str">
        <f>Segments!$C$284</f>
        <v>No</v>
      </c>
      <c r="D304" s="61" t="str">
        <f>Segments!$D$284</f>
        <v>3.0+</v>
      </c>
      <c r="E304" s="61" t="str">
        <f>Segments!$E$284</f>
        <v>Grad student</v>
      </c>
      <c r="F304" s="61">
        <f>Segments!$F$284</f>
        <v>3</v>
      </c>
      <c r="G304" s="61" t="str">
        <f>Segments!$G$284</f>
        <v>Grad</v>
      </c>
      <c r="H304" s="62">
        <f>Segments!$H$284</f>
        <v>1</v>
      </c>
      <c r="I304" s="63">
        <f>Segments!$Y$284</f>
        <v>5073.6312639288662</v>
      </c>
      <c r="J304" s="42">
        <v>4</v>
      </c>
      <c r="K304" s="40">
        <f t="shared" si="156"/>
        <v>1426.2297754450396</v>
      </c>
      <c r="L304" s="40">
        <f t="shared" si="157"/>
        <v>5073.6312639288662</v>
      </c>
      <c r="M304" s="40">
        <f t="shared" si="158"/>
        <v>8291.7866403398857</v>
      </c>
      <c r="N304" s="40">
        <f t="shared" si="159"/>
        <v>3438.8941533711291</v>
      </c>
      <c r="O304" s="40">
        <f t="shared" si="160"/>
        <v>1782.7872193062994</v>
      </c>
      <c r="P304" s="41">
        <f t="shared" si="161"/>
        <v>0.95</v>
      </c>
      <c r="Q304" s="41">
        <f t="shared" si="162"/>
        <v>0.02</v>
      </c>
      <c r="R304" s="64">
        <f t="shared" si="163"/>
        <v>0.47499999999999998</v>
      </c>
      <c r="S304" s="64">
        <f>APPLICANTS_PER_YEAR*($H304/Segments!$AH$2)*Q304</f>
        <v>2.4E-2</v>
      </c>
      <c r="T304" s="64">
        <f t="shared" si="164"/>
        <v>0.499</v>
      </c>
      <c r="U304" s="40">
        <f t="shared" si="165"/>
        <v>2095.8453076926844</v>
      </c>
      <c r="V304" s="65">
        <f t="shared" si="166"/>
        <v>1045.8268085386494</v>
      </c>
      <c r="W304" s="65">
        <f t="shared" si="167"/>
        <v>2835.551040784565</v>
      </c>
      <c r="X304" s="65">
        <f t="shared" si="168"/>
        <v>215.20636759169025</v>
      </c>
      <c r="Y304" s="40">
        <f t="shared" si="169"/>
        <v>2095.8453076926844</v>
      </c>
      <c r="Z304" s="40">
        <f t="shared" si="170"/>
        <v>5225.8402018467323</v>
      </c>
      <c r="AA304" s="40">
        <f t="shared" si="171"/>
        <v>8539.2902395500823</v>
      </c>
      <c r="AB304" s="40">
        <f t="shared" si="172"/>
        <v>3541.8017591104581</v>
      </c>
      <c r="AC304" s="40">
        <f t="shared" si="173"/>
        <v>2619.8066346158557</v>
      </c>
      <c r="AD304" s="41">
        <f t="shared" si="174"/>
        <v>0.90515905282148912</v>
      </c>
      <c r="AE304" s="41">
        <f t="shared" si="175"/>
        <v>0.02</v>
      </c>
      <c r="AF304" s="64">
        <f t="shared" si="176"/>
        <v>0.22583718367896152</v>
      </c>
      <c r="AG304" s="64">
        <f>APPLICANTS_PER_YEAR*($H304/Segments!$AH$2)*AE304</f>
        <v>2.4E-2</v>
      </c>
      <c r="AH304" s="64">
        <f t="shared" si="177"/>
        <v>0.24983718367896152</v>
      </c>
      <c r="AI304" s="40">
        <f t="shared" si="178"/>
        <v>3188.447396677027</v>
      </c>
      <c r="AJ304" s="65">
        <f t="shared" si="179"/>
        <v>796.59271789430511</v>
      </c>
      <c r="AK304" s="65">
        <f t="shared" si="180"/>
        <v>1462.2823021919655</v>
      </c>
      <c r="AL304" s="65">
        <f t="shared" si="181"/>
        <v>163.32577115682497</v>
      </c>
      <c r="AM304" s="40">
        <f t="shared" si="182"/>
        <v>3188.447396677027</v>
      </c>
      <c r="AN304" s="40">
        <f t="shared" si="183"/>
        <v>5382.6154079021344</v>
      </c>
      <c r="AO304" s="40">
        <f t="shared" si="184"/>
        <v>8794.2189467365861</v>
      </c>
      <c r="AP304" s="40">
        <f t="shared" si="185"/>
        <v>3647.7965743251102</v>
      </c>
      <c r="AQ304" s="40">
        <f t="shared" si="186"/>
        <v>3985.5592458462838</v>
      </c>
      <c r="AR304" s="41">
        <f t="shared" si="187"/>
        <v>0.72870319251099358</v>
      </c>
      <c r="AS304" s="41">
        <f t="shared" si="188"/>
        <v>0.02</v>
      </c>
      <c r="AT304" s="64">
        <f t="shared" si="189"/>
        <v>9.102857667740738E-2</v>
      </c>
      <c r="AU304" s="64">
        <f>APPLICANTS_PER_YEAR*($H304/Segments!$AH$2)*AS304</f>
        <v>2.4E-2</v>
      </c>
      <c r="AV304" s="64">
        <f t="shared" si="190"/>
        <v>0.11502857667740737</v>
      </c>
      <c r="AW304" s="40">
        <f t="shared" si="191"/>
        <v>4988.8563060630986</v>
      </c>
      <c r="AX304" s="65">
        <f t="shared" si="192"/>
        <v>573.86104013454644</v>
      </c>
      <c r="AY304" s="65">
        <f t="shared" si="193"/>
        <v>693.45313987360885</v>
      </c>
      <c r="AZ304" s="65">
        <f t="shared" si="194"/>
        <v>118.74745203423618</v>
      </c>
    </row>
    <row r="305" spans="1:52" ht="15" customHeight="1" x14ac:dyDescent="0.35">
      <c r="A305" s="59" t="str">
        <f>Segments!$A$285</f>
        <v>Greek</v>
      </c>
      <c r="B305" s="59" t="str">
        <f>Segments!$B$285</f>
        <v>Off 1-3mi</v>
      </c>
      <c r="C305" s="59" t="str">
        <f>Segments!$C$285</f>
        <v>Yes</v>
      </c>
      <c r="D305" s="59" t="str">
        <f>Segments!$D$285</f>
        <v>&lt;1.0</v>
      </c>
      <c r="E305" s="59" t="str">
        <f>Segments!$E$285</f>
        <v>Freshman</v>
      </c>
      <c r="F305" s="59">
        <f>Segments!$F$285</f>
        <v>1</v>
      </c>
      <c r="G305" s="59" t="str">
        <f>Segments!$G$285</f>
        <v>Base</v>
      </c>
      <c r="H305" s="60">
        <f>Segments!$H$285</f>
        <v>3</v>
      </c>
      <c r="I305" s="26">
        <f>Segments!$Y$285</f>
        <v>2753.0103553153635</v>
      </c>
      <c r="J305" s="29">
        <v>0</v>
      </c>
      <c r="K305" s="14">
        <f t="shared" si="156"/>
        <v>4518.2761281371659</v>
      </c>
      <c r="L305" s="14">
        <f t="shared" si="157"/>
        <v>2753.0103553153635</v>
      </c>
      <c r="M305" s="14">
        <f t="shared" si="158"/>
        <v>4518.2761281371659</v>
      </c>
      <c r="N305" s="14">
        <f t="shared" si="159"/>
        <v>2538.5231824097559</v>
      </c>
      <c r="O305" s="14">
        <f t="shared" si="160"/>
        <v>4518.2761281371659</v>
      </c>
      <c r="P305" s="33">
        <f t="shared" si="161"/>
        <v>0.46005813154558617</v>
      </c>
      <c r="Q305" s="33">
        <f t="shared" si="162"/>
        <v>0.02</v>
      </c>
      <c r="R305" s="51">
        <f t="shared" si="163"/>
        <v>0</v>
      </c>
      <c r="S305" s="51">
        <f>APPLICANTS_PER_YEAR*($H305/Segments!$AH$2)*Q305</f>
        <v>7.1999999999999995E-2</v>
      </c>
      <c r="T305" s="51">
        <f t="shared" si="164"/>
        <v>7.1999999999999995E-2</v>
      </c>
      <c r="U305" s="14">
        <f t="shared" si="165"/>
        <v>4518.2761281371659</v>
      </c>
      <c r="V305" s="44">
        <f t="shared" si="166"/>
        <v>325.3158812258759</v>
      </c>
      <c r="W305" s="44">
        <f t="shared" si="167"/>
        <v>222.0027550526309</v>
      </c>
      <c r="X305" s="44">
        <f t="shared" si="168"/>
        <v>76.110757394596192</v>
      </c>
      <c r="Y305" s="14">
        <f t="shared" si="169"/>
        <v>4652.5744119812816</v>
      </c>
      <c r="Z305" s="14">
        <f t="shared" si="170"/>
        <v>2835.6006659748246</v>
      </c>
      <c r="AA305" s="14">
        <f t="shared" si="171"/>
        <v>4652.5744119812816</v>
      </c>
      <c r="AB305" s="14">
        <f t="shared" si="172"/>
        <v>2614.3277077686034</v>
      </c>
      <c r="AC305" s="14">
        <f t="shared" si="173"/>
        <v>4652.5744119812816</v>
      </c>
      <c r="AD305" s="33">
        <f t="shared" si="174"/>
        <v>0.46017765711698499</v>
      </c>
      <c r="AE305" s="33">
        <f t="shared" si="175"/>
        <v>0.02</v>
      </c>
      <c r="AF305" s="51">
        <f t="shared" si="176"/>
        <v>0</v>
      </c>
      <c r="AG305" s="51">
        <f>APPLICANTS_PER_YEAR*($H305/Segments!$AH$2)*AE305</f>
        <v>7.1999999999999995E-2</v>
      </c>
      <c r="AH305" s="51">
        <f t="shared" si="177"/>
        <v>7.1999999999999995E-2</v>
      </c>
      <c r="AI305" s="14">
        <f t="shared" si="178"/>
        <v>4652.5744119812816</v>
      </c>
      <c r="AJ305" s="44">
        <f t="shared" si="179"/>
        <v>334.98535766265223</v>
      </c>
      <c r="AK305" s="44">
        <f t="shared" si="180"/>
        <v>228.66283770420986</v>
      </c>
      <c r="AL305" s="44">
        <f t="shared" si="181"/>
        <v>78.276720116434092</v>
      </c>
      <c r="AM305" s="14">
        <f t="shared" si="182"/>
        <v>4790.901644340719</v>
      </c>
      <c r="AN305" s="14">
        <f t="shared" si="183"/>
        <v>2920.6686859540691</v>
      </c>
      <c r="AO305" s="14">
        <f t="shared" si="184"/>
        <v>4790.901644340719</v>
      </c>
      <c r="AP305" s="14">
        <f t="shared" si="185"/>
        <v>2692.406322398112</v>
      </c>
      <c r="AQ305" s="14">
        <f t="shared" si="186"/>
        <v>4790.901644340719</v>
      </c>
      <c r="AR305" s="33">
        <f t="shared" si="187"/>
        <v>0.46029371672372832</v>
      </c>
      <c r="AS305" s="33">
        <f t="shared" si="188"/>
        <v>0.02</v>
      </c>
      <c r="AT305" s="51">
        <f t="shared" si="189"/>
        <v>0</v>
      </c>
      <c r="AU305" s="51">
        <f>APPLICANTS_PER_YEAR*($H305/Segments!$AH$2)*AS305</f>
        <v>7.1999999999999995E-2</v>
      </c>
      <c r="AV305" s="51">
        <f t="shared" si="190"/>
        <v>7.1999999999999995E-2</v>
      </c>
      <c r="AW305" s="14">
        <f t="shared" si="191"/>
        <v>4790.901644340719</v>
      </c>
      <c r="AX305" s="44">
        <f t="shared" si="192"/>
        <v>344.94491839253175</v>
      </c>
      <c r="AY305" s="44">
        <f t="shared" si="193"/>
        <v>235.52272283533614</v>
      </c>
      <c r="AZ305" s="44">
        <f t="shared" si="194"/>
        <v>80.507661719927114</v>
      </c>
    </row>
    <row r="306" spans="1:52" ht="15" customHeight="1" x14ac:dyDescent="0.35">
      <c r="A306" s="59" t="str">
        <f>Segments!$A$286</f>
        <v>Greek</v>
      </c>
      <c r="B306" s="59" t="str">
        <f>Segments!$B$286</f>
        <v>Off 1-3mi</v>
      </c>
      <c r="C306" s="59" t="str">
        <f>Segments!$C$286</f>
        <v>Yes</v>
      </c>
      <c r="D306" s="59" t="str">
        <f>Segments!$D$286</f>
        <v>&lt;1.0</v>
      </c>
      <c r="E306" s="59" t="str">
        <f>Segments!$E$286</f>
        <v>Sophomore</v>
      </c>
      <c r="F306" s="59">
        <f>Segments!$F$286</f>
        <v>1</v>
      </c>
      <c r="G306" s="59" t="str">
        <f>Segments!$G$286</f>
        <v>Sophomore</v>
      </c>
      <c r="H306" s="60">
        <f>Segments!$H$286</f>
        <v>6</v>
      </c>
      <c r="I306" s="26">
        <f>Segments!$Y$286</f>
        <v>2725.0018964460928</v>
      </c>
      <c r="J306" s="29">
        <v>1</v>
      </c>
      <c r="K306" s="14">
        <f t="shared" si="156"/>
        <v>1426.2297754450396</v>
      </c>
      <c r="L306" s="14">
        <f t="shared" si="157"/>
        <v>2725.0018964460928</v>
      </c>
      <c r="M306" s="14">
        <f t="shared" si="158"/>
        <v>4472.732190486041</v>
      </c>
      <c r="N306" s="14">
        <f t="shared" si="159"/>
        <v>2525.6967014395664</v>
      </c>
      <c r="O306" s="14">
        <f t="shared" si="160"/>
        <v>1782.7872193062994</v>
      </c>
      <c r="P306" s="33">
        <f t="shared" si="161"/>
        <v>0.92207020872890877</v>
      </c>
      <c r="Q306" s="33">
        <f t="shared" si="162"/>
        <v>0.02</v>
      </c>
      <c r="R306" s="51">
        <f t="shared" si="163"/>
        <v>2.7662106261867265</v>
      </c>
      <c r="S306" s="51">
        <f>APPLICANTS_PER_YEAR*($H306/Segments!$AH$2)*Q306</f>
        <v>0.14399999999999999</v>
      </c>
      <c r="T306" s="51">
        <f t="shared" si="164"/>
        <v>2.9102106261867267</v>
      </c>
      <c r="U306" s="14">
        <f t="shared" si="165"/>
        <v>1915.8882644211794</v>
      </c>
      <c r="V306" s="44">
        <f t="shared" si="166"/>
        <v>5575.6383857049614</v>
      </c>
      <c r="W306" s="44">
        <f t="shared" si="167"/>
        <v>8881.9690124663703</v>
      </c>
      <c r="X306" s="44">
        <f t="shared" si="168"/>
        <v>1138.1424376620216</v>
      </c>
      <c r="Y306" s="14">
        <f t="shared" si="169"/>
        <v>4518.2761281371659</v>
      </c>
      <c r="Z306" s="14">
        <f t="shared" si="170"/>
        <v>2806.7519533394757</v>
      </c>
      <c r="AA306" s="14">
        <f t="shared" si="171"/>
        <v>4605.6641562006225</v>
      </c>
      <c r="AB306" s="14">
        <f t="shared" si="172"/>
        <v>2601.1146487480091</v>
      </c>
      <c r="AC306" s="14">
        <f t="shared" si="173"/>
        <v>4605.6641562006225</v>
      </c>
      <c r="AD306" s="33">
        <f t="shared" si="174"/>
        <v>0.4588725999501575</v>
      </c>
      <c r="AE306" s="33">
        <f t="shared" si="175"/>
        <v>0.02</v>
      </c>
      <c r="AF306" s="51">
        <f t="shared" si="176"/>
        <v>3.3038827196411338E-2</v>
      </c>
      <c r="AG306" s="51">
        <f>APPLICANTS_PER_YEAR*($H306/Segments!$AH$2)*AE306</f>
        <v>0.14399999999999999</v>
      </c>
      <c r="AH306" s="51">
        <f t="shared" si="177"/>
        <v>0.17703882719641134</v>
      </c>
      <c r="AI306" s="14">
        <f t="shared" si="178"/>
        <v>4605.6641562006225</v>
      </c>
      <c r="AJ306" s="44">
        <f t="shared" si="179"/>
        <v>815.38138067430759</v>
      </c>
      <c r="AK306" s="44">
        <f t="shared" si="180"/>
        <v>556.53256293651236</v>
      </c>
      <c r="AL306" s="44">
        <f t="shared" si="181"/>
        <v>184.4604048386235</v>
      </c>
      <c r="AM306" s="14">
        <f t="shared" si="182"/>
        <v>4652.5744119812816</v>
      </c>
      <c r="AN306" s="14">
        <f t="shared" si="183"/>
        <v>2890.9545119396598</v>
      </c>
      <c r="AO306" s="14">
        <f t="shared" si="184"/>
        <v>4742.5840808866405</v>
      </c>
      <c r="AP306" s="14">
        <f t="shared" si="185"/>
        <v>2678.7950872735196</v>
      </c>
      <c r="AQ306" s="14">
        <f t="shared" si="186"/>
        <v>4742.5840808866405</v>
      </c>
      <c r="AR306" s="33">
        <f t="shared" si="187"/>
        <v>0.45898769029438763</v>
      </c>
      <c r="AS306" s="33">
        <f t="shared" si="188"/>
        <v>0.02</v>
      </c>
      <c r="AT306" s="51">
        <f t="shared" si="189"/>
        <v>3.304711370119591E-2</v>
      </c>
      <c r="AU306" s="51">
        <f>APPLICANTS_PER_YEAR*($H306/Segments!$AH$2)*AS306</f>
        <v>0.14399999999999999</v>
      </c>
      <c r="AV306" s="51">
        <f t="shared" si="190"/>
        <v>0.17704711370119591</v>
      </c>
      <c r="AW306" s="14">
        <f t="shared" si="191"/>
        <v>4742.5840808866396</v>
      </c>
      <c r="AX306" s="44">
        <f t="shared" si="192"/>
        <v>839.66082300621861</v>
      </c>
      <c r="AY306" s="44">
        <f t="shared" si="193"/>
        <v>573.2553704420103</v>
      </c>
      <c r="AZ306" s="44">
        <f t="shared" si="194"/>
        <v>189.73946158986789</v>
      </c>
    </row>
    <row r="307" spans="1:52" ht="15" customHeight="1" x14ac:dyDescent="0.35">
      <c r="A307" s="59" t="str">
        <f>Segments!$A$287</f>
        <v>Greek</v>
      </c>
      <c r="B307" s="59" t="str">
        <f>Segments!$B$287</f>
        <v>Off 1-3mi</v>
      </c>
      <c r="C307" s="59" t="str">
        <f>Segments!$C$287</f>
        <v>Yes</v>
      </c>
      <c r="D307" s="59" t="str">
        <f>Segments!$D$287</f>
        <v>&lt;1.0</v>
      </c>
      <c r="E307" s="59" t="str">
        <f>Segments!$E$287</f>
        <v>Junior</v>
      </c>
      <c r="F307" s="59">
        <f>Segments!$F$287</f>
        <v>2</v>
      </c>
      <c r="G307" s="59" t="str">
        <f>Segments!$G$287</f>
        <v>Base</v>
      </c>
      <c r="H307" s="60">
        <f>Segments!$H$287</f>
        <v>3</v>
      </c>
      <c r="I307" s="26">
        <f>Segments!$Y$287</f>
        <v>3257.5370921735494</v>
      </c>
      <c r="J307" s="29">
        <v>2</v>
      </c>
      <c r="K307" s="14">
        <f t="shared" si="156"/>
        <v>1426.2297754450396</v>
      </c>
      <c r="L307" s="14">
        <f t="shared" si="157"/>
        <v>3257.5370921735494</v>
      </c>
      <c r="M307" s="14">
        <f t="shared" si="158"/>
        <v>5338.6759349971253</v>
      </c>
      <c r="N307" s="14">
        <f t="shared" si="159"/>
        <v>2759.3801079127875</v>
      </c>
      <c r="O307" s="14">
        <f t="shared" si="160"/>
        <v>1782.7872193062994</v>
      </c>
      <c r="P307" s="33">
        <f t="shared" si="161"/>
        <v>0.95</v>
      </c>
      <c r="Q307" s="33">
        <f t="shared" si="162"/>
        <v>0.02</v>
      </c>
      <c r="R307" s="51">
        <f t="shared" si="163"/>
        <v>5.6999999999999993</v>
      </c>
      <c r="S307" s="51">
        <f>APPLICANTS_PER_YEAR*($H307/Segments!$AH$2)*Q307</f>
        <v>7.1999999999999995E-2</v>
      </c>
      <c r="T307" s="51">
        <f t="shared" si="164"/>
        <v>5.7719999999999994</v>
      </c>
      <c r="U307" s="14">
        <f t="shared" si="165"/>
        <v>1827.1434195020272</v>
      </c>
      <c r="V307" s="44">
        <f t="shared" si="166"/>
        <v>10546.271817365699</v>
      </c>
      <c r="W307" s="44">
        <f t="shared" si="167"/>
        <v>21058.804587548813</v>
      </c>
      <c r="X307" s="44">
        <f t="shared" si="168"/>
        <v>2123.9388368383102</v>
      </c>
      <c r="Y307" s="14">
        <f t="shared" si="169"/>
        <v>1915.8882644211794</v>
      </c>
      <c r="Z307" s="14">
        <f t="shared" si="170"/>
        <v>3355.2632049387557</v>
      </c>
      <c r="AA307" s="14">
        <f t="shared" si="171"/>
        <v>5497.5862130470387</v>
      </c>
      <c r="AB307" s="14">
        <f t="shared" si="172"/>
        <v>2841.8384515358252</v>
      </c>
      <c r="AC307" s="14">
        <f t="shared" si="173"/>
        <v>2394.8603305264742</v>
      </c>
      <c r="AD307" s="33">
        <f t="shared" si="174"/>
        <v>0.85364242261339474</v>
      </c>
      <c r="AE307" s="33">
        <f t="shared" si="175"/>
        <v>0.02</v>
      </c>
      <c r="AF307" s="51">
        <f t="shared" si="176"/>
        <v>2.4842792492532819</v>
      </c>
      <c r="AG307" s="51">
        <f>APPLICANTS_PER_YEAR*($H307/Segments!$AH$2)*AE307</f>
        <v>7.1999999999999995E-2</v>
      </c>
      <c r="AH307" s="51">
        <f t="shared" si="177"/>
        <v>2.556279249253282</v>
      </c>
      <c r="AI307" s="14">
        <f t="shared" si="178"/>
        <v>2482.2515119111908</v>
      </c>
      <c r="AJ307" s="44">
        <f t="shared" si="179"/>
        <v>6345.328031326163</v>
      </c>
      <c r="AK307" s="44">
        <f t="shared" si="180"/>
        <v>9606.2284713561639</v>
      </c>
      <c r="AL307" s="44">
        <f t="shared" si="181"/>
        <v>1266.0465001625889</v>
      </c>
      <c r="AM307" s="14">
        <f t="shared" si="182"/>
        <v>4605.6641562006225</v>
      </c>
      <c r="AN307" s="14">
        <f t="shared" si="183"/>
        <v>3455.9211010869185</v>
      </c>
      <c r="AO307" s="14">
        <f t="shared" si="184"/>
        <v>5661.2637994384504</v>
      </c>
      <c r="AP307" s="14">
        <f t="shared" si="185"/>
        <v>2926.7705092730439</v>
      </c>
      <c r="AQ307" s="14">
        <f t="shared" si="186"/>
        <v>5661.2637994384504</v>
      </c>
      <c r="AR307" s="33">
        <f t="shared" si="187"/>
        <v>0.31408922805868145</v>
      </c>
      <c r="AS307" s="33">
        <f t="shared" si="188"/>
        <v>0.02</v>
      </c>
      <c r="AT307" s="51">
        <f t="shared" si="189"/>
        <v>5.5605988570535135E-2</v>
      </c>
      <c r="AU307" s="51">
        <f>APPLICANTS_PER_YEAR*($H307/Segments!$AH$2)*AS307</f>
        <v>7.1999999999999995E-2</v>
      </c>
      <c r="AV307" s="51">
        <f t="shared" si="190"/>
        <v>0.12760598857053512</v>
      </c>
      <c r="AW307" s="14">
        <f t="shared" si="191"/>
        <v>5661.2637994384513</v>
      </c>
      <c r="AX307" s="44">
        <f t="shared" si="192"/>
        <v>722.41116368592725</v>
      </c>
      <c r="AY307" s="44">
        <f t="shared" si="193"/>
        <v>493.91577594908478</v>
      </c>
      <c r="AZ307" s="44">
        <f t="shared" si="194"/>
        <v>155.15421448263587</v>
      </c>
    </row>
    <row r="308" spans="1:52" ht="15" customHeight="1" x14ac:dyDescent="0.35">
      <c r="A308" s="59" t="str">
        <f>Segments!$A$288</f>
        <v>Greek</v>
      </c>
      <c r="B308" s="59" t="str">
        <f>Segments!$B$288</f>
        <v>Off 1-3mi</v>
      </c>
      <c r="C308" s="59" t="str">
        <f>Segments!$C$288</f>
        <v>Yes</v>
      </c>
      <c r="D308" s="59" t="str">
        <f>Segments!$D$288</f>
        <v>&lt;1.0</v>
      </c>
      <c r="E308" s="59" t="str">
        <f>Segments!$E$288</f>
        <v>Senior</v>
      </c>
      <c r="F308" s="59">
        <f>Segments!$F$288</f>
        <v>3</v>
      </c>
      <c r="G308" s="59" t="str">
        <f>Segments!$G$288</f>
        <v>Base</v>
      </c>
      <c r="H308" s="60">
        <f>Segments!$H$288</f>
        <v>1</v>
      </c>
      <c r="I308" s="26">
        <f>Segments!$Y$288</f>
        <v>3044.7790589764113</v>
      </c>
      <c r="J308" s="29">
        <v>3</v>
      </c>
      <c r="K308" s="14">
        <f t="shared" si="156"/>
        <v>1426.2297754450396</v>
      </c>
      <c r="L308" s="14">
        <f t="shared" si="157"/>
        <v>3044.7790589764113</v>
      </c>
      <c r="M308" s="14">
        <f t="shared" si="158"/>
        <v>4992.7147864764693</v>
      </c>
      <c r="N308" s="14">
        <f t="shared" si="159"/>
        <v>2668.4749368838866</v>
      </c>
      <c r="O308" s="14">
        <f t="shared" si="160"/>
        <v>1782.7872193062994</v>
      </c>
      <c r="P308" s="33">
        <f t="shared" si="161"/>
        <v>0.94095391347610891</v>
      </c>
      <c r="Q308" s="33">
        <f t="shared" si="162"/>
        <v>0.02</v>
      </c>
      <c r="R308" s="51">
        <f t="shared" si="163"/>
        <v>2.8228617404283267</v>
      </c>
      <c r="S308" s="51">
        <f>APPLICANTS_PER_YEAR*($H308/Segments!$AH$2)*Q308</f>
        <v>2.4E-2</v>
      </c>
      <c r="T308" s="51">
        <f t="shared" si="164"/>
        <v>2.8468617404283267</v>
      </c>
      <c r="U308" s="14">
        <f t="shared" si="165"/>
        <v>1809.8479860861057</v>
      </c>
      <c r="V308" s="44">
        <f t="shared" si="166"/>
        <v>5152.3869875797927</v>
      </c>
      <c r="W308" s="44">
        <f t="shared" si="167"/>
        <v>9708.2328123841871</v>
      </c>
      <c r="X308" s="44">
        <f t="shared" si="168"/>
        <v>1035.5322558817875</v>
      </c>
      <c r="Y308" s="14">
        <f t="shared" si="169"/>
        <v>1827.1434195020272</v>
      </c>
      <c r="Z308" s="14">
        <f t="shared" si="170"/>
        <v>3136.1224307457037</v>
      </c>
      <c r="AA308" s="14">
        <f t="shared" si="171"/>
        <v>5141.246230070763</v>
      </c>
      <c r="AB308" s="14">
        <f t="shared" si="172"/>
        <v>2748.1951186020478</v>
      </c>
      <c r="AC308" s="14">
        <f t="shared" si="173"/>
        <v>2283.9292743775341</v>
      </c>
      <c r="AD308" s="33">
        <f t="shared" si="174"/>
        <v>0.85946740937024091</v>
      </c>
      <c r="AE308" s="33">
        <f t="shared" si="175"/>
        <v>0.02</v>
      </c>
      <c r="AF308" s="51">
        <f t="shared" si="176"/>
        <v>4.9608458868850303</v>
      </c>
      <c r="AG308" s="51">
        <f>APPLICANTS_PER_YEAR*($H308/Segments!$AH$2)*AE308</f>
        <v>2.4E-2</v>
      </c>
      <c r="AH308" s="51">
        <f t="shared" si="177"/>
        <v>4.9848458868850303</v>
      </c>
      <c r="AI308" s="14">
        <f t="shared" si="178"/>
        <v>2297.6860902335784</v>
      </c>
      <c r="AJ308" s="44">
        <f t="shared" si="179"/>
        <v>11453.6110562538</v>
      </c>
      <c r="AK308" s="44">
        <f t="shared" si="180"/>
        <v>17509.057439631077</v>
      </c>
      <c r="AL308" s="44">
        <f t="shared" si="181"/>
        <v>2269.3480542029279</v>
      </c>
      <c r="AM308" s="14">
        <f t="shared" si="182"/>
        <v>2482.2515119111908</v>
      </c>
      <c r="AN308" s="14">
        <f t="shared" si="183"/>
        <v>3230.2061036680748</v>
      </c>
      <c r="AO308" s="14">
        <f t="shared" si="184"/>
        <v>5294.233616972886</v>
      </c>
      <c r="AP308" s="14">
        <f t="shared" si="185"/>
        <v>2830.3068657498197</v>
      </c>
      <c r="AQ308" s="14">
        <f t="shared" si="186"/>
        <v>3102.8143898889884</v>
      </c>
      <c r="AR308" s="33">
        <f t="shared" si="187"/>
        <v>0.72685901439931422</v>
      </c>
      <c r="AS308" s="33">
        <f t="shared" si="188"/>
        <v>0.02</v>
      </c>
      <c r="AT308" s="51">
        <f t="shared" si="189"/>
        <v>1.8580546156416595</v>
      </c>
      <c r="AU308" s="51">
        <f>APPLICANTS_PER_YEAR*($H308/Segments!$AH$2)*AS308</f>
        <v>2.4E-2</v>
      </c>
      <c r="AV308" s="51">
        <f t="shared" si="190"/>
        <v>1.8820546156416595</v>
      </c>
      <c r="AW308" s="14">
        <f t="shared" si="191"/>
        <v>3130.7594139137468</v>
      </c>
      <c r="AX308" s="44">
        <f t="shared" si="192"/>
        <v>5892.2602054199442</v>
      </c>
      <c r="AY308" s="44">
        <f t="shared" si="193"/>
        <v>6808.9552237082444</v>
      </c>
      <c r="AZ308" s="44">
        <f t="shared" si="194"/>
        <v>1156.3254273754599</v>
      </c>
    </row>
    <row r="309" spans="1:52" ht="15" customHeight="1" x14ac:dyDescent="0.35">
      <c r="A309" s="59" t="str">
        <f>Segments!$A$289</f>
        <v>Greek</v>
      </c>
      <c r="B309" s="59" t="str">
        <f>Segments!$B$289</f>
        <v>Off 1-3mi</v>
      </c>
      <c r="C309" s="59" t="str">
        <f>Segments!$C$289</f>
        <v>Yes</v>
      </c>
      <c r="D309" s="59" t="str">
        <f>Segments!$D$289</f>
        <v>&lt;1.0</v>
      </c>
      <c r="E309" s="59" t="str">
        <f>Segments!$E$289</f>
        <v>Grad student</v>
      </c>
      <c r="F309" s="59">
        <f>Segments!$F$289</f>
        <v>3</v>
      </c>
      <c r="G309" s="59" t="str">
        <f>Segments!$G$289</f>
        <v>Grad</v>
      </c>
      <c r="H309" s="60">
        <f>Segments!$H$289</f>
        <v>0</v>
      </c>
      <c r="I309" s="26">
        <f>Segments!$Y$289</f>
        <v>3625.3588299902863</v>
      </c>
      <c r="J309" s="29">
        <v>4</v>
      </c>
      <c r="K309" s="14">
        <f t="shared" si="156"/>
        <v>1426.2297754450396</v>
      </c>
      <c r="L309" s="14">
        <f t="shared" si="157"/>
        <v>3625.3588299902863</v>
      </c>
      <c r="M309" s="14">
        <f t="shared" si="158"/>
        <v>5936.7827559416128</v>
      </c>
      <c r="N309" s="14">
        <f t="shared" si="159"/>
        <v>2909.8481638863204</v>
      </c>
      <c r="O309" s="14">
        <f t="shared" si="160"/>
        <v>1782.7872193062994</v>
      </c>
      <c r="P309" s="33">
        <f t="shared" si="161"/>
        <v>0.95</v>
      </c>
      <c r="Q309" s="33">
        <f t="shared" si="162"/>
        <v>0.02</v>
      </c>
      <c r="R309" s="51">
        <f t="shared" si="163"/>
        <v>0</v>
      </c>
      <c r="S309" s="51">
        <f>APPLICANTS_PER_YEAR*($H309/Segments!$AH$2)*Q309</f>
        <v>0</v>
      </c>
      <c r="T309" s="51">
        <f t="shared" si="164"/>
        <v>0</v>
      </c>
      <c r="U309" s="14">
        <f t="shared" si="165"/>
        <v>5936.7827559416128</v>
      </c>
      <c r="V309" s="44">
        <f t="shared" si="166"/>
        <v>0</v>
      </c>
      <c r="W309" s="44">
        <f t="shared" si="167"/>
        <v>0</v>
      </c>
      <c r="X309" s="44">
        <f t="shared" si="168"/>
        <v>0</v>
      </c>
      <c r="Y309" s="14">
        <f t="shared" si="169"/>
        <v>5936.7827559416128</v>
      </c>
      <c r="Z309" s="14">
        <f t="shared" si="170"/>
        <v>3734.1195948899949</v>
      </c>
      <c r="AA309" s="14">
        <f t="shared" si="171"/>
        <v>6113.6362386198607</v>
      </c>
      <c r="AB309" s="14">
        <f t="shared" si="172"/>
        <v>2996.837256334125</v>
      </c>
      <c r="AC309" s="14">
        <f t="shared" si="173"/>
        <v>6113.6362386198607</v>
      </c>
      <c r="AD309" s="33">
        <f t="shared" si="174"/>
        <v>0.32104844405528293</v>
      </c>
      <c r="AE309" s="33">
        <f t="shared" si="175"/>
        <v>0.02</v>
      </c>
      <c r="AF309" s="51">
        <f t="shared" si="176"/>
        <v>0</v>
      </c>
      <c r="AG309" s="51">
        <f>APPLICANTS_PER_YEAR*($H309/Segments!$AH$2)*AE309</f>
        <v>0</v>
      </c>
      <c r="AH309" s="51">
        <f t="shared" si="177"/>
        <v>0</v>
      </c>
      <c r="AI309" s="14">
        <f t="shared" si="178"/>
        <v>6113.6362386198607</v>
      </c>
      <c r="AJ309" s="44">
        <f t="shared" si="179"/>
        <v>0</v>
      </c>
      <c r="AK309" s="44">
        <f t="shared" si="180"/>
        <v>0</v>
      </c>
      <c r="AL309" s="44">
        <f t="shared" si="181"/>
        <v>0</v>
      </c>
      <c r="AM309" s="14">
        <f t="shared" si="182"/>
        <v>6113.6362386198607</v>
      </c>
      <c r="AN309" s="14">
        <f t="shared" si="183"/>
        <v>3846.1431827366946</v>
      </c>
      <c r="AO309" s="14">
        <f t="shared" si="184"/>
        <v>6295.7953257784566</v>
      </c>
      <c r="AP309" s="14">
        <f t="shared" si="185"/>
        <v>3086.4359906914115</v>
      </c>
      <c r="AQ309" s="14">
        <f t="shared" si="186"/>
        <v>6295.7953257784566</v>
      </c>
      <c r="AR309" s="33">
        <f t="shared" si="187"/>
        <v>0.32114786126360872</v>
      </c>
      <c r="AS309" s="33">
        <f t="shared" si="188"/>
        <v>0.02</v>
      </c>
      <c r="AT309" s="51">
        <f t="shared" si="189"/>
        <v>0</v>
      </c>
      <c r="AU309" s="51">
        <f>APPLICANTS_PER_YEAR*($H309/Segments!$AH$2)*AS309</f>
        <v>0</v>
      </c>
      <c r="AV309" s="51">
        <f t="shared" si="190"/>
        <v>0</v>
      </c>
      <c r="AW309" s="14">
        <f t="shared" si="191"/>
        <v>6295.7953257784566</v>
      </c>
      <c r="AX309" s="44">
        <f t="shared" si="192"/>
        <v>0</v>
      </c>
      <c r="AY309" s="44">
        <f t="shared" si="193"/>
        <v>0</v>
      </c>
      <c r="AZ309" s="44">
        <f t="shared" si="194"/>
        <v>0</v>
      </c>
    </row>
    <row r="310" spans="1:52" ht="15" customHeight="1" x14ac:dyDescent="0.35">
      <c r="A310" s="61" t="str">
        <f>Segments!$A$290</f>
        <v>Greek</v>
      </c>
      <c r="B310" s="61" t="str">
        <f>Segments!$B$290</f>
        <v>Off 1-3mi</v>
      </c>
      <c r="C310" s="61" t="str">
        <f>Segments!$C$290</f>
        <v>Yes</v>
      </c>
      <c r="D310" s="61" t="str">
        <f>Segments!$D$290</f>
        <v>1.0-2.0</v>
      </c>
      <c r="E310" s="61" t="str">
        <f>Segments!$E$290</f>
        <v>Freshman</v>
      </c>
      <c r="F310" s="61">
        <f>Segments!$F$290</f>
        <v>1</v>
      </c>
      <c r="G310" s="61" t="str">
        <f>Segments!$G$290</f>
        <v>Base</v>
      </c>
      <c r="H310" s="62">
        <f>Segments!$H$290</f>
        <v>7</v>
      </c>
      <c r="I310" s="63">
        <f>Segments!$Y$290</f>
        <v>2498.139637132188</v>
      </c>
      <c r="J310" s="42">
        <v>0</v>
      </c>
      <c r="K310" s="40">
        <f t="shared" si="156"/>
        <v>4103.8364707389701</v>
      </c>
      <c r="L310" s="40">
        <f t="shared" si="157"/>
        <v>2498.139637132188</v>
      </c>
      <c r="M310" s="40">
        <f t="shared" si="158"/>
        <v>4103.8364707389701</v>
      </c>
      <c r="N310" s="40">
        <f t="shared" si="159"/>
        <v>2419.3002641518488</v>
      </c>
      <c r="O310" s="40">
        <f t="shared" si="160"/>
        <v>4103.8364707389701</v>
      </c>
      <c r="P310" s="41">
        <f t="shared" si="161"/>
        <v>0.50185466402251622</v>
      </c>
      <c r="Q310" s="41">
        <f t="shared" si="162"/>
        <v>0.02</v>
      </c>
      <c r="R310" s="64">
        <f t="shared" si="163"/>
        <v>0</v>
      </c>
      <c r="S310" s="64">
        <f>APPLICANTS_PER_YEAR*($H310/Segments!$AH$2)*Q310</f>
        <v>0.16800000000000001</v>
      </c>
      <c r="T310" s="64">
        <f t="shared" si="164"/>
        <v>0.16800000000000001</v>
      </c>
      <c r="U310" s="40">
        <f t="shared" si="165"/>
        <v>4103.8364707389701</v>
      </c>
      <c r="V310" s="65">
        <f t="shared" si="166"/>
        <v>689.44452708414701</v>
      </c>
      <c r="W310" s="65">
        <f t="shared" si="167"/>
        <v>470.0499541227926</v>
      </c>
      <c r="X310" s="65">
        <f t="shared" si="168"/>
        <v>161.99557406684895</v>
      </c>
      <c r="Y310" s="40">
        <f t="shared" si="169"/>
        <v>4225.7015648611396</v>
      </c>
      <c r="Z310" s="40">
        <f t="shared" si="170"/>
        <v>2573.0838262461539</v>
      </c>
      <c r="AA310" s="40">
        <f t="shared" si="171"/>
        <v>4225.7015648611396</v>
      </c>
      <c r="AB310" s="40">
        <f t="shared" si="172"/>
        <v>2491.5107938293472</v>
      </c>
      <c r="AC310" s="40">
        <f t="shared" si="173"/>
        <v>4225.7015648611396</v>
      </c>
      <c r="AD310" s="41">
        <f t="shared" si="174"/>
        <v>0.50198008065491573</v>
      </c>
      <c r="AE310" s="41">
        <f t="shared" si="175"/>
        <v>0.02</v>
      </c>
      <c r="AF310" s="64">
        <f t="shared" si="176"/>
        <v>0</v>
      </c>
      <c r="AG310" s="64">
        <f>APPLICANTS_PER_YEAR*($H310/Segments!$AH$2)*AE310</f>
        <v>0.16800000000000001</v>
      </c>
      <c r="AH310" s="64">
        <f t="shared" si="177"/>
        <v>0.16800000000000001</v>
      </c>
      <c r="AI310" s="40">
        <f t="shared" si="178"/>
        <v>4225.7015648611396</v>
      </c>
      <c r="AJ310" s="65">
        <f t="shared" si="179"/>
        <v>709.91786289667152</v>
      </c>
      <c r="AK310" s="65">
        <f t="shared" si="180"/>
        <v>484.15145274647637</v>
      </c>
      <c r="AL310" s="65">
        <f t="shared" si="181"/>
        <v>166.58160128885442</v>
      </c>
      <c r="AM310" s="40">
        <f t="shared" si="182"/>
        <v>4351.2226118069739</v>
      </c>
      <c r="AN310" s="40">
        <f t="shared" si="183"/>
        <v>2650.2763410335383</v>
      </c>
      <c r="AO310" s="40">
        <f t="shared" si="184"/>
        <v>4351.2226118069739</v>
      </c>
      <c r="AP310" s="40">
        <f t="shared" si="185"/>
        <v>2565.8875856875461</v>
      </c>
      <c r="AQ310" s="40">
        <f t="shared" si="186"/>
        <v>4351.2226118069739</v>
      </c>
      <c r="AR310" s="41">
        <f t="shared" si="187"/>
        <v>0.50210186212405017</v>
      </c>
      <c r="AS310" s="41">
        <f t="shared" si="188"/>
        <v>0.02</v>
      </c>
      <c r="AT310" s="64">
        <f t="shared" si="189"/>
        <v>0</v>
      </c>
      <c r="AU310" s="64">
        <f>APPLICANTS_PER_YEAR*($H310/Segments!$AH$2)*AS310</f>
        <v>0.16800000000000001</v>
      </c>
      <c r="AV310" s="64">
        <f t="shared" si="190"/>
        <v>0.16800000000000001</v>
      </c>
      <c r="AW310" s="40">
        <f t="shared" si="191"/>
        <v>4351.2226118069739</v>
      </c>
      <c r="AX310" s="65">
        <f t="shared" si="192"/>
        <v>731.00539878357165</v>
      </c>
      <c r="AY310" s="65">
        <f t="shared" si="193"/>
        <v>498.67599632887061</v>
      </c>
      <c r="AZ310" s="65">
        <f t="shared" si="194"/>
        <v>171.30520932752006</v>
      </c>
    </row>
    <row r="311" spans="1:52" ht="15" customHeight="1" x14ac:dyDescent="0.35">
      <c r="A311" s="61" t="str">
        <f>Segments!$A$291</f>
        <v>Greek</v>
      </c>
      <c r="B311" s="61" t="str">
        <f>Segments!$B$291</f>
        <v>Off 1-3mi</v>
      </c>
      <c r="C311" s="61" t="str">
        <f>Segments!$C$291</f>
        <v>Yes</v>
      </c>
      <c r="D311" s="61" t="str">
        <f>Segments!$D$291</f>
        <v>1.0-2.0</v>
      </c>
      <c r="E311" s="61" t="str">
        <f>Segments!$E$291</f>
        <v>Sophomore</v>
      </c>
      <c r="F311" s="61">
        <f>Segments!$F$291</f>
        <v>1</v>
      </c>
      <c r="G311" s="61" t="str">
        <f>Segments!$G$291</f>
        <v>Sophomore</v>
      </c>
      <c r="H311" s="62">
        <f>Segments!$H$291</f>
        <v>10</v>
      </c>
      <c r="I311" s="63">
        <f>Segments!$Y$291</f>
        <v>2472.7241710620297</v>
      </c>
      <c r="J311" s="42">
        <v>1</v>
      </c>
      <c r="K311" s="40">
        <f t="shared" si="156"/>
        <v>1426.2297754450396</v>
      </c>
      <c r="L311" s="40">
        <f t="shared" si="157"/>
        <v>2472.7241710620297</v>
      </c>
      <c r="M311" s="40">
        <f t="shared" si="158"/>
        <v>4062.5089415280163</v>
      </c>
      <c r="N311" s="40">
        <f t="shared" si="159"/>
        <v>2407.0877041393751</v>
      </c>
      <c r="O311" s="40">
        <f t="shared" si="160"/>
        <v>1782.7872193062994</v>
      </c>
      <c r="P311" s="41">
        <f t="shared" si="161"/>
        <v>0.9046796298197799</v>
      </c>
      <c r="Q311" s="41">
        <f t="shared" si="162"/>
        <v>0.02</v>
      </c>
      <c r="R311" s="64">
        <f t="shared" si="163"/>
        <v>6.332757408738459</v>
      </c>
      <c r="S311" s="64">
        <f>APPLICANTS_PER_YEAR*($H311/Segments!$AH$2)*Q311</f>
        <v>0.24</v>
      </c>
      <c r="T311" s="64">
        <f t="shared" si="164"/>
        <v>6.5727574087384593</v>
      </c>
      <c r="U311" s="40">
        <f t="shared" si="165"/>
        <v>1866.0297884913116</v>
      </c>
      <c r="V311" s="65">
        <f t="shared" si="166"/>
        <v>12264.961117232928</v>
      </c>
      <c r="W311" s="65">
        <f t="shared" si="167"/>
        <v>18202.930048928378</v>
      </c>
      <c r="X311" s="65">
        <f t="shared" si="168"/>
        <v>2489.6578744406279</v>
      </c>
      <c r="Y311" s="40">
        <f t="shared" si="169"/>
        <v>4103.8364707389701</v>
      </c>
      <c r="Z311" s="40">
        <f t="shared" si="170"/>
        <v>2546.9058961938904</v>
      </c>
      <c r="AA311" s="40">
        <f t="shared" si="171"/>
        <v>4183.134209773857</v>
      </c>
      <c r="AB311" s="40">
        <f t="shared" si="172"/>
        <v>2478.9299872328174</v>
      </c>
      <c r="AC311" s="40">
        <f t="shared" si="173"/>
        <v>4183.134209773857</v>
      </c>
      <c r="AD311" s="41">
        <f t="shared" si="174"/>
        <v>0.50046528164266835</v>
      </c>
      <c r="AE311" s="41">
        <f t="shared" si="175"/>
        <v>0.02</v>
      </c>
      <c r="AF311" s="64">
        <f t="shared" si="176"/>
        <v>8.4078167315968289E-2</v>
      </c>
      <c r="AG311" s="64">
        <f>APPLICANTS_PER_YEAR*($H311/Segments!$AH$2)*AE311</f>
        <v>0.24</v>
      </c>
      <c r="AH311" s="64">
        <f t="shared" si="177"/>
        <v>0.32407816731596828</v>
      </c>
      <c r="AI311" s="40">
        <f t="shared" si="178"/>
        <v>4183.134209773857</v>
      </c>
      <c r="AJ311" s="65">
        <f t="shared" si="179"/>
        <v>1355.6624683402429</v>
      </c>
      <c r="AK311" s="65">
        <f t="shared" si="180"/>
        <v>924.4441865845198</v>
      </c>
      <c r="AL311" s="65">
        <f t="shared" si="181"/>
        <v>303.8400972247257</v>
      </c>
      <c r="AM311" s="40">
        <f t="shared" si="182"/>
        <v>4225.7015648611396</v>
      </c>
      <c r="AN311" s="40">
        <f t="shared" si="183"/>
        <v>2623.313073079707</v>
      </c>
      <c r="AO311" s="40">
        <f t="shared" si="184"/>
        <v>4307.3782360670721</v>
      </c>
      <c r="AP311" s="40">
        <f t="shared" si="185"/>
        <v>2552.9274842875393</v>
      </c>
      <c r="AQ311" s="40">
        <f t="shared" si="186"/>
        <v>4307.3782360670721</v>
      </c>
      <c r="AR311" s="41">
        <f t="shared" si="187"/>
        <v>0.50058596649439957</v>
      </c>
      <c r="AS311" s="41">
        <f t="shared" si="188"/>
        <v>0.02</v>
      </c>
      <c r="AT311" s="64">
        <f t="shared" si="189"/>
        <v>8.4098442371059137E-2</v>
      </c>
      <c r="AU311" s="64">
        <f>APPLICANTS_PER_YEAR*($H311/Segments!$AH$2)*AS311</f>
        <v>0.24</v>
      </c>
      <c r="AV311" s="64">
        <f t="shared" si="190"/>
        <v>0.32409844237105911</v>
      </c>
      <c r="AW311" s="40">
        <f t="shared" si="191"/>
        <v>4307.3782360670721</v>
      </c>
      <c r="AX311" s="65">
        <f t="shared" si="192"/>
        <v>1396.0145770123383</v>
      </c>
      <c r="AY311" s="65">
        <f t="shared" si="193"/>
        <v>952.23708253718189</v>
      </c>
      <c r="AZ311" s="65">
        <f t="shared" si="194"/>
        <v>312.51070108571651</v>
      </c>
    </row>
    <row r="312" spans="1:52" ht="15" customHeight="1" x14ac:dyDescent="0.35">
      <c r="A312" s="61" t="str">
        <f>Segments!$A$292</f>
        <v>Greek</v>
      </c>
      <c r="B312" s="61" t="str">
        <f>Segments!$B$292</f>
        <v>Off 1-3mi</v>
      </c>
      <c r="C312" s="61" t="str">
        <f>Segments!$C$292</f>
        <v>Yes</v>
      </c>
      <c r="D312" s="61" t="str">
        <f>Segments!$D$292</f>
        <v>1.0-2.0</v>
      </c>
      <c r="E312" s="61" t="str">
        <f>Segments!$E$292</f>
        <v>Junior</v>
      </c>
      <c r="F312" s="61">
        <f>Segments!$F$292</f>
        <v>2</v>
      </c>
      <c r="G312" s="61" t="str">
        <f>Segments!$G$292</f>
        <v>Base</v>
      </c>
      <c r="H312" s="62">
        <f>Segments!$H$292</f>
        <v>10</v>
      </c>
      <c r="I312" s="63">
        <f>Segments!$Y$292</f>
        <v>2955.9578349115482</v>
      </c>
      <c r="J312" s="42">
        <v>2</v>
      </c>
      <c r="K312" s="40">
        <f t="shared" si="156"/>
        <v>1426.2297754450396</v>
      </c>
      <c r="L312" s="40">
        <f t="shared" si="157"/>
        <v>2955.9578349115482</v>
      </c>
      <c r="M312" s="40">
        <f t="shared" si="158"/>
        <v>4848.2845516753332</v>
      </c>
      <c r="N312" s="40">
        <f t="shared" si="159"/>
        <v>2629.5946051491596</v>
      </c>
      <c r="O312" s="40">
        <f t="shared" si="160"/>
        <v>1782.7872193062994</v>
      </c>
      <c r="P312" s="41">
        <f t="shared" si="161"/>
        <v>0.93601481653953011</v>
      </c>
      <c r="Q312" s="41">
        <f t="shared" si="162"/>
        <v>0.02</v>
      </c>
      <c r="R312" s="64">
        <f t="shared" si="163"/>
        <v>9.3601481653953016</v>
      </c>
      <c r="S312" s="64">
        <f>APPLICANTS_PER_YEAR*($H312/Segments!$AH$2)*Q312</f>
        <v>0.24</v>
      </c>
      <c r="T312" s="64">
        <f t="shared" si="164"/>
        <v>9.6001481653953018</v>
      </c>
      <c r="U312" s="40">
        <f t="shared" si="165"/>
        <v>1859.4234698196553</v>
      </c>
      <c r="V312" s="65">
        <f t="shared" si="166"/>
        <v>17850.74081248213</v>
      </c>
      <c r="W312" s="65">
        <f t="shared" si="167"/>
        <v>31782.949168109404</v>
      </c>
      <c r="X312" s="65">
        <f t="shared" si="168"/>
        <v>3612.5185671011013</v>
      </c>
      <c r="Y312" s="40">
        <f t="shared" si="169"/>
        <v>1866.0297884913116</v>
      </c>
      <c r="Z312" s="40">
        <f t="shared" si="170"/>
        <v>3044.6365699588946</v>
      </c>
      <c r="AA312" s="40">
        <f t="shared" si="171"/>
        <v>4992.4830882255928</v>
      </c>
      <c r="AB312" s="40">
        <f t="shared" si="172"/>
        <v>2708.1434369043559</v>
      </c>
      <c r="AC312" s="40">
        <f t="shared" si="173"/>
        <v>2332.5372356141397</v>
      </c>
      <c r="AD312" s="41">
        <f t="shared" si="174"/>
        <v>0.84434754566020442</v>
      </c>
      <c r="AE312" s="41">
        <f t="shared" si="175"/>
        <v>0.02</v>
      </c>
      <c r="AF312" s="64">
        <f t="shared" si="176"/>
        <v>5.549691586288243</v>
      </c>
      <c r="AG312" s="64">
        <f>APPLICANTS_PER_YEAR*($H312/Segments!$AH$2)*AE312</f>
        <v>0.24</v>
      </c>
      <c r="AH312" s="64">
        <f t="shared" si="177"/>
        <v>5.7896915862882432</v>
      </c>
      <c r="AI312" s="40">
        <f t="shared" si="178"/>
        <v>2442.7999318411107</v>
      </c>
      <c r="AJ312" s="65">
        <f t="shared" si="179"/>
        <v>14143.058212365971</v>
      </c>
      <c r="AK312" s="65">
        <f t="shared" si="180"/>
        <v>19742.807540284091</v>
      </c>
      <c r="AL312" s="65">
        <f t="shared" si="181"/>
        <v>2836.7686918040285</v>
      </c>
      <c r="AM312" s="40">
        <f t="shared" si="182"/>
        <v>4183.134209773857</v>
      </c>
      <c r="AN312" s="40">
        <f t="shared" si="183"/>
        <v>3135.9756670576612</v>
      </c>
      <c r="AO312" s="40">
        <f t="shared" si="184"/>
        <v>5141.0075808723604</v>
      </c>
      <c r="AP312" s="40">
        <f t="shared" si="185"/>
        <v>2789.0486917881926</v>
      </c>
      <c r="AQ312" s="40">
        <f t="shared" si="186"/>
        <v>5141.0075808723604</v>
      </c>
      <c r="AR312" s="41">
        <f t="shared" si="187"/>
        <v>0.3596628396068674</v>
      </c>
      <c r="AS312" s="41">
        <f t="shared" si="188"/>
        <v>0.02</v>
      </c>
      <c r="AT312" s="64">
        <f t="shared" si="189"/>
        <v>0.11655887391145063</v>
      </c>
      <c r="AU312" s="64">
        <f>APPLICANTS_PER_YEAR*($H312/Segments!$AH$2)*AS312</f>
        <v>0.24</v>
      </c>
      <c r="AV312" s="64">
        <f t="shared" si="190"/>
        <v>0.35655887391145064</v>
      </c>
      <c r="AW312" s="40">
        <f t="shared" si="191"/>
        <v>5141.0075808723604</v>
      </c>
      <c r="AX312" s="65">
        <f t="shared" si="192"/>
        <v>1833.0718738060798</v>
      </c>
      <c r="AY312" s="65">
        <f t="shared" si="193"/>
        <v>1252.339146754965</v>
      </c>
      <c r="AZ312" s="65">
        <f t="shared" si="194"/>
        <v>402.76622530690588</v>
      </c>
    </row>
    <row r="313" spans="1:52" ht="15" customHeight="1" x14ac:dyDescent="0.35">
      <c r="A313" s="61" t="str">
        <f>Segments!$A$293</f>
        <v>Greek</v>
      </c>
      <c r="B313" s="61" t="str">
        <f>Segments!$B$293</f>
        <v>Off 1-3mi</v>
      </c>
      <c r="C313" s="61" t="str">
        <f>Segments!$C$293</f>
        <v>Yes</v>
      </c>
      <c r="D313" s="61" t="str">
        <f>Segments!$D$293</f>
        <v>1.0-2.0</v>
      </c>
      <c r="E313" s="61" t="str">
        <f>Segments!$E$293</f>
        <v>Senior</v>
      </c>
      <c r="F313" s="61">
        <f>Segments!$F$293</f>
        <v>3</v>
      </c>
      <c r="G313" s="61" t="str">
        <f>Segments!$G$293</f>
        <v>Base</v>
      </c>
      <c r="H313" s="62">
        <f>Segments!$H$293</f>
        <v>12</v>
      </c>
      <c r="I313" s="63">
        <f>Segments!$Y$293</f>
        <v>2762.8967100880004</v>
      </c>
      <c r="J313" s="42">
        <v>3</v>
      </c>
      <c r="K313" s="40">
        <f t="shared" si="156"/>
        <v>1426.2297754450396</v>
      </c>
      <c r="L313" s="40">
        <f t="shared" si="157"/>
        <v>2762.8967100880004</v>
      </c>
      <c r="M313" s="40">
        <f t="shared" si="158"/>
        <v>4534.3521117342461</v>
      </c>
      <c r="N313" s="40">
        <f t="shared" si="159"/>
        <v>2543.0351932498838</v>
      </c>
      <c r="O313" s="40">
        <f t="shared" si="160"/>
        <v>1782.7872193062994</v>
      </c>
      <c r="P313" s="41">
        <f t="shared" si="161"/>
        <v>0.92447649485181171</v>
      </c>
      <c r="Q313" s="41">
        <f t="shared" si="162"/>
        <v>0.02</v>
      </c>
      <c r="R313" s="64">
        <f t="shared" si="163"/>
        <v>9.2447649485181174</v>
      </c>
      <c r="S313" s="64">
        <f>APPLICANTS_PER_YEAR*($H313/Segments!$AH$2)*Q313</f>
        <v>0.28799999999999998</v>
      </c>
      <c r="T313" s="64">
        <f t="shared" si="164"/>
        <v>9.5327649485181176</v>
      </c>
      <c r="U313" s="40">
        <f t="shared" si="165"/>
        <v>1865.9163736805961</v>
      </c>
      <c r="V313" s="65">
        <f t="shared" si="166"/>
        <v>17787.34220388842</v>
      </c>
      <c r="W313" s="65">
        <f t="shared" si="167"/>
        <v>29498.610304019268</v>
      </c>
      <c r="X313" s="65">
        <f t="shared" si="168"/>
        <v>3605.369244791555</v>
      </c>
      <c r="Y313" s="40">
        <f t="shared" si="169"/>
        <v>1859.4234698196553</v>
      </c>
      <c r="Z313" s="40">
        <f t="shared" si="170"/>
        <v>2845.7836113906405</v>
      </c>
      <c r="AA313" s="40">
        <f t="shared" si="171"/>
        <v>4669.1326750862736</v>
      </c>
      <c r="AB313" s="40">
        <f t="shared" si="172"/>
        <v>2618.9757020852126</v>
      </c>
      <c r="AC313" s="40">
        <f t="shared" si="173"/>
        <v>2324.2793372745691</v>
      </c>
      <c r="AD313" s="41">
        <f t="shared" si="174"/>
        <v>0.83126176000334939</v>
      </c>
      <c r="AE313" s="41">
        <f t="shared" si="175"/>
        <v>0.02</v>
      </c>
      <c r="AF313" s="64">
        <f t="shared" si="176"/>
        <v>7.9802360602594247</v>
      </c>
      <c r="AG313" s="64">
        <f>APPLICANTS_PER_YEAR*($H313/Segments!$AH$2)*AE313</f>
        <v>0.28799999999999998</v>
      </c>
      <c r="AH313" s="64">
        <f t="shared" si="177"/>
        <v>8.268236060259424</v>
      </c>
      <c r="AI313" s="40">
        <f t="shared" si="178"/>
        <v>2405.9554960547507</v>
      </c>
      <c r="AJ313" s="65">
        <f t="shared" si="179"/>
        <v>19893.007991859242</v>
      </c>
      <c r="AK313" s="65">
        <f t="shared" si="180"/>
        <v>26353.163956442837</v>
      </c>
      <c r="AL313" s="65">
        <f t="shared" si="181"/>
        <v>3979.408089031454</v>
      </c>
      <c r="AM313" s="40">
        <f t="shared" si="182"/>
        <v>2442.7999318411107</v>
      </c>
      <c r="AN313" s="40">
        <f t="shared" si="183"/>
        <v>2931.1571197323597</v>
      </c>
      <c r="AO313" s="40">
        <f t="shared" si="184"/>
        <v>4807.9566553388613</v>
      </c>
      <c r="AP313" s="40">
        <f t="shared" si="185"/>
        <v>2697.1943799425799</v>
      </c>
      <c r="AQ313" s="40">
        <f t="shared" si="186"/>
        <v>3053.4999148013885</v>
      </c>
      <c r="AR313" s="41">
        <f t="shared" si="187"/>
        <v>0.70894885857904055</v>
      </c>
      <c r="AS313" s="41">
        <f t="shared" si="188"/>
        <v>0.02</v>
      </c>
      <c r="AT313" s="64">
        <f t="shared" si="189"/>
        <v>4.1045952416237244</v>
      </c>
      <c r="AU313" s="64">
        <f>APPLICANTS_PER_YEAR*($H313/Segments!$AH$2)*AS313</f>
        <v>0.28799999999999998</v>
      </c>
      <c r="AV313" s="64">
        <f t="shared" si="190"/>
        <v>4.3925952416237246</v>
      </c>
      <c r="AW313" s="40">
        <f t="shared" si="191"/>
        <v>3168.5306684858583</v>
      </c>
      <c r="AX313" s="65">
        <f t="shared" si="192"/>
        <v>13918.07273732982</v>
      </c>
      <c r="AY313" s="65">
        <f t="shared" si="193"/>
        <v>14420.43323457841</v>
      </c>
      <c r="AZ313" s="65">
        <f t="shared" si="194"/>
        <v>2774.0318552736262</v>
      </c>
    </row>
    <row r="314" spans="1:52" ht="15" customHeight="1" x14ac:dyDescent="0.35">
      <c r="A314" s="61" t="str">
        <f>Segments!$A$294</f>
        <v>Greek</v>
      </c>
      <c r="B314" s="61" t="str">
        <f>Segments!$B$294</f>
        <v>Off 1-3mi</v>
      </c>
      <c r="C314" s="61" t="str">
        <f>Segments!$C$294</f>
        <v>Yes</v>
      </c>
      <c r="D314" s="61" t="str">
        <f>Segments!$D$294</f>
        <v>1.0-2.0</v>
      </c>
      <c r="E314" s="61" t="str">
        <f>Segments!$E$294</f>
        <v>Grad student</v>
      </c>
      <c r="F314" s="61">
        <f>Segments!$F$294</f>
        <v>3</v>
      </c>
      <c r="G314" s="61" t="str">
        <f>Segments!$G$294</f>
        <v>Grad</v>
      </c>
      <c r="H314" s="62">
        <f>Segments!$H$294</f>
        <v>4</v>
      </c>
      <c r="I314" s="63">
        <f>Segments!$Y$294</f>
        <v>3289.7270344587741</v>
      </c>
      <c r="J314" s="42">
        <v>4</v>
      </c>
      <c r="K314" s="40">
        <f t="shared" si="156"/>
        <v>1426.2297754450396</v>
      </c>
      <c r="L314" s="40">
        <f t="shared" si="157"/>
        <v>3289.7270344587741</v>
      </c>
      <c r="M314" s="40">
        <f t="shared" si="158"/>
        <v>5391.0192906695811</v>
      </c>
      <c r="N314" s="40">
        <f t="shared" si="159"/>
        <v>2772.8743628862007</v>
      </c>
      <c r="O314" s="40">
        <f t="shared" si="160"/>
        <v>1782.7872193062994</v>
      </c>
      <c r="P314" s="41">
        <f t="shared" si="161"/>
        <v>0.95</v>
      </c>
      <c r="Q314" s="41">
        <f t="shared" si="162"/>
        <v>0.02</v>
      </c>
      <c r="R314" s="64">
        <f t="shared" si="163"/>
        <v>1.9</v>
      </c>
      <c r="S314" s="64">
        <f>APPLICANTS_PER_YEAR*($H314/Segments!$AH$2)*Q314</f>
        <v>9.6000000000000002E-2</v>
      </c>
      <c r="T314" s="64">
        <f t="shared" si="164"/>
        <v>1.996</v>
      </c>
      <c r="U314" s="40">
        <f t="shared" si="165"/>
        <v>1956.3294431794832</v>
      </c>
      <c r="V314" s="65">
        <f t="shared" si="166"/>
        <v>3904.8335685862485</v>
      </c>
      <c r="W314" s="65">
        <f t="shared" si="167"/>
        <v>7354.2505800732797</v>
      </c>
      <c r="X314" s="65">
        <f t="shared" si="168"/>
        <v>798.44736927945075</v>
      </c>
      <c r="Y314" s="40">
        <f t="shared" si="169"/>
        <v>1956.3294431794832</v>
      </c>
      <c r="Z314" s="40">
        <f t="shared" si="170"/>
        <v>3388.4188454925375</v>
      </c>
      <c r="AA314" s="40">
        <f t="shared" si="171"/>
        <v>5551.4998693896687</v>
      </c>
      <c r="AB314" s="40">
        <f t="shared" si="172"/>
        <v>2855.7391065126862</v>
      </c>
      <c r="AC314" s="40">
        <f t="shared" si="173"/>
        <v>2445.4118039743539</v>
      </c>
      <c r="AD314" s="41">
        <f t="shared" si="174"/>
        <v>0.84684257511524008</v>
      </c>
      <c r="AE314" s="41">
        <f t="shared" si="175"/>
        <v>0.02</v>
      </c>
      <c r="AF314" s="64">
        <f t="shared" si="176"/>
        <v>0.84514888996500959</v>
      </c>
      <c r="AG314" s="64">
        <f>APPLICANTS_PER_YEAR*($H314/Segments!$AH$2)*AE314</f>
        <v>9.6000000000000002E-2</v>
      </c>
      <c r="AH314" s="64">
        <f t="shared" si="177"/>
        <v>0.94114888996500956</v>
      </c>
      <c r="AI314" s="40">
        <f t="shared" si="178"/>
        <v>2762.2420711714562</v>
      </c>
      <c r="AJ314" s="65">
        <f t="shared" si="179"/>
        <v>2599.6810590976652</v>
      </c>
      <c r="AK314" s="65">
        <f t="shared" si="180"/>
        <v>3571.68743139244</v>
      </c>
      <c r="AL314" s="65">
        <f t="shared" si="181"/>
        <v>531.2157375299081</v>
      </c>
      <c r="AM314" s="40">
        <f t="shared" si="182"/>
        <v>2762.2420711714562</v>
      </c>
      <c r="AN314" s="40">
        <f t="shared" si="183"/>
        <v>3490.0714108573134</v>
      </c>
      <c r="AO314" s="40">
        <f t="shared" si="184"/>
        <v>5716.7948654713582</v>
      </c>
      <c r="AP314" s="40">
        <f t="shared" si="185"/>
        <v>2941.0897567794304</v>
      </c>
      <c r="AQ314" s="40">
        <f t="shared" si="186"/>
        <v>3452.8025889643204</v>
      </c>
      <c r="AR314" s="41">
        <f t="shared" si="187"/>
        <v>0.68800625371848079</v>
      </c>
      <c r="AS314" s="41">
        <f t="shared" si="188"/>
        <v>0.02</v>
      </c>
      <c r="AT314" s="64">
        <f t="shared" si="189"/>
        <v>0.32375816098806648</v>
      </c>
      <c r="AU314" s="64">
        <f>APPLICANTS_PER_YEAR*($H314/Segments!$AH$2)*AS314</f>
        <v>9.6000000000000002E-2</v>
      </c>
      <c r="AV314" s="64">
        <f t="shared" si="190"/>
        <v>0.41975816098806651</v>
      </c>
      <c r="AW314" s="40">
        <f t="shared" si="191"/>
        <v>3970.5846805216884</v>
      </c>
      <c r="AX314" s="65">
        <f t="shared" si="192"/>
        <v>1666.6853235431736</v>
      </c>
      <c r="AY314" s="65">
        <f t="shared" si="193"/>
        <v>1640.7842719951118</v>
      </c>
      <c r="AZ314" s="65">
        <f t="shared" si="194"/>
        <v>345.00712011740484</v>
      </c>
    </row>
    <row r="315" spans="1:52" ht="15" customHeight="1" x14ac:dyDescent="0.35">
      <c r="A315" s="59" t="str">
        <f>Segments!$A$295</f>
        <v>Greek</v>
      </c>
      <c r="B315" s="59" t="str">
        <f>Segments!$B$295</f>
        <v>Off 1-3mi</v>
      </c>
      <c r="C315" s="59" t="str">
        <f>Segments!$C$295</f>
        <v>Yes</v>
      </c>
      <c r="D315" s="59" t="str">
        <f>Segments!$D$295</f>
        <v>2.0-3.0</v>
      </c>
      <c r="E315" s="59" t="str">
        <f>Segments!$E$295</f>
        <v>Freshman</v>
      </c>
      <c r="F315" s="59">
        <f>Segments!$F$295</f>
        <v>1</v>
      </c>
      <c r="G315" s="59" t="str">
        <f>Segments!$G$295</f>
        <v>Base</v>
      </c>
      <c r="H315" s="60">
        <f>Segments!$H$295</f>
        <v>17</v>
      </c>
      <c r="I315" s="26">
        <f>Segments!$Y$295</f>
        <v>2454.8711579691571</v>
      </c>
      <c r="J315" s="29">
        <v>0</v>
      </c>
      <c r="K315" s="14">
        <f t="shared" si="156"/>
        <v>4033.4785504243278</v>
      </c>
      <c r="L315" s="14">
        <f t="shared" si="157"/>
        <v>2454.8711579691571</v>
      </c>
      <c r="M315" s="14">
        <f t="shared" si="158"/>
        <v>4033.4785504243278</v>
      </c>
      <c r="N315" s="14">
        <f t="shared" si="159"/>
        <v>2398.471848330531</v>
      </c>
      <c r="O315" s="14">
        <f t="shared" si="160"/>
        <v>4033.4785504243278</v>
      </c>
      <c r="P315" s="33">
        <f t="shared" si="161"/>
        <v>0.50915657854565777</v>
      </c>
      <c r="Q315" s="33">
        <f t="shared" si="162"/>
        <v>0.02</v>
      </c>
      <c r="R315" s="51">
        <f t="shared" si="163"/>
        <v>0</v>
      </c>
      <c r="S315" s="51">
        <f>APPLICANTS_PER_YEAR*($H315/Segments!$AH$2)*Q315</f>
        <v>0.40799999999999997</v>
      </c>
      <c r="T315" s="51">
        <f t="shared" si="164"/>
        <v>0.40799999999999997</v>
      </c>
      <c r="U315" s="14">
        <f t="shared" si="165"/>
        <v>4033.4785504243278</v>
      </c>
      <c r="V315" s="44">
        <f t="shared" si="166"/>
        <v>1645.6592485731255</v>
      </c>
      <c r="W315" s="44">
        <f t="shared" si="167"/>
        <v>1121.7779243455861</v>
      </c>
      <c r="X315" s="44">
        <f t="shared" si="168"/>
        <v>386.98767168038012</v>
      </c>
      <c r="Y315" s="14">
        <f t="shared" si="169"/>
        <v>4153.232906937058</v>
      </c>
      <c r="Z315" s="14">
        <f t="shared" si="170"/>
        <v>2528.5172927082317</v>
      </c>
      <c r="AA315" s="14">
        <f t="shared" si="171"/>
        <v>4153.232906937058</v>
      </c>
      <c r="AB315" s="14">
        <f t="shared" si="172"/>
        <v>2470.0543251756108</v>
      </c>
      <c r="AC315" s="14">
        <f t="shared" si="173"/>
        <v>4153.232906937058</v>
      </c>
      <c r="AD315" s="33">
        <f t="shared" si="174"/>
        <v>0.50928308446378401</v>
      </c>
      <c r="AE315" s="33">
        <f t="shared" si="175"/>
        <v>0.02</v>
      </c>
      <c r="AF315" s="51">
        <f t="shared" si="176"/>
        <v>0</v>
      </c>
      <c r="AG315" s="51">
        <f>APPLICANTS_PER_YEAR*($H315/Segments!$AH$2)*AE315</f>
        <v>0.40799999999999997</v>
      </c>
      <c r="AH315" s="51">
        <f t="shared" si="177"/>
        <v>0.40799999999999997</v>
      </c>
      <c r="AI315" s="14">
        <f t="shared" si="178"/>
        <v>4153.232906937058</v>
      </c>
      <c r="AJ315" s="44">
        <f t="shared" si="179"/>
        <v>1694.5190260303195</v>
      </c>
      <c r="AK315" s="44">
        <f t="shared" si="180"/>
        <v>1155.4312620759536</v>
      </c>
      <c r="AL315" s="44">
        <f t="shared" si="181"/>
        <v>397.93226183079162</v>
      </c>
      <c r="AM315" s="14">
        <f t="shared" si="182"/>
        <v>4276.5798941451694</v>
      </c>
      <c r="AN315" s="14">
        <f t="shared" si="183"/>
        <v>2604.3728114894789</v>
      </c>
      <c r="AO315" s="14">
        <f t="shared" si="184"/>
        <v>4276.5798941451694</v>
      </c>
      <c r="AP315" s="14">
        <f t="shared" si="185"/>
        <v>2543.7842212045607</v>
      </c>
      <c r="AQ315" s="14">
        <f t="shared" si="186"/>
        <v>4276.5798941451694</v>
      </c>
      <c r="AR315" s="33">
        <f t="shared" si="187"/>
        <v>0.5094059239584251</v>
      </c>
      <c r="AS315" s="33">
        <f t="shared" si="188"/>
        <v>0.02</v>
      </c>
      <c r="AT315" s="51">
        <f t="shared" si="189"/>
        <v>0</v>
      </c>
      <c r="AU315" s="51">
        <f>APPLICANTS_PER_YEAR*($H315/Segments!$AH$2)*AS315</f>
        <v>0.40799999999999997</v>
      </c>
      <c r="AV315" s="51">
        <f t="shared" si="190"/>
        <v>0.40799999999999997</v>
      </c>
      <c r="AW315" s="14">
        <f t="shared" si="191"/>
        <v>4276.5798941451694</v>
      </c>
      <c r="AX315" s="44">
        <f t="shared" si="192"/>
        <v>1744.8445968112289</v>
      </c>
      <c r="AY315" s="44">
        <f t="shared" si="193"/>
        <v>1190.0941999382321</v>
      </c>
      <c r="AZ315" s="44">
        <f t="shared" si="194"/>
        <v>409.20518968571531</v>
      </c>
    </row>
    <row r="316" spans="1:52" ht="15" customHeight="1" x14ac:dyDescent="0.35">
      <c r="A316" s="59" t="str">
        <f>Segments!$A$296</f>
        <v>Greek</v>
      </c>
      <c r="B316" s="59" t="str">
        <f>Segments!$B$296</f>
        <v>Off 1-3mi</v>
      </c>
      <c r="C316" s="59" t="str">
        <f>Segments!$C$296</f>
        <v>Yes</v>
      </c>
      <c r="D316" s="59" t="str">
        <f>Segments!$D$296</f>
        <v>2.0-3.0</v>
      </c>
      <c r="E316" s="59" t="str">
        <f>Segments!$E$296</f>
        <v>Sophomore</v>
      </c>
      <c r="F316" s="59">
        <f>Segments!$F$296</f>
        <v>1</v>
      </c>
      <c r="G316" s="59" t="str">
        <f>Segments!$G$296</f>
        <v>Sophomore</v>
      </c>
      <c r="H316" s="60">
        <f>Segments!$H$296</f>
        <v>15</v>
      </c>
      <c r="I316" s="26">
        <f>Segments!$Y$296</f>
        <v>2429.8958948995551</v>
      </c>
      <c r="J316" s="29">
        <v>1</v>
      </c>
      <c r="K316" s="14">
        <f t="shared" si="156"/>
        <v>1426.2297754450396</v>
      </c>
      <c r="L316" s="14">
        <f t="shared" si="157"/>
        <v>2429.8958948995551</v>
      </c>
      <c r="M316" s="14">
        <f t="shared" si="158"/>
        <v>3992.866825610351</v>
      </c>
      <c r="N316" s="14">
        <f t="shared" si="159"/>
        <v>2386.3666013570087</v>
      </c>
      <c r="O316" s="14">
        <f t="shared" si="160"/>
        <v>1782.7872193062994</v>
      </c>
      <c r="P316" s="33">
        <f t="shared" si="161"/>
        <v>0.90146409434901653</v>
      </c>
      <c r="Q316" s="33">
        <f t="shared" si="162"/>
        <v>0.02</v>
      </c>
      <c r="R316" s="51">
        <f t="shared" si="163"/>
        <v>15.324889603933281</v>
      </c>
      <c r="S316" s="51">
        <f>APPLICANTS_PER_YEAR*($H316/Segments!$AH$2)*Q316</f>
        <v>0.36</v>
      </c>
      <c r="T316" s="51">
        <f t="shared" si="164"/>
        <v>15.68488960393328</v>
      </c>
      <c r="U316" s="14">
        <f t="shared" si="165"/>
        <v>1833.513024738168</v>
      </c>
      <c r="V316" s="44">
        <f t="shared" si="166"/>
        <v>28758.449380391954</v>
      </c>
      <c r="W316" s="44">
        <f t="shared" si="167"/>
        <v>42686.166723816212</v>
      </c>
      <c r="X316" s="44">
        <f t="shared" si="168"/>
        <v>5808.354846975436</v>
      </c>
      <c r="Y316" s="14">
        <f t="shared" si="169"/>
        <v>4033.4785504243278</v>
      </c>
      <c r="Z316" s="14">
        <f t="shared" si="170"/>
        <v>2502.7927717465418</v>
      </c>
      <c r="AA316" s="14">
        <f t="shared" si="171"/>
        <v>4111.4028303786617</v>
      </c>
      <c r="AB316" s="14">
        <f t="shared" si="172"/>
        <v>2457.5840351046209</v>
      </c>
      <c r="AC316" s="14">
        <f t="shared" si="173"/>
        <v>4111.4028303786617</v>
      </c>
      <c r="AD316" s="33">
        <f t="shared" si="174"/>
        <v>0.50773170681844815</v>
      </c>
      <c r="AE316" s="33">
        <f t="shared" si="175"/>
        <v>0.02</v>
      </c>
      <c r="AF316" s="51">
        <f t="shared" si="176"/>
        <v>0.20715453638192682</v>
      </c>
      <c r="AG316" s="51">
        <f>APPLICANTS_PER_YEAR*($H316/Segments!$AH$2)*AE316</f>
        <v>0.36</v>
      </c>
      <c r="AH316" s="51">
        <f t="shared" si="177"/>
        <v>0.56715453638192681</v>
      </c>
      <c r="AI316" s="14">
        <f t="shared" si="178"/>
        <v>4111.4028303786627</v>
      </c>
      <c r="AJ316" s="44">
        <f t="shared" si="179"/>
        <v>2331.8007661427519</v>
      </c>
      <c r="AK316" s="44">
        <f t="shared" si="180"/>
        <v>1589.8067070143416</v>
      </c>
      <c r="AL316" s="44">
        <f t="shared" si="181"/>
        <v>512.85711119138978</v>
      </c>
      <c r="AM316" s="14">
        <f t="shared" si="182"/>
        <v>4153.232906937058</v>
      </c>
      <c r="AN316" s="14">
        <f t="shared" si="183"/>
        <v>2577.8765548989377</v>
      </c>
      <c r="AO316" s="14">
        <f t="shared" si="184"/>
        <v>4233.4949152900217</v>
      </c>
      <c r="AP316" s="14">
        <f t="shared" si="185"/>
        <v>2530.9379358998231</v>
      </c>
      <c r="AQ316" s="14">
        <f t="shared" si="186"/>
        <v>4233.4949152900217</v>
      </c>
      <c r="AR316" s="33">
        <f t="shared" si="187"/>
        <v>0.50785342535022782</v>
      </c>
      <c r="AS316" s="33">
        <f t="shared" si="188"/>
        <v>0.02</v>
      </c>
      <c r="AT316" s="51">
        <f t="shared" si="189"/>
        <v>0.20720419754289293</v>
      </c>
      <c r="AU316" s="51">
        <f>APPLICANTS_PER_YEAR*($H316/Segments!$AH$2)*AS316</f>
        <v>0.36</v>
      </c>
      <c r="AV316" s="51">
        <f t="shared" si="190"/>
        <v>0.56720419754289297</v>
      </c>
      <c r="AW316" s="14">
        <f t="shared" si="191"/>
        <v>4233.4949152900217</v>
      </c>
      <c r="AX316" s="44">
        <f t="shared" si="192"/>
        <v>2401.2560862289943</v>
      </c>
      <c r="AY316" s="44">
        <f t="shared" si="193"/>
        <v>1637.6442910084204</v>
      </c>
      <c r="AZ316" s="44">
        <f t="shared" si="194"/>
        <v>527.52352018079205</v>
      </c>
    </row>
    <row r="317" spans="1:52" ht="15" customHeight="1" x14ac:dyDescent="0.35">
      <c r="A317" s="59" t="str">
        <f>Segments!$A$297</f>
        <v>Greek</v>
      </c>
      <c r="B317" s="59" t="str">
        <f>Segments!$B$297</f>
        <v>Off 1-3mi</v>
      </c>
      <c r="C317" s="59" t="str">
        <f>Segments!$C$297</f>
        <v>Yes</v>
      </c>
      <c r="D317" s="59" t="str">
        <f>Segments!$D$297</f>
        <v>2.0-3.0</v>
      </c>
      <c r="E317" s="59" t="str">
        <f>Segments!$E$297</f>
        <v>Junior</v>
      </c>
      <c r="F317" s="59">
        <f>Segments!$F$297</f>
        <v>2</v>
      </c>
      <c r="G317" s="59" t="str">
        <f>Segments!$G$297</f>
        <v>Base</v>
      </c>
      <c r="H317" s="60">
        <f>Segments!$H$297</f>
        <v>11</v>
      </c>
      <c r="I317" s="26">
        <f>Segments!$Y$297</f>
        <v>2904.7598161596834</v>
      </c>
      <c r="J317" s="29">
        <v>2</v>
      </c>
      <c r="K317" s="14">
        <f t="shared" si="156"/>
        <v>1426.2297754450396</v>
      </c>
      <c r="L317" s="14">
        <f t="shared" si="157"/>
        <v>2904.7598161596834</v>
      </c>
      <c r="M317" s="14">
        <f t="shared" si="158"/>
        <v>4765.0325818051042</v>
      </c>
      <c r="N317" s="14">
        <f t="shared" si="159"/>
        <v>2606.9198969542949</v>
      </c>
      <c r="O317" s="14">
        <f t="shared" si="160"/>
        <v>1782.7872193062994</v>
      </c>
      <c r="P317" s="33">
        <f t="shared" si="161"/>
        <v>0.93306635996196952</v>
      </c>
      <c r="Q317" s="33">
        <f t="shared" si="162"/>
        <v>0.02</v>
      </c>
      <c r="R317" s="51">
        <f t="shared" si="163"/>
        <v>13.995995399429543</v>
      </c>
      <c r="S317" s="51">
        <f>APPLICANTS_PER_YEAR*($H317/Segments!$AH$2)*Q317</f>
        <v>0.26400000000000001</v>
      </c>
      <c r="T317" s="51">
        <f t="shared" si="164"/>
        <v>14.259995399429542</v>
      </c>
      <c r="U317" s="14">
        <f t="shared" si="165"/>
        <v>1837.9985117118483</v>
      </c>
      <c r="V317" s="44">
        <f t="shared" si="166"/>
        <v>26209.850321169302</v>
      </c>
      <c r="W317" s="44">
        <f t="shared" si="167"/>
        <v>46392.485008671079</v>
      </c>
      <c r="X317" s="44">
        <f t="shared" si="168"/>
        <v>5289.4905197454682</v>
      </c>
      <c r="Y317" s="14">
        <f t="shared" si="169"/>
        <v>1833.513024738168</v>
      </c>
      <c r="Z317" s="14">
        <f t="shared" si="170"/>
        <v>2991.902610644474</v>
      </c>
      <c r="AA317" s="14">
        <f t="shared" si="171"/>
        <v>4906.7335592592572</v>
      </c>
      <c r="AB317" s="14">
        <f t="shared" si="172"/>
        <v>2684.7855384485924</v>
      </c>
      <c r="AC317" s="14">
        <f t="shared" si="173"/>
        <v>2291.8912809227099</v>
      </c>
      <c r="AD317" s="33">
        <f t="shared" si="174"/>
        <v>0.84817051062352578</v>
      </c>
      <c r="AE317" s="33">
        <f t="shared" si="175"/>
        <v>0.02</v>
      </c>
      <c r="AF317" s="51">
        <f t="shared" si="176"/>
        <v>13.303460824441721</v>
      </c>
      <c r="AG317" s="51">
        <f>APPLICANTS_PER_YEAR*($H317/Segments!$AH$2)*AE317</f>
        <v>0.26400000000000001</v>
      </c>
      <c r="AH317" s="51">
        <f t="shared" si="177"/>
        <v>13.567460824441721</v>
      </c>
      <c r="AI317" s="14">
        <f t="shared" si="178"/>
        <v>2342.7717198208452</v>
      </c>
      <c r="AJ317" s="44">
        <f t="shared" si="179"/>
        <v>31785.46352927927</v>
      </c>
      <c r="AK317" s="44">
        <f t="shared" si="180"/>
        <v>45463.624035719469</v>
      </c>
      <c r="AL317" s="44">
        <f t="shared" si="181"/>
        <v>6330.7400416101727</v>
      </c>
      <c r="AM317" s="14">
        <f t="shared" si="182"/>
        <v>4111.4028303786627</v>
      </c>
      <c r="AN317" s="14">
        <f t="shared" si="183"/>
        <v>3081.6596889638081</v>
      </c>
      <c r="AO317" s="14">
        <f t="shared" si="184"/>
        <v>5052.6855660370347</v>
      </c>
      <c r="AP317" s="14">
        <f t="shared" si="185"/>
        <v>2764.9871062625621</v>
      </c>
      <c r="AQ317" s="14">
        <f t="shared" si="186"/>
        <v>5052.6855660370347</v>
      </c>
      <c r="AR317" s="33">
        <f t="shared" si="187"/>
        <v>0.36762605419588307</v>
      </c>
      <c r="AS317" s="33">
        <f t="shared" si="188"/>
        <v>0.02</v>
      </c>
      <c r="AT317" s="51">
        <f t="shared" si="189"/>
        <v>0.20850078432938315</v>
      </c>
      <c r="AU317" s="51">
        <f>APPLICANTS_PER_YEAR*($H317/Segments!$AH$2)*AS317</f>
        <v>0.26400000000000001</v>
      </c>
      <c r="AV317" s="51">
        <f t="shared" si="190"/>
        <v>0.47250078432938314</v>
      </c>
      <c r="AW317" s="14">
        <f t="shared" si="191"/>
        <v>5052.6855660370347</v>
      </c>
      <c r="AX317" s="44">
        <f t="shared" si="192"/>
        <v>2387.3978929222521</v>
      </c>
      <c r="AY317" s="44">
        <f t="shared" si="193"/>
        <v>1630.8170144802395</v>
      </c>
      <c r="AZ317" s="44">
        <f t="shared" si="194"/>
        <v>513.95503207907552</v>
      </c>
    </row>
    <row r="318" spans="1:52" ht="15" customHeight="1" x14ac:dyDescent="0.35">
      <c r="A318" s="59" t="str">
        <f>Segments!$A$298</f>
        <v>Greek</v>
      </c>
      <c r="B318" s="59" t="str">
        <f>Segments!$B$298</f>
        <v>Off 1-3mi</v>
      </c>
      <c r="C318" s="59" t="str">
        <f>Segments!$C$298</f>
        <v>Yes</v>
      </c>
      <c r="D318" s="59" t="str">
        <f>Segments!$D$298</f>
        <v>2.0-3.0</v>
      </c>
      <c r="E318" s="59" t="str">
        <f>Segments!$E$298</f>
        <v>Senior</v>
      </c>
      <c r="F318" s="59">
        <f>Segments!$F$298</f>
        <v>3</v>
      </c>
      <c r="G318" s="59" t="str">
        <f>Segments!$G$298</f>
        <v>Base</v>
      </c>
      <c r="H318" s="60">
        <f>Segments!$H$298</f>
        <v>10</v>
      </c>
      <c r="I318" s="26">
        <f>Segments!$Y$298</f>
        <v>2715.042564165522</v>
      </c>
      <c r="J318" s="29">
        <v>3</v>
      </c>
      <c r="K318" s="14">
        <f t="shared" si="156"/>
        <v>1426.2297754450396</v>
      </c>
      <c r="L318" s="14">
        <f t="shared" si="157"/>
        <v>2715.042564165522</v>
      </c>
      <c r="M318" s="14">
        <f t="shared" si="158"/>
        <v>4456.5375397717598</v>
      </c>
      <c r="N318" s="14">
        <f t="shared" si="159"/>
        <v>2521.1200952376439</v>
      </c>
      <c r="O318" s="14">
        <f t="shared" si="160"/>
        <v>1782.7872193062994</v>
      </c>
      <c r="P318" s="33">
        <f t="shared" si="161"/>
        <v>0.92142953291397023</v>
      </c>
      <c r="Q318" s="33">
        <f t="shared" si="162"/>
        <v>0.02</v>
      </c>
      <c r="R318" s="51">
        <f t="shared" si="163"/>
        <v>10.135724862053673</v>
      </c>
      <c r="S318" s="51">
        <f>APPLICANTS_PER_YEAR*($H318/Segments!$AH$2)*Q318</f>
        <v>0.24</v>
      </c>
      <c r="T318" s="51">
        <f t="shared" si="164"/>
        <v>10.375724862053673</v>
      </c>
      <c r="U318" s="14">
        <f t="shared" si="165"/>
        <v>1844.6335081625652</v>
      </c>
      <c r="V318" s="44">
        <f t="shared" si="166"/>
        <v>19139.409752019616</v>
      </c>
      <c r="W318" s="44">
        <f t="shared" si="167"/>
        <v>31550.998790691705</v>
      </c>
      <c r="X318" s="44">
        <f t="shared" si="168"/>
        <v>3868.2978557068636</v>
      </c>
      <c r="Y318" s="14">
        <f t="shared" si="169"/>
        <v>1837.9985117118483</v>
      </c>
      <c r="Z318" s="14">
        <f t="shared" si="170"/>
        <v>2796.4938410904879</v>
      </c>
      <c r="AA318" s="14">
        <f t="shared" si="171"/>
        <v>4588.9836659649127</v>
      </c>
      <c r="AB318" s="14">
        <f t="shared" si="172"/>
        <v>2596.4001035535712</v>
      </c>
      <c r="AC318" s="14">
        <f t="shared" si="173"/>
        <v>2297.4981396398102</v>
      </c>
      <c r="AD318" s="33">
        <f t="shared" si="174"/>
        <v>0.83256084424443444</v>
      </c>
      <c r="AE318" s="33">
        <f t="shared" si="175"/>
        <v>0.02</v>
      </c>
      <c r="AF318" s="51">
        <f t="shared" si="176"/>
        <v>11.87231380867081</v>
      </c>
      <c r="AG318" s="51">
        <f>APPLICANTS_PER_YEAR*($H318/Segments!$AH$2)*AE318</f>
        <v>0.24</v>
      </c>
      <c r="AH318" s="51">
        <f t="shared" si="177"/>
        <v>12.112313808670811</v>
      </c>
      <c r="AI318" s="14">
        <f t="shared" si="178"/>
        <v>2342.9028851744188</v>
      </c>
      <c r="AJ318" s="44">
        <f t="shared" si="179"/>
        <v>28377.974968472794</v>
      </c>
      <c r="AK318" s="44">
        <f t="shared" si="180"/>
        <v>37936.652283379575</v>
      </c>
      <c r="AL318" s="44">
        <f t="shared" si="181"/>
        <v>5650.2310080088801</v>
      </c>
      <c r="AM318" s="14">
        <f t="shared" si="182"/>
        <v>2342.7717198208452</v>
      </c>
      <c r="AN318" s="14">
        <f t="shared" si="183"/>
        <v>2880.3886563232022</v>
      </c>
      <c r="AO318" s="14">
        <f t="shared" si="184"/>
        <v>4725.4031759438594</v>
      </c>
      <c r="AP318" s="14">
        <f t="shared" si="185"/>
        <v>2673.9384646591948</v>
      </c>
      <c r="AQ318" s="14">
        <f t="shared" si="186"/>
        <v>2928.4646497760564</v>
      </c>
      <c r="AR318" s="33">
        <f t="shared" si="187"/>
        <v>0.72740612518184822</v>
      </c>
      <c r="AS318" s="33">
        <f t="shared" si="188"/>
        <v>0.02</v>
      </c>
      <c r="AT318" s="51">
        <f t="shared" si="189"/>
        <v>9.8690541068636755</v>
      </c>
      <c r="AU318" s="51">
        <f>APPLICANTS_PER_YEAR*($H318/Segments!$AH$2)*AS318</f>
        <v>0.24</v>
      </c>
      <c r="AV318" s="51">
        <f t="shared" si="190"/>
        <v>10.109054106863676</v>
      </c>
      <c r="AW318" s="14">
        <f t="shared" si="191"/>
        <v>2971.1259355621773</v>
      </c>
      <c r="AX318" s="44">
        <f t="shared" si="192"/>
        <v>30035.27284090401</v>
      </c>
      <c r="AY318" s="44">
        <f t="shared" si="193"/>
        <v>32612.165348635728</v>
      </c>
      <c r="AZ318" s="44">
        <f t="shared" si="194"/>
        <v>5924.5410357460596</v>
      </c>
    </row>
    <row r="319" spans="1:52" ht="15" customHeight="1" x14ac:dyDescent="0.35">
      <c r="A319" s="59" t="str">
        <f>Segments!$A$299</f>
        <v>Greek</v>
      </c>
      <c r="B319" s="59" t="str">
        <f>Segments!$B$299</f>
        <v>Off 1-3mi</v>
      </c>
      <c r="C319" s="59" t="str">
        <f>Segments!$C$299</f>
        <v>Yes</v>
      </c>
      <c r="D319" s="59" t="str">
        <f>Segments!$D$299</f>
        <v>2.0-3.0</v>
      </c>
      <c r="E319" s="59" t="str">
        <f>Segments!$E$299</f>
        <v>Grad student</v>
      </c>
      <c r="F319" s="59">
        <f>Segments!$F$299</f>
        <v>3</v>
      </c>
      <c r="G319" s="59" t="str">
        <f>Segments!$G$299</f>
        <v>Grad</v>
      </c>
      <c r="H319" s="60">
        <f>Segments!$H$299</f>
        <v>10</v>
      </c>
      <c r="I319" s="26">
        <f>Segments!$Y$299</f>
        <v>3232.7480395592152</v>
      </c>
      <c r="J319" s="29">
        <v>4</v>
      </c>
      <c r="K319" s="14">
        <f t="shared" si="156"/>
        <v>1426.2297754450396</v>
      </c>
      <c r="L319" s="14">
        <f t="shared" si="157"/>
        <v>3232.7480395592152</v>
      </c>
      <c r="M319" s="14">
        <f t="shared" si="158"/>
        <v>5298.367002900316</v>
      </c>
      <c r="N319" s="14">
        <f t="shared" si="159"/>
        <v>2748.9432116309581</v>
      </c>
      <c r="O319" s="14">
        <f t="shared" si="160"/>
        <v>1782.7872193062994</v>
      </c>
      <c r="P319" s="33">
        <f t="shared" si="161"/>
        <v>0.95</v>
      </c>
      <c r="Q319" s="33">
        <f t="shared" si="162"/>
        <v>0.02</v>
      </c>
      <c r="R319" s="51">
        <f t="shared" si="163"/>
        <v>4.75</v>
      </c>
      <c r="S319" s="51">
        <f>APPLICANTS_PER_YEAR*($H319/Segments!$AH$2)*Q319</f>
        <v>0.24</v>
      </c>
      <c r="T319" s="51">
        <f t="shared" si="164"/>
        <v>4.99</v>
      </c>
      <c r="U319" s="14">
        <f t="shared" si="165"/>
        <v>1951.8732209220436</v>
      </c>
      <c r="V319" s="44">
        <f t="shared" si="166"/>
        <v>9739.8473724009982</v>
      </c>
      <c r="W319" s="44">
        <f t="shared" si="167"/>
        <v>18067.182243488543</v>
      </c>
      <c r="X319" s="44">
        <f t="shared" si="168"/>
        <v>1991.1374362081513</v>
      </c>
      <c r="Y319" s="14">
        <f t="shared" si="169"/>
        <v>1951.8732209220436</v>
      </c>
      <c r="Z319" s="14">
        <f t="shared" si="170"/>
        <v>3329.7304807459918</v>
      </c>
      <c r="AA319" s="14">
        <f t="shared" si="171"/>
        <v>5456.0680129873263</v>
      </c>
      <c r="AB319" s="14">
        <f t="shared" si="172"/>
        <v>2831.0872216668017</v>
      </c>
      <c r="AC319" s="14">
        <f t="shared" si="173"/>
        <v>2439.8415261525547</v>
      </c>
      <c r="AD319" s="33">
        <f t="shared" si="174"/>
        <v>0.8440981352534771</v>
      </c>
      <c r="AE319" s="33">
        <f t="shared" si="175"/>
        <v>0.02</v>
      </c>
      <c r="AF319" s="51">
        <f t="shared" si="176"/>
        <v>2.1060248474574252</v>
      </c>
      <c r="AG319" s="51">
        <f>APPLICANTS_PER_YEAR*($H319/Segments!$AH$2)*AE319</f>
        <v>0.24</v>
      </c>
      <c r="AH319" s="51">
        <f t="shared" si="177"/>
        <v>2.346024847457425</v>
      </c>
      <c r="AI319" s="14">
        <f t="shared" si="178"/>
        <v>2748.4036275407343</v>
      </c>
      <c r="AJ319" s="44">
        <f t="shared" si="179"/>
        <v>6447.8232010526845</v>
      </c>
      <c r="AK319" s="44">
        <f t="shared" si="180"/>
        <v>8749.0260963464298</v>
      </c>
      <c r="AL319" s="44">
        <f t="shared" si="181"/>
        <v>1317.3900532571993</v>
      </c>
      <c r="AM319" s="14">
        <f t="shared" si="182"/>
        <v>2748.4036275407343</v>
      </c>
      <c r="AN319" s="14">
        <f t="shared" si="183"/>
        <v>3429.6223951683714</v>
      </c>
      <c r="AO319" s="14">
        <f t="shared" si="184"/>
        <v>5618.5000533769462</v>
      </c>
      <c r="AP319" s="14">
        <f t="shared" si="185"/>
        <v>2915.6955153952908</v>
      </c>
      <c r="AQ319" s="14">
        <f t="shared" si="186"/>
        <v>3435.5045344259179</v>
      </c>
      <c r="AR319" s="33">
        <f t="shared" si="187"/>
        <v>0.68586020191649633</v>
      </c>
      <c r="AS319" s="33">
        <f t="shared" si="188"/>
        <v>0.02</v>
      </c>
      <c r="AT319" s="51">
        <f t="shared" si="189"/>
        <v>0.80452253778913352</v>
      </c>
      <c r="AU319" s="51">
        <f>APPLICANTS_PER_YEAR*($H319/Segments!$AH$2)*AS319</f>
        <v>0.24</v>
      </c>
      <c r="AV319" s="51">
        <f t="shared" si="190"/>
        <v>1.0445225377891334</v>
      </c>
      <c r="AW319" s="14">
        <f t="shared" si="191"/>
        <v>3937.0915328809151</v>
      </c>
      <c r="AX319" s="44">
        <f t="shared" si="192"/>
        <v>4112.3808394328826</v>
      </c>
      <c r="AY319" s="44">
        <f t="shared" si="193"/>
        <v>4012.1960344028798</v>
      </c>
      <c r="AZ319" s="44">
        <f t="shared" si="194"/>
        <v>851.32582985696376</v>
      </c>
    </row>
    <row r="320" spans="1:52" ht="15" customHeight="1" x14ac:dyDescent="0.35">
      <c r="A320" s="61" t="str">
        <f>Segments!$A$300</f>
        <v>Greek</v>
      </c>
      <c r="B320" s="61" t="str">
        <f>Segments!$B$300</f>
        <v>Off 1-3mi</v>
      </c>
      <c r="C320" s="61" t="str">
        <f>Segments!$C$300</f>
        <v>Yes</v>
      </c>
      <c r="D320" s="61" t="str">
        <f>Segments!$D$300</f>
        <v>3.0+</v>
      </c>
      <c r="E320" s="61" t="str">
        <f>Segments!$E$300</f>
        <v>Freshman</v>
      </c>
      <c r="F320" s="61">
        <f>Segments!$F$300</f>
        <v>1</v>
      </c>
      <c r="G320" s="61" t="str">
        <f>Segments!$G$300</f>
        <v>Base</v>
      </c>
      <c r="H320" s="62">
        <f>Segments!$H$300</f>
        <v>6</v>
      </c>
      <c r="I320" s="63">
        <f>Segments!$Y$300</f>
        <v>2151.811465185292</v>
      </c>
      <c r="J320" s="42">
        <v>0</v>
      </c>
      <c r="K320" s="40">
        <f t="shared" si="156"/>
        <v>3540.6798635297473</v>
      </c>
      <c r="L320" s="40">
        <f t="shared" si="157"/>
        <v>2151.811465185292</v>
      </c>
      <c r="M320" s="40">
        <f t="shared" si="158"/>
        <v>3540.6798635297473</v>
      </c>
      <c r="N320" s="40">
        <f t="shared" si="159"/>
        <v>2247.1811334836375</v>
      </c>
      <c r="O320" s="40">
        <f t="shared" si="160"/>
        <v>3540.6798635297473</v>
      </c>
      <c r="P320" s="41">
        <f t="shared" si="161"/>
        <v>0.56219526749032123</v>
      </c>
      <c r="Q320" s="41">
        <f t="shared" si="162"/>
        <v>6.2195267490321227E-2</v>
      </c>
      <c r="R320" s="64">
        <f t="shared" si="163"/>
        <v>0</v>
      </c>
      <c r="S320" s="64">
        <f>APPLICANTS_PER_YEAR*($H320/Segments!$AH$2)*Q320</f>
        <v>0.44780592593031276</v>
      </c>
      <c r="T320" s="64">
        <f t="shared" si="164"/>
        <v>0.44780592593031276</v>
      </c>
      <c r="U320" s="40">
        <f t="shared" si="165"/>
        <v>3540.6798635297473</v>
      </c>
      <c r="V320" s="65">
        <f t="shared" si="166"/>
        <v>1585.537424710752</v>
      </c>
      <c r="W320" s="65">
        <f t="shared" si="167"/>
        <v>1079.2251966661343</v>
      </c>
      <c r="X320" s="65">
        <f t="shared" si="168"/>
        <v>375.31164980207257</v>
      </c>
      <c r="Y320" s="40">
        <f t="shared" si="169"/>
        <v>3645.6502594356402</v>
      </c>
      <c r="Z320" s="40">
        <f t="shared" si="170"/>
        <v>2216.3658091408511</v>
      </c>
      <c r="AA320" s="40">
        <f t="shared" si="171"/>
        <v>3645.6502594356402</v>
      </c>
      <c r="AB320" s="40">
        <f t="shared" si="172"/>
        <v>2314.1998615919119</v>
      </c>
      <c r="AC320" s="40">
        <f t="shared" si="173"/>
        <v>3645.6502594356402</v>
      </c>
      <c r="AD320" s="41">
        <f t="shared" si="174"/>
        <v>0.5623302917908225</v>
      </c>
      <c r="AE320" s="41">
        <f t="shared" si="175"/>
        <v>6.2330291790822501E-2</v>
      </c>
      <c r="AF320" s="64">
        <f t="shared" si="176"/>
        <v>0</v>
      </c>
      <c r="AG320" s="64">
        <f>APPLICANTS_PER_YEAR*($H320/Segments!$AH$2)*AE320</f>
        <v>0.44877810089392195</v>
      </c>
      <c r="AH320" s="64">
        <f t="shared" si="177"/>
        <v>0.44877810089392195</v>
      </c>
      <c r="AI320" s="40">
        <f t="shared" si="178"/>
        <v>3645.6502594356402</v>
      </c>
      <c r="AJ320" s="65">
        <f t="shared" si="179"/>
        <v>1636.0879999529604</v>
      </c>
      <c r="AK320" s="65">
        <f t="shared" si="180"/>
        <v>1114.0152113579461</v>
      </c>
      <c r="AL320" s="65">
        <f t="shared" si="181"/>
        <v>386.67872652968958</v>
      </c>
      <c r="AM320" s="40">
        <f t="shared" si="182"/>
        <v>3753.7697672187087</v>
      </c>
      <c r="AN320" s="40">
        <f t="shared" si="183"/>
        <v>2282.8567834150763</v>
      </c>
      <c r="AO320" s="40">
        <f t="shared" si="184"/>
        <v>3753.7697672187087</v>
      </c>
      <c r="AP320" s="40">
        <f t="shared" si="185"/>
        <v>2383.2290845183215</v>
      </c>
      <c r="AQ320" s="40">
        <f t="shared" si="186"/>
        <v>3753.7697672187087</v>
      </c>
      <c r="AR320" s="41">
        <f t="shared" si="187"/>
        <v>0.56246140549317158</v>
      </c>
      <c r="AS320" s="41">
        <f t="shared" si="188"/>
        <v>6.2461405493171585E-2</v>
      </c>
      <c r="AT320" s="64">
        <f t="shared" si="189"/>
        <v>0</v>
      </c>
      <c r="AU320" s="64">
        <f>APPLICANTS_PER_YEAR*($H320/Segments!$AH$2)*AS320</f>
        <v>0.44972211955083535</v>
      </c>
      <c r="AV320" s="64">
        <f t="shared" si="190"/>
        <v>0.44972211955083535</v>
      </c>
      <c r="AW320" s="40">
        <f t="shared" si="191"/>
        <v>3753.7697672187087</v>
      </c>
      <c r="AX320" s="65">
        <f t="shared" si="192"/>
        <v>1688.1532960194436</v>
      </c>
      <c r="AY320" s="65">
        <f t="shared" si="193"/>
        <v>1149.8493342206423</v>
      </c>
      <c r="AZ320" s="65">
        <f t="shared" si="194"/>
        <v>398.383833688143</v>
      </c>
    </row>
    <row r="321" spans="1:52" ht="15" customHeight="1" x14ac:dyDescent="0.35">
      <c r="A321" s="61" t="str">
        <f>Segments!$A$301</f>
        <v>Greek</v>
      </c>
      <c r="B321" s="61" t="str">
        <f>Segments!$B$301</f>
        <v>Off 1-3mi</v>
      </c>
      <c r="C321" s="61" t="str">
        <f>Segments!$C$301</f>
        <v>Yes</v>
      </c>
      <c r="D321" s="61" t="str">
        <f>Segments!$D$301</f>
        <v>3.0+</v>
      </c>
      <c r="E321" s="61" t="str">
        <f>Segments!$E$301</f>
        <v>Sophomore</v>
      </c>
      <c r="F321" s="61">
        <f>Segments!$F$301</f>
        <v>1</v>
      </c>
      <c r="G321" s="61" t="str">
        <f>Segments!$G$301</f>
        <v>Sophomore</v>
      </c>
      <c r="H321" s="62">
        <f>Segments!$H$301</f>
        <v>4</v>
      </c>
      <c r="I321" s="63">
        <f>Segments!$Y$301</f>
        <v>2129.919457841148</v>
      </c>
      <c r="J321" s="42">
        <v>1</v>
      </c>
      <c r="K321" s="40">
        <f t="shared" si="156"/>
        <v>1426.2297754450396</v>
      </c>
      <c r="L321" s="40">
        <f t="shared" si="157"/>
        <v>2129.919457841148</v>
      </c>
      <c r="M321" s="40">
        <f t="shared" si="158"/>
        <v>3505.0817528949069</v>
      </c>
      <c r="N321" s="40">
        <f t="shared" si="159"/>
        <v>2235.8559795630417</v>
      </c>
      <c r="O321" s="40">
        <f t="shared" si="160"/>
        <v>1782.7872193062994</v>
      </c>
      <c r="P321" s="41">
        <f t="shared" si="161"/>
        <v>0.87631886051651831</v>
      </c>
      <c r="Q321" s="41">
        <f t="shared" si="162"/>
        <v>6.6165579327718382E-2</v>
      </c>
      <c r="R321" s="64">
        <f t="shared" si="163"/>
        <v>5.2579131630991096</v>
      </c>
      <c r="S321" s="64">
        <f>APPLICANTS_PER_YEAR*($H321/Segments!$AH$2)*Q321</f>
        <v>0.3175947807730482</v>
      </c>
      <c r="T321" s="64">
        <f t="shared" si="164"/>
        <v>5.5755079438721582</v>
      </c>
      <c r="U321" s="40">
        <f t="shared" si="165"/>
        <v>1880.893393726313</v>
      </c>
      <c r="V321" s="65">
        <f t="shared" si="166"/>
        <v>10486.936058297721</v>
      </c>
      <c r="W321" s="65">
        <f t="shared" si="167"/>
        <v>13300.428799841346</v>
      </c>
      <c r="X321" s="65">
        <f t="shared" si="168"/>
        <v>2140.442791896618</v>
      </c>
      <c r="Y321" s="40">
        <f t="shared" si="169"/>
        <v>3540.6798635297473</v>
      </c>
      <c r="Z321" s="40">
        <f t="shared" si="170"/>
        <v>2193.8170415763825</v>
      </c>
      <c r="AA321" s="40">
        <f t="shared" si="171"/>
        <v>3608.9842054817545</v>
      </c>
      <c r="AB321" s="40">
        <f t="shared" si="172"/>
        <v>2302.5329432948415</v>
      </c>
      <c r="AC321" s="40">
        <f t="shared" si="173"/>
        <v>3608.9842054817545</v>
      </c>
      <c r="AD321" s="41">
        <f t="shared" si="174"/>
        <v>0.56051389560131915</v>
      </c>
      <c r="AE321" s="41">
        <f t="shared" si="175"/>
        <v>6.6301287677250631E-2</v>
      </c>
      <c r="AF321" s="64">
        <f t="shared" si="176"/>
        <v>0.25100144401655539</v>
      </c>
      <c r="AG321" s="64">
        <f>APPLICANTS_PER_YEAR*($H321/Segments!$AH$2)*AE321</f>
        <v>0.31824618085080303</v>
      </c>
      <c r="AH321" s="64">
        <f t="shared" si="177"/>
        <v>0.56924762486735836</v>
      </c>
      <c r="AI321" s="40">
        <f t="shared" si="178"/>
        <v>3608.984205481755</v>
      </c>
      <c r="AJ321" s="65">
        <f t="shared" si="179"/>
        <v>2054.4056871542994</v>
      </c>
      <c r="AK321" s="65">
        <f t="shared" si="180"/>
        <v>1398.6841571481975</v>
      </c>
      <c r="AL321" s="65">
        <f t="shared" si="181"/>
        <v>447.82287229587024</v>
      </c>
      <c r="AM321" s="40">
        <f t="shared" si="182"/>
        <v>3645.6502594356402</v>
      </c>
      <c r="AN321" s="40">
        <f t="shared" si="183"/>
        <v>2259.6315528236737</v>
      </c>
      <c r="AO321" s="40">
        <f t="shared" si="184"/>
        <v>3716.0037316462067</v>
      </c>
      <c r="AP321" s="40">
        <f t="shared" si="185"/>
        <v>2371.2101478894665</v>
      </c>
      <c r="AQ321" s="40">
        <f t="shared" si="186"/>
        <v>3716.0037316462067</v>
      </c>
      <c r="AR321" s="41">
        <f t="shared" si="187"/>
        <v>0.56064368941897191</v>
      </c>
      <c r="AS321" s="41">
        <f t="shared" si="188"/>
        <v>6.6433065843258254E-2</v>
      </c>
      <c r="AT321" s="64">
        <f t="shared" si="189"/>
        <v>0.25160461021560804</v>
      </c>
      <c r="AU321" s="64">
        <f>APPLICANTS_PER_YEAR*($H321/Segments!$AH$2)*AS321</f>
        <v>0.31887871604763962</v>
      </c>
      <c r="AV321" s="64">
        <f t="shared" si="190"/>
        <v>0.5704833262632476</v>
      </c>
      <c r="AW321" s="40">
        <f t="shared" si="191"/>
        <v>3716.0037316462076</v>
      </c>
      <c r="AX321" s="65">
        <f t="shared" si="192"/>
        <v>2119.918169236169</v>
      </c>
      <c r="AY321" s="65">
        <f t="shared" si="193"/>
        <v>1443.7719793103454</v>
      </c>
      <c r="AZ321" s="65">
        <f t="shared" si="194"/>
        <v>461.51957586923709</v>
      </c>
    </row>
    <row r="322" spans="1:52" ht="15" customHeight="1" x14ac:dyDescent="0.35">
      <c r="A322" s="61" t="str">
        <f>Segments!$A$302</f>
        <v>Greek</v>
      </c>
      <c r="B322" s="61" t="str">
        <f>Segments!$B$302</f>
        <v>Off 1-3mi</v>
      </c>
      <c r="C322" s="61" t="str">
        <f>Segments!$C$302</f>
        <v>Yes</v>
      </c>
      <c r="D322" s="61" t="str">
        <f>Segments!$D$302</f>
        <v>3.0+</v>
      </c>
      <c r="E322" s="61" t="str">
        <f>Segments!$E$302</f>
        <v>Junior</v>
      </c>
      <c r="F322" s="61">
        <f>Segments!$F$302</f>
        <v>2</v>
      </c>
      <c r="G322" s="61" t="str">
        <f>Segments!$G$302</f>
        <v>Base</v>
      </c>
      <c r="H322" s="62">
        <f>Segments!$H$302</f>
        <v>6</v>
      </c>
      <c r="I322" s="63">
        <f>Segments!$Y$302</f>
        <v>2546.160296735402</v>
      </c>
      <c r="J322" s="42">
        <v>2</v>
      </c>
      <c r="K322" s="40">
        <f t="shared" si="156"/>
        <v>1426.2297754450396</v>
      </c>
      <c r="L322" s="40">
        <f t="shared" si="157"/>
        <v>2546.160296735402</v>
      </c>
      <c r="M322" s="40">
        <f t="shared" si="158"/>
        <v>4181.9218069276812</v>
      </c>
      <c r="N322" s="40">
        <f t="shared" si="159"/>
        <v>2442.2083038969422</v>
      </c>
      <c r="O322" s="40">
        <f t="shared" si="160"/>
        <v>1782.7872193062994</v>
      </c>
      <c r="P322" s="41">
        <f t="shared" si="161"/>
        <v>0.91000508608099251</v>
      </c>
      <c r="Q322" s="41">
        <f t="shared" si="162"/>
        <v>0.02</v>
      </c>
      <c r="R322" s="64">
        <f t="shared" si="163"/>
        <v>3.64002034432397</v>
      </c>
      <c r="S322" s="64">
        <f>APPLICANTS_PER_YEAR*($H322/Segments!$AH$2)*Q322</f>
        <v>0.14399999999999999</v>
      </c>
      <c r="T322" s="64">
        <f t="shared" si="164"/>
        <v>3.7840203443239702</v>
      </c>
      <c r="U322" s="40">
        <f t="shared" si="165"/>
        <v>1874.0857190978484</v>
      </c>
      <c r="V322" s="65">
        <f t="shared" si="166"/>
        <v>7091.5784880732754</v>
      </c>
      <c r="W322" s="65">
        <f t="shared" si="167"/>
        <v>10790.889046287526</v>
      </c>
      <c r="X322" s="65">
        <f t="shared" si="168"/>
        <v>1440.6656270392439</v>
      </c>
      <c r="Y322" s="40">
        <f t="shared" si="169"/>
        <v>1880.893393726313</v>
      </c>
      <c r="Z322" s="40">
        <f t="shared" si="170"/>
        <v>2622.5451056374641</v>
      </c>
      <c r="AA322" s="40">
        <f t="shared" si="171"/>
        <v>4306.1294611355115</v>
      </c>
      <c r="AB322" s="40">
        <f t="shared" si="172"/>
        <v>2515.1095316157398</v>
      </c>
      <c r="AC322" s="40">
        <f t="shared" si="173"/>
        <v>2351.1167421578912</v>
      </c>
      <c r="AD322" s="41">
        <f t="shared" si="174"/>
        <v>0.80760152041022593</v>
      </c>
      <c r="AE322" s="41">
        <f t="shared" si="175"/>
        <v>0.02</v>
      </c>
      <c r="AF322" s="64">
        <f t="shared" si="176"/>
        <v>4.5027886925304479</v>
      </c>
      <c r="AG322" s="64">
        <f>APPLICANTS_PER_YEAR*($H322/Segments!$AH$2)*AE322</f>
        <v>0.14399999999999999</v>
      </c>
      <c r="AH322" s="64">
        <f t="shared" si="177"/>
        <v>4.646788692530448</v>
      </c>
      <c r="AI322" s="40">
        <f t="shared" si="178"/>
        <v>2411.7009111745097</v>
      </c>
      <c r="AJ322" s="65">
        <f t="shared" si="179"/>
        <v>11206.66452381109</v>
      </c>
      <c r="AK322" s="65">
        <f t="shared" si="180"/>
        <v>13648.782495630507</v>
      </c>
      <c r="AL322" s="65">
        <f t="shared" si="181"/>
        <v>2236.2982613350282</v>
      </c>
      <c r="AM322" s="40">
        <f t="shared" si="182"/>
        <v>3608.984205481755</v>
      </c>
      <c r="AN322" s="40">
        <f t="shared" si="183"/>
        <v>2701.2214588065876</v>
      </c>
      <c r="AO322" s="40">
        <f t="shared" si="184"/>
        <v>4434.0633449695761</v>
      </c>
      <c r="AP322" s="40">
        <f t="shared" si="185"/>
        <v>2590.1977439541693</v>
      </c>
      <c r="AQ322" s="40">
        <f t="shared" si="186"/>
        <v>4434.0633449695761</v>
      </c>
      <c r="AR322" s="41">
        <f t="shared" si="187"/>
        <v>0.42548313249457365</v>
      </c>
      <c r="AS322" s="41">
        <f t="shared" si="188"/>
        <v>0.02</v>
      </c>
      <c r="AT322" s="64">
        <f t="shared" si="189"/>
        <v>0.2422052625936596</v>
      </c>
      <c r="AU322" s="64">
        <f>APPLICANTS_PER_YEAR*($H322/Segments!$AH$2)*AS322</f>
        <v>0.14399999999999999</v>
      </c>
      <c r="AV322" s="64">
        <f t="shared" si="190"/>
        <v>0.38620526259365962</v>
      </c>
      <c r="AW322" s="40">
        <f t="shared" si="191"/>
        <v>4434.0633449695761</v>
      </c>
      <c r="AX322" s="65">
        <f t="shared" si="192"/>
        <v>1712.4585985008957</v>
      </c>
      <c r="AY322" s="65">
        <f t="shared" si="193"/>
        <v>1168.4130559606699</v>
      </c>
      <c r="AZ322" s="65">
        <f t="shared" si="194"/>
        <v>357.32645962718914</v>
      </c>
    </row>
    <row r="323" spans="1:52" ht="15" customHeight="1" x14ac:dyDescent="0.35">
      <c r="A323" s="61" t="str">
        <f>Segments!$A$303</f>
        <v>Greek</v>
      </c>
      <c r="B323" s="61" t="str">
        <f>Segments!$B$303</f>
        <v>Off 1-3mi</v>
      </c>
      <c r="C323" s="61" t="str">
        <f>Segments!$C$303</f>
        <v>Yes</v>
      </c>
      <c r="D323" s="61" t="str">
        <f>Segments!$D$303</f>
        <v>3.0+</v>
      </c>
      <c r="E323" s="61" t="str">
        <f>Segments!$E$303</f>
        <v>Senior</v>
      </c>
      <c r="F323" s="61">
        <f>Segments!$F$303</f>
        <v>3</v>
      </c>
      <c r="G323" s="61" t="str">
        <f>Segments!$G$303</f>
        <v>Base</v>
      </c>
      <c r="H323" s="62">
        <f>Segments!$H$303</f>
        <v>5</v>
      </c>
      <c r="I323" s="63">
        <f>Segments!$Y$303</f>
        <v>2379.8640914705175</v>
      </c>
      <c r="J323" s="42">
        <v>3</v>
      </c>
      <c r="K323" s="40">
        <f t="shared" si="156"/>
        <v>1426.2297754450396</v>
      </c>
      <c r="L323" s="40">
        <f t="shared" si="157"/>
        <v>2379.8640914705175</v>
      </c>
      <c r="M323" s="40">
        <f t="shared" si="158"/>
        <v>3911.5112127727793</v>
      </c>
      <c r="N323" s="40">
        <f t="shared" si="159"/>
        <v>2361.930091819755</v>
      </c>
      <c r="O323" s="40">
        <f t="shared" si="160"/>
        <v>1782.7872193062994</v>
      </c>
      <c r="P323" s="41">
        <f t="shared" si="161"/>
        <v>0.8975994949044519</v>
      </c>
      <c r="Q323" s="41">
        <f t="shared" si="162"/>
        <v>2.1967191933452646E-2</v>
      </c>
      <c r="R323" s="64">
        <f t="shared" si="163"/>
        <v>5.385596969426711</v>
      </c>
      <c r="S323" s="64">
        <f>APPLICANTS_PER_YEAR*($H323/Segments!$AH$2)*Q323</f>
        <v>0.13180315160071587</v>
      </c>
      <c r="T323" s="64">
        <f t="shared" si="164"/>
        <v>5.5174001210274266</v>
      </c>
      <c r="U323" s="40">
        <f t="shared" si="165"/>
        <v>1833.6395274718157</v>
      </c>
      <c r="V323" s="65">
        <f t="shared" si="166"/>
        <v>10116.922950793669</v>
      </c>
      <c r="W323" s="65">
        <f t="shared" si="167"/>
        <v>14706.341917465252</v>
      </c>
      <c r="X323" s="65">
        <f t="shared" si="168"/>
        <v>2043.7857515983444</v>
      </c>
      <c r="Y323" s="40">
        <f t="shared" si="169"/>
        <v>1874.0857190978484</v>
      </c>
      <c r="Z323" s="40">
        <f t="shared" si="170"/>
        <v>2451.260014214633</v>
      </c>
      <c r="AA323" s="40">
        <f t="shared" si="171"/>
        <v>4027.606549155963</v>
      </c>
      <c r="AB323" s="40">
        <f t="shared" si="172"/>
        <v>2432.4105647914766</v>
      </c>
      <c r="AC323" s="40">
        <f t="shared" si="173"/>
        <v>2342.6071488723105</v>
      </c>
      <c r="AD323" s="41">
        <f t="shared" si="174"/>
        <v>0.79345975700382332</v>
      </c>
      <c r="AE323" s="41">
        <f t="shared" si="175"/>
        <v>2.2095655344015142E-2</v>
      </c>
      <c r="AF323" s="64">
        <f t="shared" si="176"/>
        <v>3.0024678629048211</v>
      </c>
      <c r="AG323" s="64">
        <f>APPLICANTS_PER_YEAR*($H323/Segments!$AH$2)*AE323</f>
        <v>0.13257393206409085</v>
      </c>
      <c r="AH323" s="64">
        <f t="shared" si="177"/>
        <v>3.1350417949689122</v>
      </c>
      <c r="AI323" s="40">
        <f t="shared" si="178"/>
        <v>2413.8620190241941</v>
      </c>
      <c r="AJ323" s="65">
        <f t="shared" si="179"/>
        <v>7567.5583169288921</v>
      </c>
      <c r="AK323" s="65">
        <f t="shared" si="180"/>
        <v>8606.9789062868404</v>
      </c>
      <c r="AL323" s="65">
        <f t="shared" si="181"/>
        <v>1514.9721533965453</v>
      </c>
      <c r="AM323" s="40">
        <f t="shared" si="182"/>
        <v>2411.7009111745097</v>
      </c>
      <c r="AN323" s="40">
        <f t="shared" si="183"/>
        <v>2524.7978146410719</v>
      </c>
      <c r="AO323" s="40">
        <f t="shared" si="184"/>
        <v>4147.1847456306423</v>
      </c>
      <c r="AP323" s="40">
        <f t="shared" si="185"/>
        <v>2505.0053942319005</v>
      </c>
      <c r="AQ323" s="40">
        <f t="shared" si="186"/>
        <v>3014.6261389681372</v>
      </c>
      <c r="AR323" s="41">
        <f t="shared" si="187"/>
        <v>0.67327951151129173</v>
      </c>
      <c r="AS323" s="41">
        <f t="shared" si="188"/>
        <v>2.2220396175578583E-2</v>
      </c>
      <c r="AT323" s="64">
        <f t="shared" si="189"/>
        <v>3.1285876210030938</v>
      </c>
      <c r="AU323" s="64">
        <f>APPLICANTS_PER_YEAR*($H323/Segments!$AH$2)*AS323</f>
        <v>0.1333223770534715</v>
      </c>
      <c r="AV323" s="64">
        <f t="shared" si="190"/>
        <v>3.2619099980565656</v>
      </c>
      <c r="AW323" s="40">
        <f t="shared" si="191"/>
        <v>3060.9166269590914</v>
      </c>
      <c r="AX323" s="65">
        <f t="shared" si="192"/>
        <v>9984.4345486954389</v>
      </c>
      <c r="AY323" s="65">
        <f t="shared" si="193"/>
        <v>9223.9428228069719</v>
      </c>
      <c r="AZ323" s="65">
        <f t="shared" si="194"/>
        <v>1974.9813275837646</v>
      </c>
    </row>
    <row r="324" spans="1:52" ht="15" customHeight="1" x14ac:dyDescent="0.35">
      <c r="A324" s="61" t="str">
        <f>Segments!$A$304</f>
        <v>Greek</v>
      </c>
      <c r="B324" s="61" t="str">
        <f>Segments!$B$304</f>
        <v>Off 1-3mi</v>
      </c>
      <c r="C324" s="61" t="str">
        <f>Segments!$C$304</f>
        <v>Yes</v>
      </c>
      <c r="D324" s="61" t="str">
        <f>Segments!$D$304</f>
        <v>3.0+</v>
      </c>
      <c r="E324" s="61" t="str">
        <f>Segments!$E$304</f>
        <v>Grad student</v>
      </c>
      <c r="F324" s="61">
        <f>Segments!$F$304</f>
        <v>3</v>
      </c>
      <c r="G324" s="61" t="str">
        <f>Segments!$G$304</f>
        <v>Grad</v>
      </c>
      <c r="H324" s="62">
        <f>Segments!$H$304</f>
        <v>4</v>
      </c>
      <c r="I324" s="63">
        <f>Segments!$Y$304</f>
        <v>2833.6575925774896</v>
      </c>
      <c r="J324" s="42">
        <v>4</v>
      </c>
      <c r="K324" s="40">
        <f t="shared" si="156"/>
        <v>1426.2297754450396</v>
      </c>
      <c r="L324" s="40">
        <f t="shared" si="157"/>
        <v>2833.6575925774896</v>
      </c>
      <c r="M324" s="40">
        <f t="shared" si="158"/>
        <v>4649.4148231558902</v>
      </c>
      <c r="N324" s="40">
        <f t="shared" si="159"/>
        <v>2575.0988057122127</v>
      </c>
      <c r="O324" s="40">
        <f t="shared" si="160"/>
        <v>1782.7872193062994</v>
      </c>
      <c r="P324" s="41">
        <f t="shared" si="161"/>
        <v>0.92884100692532034</v>
      </c>
      <c r="Q324" s="41">
        <f t="shared" si="162"/>
        <v>0.02</v>
      </c>
      <c r="R324" s="64">
        <f t="shared" si="163"/>
        <v>1.8576820138506407</v>
      </c>
      <c r="S324" s="64">
        <f>APPLICANTS_PER_YEAR*($H324/Segments!$AH$2)*Q324</f>
        <v>9.6000000000000002E-2</v>
      </c>
      <c r="T324" s="64">
        <f t="shared" si="164"/>
        <v>1.9536820138506408</v>
      </c>
      <c r="U324" s="40">
        <f t="shared" si="165"/>
        <v>1923.6475271857573</v>
      </c>
      <c r="V324" s="65">
        <f t="shared" si="166"/>
        <v>3758.1955748510754</v>
      </c>
      <c r="W324" s="65">
        <f t="shared" si="167"/>
        <v>6200.3937766735426</v>
      </c>
      <c r="X324" s="65">
        <f t="shared" si="168"/>
        <v>767.39463772966997</v>
      </c>
      <c r="Y324" s="40">
        <f t="shared" si="169"/>
        <v>1923.6475271857573</v>
      </c>
      <c r="Z324" s="40">
        <f t="shared" si="170"/>
        <v>2918.6673203548144</v>
      </c>
      <c r="AA324" s="40">
        <f t="shared" si="171"/>
        <v>4787.647267850567</v>
      </c>
      <c r="AB324" s="40">
        <f t="shared" si="172"/>
        <v>2652.0055882989136</v>
      </c>
      <c r="AC324" s="40">
        <f t="shared" si="173"/>
        <v>2404.5594089821966</v>
      </c>
      <c r="AD324" s="41">
        <f t="shared" si="174"/>
        <v>0.82165265043340985</v>
      </c>
      <c r="AE324" s="41">
        <f t="shared" si="175"/>
        <v>0.02</v>
      </c>
      <c r="AF324" s="64">
        <f t="shared" si="176"/>
        <v>0.80262400239223031</v>
      </c>
      <c r="AG324" s="64">
        <f>APPLICANTS_PER_YEAR*($H324/Segments!$AH$2)*AE324</f>
        <v>9.6000000000000002E-2</v>
      </c>
      <c r="AH324" s="64">
        <f t="shared" si="177"/>
        <v>0.89862400239223028</v>
      </c>
      <c r="AI324" s="40">
        <f t="shared" si="178"/>
        <v>2659.1446791756671</v>
      </c>
      <c r="AJ324" s="65">
        <f t="shared" si="179"/>
        <v>2389.571234540841</v>
      </c>
      <c r="AK324" s="65">
        <f t="shared" si="180"/>
        <v>2937.5186501568874</v>
      </c>
      <c r="AL324" s="65">
        <f t="shared" si="181"/>
        <v>488.08793819604142</v>
      </c>
      <c r="AM324" s="40">
        <f t="shared" si="182"/>
        <v>2659.1446791756671</v>
      </c>
      <c r="AN324" s="40">
        <f t="shared" si="183"/>
        <v>3006.2273399654587</v>
      </c>
      <c r="AO324" s="40">
        <f t="shared" si="184"/>
        <v>4930.0266858860832</v>
      </c>
      <c r="AP324" s="40">
        <f t="shared" si="185"/>
        <v>2731.219529826586</v>
      </c>
      <c r="AQ324" s="40">
        <f t="shared" si="186"/>
        <v>3323.9308489695841</v>
      </c>
      <c r="AR324" s="41">
        <f t="shared" si="187"/>
        <v>0.66649328483664017</v>
      </c>
      <c r="AS324" s="41">
        <f t="shared" si="188"/>
        <v>0.02</v>
      </c>
      <c r="AT324" s="64">
        <f t="shared" si="189"/>
        <v>0.29946343159372318</v>
      </c>
      <c r="AU324" s="64">
        <f>APPLICANTS_PER_YEAR*($H324/Segments!$AH$2)*AS324</f>
        <v>9.6000000000000002E-2</v>
      </c>
      <c r="AV324" s="64">
        <f t="shared" si="190"/>
        <v>0.39546343159372321</v>
      </c>
      <c r="AW324" s="40">
        <f t="shared" si="191"/>
        <v>3713.8156980506114</v>
      </c>
      <c r="AX324" s="65">
        <f t="shared" si="192"/>
        <v>1468.6783002577333</v>
      </c>
      <c r="AY324" s="65">
        <f t="shared" si="193"/>
        <v>1331.5153376152441</v>
      </c>
      <c r="AZ324" s="65">
        <f t="shared" si="194"/>
        <v>304.45435704516325</v>
      </c>
    </row>
    <row r="325" spans="1:52" ht="15" customHeight="1" x14ac:dyDescent="0.35">
      <c r="A325" s="59" t="str">
        <f>Segments!$A$305</f>
        <v>Greek</v>
      </c>
      <c r="B325" s="59" t="str">
        <f>Segments!$B$305</f>
        <v>Off 1-3mi</v>
      </c>
      <c r="C325" s="59" t="str">
        <f>Segments!$C$305</f>
        <v>No</v>
      </c>
      <c r="D325" s="59" t="str">
        <f>Segments!$D$305</f>
        <v>&lt;1.0</v>
      </c>
      <c r="E325" s="59" t="str">
        <f>Segments!$E$305</f>
        <v>Freshman</v>
      </c>
      <c r="F325" s="59">
        <f>Segments!$F$305</f>
        <v>1</v>
      </c>
      <c r="G325" s="59" t="str">
        <f>Segments!$G$305</f>
        <v>Base</v>
      </c>
      <c r="H325" s="60">
        <f>Segments!$H$305</f>
        <v>2</v>
      </c>
      <c r="I325" s="26">
        <f>Segments!$Y$305</f>
        <v>4239.8417490287602</v>
      </c>
      <c r="J325" s="29">
        <v>0</v>
      </c>
      <c r="K325" s="14">
        <f t="shared" si="156"/>
        <v>6935.9798871723569</v>
      </c>
      <c r="L325" s="14">
        <f t="shared" si="157"/>
        <v>4239.8417490287602</v>
      </c>
      <c r="M325" s="14">
        <f t="shared" si="158"/>
        <v>6935.9798871723569</v>
      </c>
      <c r="N325" s="14">
        <f t="shared" si="159"/>
        <v>3145.2028610207549</v>
      </c>
      <c r="O325" s="14">
        <f t="shared" si="160"/>
        <v>6935.9798871723569</v>
      </c>
      <c r="P325" s="33">
        <f t="shared" si="161"/>
        <v>0.3</v>
      </c>
      <c r="Q325" s="33">
        <f t="shared" si="162"/>
        <v>0.02</v>
      </c>
      <c r="R325" s="51">
        <f t="shared" si="163"/>
        <v>0</v>
      </c>
      <c r="S325" s="51">
        <f>APPLICANTS_PER_YEAR*($H325/Segments!$AH$2)*Q325</f>
        <v>4.8000000000000001E-2</v>
      </c>
      <c r="T325" s="51">
        <f t="shared" si="164"/>
        <v>4.8000000000000001E-2</v>
      </c>
      <c r="U325" s="14">
        <f t="shared" si="165"/>
        <v>6935.9798871723569</v>
      </c>
      <c r="V325" s="44">
        <f t="shared" si="166"/>
        <v>332.92703458427314</v>
      </c>
      <c r="W325" s="44">
        <f t="shared" si="167"/>
        <v>227.93389242778619</v>
      </c>
      <c r="X325" s="44">
        <f t="shared" si="168"/>
        <v>76.735655746877185</v>
      </c>
      <c r="Y325" s="14">
        <f t="shared" si="169"/>
        <v>7142.8092837875283</v>
      </c>
      <c r="Z325" s="14">
        <f t="shared" si="170"/>
        <v>4367.0370014996233</v>
      </c>
      <c r="AA325" s="14">
        <f t="shared" si="171"/>
        <v>7142.8092837875283</v>
      </c>
      <c r="AB325" s="14">
        <f t="shared" si="172"/>
        <v>3239.2755207436308</v>
      </c>
      <c r="AC325" s="14">
        <f t="shared" si="173"/>
        <v>7142.8092837875283</v>
      </c>
      <c r="AD325" s="33">
        <f t="shared" si="174"/>
        <v>0.3</v>
      </c>
      <c r="AE325" s="33">
        <f t="shared" si="175"/>
        <v>0.02</v>
      </c>
      <c r="AF325" s="51">
        <f t="shared" si="176"/>
        <v>0</v>
      </c>
      <c r="AG325" s="51">
        <f>APPLICANTS_PER_YEAR*($H325/Segments!$AH$2)*AE325</f>
        <v>4.8000000000000001E-2</v>
      </c>
      <c r="AH325" s="51">
        <f t="shared" si="177"/>
        <v>4.8000000000000001E-2</v>
      </c>
      <c r="AI325" s="14">
        <f t="shared" si="178"/>
        <v>7142.8092837875283</v>
      </c>
      <c r="AJ325" s="44">
        <f t="shared" si="179"/>
        <v>342.85484562180136</v>
      </c>
      <c r="AK325" s="44">
        <f t="shared" si="180"/>
        <v>234.77190920061977</v>
      </c>
      <c r="AL325" s="44">
        <f t="shared" si="181"/>
        <v>78.959485419283496</v>
      </c>
      <c r="AM325" s="14">
        <f t="shared" si="182"/>
        <v>7355.8435623011537</v>
      </c>
      <c r="AN325" s="14">
        <f t="shared" si="183"/>
        <v>4498.0481115446119</v>
      </c>
      <c r="AO325" s="14">
        <f t="shared" si="184"/>
        <v>7355.8435623011537</v>
      </c>
      <c r="AP325" s="14">
        <f t="shared" si="185"/>
        <v>3336.1703358183995</v>
      </c>
      <c r="AQ325" s="14">
        <f t="shared" si="186"/>
        <v>7355.8435623011537</v>
      </c>
      <c r="AR325" s="33">
        <f t="shared" si="187"/>
        <v>0.3</v>
      </c>
      <c r="AS325" s="33">
        <f t="shared" si="188"/>
        <v>0.02</v>
      </c>
      <c r="AT325" s="51">
        <f t="shared" si="189"/>
        <v>0</v>
      </c>
      <c r="AU325" s="51">
        <f>APPLICANTS_PER_YEAR*($H325/Segments!$AH$2)*AS325</f>
        <v>4.8000000000000001E-2</v>
      </c>
      <c r="AV325" s="51">
        <f t="shared" si="190"/>
        <v>4.8000000000000001E-2</v>
      </c>
      <c r="AW325" s="14">
        <f t="shared" si="191"/>
        <v>7355.8435623011528</v>
      </c>
      <c r="AX325" s="44">
        <f t="shared" si="192"/>
        <v>353.08049099045536</v>
      </c>
      <c r="AY325" s="44">
        <f t="shared" si="193"/>
        <v>241.81506647663835</v>
      </c>
      <c r="AZ325" s="44">
        <f t="shared" si="194"/>
        <v>81.250029981861999</v>
      </c>
    </row>
    <row r="326" spans="1:52" ht="15" customHeight="1" x14ac:dyDescent="0.35">
      <c r="A326" s="59" t="str">
        <f>Segments!$A$306</f>
        <v>Greek</v>
      </c>
      <c r="B326" s="59" t="str">
        <f>Segments!$B$306</f>
        <v>Off 1-3mi</v>
      </c>
      <c r="C326" s="59" t="str">
        <f>Segments!$C$306</f>
        <v>No</v>
      </c>
      <c r="D326" s="59" t="str">
        <f>Segments!$D$306</f>
        <v>&lt;1.0</v>
      </c>
      <c r="E326" s="59" t="str">
        <f>Segments!$E$306</f>
        <v>Sophomore</v>
      </c>
      <c r="F326" s="59">
        <f>Segments!$F$306</f>
        <v>1</v>
      </c>
      <c r="G326" s="59" t="str">
        <f>Segments!$G$306</f>
        <v>Sophomore</v>
      </c>
      <c r="H326" s="60">
        <f>Segments!$H$306</f>
        <v>2</v>
      </c>
      <c r="I326" s="26">
        <f>Segments!$Y$306</f>
        <v>4196.7066285921037</v>
      </c>
      <c r="J326" s="29">
        <v>1</v>
      </c>
      <c r="K326" s="14">
        <f t="shared" si="156"/>
        <v>1426.2297754450396</v>
      </c>
      <c r="L326" s="14">
        <f t="shared" si="157"/>
        <v>4196.7066285921037</v>
      </c>
      <c r="M326" s="14">
        <f t="shared" si="158"/>
        <v>6865.8388185433996</v>
      </c>
      <c r="N326" s="14">
        <f t="shared" si="159"/>
        <v>3129.2592983664667</v>
      </c>
      <c r="O326" s="14">
        <f t="shared" si="160"/>
        <v>1782.7872193062994</v>
      </c>
      <c r="P326" s="33">
        <f t="shared" si="161"/>
        <v>0.95</v>
      </c>
      <c r="Q326" s="33">
        <f t="shared" si="162"/>
        <v>0.02</v>
      </c>
      <c r="R326" s="51">
        <f t="shared" si="163"/>
        <v>1.9</v>
      </c>
      <c r="S326" s="51">
        <f>APPLICANTS_PER_YEAR*($H326/Segments!$AH$2)*Q326</f>
        <v>4.8000000000000001E-2</v>
      </c>
      <c r="T326" s="51">
        <f t="shared" si="164"/>
        <v>1.948</v>
      </c>
      <c r="U326" s="14">
        <f t="shared" si="165"/>
        <v>1908.0369507043388</v>
      </c>
      <c r="V326" s="44">
        <f t="shared" si="166"/>
        <v>3716.855979972052</v>
      </c>
      <c r="W326" s="44">
        <f t="shared" si="167"/>
        <v>9156.2066539971092</v>
      </c>
      <c r="X326" s="44">
        <f t="shared" si="168"/>
        <v>754.18038942987084</v>
      </c>
      <c r="Y326" s="14">
        <f t="shared" si="169"/>
        <v>6935.9798871723569</v>
      </c>
      <c r="Z326" s="14">
        <f t="shared" si="170"/>
        <v>4322.6078274498668</v>
      </c>
      <c r="AA326" s="14">
        <f t="shared" si="171"/>
        <v>7070.5639830997015</v>
      </c>
      <c r="AB326" s="14">
        <f t="shared" si="172"/>
        <v>3222.8522070275967</v>
      </c>
      <c r="AC326" s="14">
        <f t="shared" si="173"/>
        <v>7070.5639830997015</v>
      </c>
      <c r="AD326" s="33">
        <f t="shared" si="174"/>
        <v>0.3</v>
      </c>
      <c r="AE326" s="33">
        <f t="shared" si="175"/>
        <v>0.02</v>
      </c>
      <c r="AF326" s="51">
        <f t="shared" si="176"/>
        <v>1.44E-2</v>
      </c>
      <c r="AG326" s="51">
        <f>APPLICANTS_PER_YEAR*($H326/Segments!$AH$2)*AE326</f>
        <v>4.8000000000000001E-2</v>
      </c>
      <c r="AH326" s="51">
        <f t="shared" si="177"/>
        <v>6.2399999999999997E-2</v>
      </c>
      <c r="AI326" s="14">
        <f t="shared" si="178"/>
        <v>7070.5639830997025</v>
      </c>
      <c r="AJ326" s="44">
        <f t="shared" si="179"/>
        <v>441.20319254542142</v>
      </c>
      <c r="AK326" s="44">
        <f t="shared" si="180"/>
        <v>302.09841584481632</v>
      </c>
      <c r="AL326" s="44">
        <f t="shared" si="181"/>
        <v>97.713950882692146</v>
      </c>
      <c r="AM326" s="14">
        <f t="shared" si="182"/>
        <v>7142.8092837875283</v>
      </c>
      <c r="AN326" s="14">
        <f t="shared" si="183"/>
        <v>4452.2860622733624</v>
      </c>
      <c r="AO326" s="14">
        <f t="shared" si="184"/>
        <v>7281.4309025926914</v>
      </c>
      <c r="AP326" s="14">
        <f t="shared" si="185"/>
        <v>3319.2528781332344</v>
      </c>
      <c r="AQ326" s="14">
        <f t="shared" si="186"/>
        <v>7281.4309025926914</v>
      </c>
      <c r="AR326" s="33">
        <f t="shared" si="187"/>
        <v>0.3</v>
      </c>
      <c r="AS326" s="33">
        <f t="shared" si="188"/>
        <v>0.02</v>
      </c>
      <c r="AT326" s="51">
        <f t="shared" si="189"/>
        <v>1.44E-2</v>
      </c>
      <c r="AU326" s="51">
        <f>APPLICANTS_PER_YEAR*($H326/Segments!$AH$2)*AS326</f>
        <v>4.8000000000000001E-2</v>
      </c>
      <c r="AV326" s="51">
        <f t="shared" si="190"/>
        <v>6.2399999999999997E-2</v>
      </c>
      <c r="AW326" s="14">
        <f t="shared" si="191"/>
        <v>7281.4309025926914</v>
      </c>
      <c r="AX326" s="44">
        <f t="shared" si="192"/>
        <v>454.36128832178395</v>
      </c>
      <c r="AY326" s="44">
        <f t="shared" si="193"/>
        <v>311.16136832016076</v>
      </c>
      <c r="AZ326" s="44">
        <f t="shared" si="194"/>
        <v>100.5550874091729</v>
      </c>
    </row>
    <row r="327" spans="1:52" ht="15" customHeight="1" x14ac:dyDescent="0.35">
      <c r="A327" s="59" t="str">
        <f>Segments!$A$307</f>
        <v>Greek</v>
      </c>
      <c r="B327" s="59" t="str">
        <f>Segments!$B$307</f>
        <v>Off 1-3mi</v>
      </c>
      <c r="C327" s="59" t="str">
        <f>Segments!$C$307</f>
        <v>No</v>
      </c>
      <c r="D327" s="59" t="str">
        <f>Segments!$D$307</f>
        <v>&lt;1.0</v>
      </c>
      <c r="E327" s="59" t="str">
        <f>Segments!$E$307</f>
        <v>Junior</v>
      </c>
      <c r="F327" s="59">
        <f>Segments!$F$307</f>
        <v>2</v>
      </c>
      <c r="G327" s="59" t="str">
        <f>Segments!$G$307</f>
        <v>Base</v>
      </c>
      <c r="H327" s="60">
        <f>Segments!$H$307</f>
        <v>0</v>
      </c>
      <c r="I327" s="26">
        <f>Segments!$Y$307</f>
        <v>5016.8506397881056</v>
      </c>
      <c r="J327" s="29">
        <v>2</v>
      </c>
      <c r="K327" s="14">
        <f t="shared" si="156"/>
        <v>1426.2297754450396</v>
      </c>
      <c r="L327" s="14">
        <f t="shared" si="157"/>
        <v>5016.8506397881056</v>
      </c>
      <c r="M327" s="14">
        <f t="shared" si="158"/>
        <v>8199.4569188893438</v>
      </c>
      <c r="N327" s="14">
        <f t="shared" si="159"/>
        <v>3419.6943723378008</v>
      </c>
      <c r="O327" s="14">
        <f t="shared" si="160"/>
        <v>1782.7872193062994</v>
      </c>
      <c r="P327" s="33">
        <f t="shared" si="161"/>
        <v>0.95</v>
      </c>
      <c r="Q327" s="33">
        <f t="shared" si="162"/>
        <v>0.02</v>
      </c>
      <c r="R327" s="51">
        <f t="shared" si="163"/>
        <v>1.9</v>
      </c>
      <c r="S327" s="51">
        <f>APPLICANTS_PER_YEAR*($H327/Segments!$AH$2)*Q327</f>
        <v>0</v>
      </c>
      <c r="T327" s="51">
        <f t="shared" si="164"/>
        <v>1.9</v>
      </c>
      <c r="U327" s="14">
        <f t="shared" si="165"/>
        <v>1782.7872193062994</v>
      </c>
      <c r="V327" s="44">
        <f t="shared" si="166"/>
        <v>3387.2957166819688</v>
      </c>
      <c r="W327" s="44">
        <f t="shared" si="167"/>
        <v>10675.858161469088</v>
      </c>
      <c r="X327" s="44">
        <f t="shared" si="168"/>
        <v>678.1988904528921</v>
      </c>
      <c r="Y327" s="14">
        <f t="shared" si="169"/>
        <v>1908.0369507043388</v>
      </c>
      <c r="Z327" s="14">
        <f t="shared" si="170"/>
        <v>5167.3561589817491</v>
      </c>
      <c r="AA327" s="14">
        <f t="shared" si="171"/>
        <v>8444.1906264560239</v>
      </c>
      <c r="AB327" s="14">
        <f t="shared" si="172"/>
        <v>3522.024529161466</v>
      </c>
      <c r="AC327" s="14">
        <f t="shared" si="173"/>
        <v>2385.0461883804237</v>
      </c>
      <c r="AD327" s="33">
        <f t="shared" si="174"/>
        <v>0.93640977034190842</v>
      </c>
      <c r="AE327" s="33">
        <f t="shared" si="175"/>
        <v>0.02</v>
      </c>
      <c r="AF327" s="51">
        <f t="shared" si="176"/>
        <v>1.8241262326260375</v>
      </c>
      <c r="AG327" s="51">
        <f>APPLICANTS_PER_YEAR*($H327/Segments!$AH$2)*AE327</f>
        <v>0</v>
      </c>
      <c r="AH327" s="51">
        <f t="shared" si="177"/>
        <v>1.8241262326260375</v>
      </c>
      <c r="AI327" s="14">
        <f t="shared" si="178"/>
        <v>2385.0461883804237</v>
      </c>
      <c r="AJ327" s="44">
        <f t="shared" si="179"/>
        <v>4350.6253182494729</v>
      </c>
      <c r="AK327" s="44">
        <f t="shared" si="180"/>
        <v>10557.019113670769</v>
      </c>
      <c r="AL327" s="44">
        <f t="shared" si="181"/>
        <v>858.75070980167118</v>
      </c>
      <c r="AM327" s="14">
        <f t="shared" si="182"/>
        <v>7070.5639830997025</v>
      </c>
      <c r="AN327" s="14">
        <f t="shared" si="183"/>
        <v>5322.3768437512008</v>
      </c>
      <c r="AO327" s="14">
        <f t="shared" si="184"/>
        <v>8696.2663452497036</v>
      </c>
      <c r="AP327" s="14">
        <f t="shared" si="185"/>
        <v>3627.4245716762466</v>
      </c>
      <c r="AQ327" s="14">
        <f t="shared" si="186"/>
        <v>8696.2663452497036</v>
      </c>
      <c r="AR327" s="33">
        <f t="shared" si="187"/>
        <v>0.3</v>
      </c>
      <c r="AS327" s="33">
        <f t="shared" si="188"/>
        <v>0.02</v>
      </c>
      <c r="AT327" s="51">
        <f t="shared" si="189"/>
        <v>1.8719999999999997E-2</v>
      </c>
      <c r="AU327" s="51">
        <f>APPLICANTS_PER_YEAR*($H327/Segments!$AH$2)*AS327</f>
        <v>0</v>
      </c>
      <c r="AV327" s="51">
        <f t="shared" si="190"/>
        <v>1.8719999999999997E-2</v>
      </c>
      <c r="AW327" s="14">
        <f t="shared" si="191"/>
        <v>8696.2663452497036</v>
      </c>
      <c r="AX327" s="44">
        <f t="shared" si="192"/>
        <v>162.79410598307442</v>
      </c>
      <c r="AY327" s="44">
        <f t="shared" si="193"/>
        <v>111.59108185682517</v>
      </c>
      <c r="AZ327" s="44">
        <f t="shared" si="194"/>
        <v>31.142486030801066</v>
      </c>
    </row>
    <row r="328" spans="1:52" ht="15" customHeight="1" x14ac:dyDescent="0.35">
      <c r="A328" s="59" t="str">
        <f>Segments!$A$308</f>
        <v>Greek</v>
      </c>
      <c r="B328" s="59" t="str">
        <f>Segments!$B$308</f>
        <v>Off 1-3mi</v>
      </c>
      <c r="C328" s="59" t="str">
        <f>Segments!$C$308</f>
        <v>No</v>
      </c>
      <c r="D328" s="59" t="str">
        <f>Segments!$D$308</f>
        <v>&lt;1.0</v>
      </c>
      <c r="E328" s="59" t="str">
        <f>Segments!$E$308</f>
        <v>Senior</v>
      </c>
      <c r="F328" s="59">
        <f>Segments!$F$308</f>
        <v>3</v>
      </c>
      <c r="G328" s="59" t="str">
        <f>Segments!$G$308</f>
        <v>Base</v>
      </c>
      <c r="H328" s="60">
        <f>Segments!$H$308</f>
        <v>3</v>
      </c>
      <c r="I328" s="26">
        <f>Segments!$Y$308</f>
        <v>4689.1873638949273</v>
      </c>
      <c r="J328" s="29">
        <v>3</v>
      </c>
      <c r="K328" s="14">
        <f t="shared" si="156"/>
        <v>1426.2297754450396</v>
      </c>
      <c r="L328" s="14">
        <f t="shared" si="157"/>
        <v>4689.1873638949273</v>
      </c>
      <c r="M328" s="14">
        <f t="shared" si="158"/>
        <v>7666.6508877722572</v>
      </c>
      <c r="N328" s="14">
        <f t="shared" si="159"/>
        <v>3306.7213027533694</v>
      </c>
      <c r="O328" s="14">
        <f t="shared" si="160"/>
        <v>1782.7872193062994</v>
      </c>
      <c r="P328" s="33">
        <f t="shared" si="161"/>
        <v>0.95</v>
      </c>
      <c r="Q328" s="33">
        <f t="shared" si="162"/>
        <v>0.02</v>
      </c>
      <c r="R328" s="51">
        <f t="shared" si="163"/>
        <v>0</v>
      </c>
      <c r="S328" s="51">
        <f>APPLICANTS_PER_YEAR*($H328/Segments!$AH$2)*Q328</f>
        <v>7.1999999999999995E-2</v>
      </c>
      <c r="T328" s="51">
        <f t="shared" si="164"/>
        <v>7.1999999999999995E-2</v>
      </c>
      <c r="U328" s="14">
        <f t="shared" si="165"/>
        <v>7666.6508877722581</v>
      </c>
      <c r="V328" s="44">
        <f t="shared" si="166"/>
        <v>551.99886391960251</v>
      </c>
      <c r="W328" s="44">
        <f t="shared" si="167"/>
        <v>378.13606902448691</v>
      </c>
      <c r="X328" s="44">
        <f t="shared" si="168"/>
        <v>126.88774551799096</v>
      </c>
      <c r="Y328" s="14">
        <f t="shared" si="169"/>
        <v>1782.7872193062994</v>
      </c>
      <c r="Z328" s="14">
        <f t="shared" si="170"/>
        <v>4829.8629848117753</v>
      </c>
      <c r="AA328" s="14">
        <f t="shared" si="171"/>
        <v>7895.4004144054243</v>
      </c>
      <c r="AB328" s="14">
        <f t="shared" si="172"/>
        <v>3405.6533609409967</v>
      </c>
      <c r="AC328" s="14">
        <f t="shared" si="173"/>
        <v>2228.4840241328743</v>
      </c>
      <c r="AD328" s="33">
        <f t="shared" si="174"/>
        <v>0.94782577115876321</v>
      </c>
      <c r="AE328" s="33">
        <f t="shared" si="175"/>
        <v>0.02</v>
      </c>
      <c r="AF328" s="51">
        <f t="shared" si="176"/>
        <v>1.8008689652016501</v>
      </c>
      <c r="AG328" s="51">
        <f>APPLICANTS_PER_YEAR*($H328/Segments!$AH$2)*AE328</f>
        <v>7.1999999999999995E-2</v>
      </c>
      <c r="AH328" s="51">
        <f t="shared" si="177"/>
        <v>1.8728689652016501</v>
      </c>
      <c r="AI328" s="14">
        <f t="shared" si="178"/>
        <v>2446.3412195270498</v>
      </c>
      <c r="AJ328" s="44">
        <f t="shared" si="179"/>
        <v>4581.6765483457684</v>
      </c>
      <c r="AK328" s="44">
        <f t="shared" si="180"/>
        <v>10131.184549281807</v>
      </c>
      <c r="AL328" s="44">
        <f t="shared" si="181"/>
        <v>925.09065598568486</v>
      </c>
      <c r="AM328" s="14">
        <f t="shared" si="182"/>
        <v>2385.0461883804237</v>
      </c>
      <c r="AN328" s="14">
        <f t="shared" si="183"/>
        <v>4974.7588743561282</v>
      </c>
      <c r="AO328" s="14">
        <f t="shared" si="184"/>
        <v>8131.0124268375866</v>
      </c>
      <c r="AP328" s="14">
        <f t="shared" si="185"/>
        <v>3507.553359844218</v>
      </c>
      <c r="AQ328" s="14">
        <f t="shared" si="186"/>
        <v>2981.3077354755296</v>
      </c>
      <c r="AR328" s="33">
        <f t="shared" si="187"/>
        <v>0.85001605398129443</v>
      </c>
      <c r="AS328" s="33">
        <f t="shared" si="188"/>
        <v>0.02</v>
      </c>
      <c r="AT328" s="51">
        <f t="shared" si="189"/>
        <v>1.550536582220549</v>
      </c>
      <c r="AU328" s="51">
        <f>APPLICANTS_PER_YEAR*($H328/Segments!$AH$2)*AS328</f>
        <v>7.1999999999999995E-2</v>
      </c>
      <c r="AV328" s="51">
        <f t="shared" si="190"/>
        <v>1.6225365822205491</v>
      </c>
      <c r="AW328" s="14">
        <f t="shared" si="191"/>
        <v>3209.8256880696295</v>
      </c>
      <c r="AX328" s="44">
        <f t="shared" si="192"/>
        <v>5208.059601444219</v>
      </c>
      <c r="AY328" s="44">
        <f t="shared" si="193"/>
        <v>9040.3356527334363</v>
      </c>
      <c r="AZ328" s="44">
        <f t="shared" si="194"/>
        <v>1039.064147632999</v>
      </c>
    </row>
    <row r="329" spans="1:52" ht="15" customHeight="1" x14ac:dyDescent="0.35">
      <c r="A329" s="59" t="str">
        <f>Segments!$A$309</f>
        <v>Greek</v>
      </c>
      <c r="B329" s="59" t="str">
        <f>Segments!$B$309</f>
        <v>Off 1-3mi</v>
      </c>
      <c r="C329" s="59" t="str">
        <f>Segments!$C$309</f>
        <v>No</v>
      </c>
      <c r="D329" s="59" t="str">
        <f>Segments!$D$309</f>
        <v>&lt;1.0</v>
      </c>
      <c r="E329" s="59" t="str">
        <f>Segments!$E$309</f>
        <v>Grad student</v>
      </c>
      <c r="F329" s="59">
        <f>Segments!$F$309</f>
        <v>3</v>
      </c>
      <c r="G329" s="59" t="str">
        <f>Segments!$G$309</f>
        <v>Grad</v>
      </c>
      <c r="H329" s="60">
        <f>Segments!$H$309</f>
        <v>0</v>
      </c>
      <c r="I329" s="26">
        <f>Segments!$Y$309</f>
        <v>5583.3236126139072</v>
      </c>
      <c r="J329" s="29">
        <v>4</v>
      </c>
      <c r="K329" s="14">
        <f t="shared" si="156"/>
        <v>1426.2297754450396</v>
      </c>
      <c r="L329" s="14">
        <f t="shared" si="157"/>
        <v>5583.3236126139072</v>
      </c>
      <c r="M329" s="14">
        <f t="shared" si="158"/>
        <v>9120.5861347396094</v>
      </c>
      <c r="N329" s="14">
        <f t="shared" si="159"/>
        <v>3606.6676468558644</v>
      </c>
      <c r="O329" s="14">
        <f t="shared" si="160"/>
        <v>1782.7872193062994</v>
      </c>
      <c r="P329" s="33">
        <f t="shared" si="161"/>
        <v>0.95</v>
      </c>
      <c r="Q329" s="33">
        <f t="shared" si="162"/>
        <v>0.02</v>
      </c>
      <c r="R329" s="51">
        <f t="shared" si="163"/>
        <v>0</v>
      </c>
      <c r="S329" s="51">
        <f>APPLICANTS_PER_YEAR*($H329/Segments!$AH$2)*Q329</f>
        <v>0</v>
      </c>
      <c r="T329" s="51">
        <f t="shared" si="164"/>
        <v>0</v>
      </c>
      <c r="U329" s="14">
        <f t="shared" si="165"/>
        <v>9120.5861347396094</v>
      </c>
      <c r="V329" s="44">
        <f t="shared" si="166"/>
        <v>0</v>
      </c>
      <c r="W329" s="44">
        <f t="shared" si="167"/>
        <v>0</v>
      </c>
      <c r="X329" s="44">
        <f t="shared" si="168"/>
        <v>0</v>
      </c>
      <c r="Y329" s="14">
        <f t="shared" si="169"/>
        <v>9120.5861347396094</v>
      </c>
      <c r="Z329" s="14">
        <f t="shared" si="170"/>
        <v>5750.8233209923246</v>
      </c>
      <c r="AA329" s="14">
        <f t="shared" si="171"/>
        <v>9392.9537187817987</v>
      </c>
      <c r="AB329" s="14">
        <f t="shared" si="172"/>
        <v>3714.6205164588387</v>
      </c>
      <c r="AC329" s="14">
        <f t="shared" si="173"/>
        <v>9392.9537187817987</v>
      </c>
      <c r="AD329" s="33">
        <f t="shared" si="174"/>
        <v>0.3</v>
      </c>
      <c r="AE329" s="33">
        <f t="shared" si="175"/>
        <v>0.02</v>
      </c>
      <c r="AF329" s="51">
        <f t="shared" si="176"/>
        <v>0</v>
      </c>
      <c r="AG329" s="51">
        <f>APPLICANTS_PER_YEAR*($H329/Segments!$AH$2)*AE329</f>
        <v>0</v>
      </c>
      <c r="AH329" s="51">
        <f t="shared" si="177"/>
        <v>0</v>
      </c>
      <c r="AI329" s="14">
        <f t="shared" si="178"/>
        <v>9392.9537187817987</v>
      </c>
      <c r="AJ329" s="44">
        <f t="shared" si="179"/>
        <v>0</v>
      </c>
      <c r="AK329" s="44">
        <f t="shared" si="180"/>
        <v>0</v>
      </c>
      <c r="AL329" s="44">
        <f t="shared" si="181"/>
        <v>0</v>
      </c>
      <c r="AM329" s="14">
        <f t="shared" si="182"/>
        <v>9392.9537187817987</v>
      </c>
      <c r="AN329" s="14">
        <f t="shared" si="183"/>
        <v>5923.3480206220938</v>
      </c>
      <c r="AO329" s="14">
        <f t="shared" si="184"/>
        <v>9673.4923303452506</v>
      </c>
      <c r="AP329" s="14">
        <f t="shared" si="185"/>
        <v>3825.8119559430711</v>
      </c>
      <c r="AQ329" s="14">
        <f t="shared" si="186"/>
        <v>9673.4923303452506</v>
      </c>
      <c r="AR329" s="33">
        <f t="shared" si="187"/>
        <v>0.3</v>
      </c>
      <c r="AS329" s="33">
        <f t="shared" si="188"/>
        <v>0.02</v>
      </c>
      <c r="AT329" s="51">
        <f t="shared" si="189"/>
        <v>0</v>
      </c>
      <c r="AU329" s="51">
        <f>APPLICANTS_PER_YEAR*($H329/Segments!$AH$2)*AS329</f>
        <v>0</v>
      </c>
      <c r="AV329" s="51">
        <f t="shared" si="190"/>
        <v>0</v>
      </c>
      <c r="AW329" s="14">
        <f t="shared" si="191"/>
        <v>9673.4923303452506</v>
      </c>
      <c r="AX329" s="44">
        <f t="shared" si="192"/>
        <v>0</v>
      </c>
      <c r="AY329" s="44">
        <f t="shared" si="193"/>
        <v>0</v>
      </c>
      <c r="AZ329" s="44">
        <f t="shared" si="194"/>
        <v>0</v>
      </c>
    </row>
    <row r="330" spans="1:52" ht="15" customHeight="1" x14ac:dyDescent="0.35">
      <c r="A330" s="61" t="str">
        <f>Segments!$A$310</f>
        <v>Greek</v>
      </c>
      <c r="B330" s="61" t="str">
        <f>Segments!$B$310</f>
        <v>Off 1-3mi</v>
      </c>
      <c r="C330" s="61" t="str">
        <f>Segments!$C$310</f>
        <v>No</v>
      </c>
      <c r="D330" s="61" t="str">
        <f>Segments!$D$310</f>
        <v>1.0-2.0</v>
      </c>
      <c r="E330" s="61" t="str">
        <f>Segments!$E$310</f>
        <v>Freshman</v>
      </c>
      <c r="F330" s="61">
        <f>Segments!$F$310</f>
        <v>1</v>
      </c>
      <c r="G330" s="61" t="str">
        <f>Segments!$G$310</f>
        <v>Base</v>
      </c>
      <c r="H330" s="62">
        <f>Segments!$H$310</f>
        <v>3</v>
      </c>
      <c r="I330" s="63">
        <f>Segments!$Y$310</f>
        <v>3847.3217901148437</v>
      </c>
      <c r="J330" s="42">
        <v>0</v>
      </c>
      <c r="K330" s="40">
        <f t="shared" si="156"/>
        <v>6297.7118332591472</v>
      </c>
      <c r="L330" s="40">
        <f t="shared" si="157"/>
        <v>3847.3217901148437</v>
      </c>
      <c r="M330" s="40">
        <f t="shared" si="158"/>
        <v>6297.7118332591472</v>
      </c>
      <c r="N330" s="40">
        <f t="shared" si="159"/>
        <v>2996.9958514764016</v>
      </c>
      <c r="O330" s="40">
        <f t="shared" si="160"/>
        <v>6297.7118332591472</v>
      </c>
      <c r="P330" s="41">
        <f t="shared" si="161"/>
        <v>0.3</v>
      </c>
      <c r="Q330" s="41">
        <f t="shared" si="162"/>
        <v>0.02</v>
      </c>
      <c r="R330" s="64">
        <f t="shared" si="163"/>
        <v>0</v>
      </c>
      <c r="S330" s="64">
        <f>APPLICANTS_PER_YEAR*($H330/Segments!$AH$2)*Q330</f>
        <v>7.1999999999999995E-2</v>
      </c>
      <c r="T330" s="64">
        <f t="shared" si="164"/>
        <v>7.1999999999999995E-2</v>
      </c>
      <c r="U330" s="40">
        <f t="shared" si="165"/>
        <v>6297.7118332591472</v>
      </c>
      <c r="V330" s="65">
        <f t="shared" si="166"/>
        <v>453.43525199465859</v>
      </c>
      <c r="W330" s="65">
        <f t="shared" si="167"/>
        <v>310.248029154861</v>
      </c>
      <c r="X330" s="65">
        <f t="shared" si="168"/>
        <v>104.80949644680352</v>
      </c>
      <c r="Y330" s="40">
        <f t="shared" si="169"/>
        <v>6485.3931882569223</v>
      </c>
      <c r="Z330" s="40">
        <f t="shared" si="170"/>
        <v>3962.7414438182891</v>
      </c>
      <c r="AA330" s="40">
        <f t="shared" si="171"/>
        <v>6485.3931882569223</v>
      </c>
      <c r="AB330" s="40">
        <f t="shared" si="172"/>
        <v>3086.6082836468368</v>
      </c>
      <c r="AC330" s="40">
        <f t="shared" si="173"/>
        <v>6485.3931882569223</v>
      </c>
      <c r="AD330" s="41">
        <f t="shared" si="174"/>
        <v>0.3</v>
      </c>
      <c r="AE330" s="41">
        <f t="shared" si="175"/>
        <v>0.02</v>
      </c>
      <c r="AF330" s="64">
        <f t="shared" si="176"/>
        <v>0</v>
      </c>
      <c r="AG330" s="64">
        <f>APPLICANTS_PER_YEAR*($H330/Segments!$AH$2)*AE330</f>
        <v>7.1999999999999995E-2</v>
      </c>
      <c r="AH330" s="64">
        <f t="shared" si="177"/>
        <v>7.1999999999999995E-2</v>
      </c>
      <c r="AI330" s="40">
        <f t="shared" si="178"/>
        <v>6485.3931882569223</v>
      </c>
      <c r="AJ330" s="65">
        <f t="shared" si="179"/>
        <v>466.94830955449839</v>
      </c>
      <c r="AK330" s="65">
        <f t="shared" si="180"/>
        <v>319.55547002950686</v>
      </c>
      <c r="AL330" s="65">
        <f t="shared" si="181"/>
        <v>107.83642134020764</v>
      </c>
      <c r="AM330" s="40">
        <f t="shared" si="182"/>
        <v>6678.7049839046294</v>
      </c>
      <c r="AN330" s="40">
        <f t="shared" si="183"/>
        <v>4081.6236871328374</v>
      </c>
      <c r="AO330" s="40">
        <f t="shared" si="184"/>
        <v>6678.7049839046294</v>
      </c>
      <c r="AP330" s="40">
        <f t="shared" si="185"/>
        <v>3178.909060533811</v>
      </c>
      <c r="AQ330" s="40">
        <f t="shared" si="186"/>
        <v>6678.7049839046294</v>
      </c>
      <c r="AR330" s="41">
        <f t="shared" si="187"/>
        <v>0.3</v>
      </c>
      <c r="AS330" s="41">
        <f t="shared" si="188"/>
        <v>0.02</v>
      </c>
      <c r="AT330" s="64">
        <f t="shared" si="189"/>
        <v>0</v>
      </c>
      <c r="AU330" s="64">
        <f>APPLICANTS_PER_YEAR*($H330/Segments!$AH$2)*AS330</f>
        <v>7.1999999999999995E-2</v>
      </c>
      <c r="AV330" s="64">
        <f t="shared" si="190"/>
        <v>7.1999999999999995E-2</v>
      </c>
      <c r="AW330" s="40">
        <f t="shared" si="191"/>
        <v>6678.7049839046294</v>
      </c>
      <c r="AX330" s="65">
        <f t="shared" si="192"/>
        <v>480.86675884113328</v>
      </c>
      <c r="AY330" s="65">
        <f t="shared" si="193"/>
        <v>329.14213413039198</v>
      </c>
      <c r="AZ330" s="65">
        <f t="shared" si="194"/>
        <v>110.95415398041385</v>
      </c>
    </row>
    <row r="331" spans="1:52" ht="15" customHeight="1" x14ac:dyDescent="0.35">
      <c r="A331" s="61" t="str">
        <f>Segments!$A$311</f>
        <v>Greek</v>
      </c>
      <c r="B331" s="61" t="str">
        <f>Segments!$B$311</f>
        <v>Off 1-3mi</v>
      </c>
      <c r="C331" s="61" t="str">
        <f>Segments!$C$311</f>
        <v>No</v>
      </c>
      <c r="D331" s="61" t="str">
        <f>Segments!$D$311</f>
        <v>1.0-2.0</v>
      </c>
      <c r="E331" s="61" t="str">
        <f>Segments!$E$311</f>
        <v>Sophomore</v>
      </c>
      <c r="F331" s="61">
        <f>Segments!$F$311</f>
        <v>1</v>
      </c>
      <c r="G331" s="61" t="str">
        <f>Segments!$G$311</f>
        <v>Sophomore</v>
      </c>
      <c r="H331" s="62">
        <f>Segments!$H$311</f>
        <v>6</v>
      </c>
      <c r="I331" s="63">
        <f>Segments!$Y$311</f>
        <v>3808.1800724285195</v>
      </c>
      <c r="J331" s="42">
        <v>1</v>
      </c>
      <c r="K331" s="40">
        <f t="shared" si="156"/>
        <v>1426.2297754450396</v>
      </c>
      <c r="L331" s="40">
        <f t="shared" si="157"/>
        <v>3808.1800724285195</v>
      </c>
      <c r="M331" s="40">
        <f t="shared" si="158"/>
        <v>6234.0643488265168</v>
      </c>
      <c r="N331" s="40">
        <f t="shared" si="159"/>
        <v>2981.81290431455</v>
      </c>
      <c r="O331" s="40">
        <f t="shared" si="160"/>
        <v>1782.7872193062994</v>
      </c>
      <c r="P331" s="41">
        <f t="shared" si="161"/>
        <v>0.95</v>
      </c>
      <c r="Q331" s="41">
        <f t="shared" si="162"/>
        <v>0.02</v>
      </c>
      <c r="R331" s="64">
        <f t="shared" si="163"/>
        <v>2.8499999999999996</v>
      </c>
      <c r="S331" s="64">
        <f>APPLICANTS_PER_YEAR*($H331/Segments!$AH$2)*Q331</f>
        <v>0.14399999999999999</v>
      </c>
      <c r="T331" s="64">
        <f t="shared" si="164"/>
        <v>2.9939999999999998</v>
      </c>
      <c r="U331" s="40">
        <f t="shared" si="165"/>
        <v>1996.8767004856284</v>
      </c>
      <c r="V331" s="65">
        <f t="shared" si="166"/>
        <v>5978.6488412539711</v>
      </c>
      <c r="W331" s="65">
        <f t="shared" si="167"/>
        <v>12769.894073273106</v>
      </c>
      <c r="X331" s="65">
        <f t="shared" si="168"/>
        <v>1224.8643153150861</v>
      </c>
      <c r="Y331" s="40">
        <f t="shared" si="169"/>
        <v>6297.7118332591472</v>
      </c>
      <c r="Z331" s="40">
        <f t="shared" si="170"/>
        <v>3922.4254746013753</v>
      </c>
      <c r="AA331" s="40">
        <f t="shared" si="171"/>
        <v>6419.8362792913122</v>
      </c>
      <c r="AB331" s="40">
        <f t="shared" si="172"/>
        <v>3070.9683333857079</v>
      </c>
      <c r="AC331" s="40">
        <f t="shared" si="173"/>
        <v>6419.8362792913122</v>
      </c>
      <c r="AD331" s="41">
        <f t="shared" si="174"/>
        <v>0.3</v>
      </c>
      <c r="AE331" s="41">
        <f t="shared" si="175"/>
        <v>0.02</v>
      </c>
      <c r="AF331" s="64">
        <f t="shared" si="176"/>
        <v>2.1599999999999998E-2</v>
      </c>
      <c r="AG331" s="64">
        <f>APPLICANTS_PER_YEAR*($H331/Segments!$AH$2)*AE331</f>
        <v>0.14399999999999999</v>
      </c>
      <c r="AH331" s="64">
        <f t="shared" si="177"/>
        <v>0.1656</v>
      </c>
      <c r="AI331" s="40">
        <f t="shared" si="178"/>
        <v>6419.8362792913122</v>
      </c>
      <c r="AJ331" s="65">
        <f t="shared" si="179"/>
        <v>1063.1248878506412</v>
      </c>
      <c r="AK331" s="65">
        <f t="shared" si="180"/>
        <v>727.50009762526633</v>
      </c>
      <c r="AL331" s="65">
        <f t="shared" si="181"/>
        <v>240.1985786513994</v>
      </c>
      <c r="AM331" s="40">
        <f t="shared" si="182"/>
        <v>6485.3931882569223</v>
      </c>
      <c r="AN331" s="40">
        <f t="shared" si="183"/>
        <v>4040.0982388394159</v>
      </c>
      <c r="AO331" s="40">
        <f t="shared" si="184"/>
        <v>6611.1813676700503</v>
      </c>
      <c r="AP331" s="40">
        <f t="shared" si="185"/>
        <v>3162.7983966466295</v>
      </c>
      <c r="AQ331" s="40">
        <f t="shared" si="186"/>
        <v>6611.1813676700503</v>
      </c>
      <c r="AR331" s="41">
        <f t="shared" si="187"/>
        <v>0.3</v>
      </c>
      <c r="AS331" s="41">
        <f t="shared" si="188"/>
        <v>0.02</v>
      </c>
      <c r="AT331" s="64">
        <f t="shared" si="189"/>
        <v>2.1599999999999998E-2</v>
      </c>
      <c r="AU331" s="64">
        <f>APPLICANTS_PER_YEAR*($H331/Segments!$AH$2)*AS331</f>
        <v>0.14399999999999999</v>
      </c>
      <c r="AV331" s="64">
        <f t="shared" si="190"/>
        <v>0.1656</v>
      </c>
      <c r="AW331" s="40">
        <f t="shared" si="191"/>
        <v>6611.1813676700503</v>
      </c>
      <c r="AX331" s="65">
        <f t="shared" si="192"/>
        <v>1094.8116344861603</v>
      </c>
      <c r="AY331" s="65">
        <f t="shared" si="193"/>
        <v>749.32510055402429</v>
      </c>
      <c r="AZ331" s="65">
        <f t="shared" si="194"/>
        <v>247.15175301094135</v>
      </c>
    </row>
    <row r="332" spans="1:52" ht="15" customHeight="1" x14ac:dyDescent="0.35">
      <c r="A332" s="61" t="str">
        <f>Segments!$A$312</f>
        <v>Greek</v>
      </c>
      <c r="B332" s="61" t="str">
        <f>Segments!$B$312</f>
        <v>Off 1-3mi</v>
      </c>
      <c r="C332" s="61" t="str">
        <f>Segments!$C$312</f>
        <v>No</v>
      </c>
      <c r="D332" s="61" t="str">
        <f>Segments!$D$312</f>
        <v>1.0-2.0</v>
      </c>
      <c r="E332" s="61" t="str">
        <f>Segments!$E$312</f>
        <v>Junior</v>
      </c>
      <c r="F332" s="61">
        <f>Segments!$F$312</f>
        <v>2</v>
      </c>
      <c r="G332" s="61" t="str">
        <f>Segments!$G$312</f>
        <v>Base</v>
      </c>
      <c r="H332" s="62">
        <f>Segments!$H$312</f>
        <v>3</v>
      </c>
      <c r="I332" s="63">
        <f>Segments!$Y$312</f>
        <v>4552.3960389865606</v>
      </c>
      <c r="J332" s="42">
        <v>2</v>
      </c>
      <c r="K332" s="40">
        <f t="shared" si="156"/>
        <v>1426.2297754450396</v>
      </c>
      <c r="L332" s="40">
        <f t="shared" si="157"/>
        <v>4552.3960389865606</v>
      </c>
      <c r="M332" s="40">
        <f t="shared" si="158"/>
        <v>7444.2175292672418</v>
      </c>
      <c r="N332" s="40">
        <f t="shared" si="159"/>
        <v>3258.399100038368</v>
      </c>
      <c r="O332" s="40">
        <f t="shared" si="160"/>
        <v>1782.7872193062994</v>
      </c>
      <c r="P332" s="41">
        <f t="shared" si="161"/>
        <v>0.95</v>
      </c>
      <c r="Q332" s="41">
        <f t="shared" si="162"/>
        <v>0.02</v>
      </c>
      <c r="R332" s="64">
        <f t="shared" si="163"/>
        <v>5.6999999999999993</v>
      </c>
      <c r="S332" s="64">
        <f>APPLICANTS_PER_YEAR*($H332/Segments!$AH$2)*Q332</f>
        <v>7.1999999999999995E-2</v>
      </c>
      <c r="T332" s="64">
        <f t="shared" si="164"/>
        <v>5.7719999999999994</v>
      </c>
      <c r="U332" s="40">
        <f t="shared" si="165"/>
        <v>1853.4079716135045</v>
      </c>
      <c r="V332" s="65">
        <f t="shared" si="166"/>
        <v>10697.870812153147</v>
      </c>
      <c r="W332" s="65">
        <f t="shared" si="167"/>
        <v>29429.601529474079</v>
      </c>
      <c r="X332" s="65">
        <f t="shared" si="168"/>
        <v>2157.8970116706987</v>
      </c>
      <c r="Y332" s="40">
        <f t="shared" si="169"/>
        <v>1996.8767004856284</v>
      </c>
      <c r="Z332" s="40">
        <f t="shared" si="170"/>
        <v>4688.9679201561576</v>
      </c>
      <c r="AA332" s="40">
        <f t="shared" si="171"/>
        <v>7666.2940551452593</v>
      </c>
      <c r="AB332" s="40">
        <f t="shared" si="172"/>
        <v>3355.8774939244172</v>
      </c>
      <c r="AC332" s="40">
        <f t="shared" si="173"/>
        <v>2496.0958756070354</v>
      </c>
      <c r="AD332" s="41">
        <f t="shared" si="174"/>
        <v>0.90310086480718632</v>
      </c>
      <c r="AE332" s="41">
        <f t="shared" si="175"/>
        <v>0.02</v>
      </c>
      <c r="AF332" s="64">
        <f t="shared" si="176"/>
        <v>2.7038839892327156</v>
      </c>
      <c r="AG332" s="64">
        <f>APPLICANTS_PER_YEAR*($H332/Segments!$AH$2)*AE332</f>
        <v>7.1999999999999995E-2</v>
      </c>
      <c r="AH332" s="64">
        <f t="shared" si="177"/>
        <v>2.7758839892327156</v>
      </c>
      <c r="AI332" s="40">
        <f t="shared" si="178"/>
        <v>2630.1988389767862</v>
      </c>
      <c r="AJ332" s="65">
        <f t="shared" si="179"/>
        <v>7301.1268456141379</v>
      </c>
      <c r="AK332" s="65">
        <f t="shared" si="180"/>
        <v>14577.954692657782</v>
      </c>
      <c r="AL332" s="65">
        <f t="shared" si="181"/>
        <v>1456.5497146246923</v>
      </c>
      <c r="AM332" s="40">
        <f t="shared" si="182"/>
        <v>6419.8362792913122</v>
      </c>
      <c r="AN332" s="40">
        <f t="shared" si="183"/>
        <v>4829.6369577608421</v>
      </c>
      <c r="AO332" s="40">
        <f t="shared" si="184"/>
        <v>7895.032876799617</v>
      </c>
      <c r="AP332" s="40">
        <f t="shared" si="185"/>
        <v>3456.2802176472874</v>
      </c>
      <c r="AQ332" s="40">
        <f t="shared" si="186"/>
        <v>7895.032876799617</v>
      </c>
      <c r="AR332" s="41">
        <f t="shared" si="187"/>
        <v>0.3</v>
      </c>
      <c r="AS332" s="41">
        <f t="shared" si="188"/>
        <v>0.02</v>
      </c>
      <c r="AT332" s="64">
        <f t="shared" si="189"/>
        <v>4.9679999999999995E-2</v>
      </c>
      <c r="AU332" s="64">
        <f>APPLICANTS_PER_YEAR*($H332/Segments!$AH$2)*AS332</f>
        <v>7.1999999999999995E-2</v>
      </c>
      <c r="AV332" s="64">
        <f t="shared" si="190"/>
        <v>0.12167999999999998</v>
      </c>
      <c r="AW332" s="40">
        <f t="shared" si="191"/>
        <v>7895.032876799617</v>
      </c>
      <c r="AX332" s="65">
        <f t="shared" si="192"/>
        <v>960.66760044897728</v>
      </c>
      <c r="AY332" s="65">
        <f t="shared" si="193"/>
        <v>658.19065202278</v>
      </c>
      <c r="AZ332" s="65">
        <f t="shared" si="194"/>
        <v>205.69525933439178</v>
      </c>
    </row>
    <row r="333" spans="1:52" ht="15" customHeight="1" x14ac:dyDescent="0.35">
      <c r="A333" s="61" t="str">
        <f>Segments!$A$313</f>
        <v>Greek</v>
      </c>
      <c r="B333" s="61" t="str">
        <f>Segments!$B$313</f>
        <v>Off 1-3mi</v>
      </c>
      <c r="C333" s="61" t="str">
        <f>Segments!$C$313</f>
        <v>No</v>
      </c>
      <c r="D333" s="61" t="str">
        <f>Segments!$D$313</f>
        <v>1.0-2.0</v>
      </c>
      <c r="E333" s="61" t="str">
        <f>Segments!$E$313</f>
        <v>Senior</v>
      </c>
      <c r="F333" s="61">
        <f>Segments!$F$313</f>
        <v>3</v>
      </c>
      <c r="G333" s="61" t="str">
        <f>Segments!$G$313</f>
        <v>Base</v>
      </c>
      <c r="H333" s="62">
        <f>Segments!$H$313</f>
        <v>5</v>
      </c>
      <c r="I333" s="63">
        <f>Segments!$Y$313</f>
        <v>4255.0674744350608</v>
      </c>
      <c r="J333" s="42">
        <v>3</v>
      </c>
      <c r="K333" s="40">
        <f t="shared" si="156"/>
        <v>1426.2297754450396</v>
      </c>
      <c r="L333" s="40">
        <f t="shared" si="157"/>
        <v>4255.0674744350608</v>
      </c>
      <c r="M333" s="40">
        <f t="shared" si="158"/>
        <v>6960.7381036752477</v>
      </c>
      <c r="N333" s="40">
        <f t="shared" si="159"/>
        <v>3150.8113149689684</v>
      </c>
      <c r="O333" s="40">
        <f t="shared" si="160"/>
        <v>1782.7872193062994</v>
      </c>
      <c r="P333" s="41">
        <f t="shared" si="161"/>
        <v>0.95</v>
      </c>
      <c r="Q333" s="41">
        <f t="shared" si="162"/>
        <v>0.02</v>
      </c>
      <c r="R333" s="64">
        <f t="shared" si="163"/>
        <v>2.8499999999999996</v>
      </c>
      <c r="S333" s="64">
        <f>APPLICANTS_PER_YEAR*($H333/Segments!$AH$2)*Q333</f>
        <v>0.12</v>
      </c>
      <c r="T333" s="64">
        <f t="shared" si="164"/>
        <v>2.9699999999999998</v>
      </c>
      <c r="U333" s="40">
        <f t="shared" si="165"/>
        <v>1991.9973560484793</v>
      </c>
      <c r="V333" s="65">
        <f t="shared" si="166"/>
        <v>5916.232147463983</v>
      </c>
      <c r="W333" s="65">
        <f t="shared" si="167"/>
        <v>14154.056446960787</v>
      </c>
      <c r="X333" s="65">
        <f t="shared" si="168"/>
        <v>1209.8029759061289</v>
      </c>
      <c r="Y333" s="40">
        <f t="shared" si="169"/>
        <v>1853.4079716135045</v>
      </c>
      <c r="Z333" s="40">
        <f t="shared" si="170"/>
        <v>4382.7194986681125</v>
      </c>
      <c r="AA333" s="40">
        <f t="shared" si="171"/>
        <v>7168.3102467855042</v>
      </c>
      <c r="AB333" s="40">
        <f t="shared" si="172"/>
        <v>3245.0527328536687</v>
      </c>
      <c r="AC333" s="40">
        <f t="shared" si="173"/>
        <v>2316.7599645168807</v>
      </c>
      <c r="AD333" s="41">
        <f t="shared" si="174"/>
        <v>0.91803200051859501</v>
      </c>
      <c r="AE333" s="41">
        <f t="shared" si="175"/>
        <v>0.02</v>
      </c>
      <c r="AF333" s="64">
        <f t="shared" si="176"/>
        <v>5.2988807069933301</v>
      </c>
      <c r="AG333" s="64">
        <f>APPLICANTS_PER_YEAR*($H333/Segments!$AH$2)*AE333</f>
        <v>0.12</v>
      </c>
      <c r="AH333" s="64">
        <f t="shared" si="177"/>
        <v>5.4188807069933302</v>
      </c>
      <c r="AI333" s="40">
        <f t="shared" si="178"/>
        <v>2424.1965488138735</v>
      </c>
      <c r="AJ333" s="65">
        <f t="shared" si="179"/>
        <v>13136.431908327313</v>
      </c>
      <c r="AK333" s="65">
        <f t="shared" si="180"/>
        <v>26599.366231755652</v>
      </c>
      <c r="AL333" s="65">
        <f t="shared" si="181"/>
        <v>2624.2701478502277</v>
      </c>
      <c r="AM333" s="40">
        <f t="shared" si="182"/>
        <v>2630.1988389767862</v>
      </c>
      <c r="AN333" s="40">
        <f t="shared" si="183"/>
        <v>4514.2010836281561</v>
      </c>
      <c r="AO333" s="40">
        <f t="shared" si="184"/>
        <v>7382.10955418907</v>
      </c>
      <c r="AP333" s="40">
        <f t="shared" si="185"/>
        <v>3342.1213689654164</v>
      </c>
      <c r="AQ333" s="40">
        <f t="shared" si="186"/>
        <v>3287.7485487209829</v>
      </c>
      <c r="AR333" s="41">
        <f t="shared" si="187"/>
        <v>0.78313447721398366</v>
      </c>
      <c r="AS333" s="41">
        <f t="shared" si="188"/>
        <v>0.02</v>
      </c>
      <c r="AT333" s="64">
        <f t="shared" si="189"/>
        <v>2.1738904567144304</v>
      </c>
      <c r="AU333" s="64">
        <f>APPLICANTS_PER_YEAR*($H333/Segments!$AH$2)*AS333</f>
        <v>0.12</v>
      </c>
      <c r="AV333" s="64">
        <f t="shared" si="190"/>
        <v>2.2938904567144305</v>
      </c>
      <c r="AW333" s="40">
        <f t="shared" si="191"/>
        <v>3501.9363357698458</v>
      </c>
      <c r="AX333" s="65">
        <f t="shared" si="192"/>
        <v>8033.0583406439509</v>
      </c>
      <c r="AY333" s="65">
        <f t="shared" si="193"/>
        <v>11597.692719675517</v>
      </c>
      <c r="AZ333" s="65">
        <f t="shared" si="194"/>
        <v>1598.1306956435894</v>
      </c>
    </row>
    <row r="334" spans="1:52" ht="15" customHeight="1" x14ac:dyDescent="0.35">
      <c r="A334" s="61" t="str">
        <f>Segments!$A$314</f>
        <v>Greek</v>
      </c>
      <c r="B334" s="61" t="str">
        <f>Segments!$B$314</f>
        <v>Off 1-3mi</v>
      </c>
      <c r="C334" s="61" t="str">
        <f>Segments!$C$314</f>
        <v>No</v>
      </c>
      <c r="D334" s="61" t="str">
        <f>Segments!$D$314</f>
        <v>1.0-2.0</v>
      </c>
      <c r="E334" s="61" t="str">
        <f>Segments!$E$314</f>
        <v>Grad student</v>
      </c>
      <c r="F334" s="61">
        <f>Segments!$F$314</f>
        <v>3</v>
      </c>
      <c r="G334" s="61" t="str">
        <f>Segments!$G$314</f>
        <v>Grad</v>
      </c>
      <c r="H334" s="62">
        <f>Segments!$H$314</f>
        <v>0</v>
      </c>
      <c r="I334" s="63">
        <f>Segments!$Y$314</f>
        <v>5066.4255572729644</v>
      </c>
      <c r="J334" s="42">
        <v>4</v>
      </c>
      <c r="K334" s="40">
        <f t="shared" si="156"/>
        <v>1426.2297754450396</v>
      </c>
      <c r="L334" s="40">
        <f t="shared" si="157"/>
        <v>5066.4255572729644</v>
      </c>
      <c r="M334" s="40">
        <f t="shared" si="158"/>
        <v>8280.0695995630103</v>
      </c>
      <c r="N334" s="40">
        <f t="shared" si="159"/>
        <v>3436.4635609379088</v>
      </c>
      <c r="O334" s="40">
        <f t="shared" si="160"/>
        <v>1782.7872193062994</v>
      </c>
      <c r="P334" s="41">
        <f t="shared" si="161"/>
        <v>0.95</v>
      </c>
      <c r="Q334" s="41">
        <f t="shared" si="162"/>
        <v>0.02</v>
      </c>
      <c r="R334" s="64">
        <f t="shared" si="163"/>
        <v>0</v>
      </c>
      <c r="S334" s="64">
        <f>APPLICANTS_PER_YEAR*($H334/Segments!$AH$2)*Q334</f>
        <v>0</v>
      </c>
      <c r="T334" s="64">
        <f t="shared" si="164"/>
        <v>0</v>
      </c>
      <c r="U334" s="40">
        <f t="shared" si="165"/>
        <v>8280.0695995630103</v>
      </c>
      <c r="V334" s="65">
        <f t="shared" si="166"/>
        <v>0</v>
      </c>
      <c r="W334" s="65">
        <f t="shared" si="167"/>
        <v>0</v>
      </c>
      <c r="X334" s="65">
        <f t="shared" si="168"/>
        <v>0</v>
      </c>
      <c r="Y334" s="40">
        <f t="shared" si="169"/>
        <v>8280.0695995630103</v>
      </c>
      <c r="Z334" s="40">
        <f t="shared" si="170"/>
        <v>5218.4183239911536</v>
      </c>
      <c r="AA334" s="40">
        <f t="shared" si="171"/>
        <v>8527.2216875499016</v>
      </c>
      <c r="AB334" s="40">
        <f t="shared" si="172"/>
        <v>3539.298065546684</v>
      </c>
      <c r="AC334" s="40">
        <f t="shared" si="173"/>
        <v>8527.2216875499016</v>
      </c>
      <c r="AD334" s="41">
        <f t="shared" si="174"/>
        <v>0.3</v>
      </c>
      <c r="AE334" s="41">
        <f t="shared" si="175"/>
        <v>0.02</v>
      </c>
      <c r="AF334" s="64">
        <f t="shared" si="176"/>
        <v>0</v>
      </c>
      <c r="AG334" s="64">
        <f>APPLICANTS_PER_YEAR*($H334/Segments!$AH$2)*AE334</f>
        <v>0</v>
      </c>
      <c r="AH334" s="64">
        <f t="shared" si="177"/>
        <v>0</v>
      </c>
      <c r="AI334" s="40">
        <f t="shared" si="178"/>
        <v>8527.2216875499016</v>
      </c>
      <c r="AJ334" s="65">
        <f t="shared" si="179"/>
        <v>0</v>
      </c>
      <c r="AK334" s="65">
        <f t="shared" si="180"/>
        <v>0</v>
      </c>
      <c r="AL334" s="65">
        <f t="shared" si="181"/>
        <v>0</v>
      </c>
      <c r="AM334" s="40">
        <f t="shared" si="182"/>
        <v>8527.2216875499016</v>
      </c>
      <c r="AN334" s="40">
        <f t="shared" si="183"/>
        <v>5374.9708737108876</v>
      </c>
      <c r="AO334" s="40">
        <f t="shared" si="184"/>
        <v>8781.7883381763968</v>
      </c>
      <c r="AP334" s="40">
        <f t="shared" si="185"/>
        <v>3645.2175865571576</v>
      </c>
      <c r="AQ334" s="40">
        <f t="shared" si="186"/>
        <v>8781.7883381763968</v>
      </c>
      <c r="AR334" s="41">
        <f t="shared" si="187"/>
        <v>0.3</v>
      </c>
      <c r="AS334" s="41">
        <f t="shared" si="188"/>
        <v>0.02</v>
      </c>
      <c r="AT334" s="64">
        <f t="shared" si="189"/>
        <v>0</v>
      </c>
      <c r="AU334" s="64">
        <f>APPLICANTS_PER_YEAR*($H334/Segments!$AH$2)*AS334</f>
        <v>0</v>
      </c>
      <c r="AV334" s="64">
        <f t="shared" si="190"/>
        <v>0</v>
      </c>
      <c r="AW334" s="40">
        <f t="shared" si="191"/>
        <v>8781.7883381763968</v>
      </c>
      <c r="AX334" s="65">
        <f t="shared" si="192"/>
        <v>0</v>
      </c>
      <c r="AY334" s="65">
        <f t="shared" si="193"/>
        <v>0</v>
      </c>
      <c r="AZ334" s="65">
        <f t="shared" si="194"/>
        <v>0</v>
      </c>
    </row>
    <row r="335" spans="1:52" ht="15" customHeight="1" x14ac:dyDescent="0.35">
      <c r="A335" s="59" t="str">
        <f>Segments!$A$315</f>
        <v>Greek</v>
      </c>
      <c r="B335" s="59" t="str">
        <f>Segments!$B$315</f>
        <v>Off 1-3mi</v>
      </c>
      <c r="C335" s="59" t="str">
        <f>Segments!$C$315</f>
        <v>No</v>
      </c>
      <c r="D335" s="59" t="str">
        <f>Segments!$D$315</f>
        <v>2.0-3.0</v>
      </c>
      <c r="E335" s="59" t="str">
        <f>Segments!$E$315</f>
        <v>Freshman</v>
      </c>
      <c r="F335" s="59">
        <f>Segments!$F$315</f>
        <v>1</v>
      </c>
      <c r="G335" s="59" t="str">
        <f>Segments!$G$315</f>
        <v>Base</v>
      </c>
      <c r="H335" s="60">
        <f>Segments!$H$315</f>
        <v>8</v>
      </c>
      <c r="I335" s="26">
        <f>Segments!$Y$315</f>
        <v>3780.6850976599094</v>
      </c>
      <c r="J335" s="29">
        <v>0</v>
      </c>
      <c r="K335" s="14">
        <f t="shared" si="156"/>
        <v>6189.3553763541067</v>
      </c>
      <c r="L335" s="14">
        <f t="shared" si="157"/>
        <v>3780.6850976599094</v>
      </c>
      <c r="M335" s="14">
        <f t="shared" si="158"/>
        <v>6189.3553763541067</v>
      </c>
      <c r="N335" s="14">
        <f t="shared" si="159"/>
        <v>2971.1012989406922</v>
      </c>
      <c r="O335" s="14">
        <f t="shared" si="160"/>
        <v>6189.3553763541067</v>
      </c>
      <c r="P335" s="33">
        <f t="shared" si="161"/>
        <v>0.30840721106331148</v>
      </c>
      <c r="Q335" s="33">
        <f t="shared" si="162"/>
        <v>0.02</v>
      </c>
      <c r="R335" s="51">
        <f t="shared" si="163"/>
        <v>0</v>
      </c>
      <c r="S335" s="51">
        <f>APPLICANTS_PER_YEAR*($H335/Segments!$AH$2)*Q335</f>
        <v>0.192</v>
      </c>
      <c r="T335" s="51">
        <f t="shared" si="164"/>
        <v>0.192</v>
      </c>
      <c r="U335" s="14">
        <f t="shared" si="165"/>
        <v>6189.3553763541067</v>
      </c>
      <c r="V335" s="44">
        <f t="shared" si="166"/>
        <v>1188.3562322599885</v>
      </c>
      <c r="W335" s="44">
        <f t="shared" si="167"/>
        <v>812.99852340078701</v>
      </c>
      <c r="X335" s="44">
        <f t="shared" si="168"/>
        <v>274.83179602623738</v>
      </c>
      <c r="Y335" s="14">
        <f t="shared" si="169"/>
        <v>6373.7860376447306</v>
      </c>
      <c r="Z335" s="14">
        <f t="shared" si="170"/>
        <v>3894.1056505897068</v>
      </c>
      <c r="AA335" s="14">
        <f t="shared" si="171"/>
        <v>6373.7860376447306</v>
      </c>
      <c r="AB335" s="14">
        <f t="shared" si="172"/>
        <v>3059.9343019223329</v>
      </c>
      <c r="AC335" s="14">
        <f t="shared" si="173"/>
        <v>6373.7860376447306</v>
      </c>
      <c r="AD335" s="33">
        <f t="shared" si="174"/>
        <v>0.30850933243230949</v>
      </c>
      <c r="AE335" s="33">
        <f t="shared" si="175"/>
        <v>0.02</v>
      </c>
      <c r="AF335" s="51">
        <f t="shared" si="176"/>
        <v>0</v>
      </c>
      <c r="AG335" s="51">
        <f>APPLICANTS_PER_YEAR*($H335/Segments!$AH$2)*AE335</f>
        <v>0.192</v>
      </c>
      <c r="AH335" s="51">
        <f t="shared" si="177"/>
        <v>0.192</v>
      </c>
      <c r="AI335" s="14">
        <f t="shared" si="178"/>
        <v>6373.7860376447306</v>
      </c>
      <c r="AJ335" s="44">
        <f t="shared" si="179"/>
        <v>1223.7669192277883</v>
      </c>
      <c r="AK335" s="44">
        <f t="shared" si="180"/>
        <v>837.38847910281061</v>
      </c>
      <c r="AL335" s="44">
        <f t="shared" si="181"/>
        <v>282.7637899070246</v>
      </c>
      <c r="AM335" s="14">
        <f t="shared" si="182"/>
        <v>6563.7496187740717</v>
      </c>
      <c r="AN335" s="14">
        <f t="shared" si="183"/>
        <v>4010.9288201073978</v>
      </c>
      <c r="AO335" s="14">
        <f t="shared" si="184"/>
        <v>6563.7496187740717</v>
      </c>
      <c r="AP335" s="14">
        <f t="shared" si="185"/>
        <v>3151.4322659996487</v>
      </c>
      <c r="AQ335" s="14">
        <f t="shared" si="186"/>
        <v>6563.7496187740717</v>
      </c>
      <c r="AR335" s="33">
        <f t="shared" si="187"/>
        <v>0.30860848897350157</v>
      </c>
      <c r="AS335" s="33">
        <f t="shared" si="188"/>
        <v>0.02</v>
      </c>
      <c r="AT335" s="51">
        <f t="shared" si="189"/>
        <v>0</v>
      </c>
      <c r="AU335" s="51">
        <f>APPLICANTS_PER_YEAR*($H335/Segments!$AH$2)*AS335</f>
        <v>0.192</v>
      </c>
      <c r="AV335" s="51">
        <f t="shared" si="190"/>
        <v>0.192</v>
      </c>
      <c r="AW335" s="14">
        <f t="shared" si="191"/>
        <v>6563.7496187740717</v>
      </c>
      <c r="AX335" s="44">
        <f t="shared" si="192"/>
        <v>1260.2399268046217</v>
      </c>
      <c r="AY335" s="44">
        <f t="shared" si="193"/>
        <v>862.51013347589492</v>
      </c>
      <c r="AZ335" s="44">
        <f t="shared" si="194"/>
        <v>290.93374360423525</v>
      </c>
    </row>
    <row r="336" spans="1:52" ht="15" customHeight="1" x14ac:dyDescent="0.35">
      <c r="A336" s="59" t="str">
        <f>Segments!$A$316</f>
        <v>Greek</v>
      </c>
      <c r="B336" s="59" t="str">
        <f>Segments!$B$316</f>
        <v>Off 1-3mi</v>
      </c>
      <c r="C336" s="59" t="str">
        <f>Segments!$C$316</f>
        <v>No</v>
      </c>
      <c r="D336" s="59" t="str">
        <f>Segments!$D$316</f>
        <v>2.0-3.0</v>
      </c>
      <c r="E336" s="59" t="str">
        <f>Segments!$E$316</f>
        <v>Sophomore</v>
      </c>
      <c r="F336" s="59">
        <f>Segments!$F$316</f>
        <v>1</v>
      </c>
      <c r="G336" s="59" t="str">
        <f>Segments!$G$316</f>
        <v>Sophomore</v>
      </c>
      <c r="H336" s="60">
        <f>Segments!$H$316</f>
        <v>5</v>
      </c>
      <c r="I336" s="26">
        <f>Segments!$Y$316</f>
        <v>3742.2213255019055</v>
      </c>
      <c r="J336" s="29">
        <v>1</v>
      </c>
      <c r="K336" s="14">
        <f t="shared" si="156"/>
        <v>1426.2297754450396</v>
      </c>
      <c r="L336" s="14">
        <f t="shared" si="157"/>
        <v>3742.2213255019055</v>
      </c>
      <c r="M336" s="14">
        <f t="shared" si="158"/>
        <v>6126.810284202922</v>
      </c>
      <c r="N336" s="14">
        <f t="shared" si="159"/>
        <v>2956.0512945199539</v>
      </c>
      <c r="O336" s="14">
        <f t="shared" si="160"/>
        <v>1782.7872193062994</v>
      </c>
      <c r="P336" s="33">
        <f t="shared" si="161"/>
        <v>0.95</v>
      </c>
      <c r="Q336" s="33">
        <f t="shared" si="162"/>
        <v>0.02</v>
      </c>
      <c r="R336" s="51">
        <f t="shared" si="163"/>
        <v>7.6</v>
      </c>
      <c r="S336" s="51">
        <f>APPLICANTS_PER_YEAR*($H336/Segments!$AH$2)*Q336</f>
        <v>0.12</v>
      </c>
      <c r="T336" s="51">
        <f t="shared" si="164"/>
        <v>7.72</v>
      </c>
      <c r="U336" s="14">
        <f t="shared" si="165"/>
        <v>1850.3108938901848</v>
      </c>
      <c r="V336" s="44">
        <f t="shared" si="166"/>
        <v>14284.400100832227</v>
      </c>
      <c r="W336" s="44">
        <f t="shared" si="167"/>
        <v>32356.742468819681</v>
      </c>
      <c r="X336" s="44">
        <f t="shared" si="168"/>
        <v>2882.8842222509429</v>
      </c>
      <c r="Y336" s="14">
        <f t="shared" si="169"/>
        <v>6189.3553763541067</v>
      </c>
      <c r="Z336" s="14">
        <f t="shared" si="170"/>
        <v>3854.4879652669629</v>
      </c>
      <c r="AA336" s="14">
        <f t="shared" si="171"/>
        <v>6309.3645927290099</v>
      </c>
      <c r="AB336" s="14">
        <f t="shared" si="172"/>
        <v>3044.4312696589886</v>
      </c>
      <c r="AC336" s="14">
        <f t="shared" si="173"/>
        <v>6309.3645927290099</v>
      </c>
      <c r="AD336" s="33">
        <f t="shared" si="174"/>
        <v>0.30796911796711091</v>
      </c>
      <c r="AE336" s="33">
        <f t="shared" si="175"/>
        <v>0.02</v>
      </c>
      <c r="AF336" s="51">
        <f t="shared" si="176"/>
        <v>5.9130070649685298E-2</v>
      </c>
      <c r="AG336" s="51">
        <f>APPLICANTS_PER_YEAR*($H336/Segments!$AH$2)*AE336</f>
        <v>0.12</v>
      </c>
      <c r="AH336" s="51">
        <f t="shared" si="177"/>
        <v>0.17913007064968528</v>
      </c>
      <c r="AI336" s="14">
        <f t="shared" si="178"/>
        <v>6309.3645927290099</v>
      </c>
      <c r="AJ336" s="44">
        <f t="shared" si="179"/>
        <v>1130.1969252501704</v>
      </c>
      <c r="AK336" s="44">
        <f t="shared" si="180"/>
        <v>773.30926572102862</v>
      </c>
      <c r="AL336" s="44">
        <f t="shared" si="181"/>
        <v>246.68915157473776</v>
      </c>
      <c r="AM336" s="14">
        <f t="shared" si="182"/>
        <v>6373.7860376447306</v>
      </c>
      <c r="AN336" s="14">
        <f t="shared" si="183"/>
        <v>3970.1226042249714</v>
      </c>
      <c r="AO336" s="14">
        <f t="shared" si="184"/>
        <v>6497.3955305108802</v>
      </c>
      <c r="AP336" s="14">
        <f t="shared" si="185"/>
        <v>3135.4626146132309</v>
      </c>
      <c r="AQ336" s="14">
        <f t="shared" si="186"/>
        <v>6497.3955305108802</v>
      </c>
      <c r="AR336" s="33">
        <f t="shared" si="187"/>
        <v>0.30806763870472037</v>
      </c>
      <c r="AS336" s="33">
        <f t="shared" si="188"/>
        <v>0.02</v>
      </c>
      <c r="AT336" s="51">
        <f t="shared" si="189"/>
        <v>5.9148986631306313E-2</v>
      </c>
      <c r="AU336" s="51">
        <f>APPLICANTS_PER_YEAR*($H336/Segments!$AH$2)*AS336</f>
        <v>0.12</v>
      </c>
      <c r="AV336" s="51">
        <f t="shared" si="190"/>
        <v>0.1791489866313063</v>
      </c>
      <c r="AW336" s="14">
        <f t="shared" si="191"/>
        <v>6497.3955305108802</v>
      </c>
      <c r="AX336" s="44">
        <f t="shared" si="192"/>
        <v>1164.001825033803</v>
      </c>
      <c r="AY336" s="44">
        <f t="shared" si="193"/>
        <v>796.59265431081997</v>
      </c>
      <c r="AZ336" s="44">
        <f t="shared" si="194"/>
        <v>253.8683858921606</v>
      </c>
    </row>
    <row r="337" spans="1:52" ht="15" customHeight="1" x14ac:dyDescent="0.35">
      <c r="A337" s="59" t="str">
        <f>Segments!$A$317</f>
        <v>Greek</v>
      </c>
      <c r="B337" s="59" t="str">
        <f>Segments!$B$317</f>
        <v>Off 1-3mi</v>
      </c>
      <c r="C337" s="59" t="str">
        <f>Segments!$C$317</f>
        <v>No</v>
      </c>
      <c r="D337" s="59" t="str">
        <f>Segments!$D$317</f>
        <v>2.0-3.0</v>
      </c>
      <c r="E337" s="59" t="str">
        <f>Segments!$E$317</f>
        <v>Junior</v>
      </c>
      <c r="F337" s="59">
        <f>Segments!$F$317</f>
        <v>2</v>
      </c>
      <c r="G337" s="59" t="str">
        <f>Segments!$G$317</f>
        <v>Base</v>
      </c>
      <c r="H337" s="60">
        <f>Segments!$H$317</f>
        <v>1</v>
      </c>
      <c r="I337" s="26">
        <f>Segments!$Y$317</f>
        <v>4473.5472627904937</v>
      </c>
      <c r="J337" s="29">
        <v>2</v>
      </c>
      <c r="K337" s="14">
        <f t="shared" si="156"/>
        <v>1426.2297754450396</v>
      </c>
      <c r="L337" s="14">
        <f t="shared" si="157"/>
        <v>4473.5472627904937</v>
      </c>
      <c r="M337" s="14">
        <f t="shared" si="158"/>
        <v>7316.003272149329</v>
      </c>
      <c r="N337" s="14">
        <f t="shared" si="159"/>
        <v>3230.2169747545927</v>
      </c>
      <c r="O337" s="14">
        <f t="shared" si="160"/>
        <v>1782.7872193062994</v>
      </c>
      <c r="P337" s="33">
        <f t="shared" si="161"/>
        <v>0.95</v>
      </c>
      <c r="Q337" s="33">
        <f t="shared" si="162"/>
        <v>0.02</v>
      </c>
      <c r="R337" s="51">
        <f t="shared" si="163"/>
        <v>4.75</v>
      </c>
      <c r="S337" s="51">
        <f>APPLICANTS_PER_YEAR*($H337/Segments!$AH$2)*Q337</f>
        <v>2.4E-2</v>
      </c>
      <c r="T337" s="51">
        <f t="shared" si="164"/>
        <v>4.774</v>
      </c>
      <c r="U337" s="14">
        <f t="shared" si="165"/>
        <v>1810.6039736565783</v>
      </c>
      <c r="V337" s="44">
        <f t="shared" si="166"/>
        <v>8643.8233702365051</v>
      </c>
      <c r="W337" s="44">
        <f t="shared" si="167"/>
        <v>23919.520388469235</v>
      </c>
      <c r="X337" s="44">
        <f t="shared" si="168"/>
        <v>1735.9080597233051</v>
      </c>
      <c r="Y337" s="14">
        <f t="shared" si="169"/>
        <v>1850.3108938901848</v>
      </c>
      <c r="Z337" s="14">
        <f t="shared" si="170"/>
        <v>4607.7536806742082</v>
      </c>
      <c r="AA337" s="14">
        <f t="shared" si="171"/>
        <v>7534.2333703138083</v>
      </c>
      <c r="AB337" s="14">
        <f t="shared" si="172"/>
        <v>3326.8475178357635</v>
      </c>
      <c r="AC337" s="14">
        <f t="shared" si="173"/>
        <v>2312.8886173627311</v>
      </c>
      <c r="AD337" s="33">
        <f t="shared" si="174"/>
        <v>0.92739034777473806</v>
      </c>
      <c r="AE337" s="33">
        <f t="shared" si="175"/>
        <v>0.02</v>
      </c>
      <c r="AF337" s="51">
        <f t="shared" si="176"/>
        <v>7.1594534848209772</v>
      </c>
      <c r="AG337" s="51">
        <f>APPLICANTS_PER_YEAR*($H337/Segments!$AH$2)*AE337</f>
        <v>2.4E-2</v>
      </c>
      <c r="AH337" s="51">
        <f t="shared" si="177"/>
        <v>7.1834534848209772</v>
      </c>
      <c r="AI337" s="14">
        <f t="shared" si="178"/>
        <v>2330.3331897171865</v>
      </c>
      <c r="AJ337" s="44">
        <f t="shared" si="179"/>
        <v>16739.840072467909</v>
      </c>
      <c r="AK337" s="44">
        <f t="shared" si="180"/>
        <v>37071.534342792125</v>
      </c>
      <c r="AL337" s="44">
        <f t="shared" si="181"/>
        <v>3314.4275994239183</v>
      </c>
      <c r="AM337" s="14">
        <f t="shared" si="182"/>
        <v>6309.3645927290099</v>
      </c>
      <c r="AN337" s="14">
        <f t="shared" si="183"/>
        <v>4745.9862910944348</v>
      </c>
      <c r="AO337" s="14">
        <f t="shared" si="184"/>
        <v>7759.0103714232228</v>
      </c>
      <c r="AP337" s="14">
        <f t="shared" si="185"/>
        <v>3426.3769546491903</v>
      </c>
      <c r="AQ337" s="14">
        <f t="shared" si="186"/>
        <v>7759.0103714232228</v>
      </c>
      <c r="AR337" s="33">
        <f t="shared" si="187"/>
        <v>0.3</v>
      </c>
      <c r="AS337" s="33">
        <f t="shared" si="188"/>
        <v>0.02</v>
      </c>
      <c r="AT337" s="51">
        <f t="shared" si="189"/>
        <v>5.3739021194905583E-2</v>
      </c>
      <c r="AU337" s="51">
        <f>APPLICANTS_PER_YEAR*($H337/Segments!$AH$2)*AS337</f>
        <v>2.4E-2</v>
      </c>
      <c r="AV337" s="51">
        <f t="shared" si="190"/>
        <v>7.7739021194905583E-2</v>
      </c>
      <c r="AW337" s="14">
        <f t="shared" si="191"/>
        <v>7759.0103714232218</v>
      </c>
      <c r="AX337" s="44">
        <f t="shared" si="192"/>
        <v>603.17787171556211</v>
      </c>
      <c r="AY337" s="44">
        <f t="shared" si="193"/>
        <v>413.22212833901625</v>
      </c>
      <c r="AZ337" s="44">
        <f t="shared" si="194"/>
        <v>122.67296689013486</v>
      </c>
    </row>
    <row r="338" spans="1:52" ht="15" customHeight="1" x14ac:dyDescent="0.35">
      <c r="A338" s="59" t="str">
        <f>Segments!$A$318</f>
        <v>Greek</v>
      </c>
      <c r="B338" s="59" t="str">
        <f>Segments!$B$318</f>
        <v>Off 1-3mi</v>
      </c>
      <c r="C338" s="59" t="str">
        <f>Segments!$C$318</f>
        <v>No</v>
      </c>
      <c r="D338" s="59" t="str">
        <f>Segments!$D$318</f>
        <v>2.0-3.0</v>
      </c>
      <c r="E338" s="59" t="str">
        <f>Segments!$E$318</f>
        <v>Senior</v>
      </c>
      <c r="F338" s="59">
        <f>Segments!$F$318</f>
        <v>3</v>
      </c>
      <c r="G338" s="59" t="str">
        <f>Segments!$G$318</f>
        <v>Base</v>
      </c>
      <c r="H338" s="60">
        <f>Segments!$H$318</f>
        <v>9</v>
      </c>
      <c r="I338" s="26">
        <f>Segments!$Y$318</f>
        <v>4181.3685123681362</v>
      </c>
      <c r="J338" s="29">
        <v>3</v>
      </c>
      <c r="K338" s="14">
        <f t="shared" si="156"/>
        <v>1426.2297754450396</v>
      </c>
      <c r="L338" s="14">
        <f t="shared" si="157"/>
        <v>4181.3685123681362</v>
      </c>
      <c r="M338" s="14">
        <f t="shared" si="158"/>
        <v>6840.8978458090332</v>
      </c>
      <c r="N338" s="14">
        <f t="shared" si="159"/>
        <v>3123.5704247656518</v>
      </c>
      <c r="O338" s="14">
        <f t="shared" si="160"/>
        <v>1782.7872193062994</v>
      </c>
      <c r="P338" s="33">
        <f t="shared" si="161"/>
        <v>0.95</v>
      </c>
      <c r="Q338" s="33">
        <f t="shared" si="162"/>
        <v>0.02</v>
      </c>
      <c r="R338" s="51">
        <f t="shared" si="163"/>
        <v>0.95</v>
      </c>
      <c r="S338" s="51">
        <f>APPLICANTS_PER_YEAR*($H338/Segments!$AH$2)*Q338</f>
        <v>0.21599999999999997</v>
      </c>
      <c r="T338" s="51">
        <f t="shared" si="164"/>
        <v>1.1659999999999999</v>
      </c>
      <c r="U338" s="14">
        <f t="shared" si="165"/>
        <v>2719.7957058625516</v>
      </c>
      <c r="V338" s="44">
        <f t="shared" si="166"/>
        <v>3171.2817930357351</v>
      </c>
      <c r="W338" s="44">
        <f t="shared" si="167"/>
        <v>5460.5327676717961</v>
      </c>
      <c r="X338" s="44">
        <f t="shared" si="168"/>
        <v>679.80944659807028</v>
      </c>
      <c r="Y338" s="14">
        <f t="shared" si="169"/>
        <v>1810.6039736565783</v>
      </c>
      <c r="Z338" s="14">
        <f t="shared" si="170"/>
        <v>4306.8095677391802</v>
      </c>
      <c r="AA338" s="14">
        <f t="shared" si="171"/>
        <v>7044.8747811833045</v>
      </c>
      <c r="AB338" s="14">
        <f t="shared" si="172"/>
        <v>3216.9921483462854</v>
      </c>
      <c r="AC338" s="14">
        <f t="shared" si="173"/>
        <v>2263.2549670707231</v>
      </c>
      <c r="AD338" s="33">
        <f t="shared" si="174"/>
        <v>0.92323430355057545</v>
      </c>
      <c r="AE338" s="33">
        <f t="shared" si="175"/>
        <v>0.02</v>
      </c>
      <c r="AF338" s="51">
        <f t="shared" si="176"/>
        <v>4.4075205651504472</v>
      </c>
      <c r="AG338" s="51">
        <f>APPLICANTS_PER_YEAR*($H338/Segments!$AH$2)*AE338</f>
        <v>0.21599999999999997</v>
      </c>
      <c r="AH338" s="51">
        <f t="shared" si="177"/>
        <v>4.6235205651504474</v>
      </c>
      <c r="AI338" s="14">
        <f t="shared" si="178"/>
        <v>2486.64099191794</v>
      </c>
      <c r="AJ338" s="44">
        <f t="shared" si="179"/>
        <v>11497.035764278704</v>
      </c>
      <c r="AK338" s="44">
        <f t="shared" si="180"/>
        <v>22302.137319424266</v>
      </c>
      <c r="AL338" s="44">
        <f t="shared" si="181"/>
        <v>2324.0694240974299</v>
      </c>
      <c r="AM338" s="14">
        <f t="shared" si="182"/>
        <v>2330.3331897171865</v>
      </c>
      <c r="AN338" s="14">
        <f t="shared" si="183"/>
        <v>4436.0138547713559</v>
      </c>
      <c r="AO338" s="14">
        <f t="shared" si="184"/>
        <v>7254.9710246188042</v>
      </c>
      <c r="AP338" s="14">
        <f t="shared" si="185"/>
        <v>3313.2164986831544</v>
      </c>
      <c r="AQ338" s="14">
        <f t="shared" si="186"/>
        <v>2912.9164871464832</v>
      </c>
      <c r="AR338" s="33">
        <f t="shared" si="187"/>
        <v>0.83540957656944115</v>
      </c>
      <c r="AS338" s="33">
        <f t="shared" si="188"/>
        <v>0.02</v>
      </c>
      <c r="AT338" s="51">
        <f t="shared" si="189"/>
        <v>6.0011258340605691</v>
      </c>
      <c r="AU338" s="51">
        <f>APPLICANTS_PER_YEAR*($H338/Segments!$AH$2)*AS338</f>
        <v>0.21599999999999997</v>
      </c>
      <c r="AV338" s="51">
        <f t="shared" si="190"/>
        <v>6.2171258340605693</v>
      </c>
      <c r="AW338" s="14">
        <f t="shared" si="191"/>
        <v>3063.7713685059398</v>
      </c>
      <c r="AX338" s="44">
        <f t="shared" si="192"/>
        <v>19047.852124793382</v>
      </c>
      <c r="AY338" s="44">
        <f t="shared" si="193"/>
        <v>30888.767097159565</v>
      </c>
      <c r="AZ338" s="44">
        <f t="shared" si="194"/>
        <v>3784.6341492132788</v>
      </c>
    </row>
    <row r="339" spans="1:52" ht="15" customHeight="1" x14ac:dyDescent="0.35">
      <c r="A339" s="59" t="str">
        <f>Segments!$A$319</f>
        <v>Greek</v>
      </c>
      <c r="B339" s="59" t="str">
        <f>Segments!$B$319</f>
        <v>Off 1-3mi</v>
      </c>
      <c r="C339" s="59" t="str">
        <f>Segments!$C$319</f>
        <v>No</v>
      </c>
      <c r="D339" s="59" t="str">
        <f>Segments!$D$319</f>
        <v>2.0-3.0</v>
      </c>
      <c r="E339" s="59" t="str">
        <f>Segments!$E$319</f>
        <v>Grad student</v>
      </c>
      <c r="F339" s="59">
        <f>Segments!$F$319</f>
        <v>3</v>
      </c>
      <c r="G339" s="59" t="str">
        <f>Segments!$G$319</f>
        <v>Grad</v>
      </c>
      <c r="H339" s="60">
        <f>Segments!$H$319</f>
        <v>2</v>
      </c>
      <c r="I339" s="26">
        <f>Segments!$Y$319</f>
        <v>4978.6736456514136</v>
      </c>
      <c r="J339" s="29">
        <v>4</v>
      </c>
      <c r="K339" s="14">
        <f t="shared" si="156"/>
        <v>1426.2297754450396</v>
      </c>
      <c r="L339" s="14">
        <f t="shared" si="157"/>
        <v>4978.6736456514136</v>
      </c>
      <c r="M339" s="14">
        <f t="shared" si="158"/>
        <v>8137.3781501579269</v>
      </c>
      <c r="N339" s="14">
        <f t="shared" si="159"/>
        <v>3406.7243815446996</v>
      </c>
      <c r="O339" s="14">
        <f t="shared" si="160"/>
        <v>1782.7872193062994</v>
      </c>
      <c r="P339" s="33">
        <f t="shared" si="161"/>
        <v>0.95</v>
      </c>
      <c r="Q339" s="33">
        <f t="shared" si="162"/>
        <v>0.02</v>
      </c>
      <c r="R339" s="51">
        <f t="shared" si="163"/>
        <v>0.95</v>
      </c>
      <c r="S339" s="51">
        <f>APPLICANTS_PER_YEAR*($H339/Segments!$AH$2)*Q339</f>
        <v>4.8000000000000001E-2</v>
      </c>
      <c r="T339" s="51">
        <f t="shared" si="164"/>
        <v>0.998</v>
      </c>
      <c r="U339" s="14">
        <f t="shared" si="165"/>
        <v>2088.418847243051</v>
      </c>
      <c r="V339" s="44">
        <f t="shared" si="166"/>
        <v>2084.242009548565</v>
      </c>
      <c r="W339" s="44">
        <f t="shared" si="167"/>
        <v>5564.9622541633253</v>
      </c>
      <c r="X339" s="44">
        <f t="shared" si="168"/>
        <v>428.75253509694403</v>
      </c>
      <c r="Y339" s="14">
        <f t="shared" si="169"/>
        <v>2088.418847243051</v>
      </c>
      <c r="Z339" s="14">
        <f t="shared" si="170"/>
        <v>5128.0338550209563</v>
      </c>
      <c r="AA339" s="14">
        <f t="shared" si="171"/>
        <v>8380.249494662663</v>
      </c>
      <c r="AB339" s="14">
        <f t="shared" si="172"/>
        <v>3508.6644461382339</v>
      </c>
      <c r="AC339" s="14">
        <f t="shared" si="173"/>
        <v>2610.5235590538136</v>
      </c>
      <c r="AD339" s="33">
        <f t="shared" si="174"/>
        <v>0.90298899707735625</v>
      </c>
      <c r="AE339" s="33">
        <f t="shared" si="175"/>
        <v>0.02</v>
      </c>
      <c r="AF339" s="51">
        <f t="shared" si="176"/>
        <v>0.45059150954160077</v>
      </c>
      <c r="AG339" s="51">
        <f>APPLICANTS_PER_YEAR*($H339/Segments!$AH$2)*AE339</f>
        <v>4.8000000000000001E-2</v>
      </c>
      <c r="AH339" s="51">
        <f t="shared" si="177"/>
        <v>0.49859150954160075</v>
      </c>
      <c r="AI339" s="14">
        <f t="shared" si="178"/>
        <v>3165.9819646007645</v>
      </c>
      <c r="AJ339" s="44">
        <f t="shared" si="179"/>
        <v>1578.5317269117779</v>
      </c>
      <c r="AK339" s="44">
        <f t="shared" si="180"/>
        <v>2863.6094376459728</v>
      </c>
      <c r="AL339" s="44">
        <f t="shared" si="181"/>
        <v>323.5931457281913</v>
      </c>
      <c r="AM339" s="14">
        <f t="shared" si="182"/>
        <v>3165.9819646007645</v>
      </c>
      <c r="AN339" s="14">
        <f t="shared" si="183"/>
        <v>5281.8748706715842</v>
      </c>
      <c r="AO339" s="14">
        <f t="shared" si="184"/>
        <v>8630.4069795025425</v>
      </c>
      <c r="AP339" s="14">
        <f t="shared" si="185"/>
        <v>3613.662693437956</v>
      </c>
      <c r="AQ339" s="14">
        <f t="shared" si="186"/>
        <v>3957.4774557509554</v>
      </c>
      <c r="AR339" s="33">
        <f t="shared" si="187"/>
        <v>0.72742849271220966</v>
      </c>
      <c r="AS339" s="33">
        <f t="shared" si="188"/>
        <v>0.02</v>
      </c>
      <c r="AT339" s="51">
        <f t="shared" si="189"/>
        <v>0.18134483513247596</v>
      </c>
      <c r="AU339" s="51">
        <f>APPLICANTS_PER_YEAR*($H339/Segments!$AH$2)*AS339</f>
        <v>4.8000000000000001E-2</v>
      </c>
      <c r="AV339" s="51">
        <f t="shared" si="190"/>
        <v>0.22934483513247594</v>
      </c>
      <c r="AW339" s="14">
        <f t="shared" si="191"/>
        <v>4935.4834222272184</v>
      </c>
      <c r="AX339" s="44">
        <f t="shared" si="192"/>
        <v>1131.9276317697695</v>
      </c>
      <c r="AY339" s="44">
        <f t="shared" si="193"/>
        <v>1356.7352079730872</v>
      </c>
      <c r="AZ339" s="44">
        <f t="shared" si="194"/>
        <v>234.22030283270021</v>
      </c>
    </row>
    <row r="340" spans="1:52" ht="15" customHeight="1" x14ac:dyDescent="0.35">
      <c r="A340" s="61" t="str">
        <f>Segments!$A$320</f>
        <v>Greek</v>
      </c>
      <c r="B340" s="61" t="str">
        <f>Segments!$B$320</f>
        <v>Off 1-3mi</v>
      </c>
      <c r="C340" s="61" t="str">
        <f>Segments!$C$320</f>
        <v>No</v>
      </c>
      <c r="D340" s="61" t="str">
        <f>Segments!$D$320</f>
        <v>3.0+</v>
      </c>
      <c r="E340" s="61" t="str">
        <f>Segments!$E$320</f>
        <v>Freshman</v>
      </c>
      <c r="F340" s="61">
        <f>Segments!$F$320</f>
        <v>1</v>
      </c>
      <c r="G340" s="61" t="str">
        <f>Segments!$G$320</f>
        <v>Base</v>
      </c>
      <c r="H340" s="62">
        <f>Segments!$H$320</f>
        <v>5</v>
      </c>
      <c r="I340" s="63">
        <f>Segments!$Y$320</f>
        <v>3313.9505154844383</v>
      </c>
      <c r="J340" s="42">
        <v>0</v>
      </c>
      <c r="K340" s="40">
        <f t="shared" si="156"/>
        <v>5430.4085592714482</v>
      </c>
      <c r="L340" s="40">
        <f t="shared" si="157"/>
        <v>3313.9505154844383</v>
      </c>
      <c r="M340" s="40">
        <f t="shared" si="158"/>
        <v>5430.4085592714482</v>
      </c>
      <c r="N340" s="40">
        <f t="shared" si="159"/>
        <v>2782.9858749308337</v>
      </c>
      <c r="O340" s="40">
        <f t="shared" si="160"/>
        <v>5430.4085592714482</v>
      </c>
      <c r="P340" s="41">
        <f t="shared" si="161"/>
        <v>0.37435570942191509</v>
      </c>
      <c r="Q340" s="41">
        <f t="shared" si="162"/>
        <v>0.02</v>
      </c>
      <c r="R340" s="64">
        <f t="shared" si="163"/>
        <v>0</v>
      </c>
      <c r="S340" s="64">
        <f>APPLICANTS_PER_YEAR*($H340/Segments!$AH$2)*Q340</f>
        <v>0.12</v>
      </c>
      <c r="T340" s="64">
        <f t="shared" si="164"/>
        <v>0.12</v>
      </c>
      <c r="U340" s="40">
        <f t="shared" si="165"/>
        <v>5430.4085592714482</v>
      </c>
      <c r="V340" s="65">
        <f t="shared" si="166"/>
        <v>651.64902711257378</v>
      </c>
      <c r="W340" s="65">
        <f t="shared" si="167"/>
        <v>445.39494928110855</v>
      </c>
      <c r="X340" s="65">
        <f t="shared" si="168"/>
        <v>151.36938207321654</v>
      </c>
      <c r="Y340" s="40">
        <f t="shared" si="169"/>
        <v>5592.0708160495924</v>
      </c>
      <c r="Z340" s="40">
        <f t="shared" si="170"/>
        <v>3413.3690309489716</v>
      </c>
      <c r="AA340" s="40">
        <f t="shared" si="171"/>
        <v>5592.0708160495924</v>
      </c>
      <c r="AB340" s="40">
        <f t="shared" si="172"/>
        <v>2866.1551321194365</v>
      </c>
      <c r="AC340" s="40">
        <f t="shared" si="173"/>
        <v>5592.0708160495924</v>
      </c>
      <c r="AD340" s="41">
        <f t="shared" si="174"/>
        <v>0.37446473441330752</v>
      </c>
      <c r="AE340" s="41">
        <f t="shared" si="175"/>
        <v>0.02</v>
      </c>
      <c r="AF340" s="64">
        <f t="shared" si="176"/>
        <v>0</v>
      </c>
      <c r="AG340" s="64">
        <f>APPLICANTS_PER_YEAR*($H340/Segments!$AH$2)*AE340</f>
        <v>0.12</v>
      </c>
      <c r="AH340" s="64">
        <f t="shared" si="177"/>
        <v>0.12</v>
      </c>
      <c r="AI340" s="40">
        <f t="shared" si="178"/>
        <v>5592.0708160495924</v>
      </c>
      <c r="AJ340" s="65">
        <f t="shared" si="179"/>
        <v>671.0484979259511</v>
      </c>
      <c r="AK340" s="65">
        <f t="shared" si="180"/>
        <v>458.75679775954177</v>
      </c>
      <c r="AL340" s="65">
        <f t="shared" si="181"/>
        <v>155.71486353541306</v>
      </c>
      <c r="AM340" s="40">
        <f t="shared" si="182"/>
        <v>5758.5829405310797</v>
      </c>
      <c r="AN340" s="40">
        <f t="shared" si="183"/>
        <v>3515.7701018774405</v>
      </c>
      <c r="AO340" s="40">
        <f t="shared" si="184"/>
        <v>5758.5829405310797</v>
      </c>
      <c r="AP340" s="40">
        <f t="shared" si="185"/>
        <v>2951.8194317426219</v>
      </c>
      <c r="AQ340" s="40">
        <f t="shared" si="186"/>
        <v>5758.5829405310797</v>
      </c>
      <c r="AR340" s="41">
        <f t="shared" si="187"/>
        <v>0.3745705955781532</v>
      </c>
      <c r="AS340" s="41">
        <f t="shared" si="188"/>
        <v>0.02</v>
      </c>
      <c r="AT340" s="64">
        <f t="shared" si="189"/>
        <v>0</v>
      </c>
      <c r="AU340" s="64">
        <f>APPLICANTS_PER_YEAR*($H340/Segments!$AH$2)*AS340</f>
        <v>0.12</v>
      </c>
      <c r="AV340" s="64">
        <f t="shared" si="190"/>
        <v>0.12</v>
      </c>
      <c r="AW340" s="40">
        <f t="shared" si="191"/>
        <v>5758.5829405310787</v>
      </c>
      <c r="AX340" s="65">
        <f t="shared" si="192"/>
        <v>691.02995286372948</v>
      </c>
      <c r="AY340" s="65">
        <f t="shared" si="193"/>
        <v>472.51950169232805</v>
      </c>
      <c r="AZ340" s="65">
        <f t="shared" si="194"/>
        <v>160.19070944147541</v>
      </c>
    </row>
    <row r="341" spans="1:52" ht="15" customHeight="1" x14ac:dyDescent="0.35">
      <c r="A341" s="61" t="str">
        <f>Segments!$A$321</f>
        <v>Greek</v>
      </c>
      <c r="B341" s="61" t="str">
        <f>Segments!$B$321</f>
        <v>Off 1-3mi</v>
      </c>
      <c r="C341" s="61" t="str">
        <f>Segments!$C$321</f>
        <v>No</v>
      </c>
      <c r="D341" s="61" t="str">
        <f>Segments!$D$321</f>
        <v>3.0+</v>
      </c>
      <c r="E341" s="61" t="str">
        <f>Segments!$E$321</f>
        <v>Sophomore</v>
      </c>
      <c r="F341" s="61">
        <f>Segments!$F$321</f>
        <v>1</v>
      </c>
      <c r="G341" s="61" t="str">
        <f>Segments!$G$321</f>
        <v>Sophomore</v>
      </c>
      <c r="H341" s="62">
        <f>Segments!$H$321</f>
        <v>3</v>
      </c>
      <c r="I341" s="63">
        <f>Segments!$Y$321</f>
        <v>3280.2351876330426</v>
      </c>
      <c r="J341" s="42">
        <v>1</v>
      </c>
      <c r="K341" s="40">
        <f t="shared" si="156"/>
        <v>1426.2297754450396</v>
      </c>
      <c r="L341" s="40">
        <f t="shared" si="157"/>
        <v>3280.2351876330426</v>
      </c>
      <c r="M341" s="40">
        <f t="shared" si="158"/>
        <v>5375.5848077498713</v>
      </c>
      <c r="N341" s="40">
        <f t="shared" si="159"/>
        <v>2768.9021494525346</v>
      </c>
      <c r="O341" s="40">
        <f t="shared" si="160"/>
        <v>1782.7872193062994</v>
      </c>
      <c r="P341" s="41">
        <f t="shared" si="161"/>
        <v>0.95</v>
      </c>
      <c r="Q341" s="41">
        <f t="shared" si="162"/>
        <v>0.02</v>
      </c>
      <c r="R341" s="64">
        <f t="shared" si="163"/>
        <v>4.75</v>
      </c>
      <c r="S341" s="64">
        <f>APPLICANTS_PER_YEAR*($H341/Segments!$AH$2)*Q341</f>
        <v>7.1999999999999995E-2</v>
      </c>
      <c r="T341" s="64">
        <f t="shared" si="164"/>
        <v>4.8220000000000001</v>
      </c>
      <c r="U341" s="40">
        <f t="shared" si="165"/>
        <v>1836.4333052390944</v>
      </c>
      <c r="V341" s="65">
        <f t="shared" si="166"/>
        <v>8855.2813978629129</v>
      </c>
      <c r="W341" s="65">
        <f t="shared" si="167"/>
        <v>17715.369363738519</v>
      </c>
      <c r="X341" s="65">
        <f t="shared" si="168"/>
        <v>1785.4346579116202</v>
      </c>
      <c r="Y341" s="40">
        <f t="shared" si="169"/>
        <v>5430.4085592714482</v>
      </c>
      <c r="Z341" s="40">
        <f t="shared" si="170"/>
        <v>3378.6422432620338</v>
      </c>
      <c r="AA341" s="40">
        <f t="shared" si="171"/>
        <v>5535.6023519823675</v>
      </c>
      <c r="AB341" s="40">
        <f t="shared" si="172"/>
        <v>2851.6472654245772</v>
      </c>
      <c r="AC341" s="40">
        <f t="shared" si="173"/>
        <v>5535.6023519823675</v>
      </c>
      <c r="AD341" s="41">
        <f t="shared" si="174"/>
        <v>0.37359131160941106</v>
      </c>
      <c r="AE341" s="41">
        <f t="shared" si="175"/>
        <v>0.02</v>
      </c>
      <c r="AF341" s="64">
        <f t="shared" si="176"/>
        <v>4.4830957393129325E-2</v>
      </c>
      <c r="AG341" s="64">
        <f>APPLICANTS_PER_YEAR*($H341/Segments!$AH$2)*AE341</f>
        <v>7.1999999999999995E-2</v>
      </c>
      <c r="AH341" s="64">
        <f t="shared" si="177"/>
        <v>0.11683095739312932</v>
      </c>
      <c r="AI341" s="40">
        <f t="shared" si="178"/>
        <v>5535.6023519823675</v>
      </c>
      <c r="AJ341" s="65">
        <f t="shared" si="179"/>
        <v>646.72972252975842</v>
      </c>
      <c r="AK341" s="65">
        <f t="shared" si="180"/>
        <v>442.09760892547439</v>
      </c>
      <c r="AL341" s="65">
        <f t="shared" si="181"/>
        <v>140.3182546329825</v>
      </c>
      <c r="AM341" s="40">
        <f t="shared" si="182"/>
        <v>5592.0708160495924</v>
      </c>
      <c r="AN341" s="40">
        <f t="shared" si="183"/>
        <v>3480.001510559895</v>
      </c>
      <c r="AO341" s="40">
        <f t="shared" si="184"/>
        <v>5700.4204225418389</v>
      </c>
      <c r="AP341" s="40">
        <f t="shared" si="185"/>
        <v>2936.8746990534823</v>
      </c>
      <c r="AQ341" s="40">
        <f t="shared" si="186"/>
        <v>5700.4204225418389</v>
      </c>
      <c r="AR341" s="41">
        <f t="shared" si="187"/>
        <v>0.37369641238483431</v>
      </c>
      <c r="AS341" s="41">
        <f t="shared" si="188"/>
        <v>0.02</v>
      </c>
      <c r="AT341" s="64">
        <f t="shared" si="189"/>
        <v>4.4843569486180117E-2</v>
      </c>
      <c r="AU341" s="64">
        <f>APPLICANTS_PER_YEAR*($H341/Segments!$AH$2)*AS341</f>
        <v>7.1999999999999995E-2</v>
      </c>
      <c r="AV341" s="64">
        <f t="shared" si="190"/>
        <v>0.1168435694861801</v>
      </c>
      <c r="AW341" s="40">
        <f t="shared" si="191"/>
        <v>5700.4204225418398</v>
      </c>
      <c r="AX341" s="65">
        <f t="shared" si="192"/>
        <v>666.05746974170756</v>
      </c>
      <c r="AY341" s="65">
        <f t="shared" si="193"/>
        <v>455.40969410845088</v>
      </c>
      <c r="AZ341" s="65">
        <f t="shared" si="194"/>
        <v>144.38679263571177</v>
      </c>
    </row>
    <row r="342" spans="1:52" ht="15" customHeight="1" x14ac:dyDescent="0.35">
      <c r="A342" s="61" t="str">
        <f>Segments!$A$322</f>
        <v>Greek</v>
      </c>
      <c r="B342" s="61" t="str">
        <f>Segments!$B$322</f>
        <v>Off 1-3mi</v>
      </c>
      <c r="C342" s="61" t="str">
        <f>Segments!$C$322</f>
        <v>No</v>
      </c>
      <c r="D342" s="61" t="str">
        <f>Segments!$D$322</f>
        <v>3.0+</v>
      </c>
      <c r="E342" s="61" t="str">
        <f>Segments!$E$322</f>
        <v>Junior</v>
      </c>
      <c r="F342" s="61">
        <f>Segments!$F$322</f>
        <v>2</v>
      </c>
      <c r="G342" s="61" t="str">
        <f>Segments!$G$322</f>
        <v>Base</v>
      </c>
      <c r="H342" s="62">
        <f>Segments!$H$322</f>
        <v>0</v>
      </c>
      <c r="I342" s="63">
        <f>Segments!$Y$322</f>
        <v>3921.277195697865</v>
      </c>
      <c r="J342" s="42">
        <v>2</v>
      </c>
      <c r="K342" s="40">
        <f t="shared" si="156"/>
        <v>1426.2297754450396</v>
      </c>
      <c r="L342" s="40">
        <f t="shared" si="157"/>
        <v>3921.277195697865</v>
      </c>
      <c r="M342" s="40">
        <f t="shared" si="158"/>
        <v>6417.9690882747818</v>
      </c>
      <c r="N342" s="40">
        <f t="shared" si="159"/>
        <v>3025.4749398372728</v>
      </c>
      <c r="O342" s="40">
        <f t="shared" si="160"/>
        <v>1782.7872193062994</v>
      </c>
      <c r="P342" s="41">
        <f t="shared" si="161"/>
        <v>0.95</v>
      </c>
      <c r="Q342" s="41">
        <f t="shared" si="162"/>
        <v>0.02</v>
      </c>
      <c r="R342" s="64">
        <f t="shared" si="163"/>
        <v>2.8499999999999996</v>
      </c>
      <c r="S342" s="64">
        <f>APPLICANTS_PER_YEAR*($H342/Segments!$AH$2)*Q342</f>
        <v>0</v>
      </c>
      <c r="T342" s="64">
        <f t="shared" si="164"/>
        <v>2.8499999999999996</v>
      </c>
      <c r="U342" s="40">
        <f t="shared" si="165"/>
        <v>1782.7872193062997</v>
      </c>
      <c r="V342" s="65">
        <f t="shared" si="166"/>
        <v>5080.9435750229532</v>
      </c>
      <c r="W342" s="65">
        <f t="shared" si="167"/>
        <v>12516.716808667585</v>
      </c>
      <c r="X342" s="65">
        <f t="shared" si="168"/>
        <v>1017.2983356793382</v>
      </c>
      <c r="Y342" s="40">
        <f t="shared" si="169"/>
        <v>1836.4333052390944</v>
      </c>
      <c r="Z342" s="40">
        <f t="shared" si="170"/>
        <v>4038.9155115688009</v>
      </c>
      <c r="AA342" s="40">
        <f t="shared" si="171"/>
        <v>6609.2581609230247</v>
      </c>
      <c r="AB342" s="40">
        <f t="shared" si="172"/>
        <v>3115.9445447878056</v>
      </c>
      <c r="AC342" s="40">
        <f t="shared" si="173"/>
        <v>2295.5416315488678</v>
      </c>
      <c r="AD342" s="41">
        <f t="shared" si="174"/>
        <v>0.90664594257803244</v>
      </c>
      <c r="AE342" s="41">
        <f t="shared" si="175"/>
        <v>0.02</v>
      </c>
      <c r="AF342" s="64">
        <f t="shared" si="176"/>
        <v>4.3718467351112729</v>
      </c>
      <c r="AG342" s="64">
        <f>APPLICANTS_PER_YEAR*($H342/Segments!$AH$2)*AE342</f>
        <v>0</v>
      </c>
      <c r="AH342" s="64">
        <f t="shared" si="177"/>
        <v>4.3718467351112729</v>
      </c>
      <c r="AI342" s="40">
        <f t="shared" si="178"/>
        <v>2295.5416315488678</v>
      </c>
      <c r="AJ342" s="65">
        <f t="shared" si="179"/>
        <v>10035.756187198922</v>
      </c>
      <c r="AK342" s="65">
        <f t="shared" si="180"/>
        <v>19776.421943759422</v>
      </c>
      <c r="AL342" s="65">
        <f t="shared" si="181"/>
        <v>1984.1948540828216</v>
      </c>
      <c r="AM342" s="40">
        <f t="shared" si="182"/>
        <v>5535.6023519823675</v>
      </c>
      <c r="AN342" s="40">
        <f t="shared" si="183"/>
        <v>4160.0829769158645</v>
      </c>
      <c r="AO342" s="40">
        <f t="shared" si="184"/>
        <v>6806.2859057507148</v>
      </c>
      <c r="AP342" s="40">
        <f t="shared" si="185"/>
        <v>3209.1282104286629</v>
      </c>
      <c r="AQ342" s="40">
        <f t="shared" si="186"/>
        <v>6806.2859057507148</v>
      </c>
      <c r="AR342" s="41">
        <f t="shared" si="187"/>
        <v>0.3</v>
      </c>
      <c r="AS342" s="41">
        <f t="shared" si="188"/>
        <v>0.02</v>
      </c>
      <c r="AT342" s="64">
        <f t="shared" si="189"/>
        <v>3.5049287217938797E-2</v>
      </c>
      <c r="AU342" s="64">
        <f>APPLICANTS_PER_YEAR*($H342/Segments!$AH$2)*AS342</f>
        <v>0</v>
      </c>
      <c r="AV342" s="64">
        <f t="shared" si="190"/>
        <v>3.5049287217938797E-2</v>
      </c>
      <c r="AW342" s="40">
        <f t="shared" si="191"/>
        <v>6806.2859057507148</v>
      </c>
      <c r="AX342" s="65">
        <f t="shared" si="192"/>
        <v>238.55546959806551</v>
      </c>
      <c r="AY342" s="65">
        <f t="shared" si="193"/>
        <v>163.30489628138784</v>
      </c>
      <c r="AZ342" s="65">
        <f t="shared" si="194"/>
        <v>45.78796949839316</v>
      </c>
    </row>
    <row r="343" spans="1:52" ht="15" customHeight="1" x14ac:dyDescent="0.35">
      <c r="A343" s="61" t="str">
        <f>Segments!$A$323</f>
        <v>Greek</v>
      </c>
      <c r="B343" s="61" t="str">
        <f>Segments!$B$323</f>
        <v>Off 1-3mi</v>
      </c>
      <c r="C343" s="61" t="str">
        <f>Segments!$C$323</f>
        <v>No</v>
      </c>
      <c r="D343" s="61" t="str">
        <f>Segments!$D$323</f>
        <v>3.0+</v>
      </c>
      <c r="E343" s="61" t="str">
        <f>Segments!$E$323</f>
        <v>Senior</v>
      </c>
      <c r="F343" s="61">
        <f>Segments!$F$323</f>
        <v>3</v>
      </c>
      <c r="G343" s="61" t="str">
        <f>Segments!$G$323</f>
        <v>Base</v>
      </c>
      <c r="H343" s="62">
        <f>Segments!$H$323</f>
        <v>2</v>
      </c>
      <c r="I343" s="63">
        <f>Segments!$Y$323</f>
        <v>3665.1686080836544</v>
      </c>
      <c r="J343" s="42">
        <v>3</v>
      </c>
      <c r="K343" s="40">
        <f t="shared" si="156"/>
        <v>1426.2297754450396</v>
      </c>
      <c r="L343" s="40">
        <f t="shared" si="157"/>
        <v>3665.1686080836544</v>
      </c>
      <c r="M343" s="40">
        <f t="shared" si="158"/>
        <v>6001.516558677853</v>
      </c>
      <c r="N343" s="40">
        <f t="shared" si="159"/>
        <v>2925.6694300301256</v>
      </c>
      <c r="O343" s="40">
        <f t="shared" si="160"/>
        <v>1782.7872193062994</v>
      </c>
      <c r="P343" s="41">
        <f t="shared" si="161"/>
        <v>0.95</v>
      </c>
      <c r="Q343" s="41">
        <f t="shared" si="162"/>
        <v>0.02</v>
      </c>
      <c r="R343" s="64">
        <f t="shared" si="163"/>
        <v>0</v>
      </c>
      <c r="S343" s="64">
        <f>APPLICANTS_PER_YEAR*($H343/Segments!$AH$2)*Q343</f>
        <v>4.8000000000000001E-2</v>
      </c>
      <c r="T343" s="64">
        <f t="shared" si="164"/>
        <v>4.8000000000000001E-2</v>
      </c>
      <c r="U343" s="40">
        <f t="shared" si="165"/>
        <v>6001.516558677853</v>
      </c>
      <c r="V343" s="65">
        <f t="shared" si="166"/>
        <v>288.07279481653694</v>
      </c>
      <c r="W343" s="65">
        <f t="shared" si="167"/>
        <v>197.03946437057729</v>
      </c>
      <c r="X343" s="65">
        <f t="shared" si="168"/>
        <v>66.688306038904273</v>
      </c>
      <c r="Y343" s="40">
        <f t="shared" si="169"/>
        <v>1782.7872193062997</v>
      </c>
      <c r="Z343" s="40">
        <f t="shared" si="170"/>
        <v>3775.1236663261643</v>
      </c>
      <c r="AA343" s="40">
        <f t="shared" si="171"/>
        <v>6180.3120554381894</v>
      </c>
      <c r="AB343" s="40">
        <f t="shared" si="172"/>
        <v>3013.1348173054116</v>
      </c>
      <c r="AC343" s="40">
        <f t="shared" si="173"/>
        <v>2228.4840241328748</v>
      </c>
      <c r="AD343" s="41">
        <f t="shared" si="174"/>
        <v>0.90520505897479808</v>
      </c>
      <c r="AE343" s="41">
        <f t="shared" si="175"/>
        <v>0.02</v>
      </c>
      <c r="AF343" s="64">
        <f t="shared" si="176"/>
        <v>2.5798344180781743</v>
      </c>
      <c r="AG343" s="64">
        <f>APPLICANTS_PER_YEAR*($H343/Segments!$AH$2)*AE343</f>
        <v>4.8000000000000001E-2</v>
      </c>
      <c r="AH343" s="64">
        <f t="shared" si="177"/>
        <v>2.6278344180781743</v>
      </c>
      <c r="AI343" s="40">
        <f t="shared" si="178"/>
        <v>2300.6680796417377</v>
      </c>
      <c r="AJ343" s="65">
        <f t="shared" si="179"/>
        <v>6045.7747642563763</v>
      </c>
      <c r="AK343" s="65">
        <f t="shared" si="180"/>
        <v>11110.847891218164</v>
      </c>
      <c r="AL343" s="65">
        <f t="shared" si="181"/>
        <v>1206.7910430591548</v>
      </c>
      <c r="AM343" s="40">
        <f t="shared" si="182"/>
        <v>2295.5416315488678</v>
      </c>
      <c r="AN343" s="40">
        <f t="shared" si="183"/>
        <v>3888.3773763159488</v>
      </c>
      <c r="AO343" s="40">
        <f t="shared" si="184"/>
        <v>6364.4714171013347</v>
      </c>
      <c r="AP343" s="40">
        <f t="shared" si="185"/>
        <v>3103.2241358331135</v>
      </c>
      <c r="AQ343" s="40">
        <f t="shared" si="186"/>
        <v>2869.4270394360847</v>
      </c>
      <c r="AR343" s="41">
        <f t="shared" si="187"/>
        <v>0.81267003061386389</v>
      </c>
      <c r="AS343" s="41">
        <f t="shared" si="188"/>
        <v>0.02</v>
      </c>
      <c r="AT343" s="64">
        <f t="shared" si="189"/>
        <v>3.5528688200619989</v>
      </c>
      <c r="AU343" s="64">
        <f>APPLICANTS_PER_YEAR*($H343/Segments!$AH$2)*AS343</f>
        <v>4.8000000000000001E-2</v>
      </c>
      <c r="AV343" s="64">
        <f t="shared" si="190"/>
        <v>3.6008688200619989</v>
      </c>
      <c r="AW343" s="40">
        <f t="shared" si="191"/>
        <v>2916.0163873160345</v>
      </c>
      <c r="AX343" s="65">
        <f t="shared" si="192"/>
        <v>10500.192487876142</v>
      </c>
      <c r="AY343" s="65">
        <f t="shared" si="193"/>
        <v>15681.721277611852</v>
      </c>
      <c r="AZ343" s="65">
        <f t="shared" si="194"/>
        <v>2068.4460685905606</v>
      </c>
    </row>
    <row r="344" spans="1:52" ht="15" customHeight="1" x14ac:dyDescent="0.35">
      <c r="A344" s="61" t="str">
        <f>Segments!$A$324</f>
        <v>Greek</v>
      </c>
      <c r="B344" s="61" t="str">
        <f>Segments!$B$324</f>
        <v>Off 1-3mi</v>
      </c>
      <c r="C344" s="61" t="str">
        <f>Segments!$C$324</f>
        <v>No</v>
      </c>
      <c r="D344" s="61" t="str">
        <f>Segments!$D$324</f>
        <v>3.0+</v>
      </c>
      <c r="E344" s="61" t="str">
        <f>Segments!$E$324</f>
        <v>Grad student</v>
      </c>
      <c r="F344" s="61">
        <f>Segments!$F$324</f>
        <v>3</v>
      </c>
      <c r="G344" s="61" t="str">
        <f>Segments!$G$324</f>
        <v>Grad</v>
      </c>
      <c r="H344" s="62">
        <f>Segments!$H$324</f>
        <v>3</v>
      </c>
      <c r="I344" s="63">
        <f>Segments!$Y$324</f>
        <v>4364.0445232128832</v>
      </c>
      <c r="J344" s="42">
        <v>4</v>
      </c>
      <c r="K344" s="40">
        <f t="shared" si="156"/>
        <v>1426.2297754450396</v>
      </c>
      <c r="L344" s="40">
        <f t="shared" si="157"/>
        <v>4364.0445232128832</v>
      </c>
      <c r="M344" s="40">
        <f t="shared" si="158"/>
        <v>7137.9432808007241</v>
      </c>
      <c r="N344" s="40">
        <f t="shared" si="159"/>
        <v>3190.6656425448036</v>
      </c>
      <c r="O344" s="40">
        <f t="shared" si="160"/>
        <v>1782.7872193062994</v>
      </c>
      <c r="P344" s="41">
        <f t="shared" si="161"/>
        <v>0.95</v>
      </c>
      <c r="Q344" s="41">
        <f t="shared" si="162"/>
        <v>0.02</v>
      </c>
      <c r="R344" s="64">
        <f t="shared" si="163"/>
        <v>1.4249999999999998</v>
      </c>
      <c r="S344" s="64">
        <f>APPLICANTS_PER_YEAR*($H344/Segments!$AH$2)*Q344</f>
        <v>7.1999999999999995E-2</v>
      </c>
      <c r="T344" s="64">
        <f t="shared" si="164"/>
        <v>1.4969999999999999</v>
      </c>
      <c r="U344" s="40">
        <f t="shared" si="165"/>
        <v>2040.3498354904</v>
      </c>
      <c r="V344" s="65">
        <f t="shared" si="166"/>
        <v>3054.4037037291287</v>
      </c>
      <c r="W344" s="65">
        <f t="shared" si="167"/>
        <v>7316.9316093996486</v>
      </c>
      <c r="X344" s="65">
        <f t="shared" si="168"/>
        <v>627.00991707242315</v>
      </c>
      <c r="Y344" s="40">
        <f t="shared" si="169"/>
        <v>2040.3498354904</v>
      </c>
      <c r="Z344" s="40">
        <f t="shared" si="170"/>
        <v>4494.9658589092696</v>
      </c>
      <c r="AA344" s="40">
        <f t="shared" si="171"/>
        <v>7350.8315792247458</v>
      </c>
      <c r="AB344" s="40">
        <f t="shared" si="172"/>
        <v>3286.1062245078406</v>
      </c>
      <c r="AC344" s="40">
        <f t="shared" si="173"/>
        <v>2550.4372943630001</v>
      </c>
      <c r="AD344" s="41">
        <f t="shared" si="174"/>
        <v>0.88693626740642295</v>
      </c>
      <c r="AE344" s="41">
        <f t="shared" si="175"/>
        <v>0.02</v>
      </c>
      <c r="AF344" s="64">
        <f t="shared" si="176"/>
        <v>0.66387179615370751</v>
      </c>
      <c r="AG344" s="64">
        <f>APPLICANTS_PER_YEAR*($H344/Segments!$AH$2)*AE344</f>
        <v>7.1999999999999995E-2</v>
      </c>
      <c r="AH344" s="64">
        <f t="shared" si="177"/>
        <v>0.73587179615370746</v>
      </c>
      <c r="AI344" s="40">
        <f t="shared" si="178"/>
        <v>3020.122897638726</v>
      </c>
      <c r="AJ344" s="65">
        <f t="shared" si="179"/>
        <v>2222.4232612903488</v>
      </c>
      <c r="AK344" s="65">
        <f t="shared" si="180"/>
        <v>3704.6448322745759</v>
      </c>
      <c r="AL344" s="65">
        <f t="shared" si="181"/>
        <v>455.07952788659645</v>
      </c>
      <c r="AM344" s="40">
        <f t="shared" si="182"/>
        <v>3020.122897638726</v>
      </c>
      <c r="AN344" s="40">
        <f t="shared" si="183"/>
        <v>4629.8148346765474</v>
      </c>
      <c r="AO344" s="40">
        <f t="shared" si="184"/>
        <v>7570.1065266014875</v>
      </c>
      <c r="AP344" s="40">
        <f t="shared" si="185"/>
        <v>3384.4100005200371</v>
      </c>
      <c r="AQ344" s="40">
        <f t="shared" si="186"/>
        <v>3775.1536220484077</v>
      </c>
      <c r="AR344" s="41">
        <f t="shared" si="187"/>
        <v>0.71727300748604184</v>
      </c>
      <c r="AS344" s="41">
        <f t="shared" si="188"/>
        <v>0.02</v>
      </c>
      <c r="AT344" s="64">
        <f t="shared" si="189"/>
        <v>0.26391048817566265</v>
      </c>
      <c r="AU344" s="64">
        <f>APPLICANTS_PER_YEAR*($H344/Segments!$AH$2)*AS344</f>
        <v>7.1999999999999995E-2</v>
      </c>
      <c r="AV344" s="64">
        <f t="shared" si="190"/>
        <v>0.33591048817566266</v>
      </c>
      <c r="AW344" s="40">
        <f t="shared" si="191"/>
        <v>4588.5745146551726</v>
      </c>
      <c r="AX344" s="65">
        <f t="shared" si="192"/>
        <v>1541.3503052482233</v>
      </c>
      <c r="AY344" s="65">
        <f t="shared" si="193"/>
        <v>1741.8277646326192</v>
      </c>
      <c r="AZ344" s="65">
        <f t="shared" si="194"/>
        <v>318.91008590246327</v>
      </c>
    </row>
    <row r="345" spans="1:52" ht="15" customHeight="1" x14ac:dyDescent="0.35">
      <c r="A345" s="59" t="str">
        <f>Segments!$A$325</f>
        <v>Greek</v>
      </c>
      <c r="B345" s="59" t="str">
        <f>Segments!$B$325</f>
        <v>Off 3-6mi</v>
      </c>
      <c r="C345" s="59" t="str">
        <f>Segments!$C$325</f>
        <v>Yes</v>
      </c>
      <c r="D345" s="59" t="str">
        <f>Segments!$D$325</f>
        <v>&lt;1.0</v>
      </c>
      <c r="E345" s="59" t="str">
        <f>Segments!$E$325</f>
        <v>Freshman</v>
      </c>
      <c r="F345" s="59">
        <f>Segments!$F$325</f>
        <v>1</v>
      </c>
      <c r="G345" s="59" t="str">
        <f>Segments!$G$325</f>
        <v>Base</v>
      </c>
      <c r="H345" s="60">
        <f>Segments!$H$325</f>
        <v>3</v>
      </c>
      <c r="I345" s="26">
        <f>Segments!$Y$325</f>
        <v>3157.9631601041087</v>
      </c>
      <c r="J345" s="29">
        <v>0</v>
      </c>
      <c r="K345" s="14">
        <f t="shared" ref="K345:K408" si="195">IF($J345=0,M345,CURRENT_FLAT)</f>
        <v>5176.7609587031775</v>
      </c>
      <c r="L345" s="14">
        <f t="shared" ref="L345:L408" si="196">$I345*(1+LOSS_TREND)^0</f>
        <v>3157.9631601041087</v>
      </c>
      <c r="M345" s="14">
        <f t="shared" ref="M345:M408" si="197">L345*GROSS_MULT+POLICY_FEE</f>
        <v>5176.7609587031775</v>
      </c>
      <c r="N345" s="14">
        <f t="shared" ref="N345:N408" si="198">M345^MARKET_RISK_WEIGHT*(CURRENT_FLAT*(1+LOSS_TREND)^0)^(1-MARKET_RISK_WEIGHT)</f>
        <v>2717.213760392046</v>
      </c>
      <c r="O345" s="14">
        <f t="shared" ref="O345:O408" si="199">MIN(M345,K345*(1+CAP_UP))</f>
        <v>5176.7609587031775</v>
      </c>
      <c r="P345" s="33">
        <f t="shared" ref="P345:P408" si="200">MEDIAN(RET_FLOOR,BASE_RETENTION-ELAST_MARKET*(O345/N345-1)-ELAST_INCREASE*MAX(O345/K345-1,0),RET_CEIL)</f>
        <v>0.39741374525568018</v>
      </c>
      <c r="Q345" s="33">
        <f t="shared" ref="Q345:Q408" si="201">MEDIAN(CONV_FLOOR,BASE_CONVERSION-ELAST_MARKET*(M345/N345-1),CONV_CEIL)</f>
        <v>0.02</v>
      </c>
      <c r="R345" s="51">
        <f t="shared" ref="R345:R408" si="202">IF($J345=0,0,IF($J345=4,$H345*GRAD_CONTINUE,$H344)*P345)</f>
        <v>0</v>
      </c>
      <c r="S345" s="51">
        <f>APPLICANTS_PER_YEAR*($H345/Segments!$AH$2)*Q345</f>
        <v>7.1999999999999995E-2</v>
      </c>
      <c r="T345" s="51">
        <f t="shared" ref="T345:T408" si="203">R345+S345</f>
        <v>7.1999999999999995E-2</v>
      </c>
      <c r="U345" s="14">
        <f t="shared" ref="U345:U408" si="204">IFERROR((R345*O345+S345*M345)/T345,M345)</f>
        <v>5176.7609587031775</v>
      </c>
      <c r="V345" s="44">
        <f t="shared" ref="V345:V408" si="205">R345*O345+S345*M345</f>
        <v>372.72678902662875</v>
      </c>
      <c r="W345" s="44">
        <f t="shared" ref="W345:W408" si="206">T345*L345*(1+LAE_RATIO)</f>
        <v>254.65814923079532</v>
      </c>
      <c r="X345" s="44">
        <f t="shared" ref="X345:X408" si="207">R345*O345*(PREMIUM_TAX+OTHER_VARIABLE+COMMISSION_RN)+S345*M345*(PREMIUM_TAX+OTHER_VARIABLE+COMMISSION_NB)+T345*FIXED_PER_POLICY+S345*NB_ACQUISITION</f>
        <v>86.730800741964842</v>
      </c>
      <c r="Y345" s="14">
        <f t="shared" ref="Y345:Y408" si="208">IF($J345=0,AA345,IF($J345=4,U345,U344))</f>
        <v>5330.8137874642734</v>
      </c>
      <c r="Z345" s="14">
        <f t="shared" ref="Z345:Z408" si="209">$I345*(1+LOSS_TREND)^1</f>
        <v>3252.7020549072322</v>
      </c>
      <c r="AA345" s="14">
        <f t="shared" ref="AA345:AA408" si="210">Z345*GROSS_MULT+POLICY_FEE</f>
        <v>5330.8137874642734</v>
      </c>
      <c r="AB345" s="14">
        <f t="shared" ref="AB345:AB408" si="211">AA345^MARKET_RISK_WEIGHT*(CURRENT_FLAT*(1+LOSS_TREND)^1)^(1-MARKET_RISK_WEIGHT)</f>
        <v>2798.4020996928807</v>
      </c>
      <c r="AC345" s="14">
        <f t="shared" ref="AC345:AC408" si="212">MIN(AA345,Y345*(1+CAP_UP))</f>
        <v>5330.8137874642734</v>
      </c>
      <c r="AD345" s="33">
        <f t="shared" ref="AD345:AD408" si="213">MEDIAN(RET_FLOOR,BASE_RETENTION-ELAST_MARKET*(AC345/AB345-1)-ELAST_INCREASE*MAX(AC345/Y345-1,0),RET_CEIL)</f>
        <v>0.39752540958118199</v>
      </c>
      <c r="AE345" s="33">
        <f t="shared" ref="AE345:AE408" si="214">MEDIAN(CONV_FLOOR,BASE_CONVERSION-ELAST_MARKET*(AA345/AB345-1),CONV_CEIL)</f>
        <v>0.02</v>
      </c>
      <c r="AF345" s="51">
        <f t="shared" ref="AF345:AF408" si="215">IF($J345=0,0,IF($J345=4,T345*GRAD_CONTINUE,T344)*AD345)</f>
        <v>0</v>
      </c>
      <c r="AG345" s="51">
        <f>APPLICANTS_PER_YEAR*($H345/Segments!$AH$2)*AE345</f>
        <v>7.1999999999999995E-2</v>
      </c>
      <c r="AH345" s="51">
        <f t="shared" ref="AH345:AH408" si="216">AF345+AG345</f>
        <v>7.1999999999999995E-2</v>
      </c>
      <c r="AI345" s="14">
        <f t="shared" ref="AI345:AI408" si="217">IFERROR((AF345*AC345+AG345*AA345)/AH345,AA345)</f>
        <v>5330.8137874642734</v>
      </c>
      <c r="AJ345" s="44">
        <f t="shared" ref="AJ345:AJ408" si="218">AF345*AC345+AG345*AA345</f>
        <v>383.81859269742768</v>
      </c>
      <c r="AK345" s="44">
        <f t="shared" ref="AK345:AK408" si="219">AH345*Z345*(1+LAE_RATIO)</f>
        <v>262.2978937077192</v>
      </c>
      <c r="AL345" s="44">
        <f t="shared" ref="AL345:AL408" si="220">AF345*AC345*(PREMIUM_TAX+OTHER_VARIABLE+COMMISSION_RN)+AG345*AA345*(PREMIUM_TAX+OTHER_VARIABLE+COMMISSION_NB)+AH345*FIXED_PER_POLICY+AG345*NB_ACQUISITION</f>
        <v>89.215364764223793</v>
      </c>
      <c r="AM345" s="14">
        <f t="shared" ref="AM345:AM408" si="221">IF($J345=0,AO345,IF($J345=4,AI345,AI344))</f>
        <v>5489.4882010882011</v>
      </c>
      <c r="AN345" s="14">
        <f t="shared" ref="AN345:AN408" si="222">$I345*(1+LOSS_TREND)^2</f>
        <v>3350.283116554449</v>
      </c>
      <c r="AO345" s="14">
        <f t="shared" ref="AO345:AO408" si="223">AN345*GROSS_MULT+POLICY_FEE</f>
        <v>5489.4882010882011</v>
      </c>
      <c r="AP345" s="14">
        <f t="shared" ref="AP345:AP408" si="224">AO345^MARKET_RISK_WEIGHT*(CURRENT_FLAT*(1+LOSS_TREND)^2)^(1-MARKET_RISK_WEIGHT)</f>
        <v>2882.0260512665222</v>
      </c>
      <c r="AQ345" s="14">
        <f t="shared" ref="AQ345:AQ408" si="225">MIN(AO345,AM345*(1+CAP_UP))</f>
        <v>5489.4882010882011</v>
      </c>
      <c r="AR345" s="33">
        <f t="shared" ref="AR345:AR408" si="226">MEDIAN(RET_FLOOR,BASE_RETENTION-ELAST_MARKET*(AQ345/AP345-1)-ELAST_INCREASE*MAX(AQ345/AM345-1,0),RET_CEIL)</f>
        <v>0.39763383407380803</v>
      </c>
      <c r="AS345" s="33">
        <f t="shared" ref="AS345:AS408" si="227">MEDIAN(CONV_FLOOR,BASE_CONVERSION-ELAST_MARKET*(AO345/AP345-1),CONV_CEIL)</f>
        <v>0.02</v>
      </c>
      <c r="AT345" s="51">
        <f t="shared" ref="AT345:AT408" si="228">IF($J345=0,0,IF($J345=4,AH345*GRAD_CONTINUE,AH344)*AR345)</f>
        <v>0</v>
      </c>
      <c r="AU345" s="51">
        <f>APPLICANTS_PER_YEAR*($H345/Segments!$AH$2)*AS345</f>
        <v>7.1999999999999995E-2</v>
      </c>
      <c r="AV345" s="51">
        <f t="shared" ref="AV345:AV408" si="229">AT345+AU345</f>
        <v>7.1999999999999995E-2</v>
      </c>
      <c r="AW345" s="14">
        <f t="shared" ref="AW345:AW408" si="230">IFERROR((AT345*AQ345+AU345*AO345)/AV345,AO345)</f>
        <v>5489.4882010882011</v>
      </c>
      <c r="AX345" s="44">
        <f t="shared" ref="AX345:AX408" si="231">AT345*AQ345+AU345*AO345</f>
        <v>395.24315047835046</v>
      </c>
      <c r="AY345" s="44">
        <f t="shared" ref="AY345:AY408" si="232">AV345*AN345*(1+LAE_RATIO)</f>
        <v>270.16683051895075</v>
      </c>
      <c r="AZ345" s="44">
        <f t="shared" ref="AZ345:AZ408" si="233">AT345*AQ345*(PREMIUM_TAX+OTHER_VARIABLE+COMMISSION_RN)+AU345*AO345*(PREMIUM_TAX+OTHER_VARIABLE+COMMISSION_NB)+AV345*FIXED_PER_POLICY+AU345*NB_ACQUISITION</f>
        <v>91.774465707150497</v>
      </c>
    </row>
    <row r="346" spans="1:52" ht="15" customHeight="1" x14ac:dyDescent="0.35">
      <c r="A346" s="59" t="str">
        <f>Segments!$A$326</f>
        <v>Greek</v>
      </c>
      <c r="B346" s="59" t="str">
        <f>Segments!$B$326</f>
        <v>Off 3-6mi</v>
      </c>
      <c r="C346" s="59" t="str">
        <f>Segments!$C$326</f>
        <v>Yes</v>
      </c>
      <c r="D346" s="59" t="str">
        <f>Segments!$D$326</f>
        <v>&lt;1.0</v>
      </c>
      <c r="E346" s="59" t="str">
        <f>Segments!$E$326</f>
        <v>Sophomore</v>
      </c>
      <c r="F346" s="59">
        <f>Segments!$F$326</f>
        <v>1</v>
      </c>
      <c r="G346" s="59" t="str">
        <f>Segments!$G$326</f>
        <v>Sophomore</v>
      </c>
      <c r="H346" s="60">
        <f>Segments!$H$326</f>
        <v>3</v>
      </c>
      <c r="I346" s="26">
        <f>Segments!$Y$326</f>
        <v>3125.8348097295175</v>
      </c>
      <c r="J346" s="29">
        <v>1</v>
      </c>
      <c r="K346" s="14">
        <f t="shared" si="195"/>
        <v>1426.2297754450396</v>
      </c>
      <c r="L346" s="14">
        <f t="shared" si="196"/>
        <v>3125.8348097295175</v>
      </c>
      <c r="M346" s="14">
        <f t="shared" si="197"/>
        <v>5124.5177562790959</v>
      </c>
      <c r="N346" s="14">
        <f t="shared" si="198"/>
        <v>2703.4681075984704</v>
      </c>
      <c r="O346" s="14">
        <f t="shared" si="199"/>
        <v>1782.7872193062994</v>
      </c>
      <c r="P346" s="33">
        <f t="shared" si="200"/>
        <v>0.94527774170970802</v>
      </c>
      <c r="Q346" s="33">
        <f t="shared" si="201"/>
        <v>0.02</v>
      </c>
      <c r="R346" s="51">
        <f t="shared" si="202"/>
        <v>2.8358332251291243</v>
      </c>
      <c r="S346" s="51">
        <f>APPLICANTS_PER_YEAR*($H346/Segments!$AH$2)*Q346</f>
        <v>7.1999999999999995E-2</v>
      </c>
      <c r="T346" s="51">
        <f t="shared" si="203"/>
        <v>2.9078332251291243</v>
      </c>
      <c r="U346" s="14">
        <f t="shared" si="204"/>
        <v>1865.5308225441906</v>
      </c>
      <c r="V346" s="44">
        <f t="shared" si="205"/>
        <v>5424.6525082964617</v>
      </c>
      <c r="W346" s="44">
        <f t="shared" si="206"/>
        <v>10180.135073916268</v>
      </c>
      <c r="X346" s="44">
        <f t="shared" si="207"/>
        <v>1098.129773316437</v>
      </c>
      <c r="Y346" s="14">
        <f t="shared" si="208"/>
        <v>5176.7609587031775</v>
      </c>
      <c r="Z346" s="14">
        <f t="shared" si="209"/>
        <v>3219.609854021403</v>
      </c>
      <c r="AA346" s="14">
        <f t="shared" si="210"/>
        <v>5277.0032889674685</v>
      </c>
      <c r="AB346" s="14">
        <f t="shared" si="211"/>
        <v>2784.2424090445525</v>
      </c>
      <c r="AC346" s="14">
        <f t="shared" si="212"/>
        <v>5277.0032889674685</v>
      </c>
      <c r="AD346" s="33">
        <f t="shared" si="213"/>
        <v>0.39653568195103606</v>
      </c>
      <c r="AE346" s="33">
        <f t="shared" si="214"/>
        <v>0.02</v>
      </c>
      <c r="AF346" s="51">
        <f t="shared" si="215"/>
        <v>2.8550569100474595E-2</v>
      </c>
      <c r="AG346" s="51">
        <f>APPLICANTS_PER_YEAR*($H346/Segments!$AH$2)*AE346</f>
        <v>7.1999999999999995E-2</v>
      </c>
      <c r="AH346" s="51">
        <f t="shared" si="216"/>
        <v>0.10055056910047459</v>
      </c>
      <c r="AI346" s="14">
        <f t="shared" si="217"/>
        <v>5277.0032889674685</v>
      </c>
      <c r="AJ346" s="44">
        <f t="shared" si="218"/>
        <v>530.6056838507551</v>
      </c>
      <c r="AK346" s="44">
        <f t="shared" si="219"/>
        <v>362.58163547574981</v>
      </c>
      <c r="AL346" s="44">
        <f t="shared" si="220"/>
        <v>117.39353391800022</v>
      </c>
      <c r="AM346" s="14">
        <f t="shared" si="221"/>
        <v>5330.8137874642734</v>
      </c>
      <c r="AN346" s="14">
        <f t="shared" si="222"/>
        <v>3316.1981496420449</v>
      </c>
      <c r="AO346" s="14">
        <f t="shared" si="223"/>
        <v>5434.0633876364927</v>
      </c>
      <c r="AP346" s="14">
        <f t="shared" si="224"/>
        <v>2867.4399010465195</v>
      </c>
      <c r="AQ346" s="14">
        <f t="shared" si="225"/>
        <v>5434.0633876364927</v>
      </c>
      <c r="AR346" s="33">
        <f t="shared" si="226"/>
        <v>0.39664329574787077</v>
      </c>
      <c r="AS346" s="33">
        <f t="shared" si="227"/>
        <v>0.02</v>
      </c>
      <c r="AT346" s="51">
        <f t="shared" si="228"/>
        <v>2.8558317293846693E-2</v>
      </c>
      <c r="AU346" s="51">
        <f>APPLICANTS_PER_YEAR*($H346/Segments!$AH$2)*AS346</f>
        <v>7.1999999999999995E-2</v>
      </c>
      <c r="AV346" s="51">
        <f t="shared" si="229"/>
        <v>0.10055831729384669</v>
      </c>
      <c r="AW346" s="14">
        <f t="shared" si="230"/>
        <v>5434.0633876364927</v>
      </c>
      <c r="AX346" s="44">
        <f t="shared" si="231"/>
        <v>546.44027032882582</v>
      </c>
      <c r="AY346" s="44">
        <f t="shared" si="232"/>
        <v>373.48786242988871</v>
      </c>
      <c r="AZ346" s="44">
        <f t="shared" si="233"/>
        <v>120.78221717486899</v>
      </c>
    </row>
    <row r="347" spans="1:52" ht="15" customHeight="1" x14ac:dyDescent="0.35">
      <c r="A347" s="59" t="str">
        <f>Segments!$A$327</f>
        <v>Greek</v>
      </c>
      <c r="B347" s="59" t="str">
        <f>Segments!$B$327</f>
        <v>Off 3-6mi</v>
      </c>
      <c r="C347" s="59" t="str">
        <f>Segments!$C$327</f>
        <v>Yes</v>
      </c>
      <c r="D347" s="59" t="str">
        <f>Segments!$D$327</f>
        <v>&lt;1.0</v>
      </c>
      <c r="E347" s="59" t="str">
        <f>Segments!$E$327</f>
        <v>Junior</v>
      </c>
      <c r="F347" s="59">
        <f>Segments!$F$327</f>
        <v>2</v>
      </c>
      <c r="G347" s="59" t="str">
        <f>Segments!$G$327</f>
        <v>Base</v>
      </c>
      <c r="H347" s="60">
        <f>Segments!$H$327</f>
        <v>4</v>
      </c>
      <c r="I347" s="26">
        <f>Segments!$Y$327</f>
        <v>3736.7030276129531</v>
      </c>
      <c r="J347" s="29">
        <v>2</v>
      </c>
      <c r="K347" s="14">
        <f t="shared" si="195"/>
        <v>1426.2297754450396</v>
      </c>
      <c r="L347" s="14">
        <f t="shared" si="196"/>
        <v>3736.7030276129531</v>
      </c>
      <c r="M347" s="14">
        <f t="shared" si="197"/>
        <v>6117.8371016309056</v>
      </c>
      <c r="N347" s="14">
        <f t="shared" si="198"/>
        <v>2953.8858196735332</v>
      </c>
      <c r="O347" s="14">
        <f t="shared" si="199"/>
        <v>1782.7872193062994</v>
      </c>
      <c r="P347" s="33">
        <f t="shared" si="200"/>
        <v>0.95</v>
      </c>
      <c r="Q347" s="33">
        <f t="shared" si="201"/>
        <v>0.02</v>
      </c>
      <c r="R347" s="51">
        <f t="shared" si="202"/>
        <v>2.8499999999999996</v>
      </c>
      <c r="S347" s="51">
        <f>APPLICANTS_PER_YEAR*($H347/Segments!$AH$2)*Q347</f>
        <v>9.6000000000000002E-2</v>
      </c>
      <c r="T347" s="51">
        <f t="shared" si="203"/>
        <v>2.9459999999999997</v>
      </c>
      <c r="U347" s="14">
        <f t="shared" si="204"/>
        <v>1924.0515739238019</v>
      </c>
      <c r="V347" s="44">
        <f t="shared" si="205"/>
        <v>5668.2559367795202</v>
      </c>
      <c r="W347" s="44">
        <f t="shared" si="206"/>
        <v>12329.326373669492</v>
      </c>
      <c r="X347" s="44">
        <f t="shared" si="207"/>
        <v>1153.1763047128093</v>
      </c>
      <c r="Y347" s="14">
        <f t="shared" si="208"/>
        <v>1865.5308225441906</v>
      </c>
      <c r="Z347" s="14">
        <f t="shared" si="209"/>
        <v>3848.8041184413419</v>
      </c>
      <c r="AA347" s="14">
        <f t="shared" si="210"/>
        <v>6300.1222146798327</v>
      </c>
      <c r="AB347" s="14">
        <f t="shared" si="211"/>
        <v>3042.2006094708313</v>
      </c>
      <c r="AC347" s="14">
        <f t="shared" si="212"/>
        <v>2331.9135281802382</v>
      </c>
      <c r="AD347" s="33">
        <f t="shared" si="213"/>
        <v>0.89173902751175604</v>
      </c>
      <c r="AE347" s="33">
        <f t="shared" si="214"/>
        <v>0.02</v>
      </c>
      <c r="AF347" s="51">
        <f t="shared" si="215"/>
        <v>2.5930283723430185</v>
      </c>
      <c r="AG347" s="51">
        <f>APPLICANTS_PER_YEAR*($H347/Segments!$AH$2)*AE347</f>
        <v>9.6000000000000002E-2</v>
      </c>
      <c r="AH347" s="51">
        <f t="shared" si="216"/>
        <v>2.6890283723430186</v>
      </c>
      <c r="AI347" s="14">
        <f t="shared" si="217"/>
        <v>2473.5810679585675</v>
      </c>
      <c r="AJ347" s="44">
        <f t="shared" si="218"/>
        <v>6651.5296730311329</v>
      </c>
      <c r="AK347" s="44">
        <f t="shared" si="219"/>
        <v>11591.488690968961</v>
      </c>
      <c r="AL347" s="44">
        <f t="shared" si="220"/>
        <v>1334.4880862910688</v>
      </c>
      <c r="AM347" s="14">
        <f t="shared" si="221"/>
        <v>5277.0032889674685</v>
      </c>
      <c r="AN347" s="14">
        <f t="shared" si="222"/>
        <v>3964.2682419945818</v>
      </c>
      <c r="AO347" s="14">
        <f t="shared" si="223"/>
        <v>6487.8758811202279</v>
      </c>
      <c r="AP347" s="14">
        <f t="shared" si="224"/>
        <v>3133.1648134582797</v>
      </c>
      <c r="AQ347" s="14">
        <f t="shared" si="225"/>
        <v>6487.8758811202279</v>
      </c>
      <c r="AR347" s="33">
        <f t="shared" si="226"/>
        <v>0.3</v>
      </c>
      <c r="AS347" s="33">
        <f t="shared" si="227"/>
        <v>0.02</v>
      </c>
      <c r="AT347" s="51">
        <f t="shared" si="228"/>
        <v>3.0165170730142375E-2</v>
      </c>
      <c r="AU347" s="51">
        <f>APPLICANTS_PER_YEAR*($H347/Segments!$AH$2)*AS347</f>
        <v>9.6000000000000002E-2</v>
      </c>
      <c r="AV347" s="51">
        <f t="shared" si="229"/>
        <v>0.12616517073014238</v>
      </c>
      <c r="AW347" s="14">
        <f t="shared" si="230"/>
        <v>6487.8758811202279</v>
      </c>
      <c r="AX347" s="44">
        <f t="shared" si="231"/>
        <v>818.54396821750652</v>
      </c>
      <c r="AY347" s="44">
        <f t="shared" si="232"/>
        <v>560.17088911988719</v>
      </c>
      <c r="AZ347" s="44">
        <f t="shared" si="233"/>
        <v>181.42737636827556</v>
      </c>
    </row>
    <row r="348" spans="1:52" ht="15" customHeight="1" x14ac:dyDescent="0.35">
      <c r="A348" s="59" t="str">
        <f>Segments!$A$328</f>
        <v>Greek</v>
      </c>
      <c r="B348" s="59" t="str">
        <f>Segments!$B$328</f>
        <v>Off 3-6mi</v>
      </c>
      <c r="C348" s="59" t="str">
        <f>Segments!$C$328</f>
        <v>Yes</v>
      </c>
      <c r="D348" s="59" t="str">
        <f>Segments!$D$328</f>
        <v>&lt;1.0</v>
      </c>
      <c r="E348" s="59" t="str">
        <f>Segments!$E$328</f>
        <v>Senior</v>
      </c>
      <c r="F348" s="59">
        <f>Segments!$F$328</f>
        <v>3</v>
      </c>
      <c r="G348" s="59" t="str">
        <f>Segments!$G$328</f>
        <v>Base</v>
      </c>
      <c r="H348" s="60">
        <f>Segments!$H$328</f>
        <v>0</v>
      </c>
      <c r="I348" s="26">
        <f>Segments!$Y$328</f>
        <v>3492.649448389926</v>
      </c>
      <c r="J348" s="29">
        <v>3</v>
      </c>
      <c r="K348" s="14">
        <f t="shared" si="195"/>
        <v>1426.2297754450396</v>
      </c>
      <c r="L348" s="14">
        <f t="shared" si="196"/>
        <v>3492.649448389926</v>
      </c>
      <c r="M348" s="14">
        <f t="shared" si="197"/>
        <v>5720.9869554822944</v>
      </c>
      <c r="N348" s="14">
        <f t="shared" si="198"/>
        <v>2856.4736898563438</v>
      </c>
      <c r="O348" s="14">
        <f t="shared" si="199"/>
        <v>1782.7872193062994</v>
      </c>
      <c r="P348" s="33">
        <f t="shared" si="200"/>
        <v>0.95</v>
      </c>
      <c r="Q348" s="33">
        <f t="shared" si="201"/>
        <v>0.02</v>
      </c>
      <c r="R348" s="51">
        <f t="shared" si="202"/>
        <v>3.8</v>
      </c>
      <c r="S348" s="51">
        <f>APPLICANTS_PER_YEAR*($H348/Segments!$AH$2)*Q348</f>
        <v>0</v>
      </c>
      <c r="T348" s="51">
        <f t="shared" si="203"/>
        <v>3.8</v>
      </c>
      <c r="U348" s="14">
        <f t="shared" si="204"/>
        <v>1782.7872193062994</v>
      </c>
      <c r="V348" s="44">
        <f t="shared" si="205"/>
        <v>6774.5914333639375</v>
      </c>
      <c r="W348" s="44">
        <f t="shared" si="206"/>
        <v>14864.716052347525</v>
      </c>
      <c r="X348" s="44">
        <f t="shared" si="207"/>
        <v>1356.3977809057842</v>
      </c>
      <c r="Y348" s="14">
        <f t="shared" si="208"/>
        <v>1924.0515739238019</v>
      </c>
      <c r="Z348" s="14">
        <f t="shared" si="209"/>
        <v>3597.428931841624</v>
      </c>
      <c r="AA348" s="14">
        <f t="shared" si="210"/>
        <v>5891.3665641467633</v>
      </c>
      <c r="AB348" s="14">
        <f t="shared" si="211"/>
        <v>2941.8558231502229</v>
      </c>
      <c r="AC348" s="14">
        <f t="shared" si="212"/>
        <v>2405.0644674047526</v>
      </c>
      <c r="AD348" s="33">
        <f t="shared" si="213"/>
        <v>0.86623345738450552</v>
      </c>
      <c r="AE348" s="33">
        <f t="shared" si="214"/>
        <v>0.02</v>
      </c>
      <c r="AF348" s="51">
        <f t="shared" si="215"/>
        <v>2.5519237654547529</v>
      </c>
      <c r="AG348" s="51">
        <f>APPLICANTS_PER_YEAR*($H348/Segments!$AH$2)*AE348</f>
        <v>0</v>
      </c>
      <c r="AH348" s="51">
        <f t="shared" si="216"/>
        <v>2.5519237654547529</v>
      </c>
      <c r="AI348" s="14">
        <f t="shared" si="217"/>
        <v>2405.0644674047526</v>
      </c>
      <c r="AJ348" s="44">
        <f t="shared" si="218"/>
        <v>6137.5411718209662</v>
      </c>
      <c r="AK348" s="44">
        <f t="shared" si="219"/>
        <v>10282.008111985286</v>
      </c>
      <c r="AL348" s="44">
        <f t="shared" si="220"/>
        <v>1211.0337567832576</v>
      </c>
      <c r="AM348" s="14">
        <f t="shared" si="221"/>
        <v>2473.5810679585675</v>
      </c>
      <c r="AN348" s="14">
        <f t="shared" si="222"/>
        <v>3705.3517997968725</v>
      </c>
      <c r="AO348" s="14">
        <f t="shared" si="223"/>
        <v>6066.8575610711659</v>
      </c>
      <c r="AP348" s="14">
        <f t="shared" si="224"/>
        <v>3029.7993878159441</v>
      </c>
      <c r="AQ348" s="14">
        <f t="shared" si="225"/>
        <v>3091.9763349482091</v>
      </c>
      <c r="AR348" s="33">
        <f t="shared" si="226"/>
        <v>0.76473909834058595</v>
      </c>
      <c r="AS348" s="33">
        <f t="shared" si="227"/>
        <v>0.02</v>
      </c>
      <c r="AT348" s="51">
        <f t="shared" si="228"/>
        <v>2.0564051328778534</v>
      </c>
      <c r="AU348" s="51">
        <f>APPLICANTS_PER_YEAR*($H348/Segments!$AH$2)*AS348</f>
        <v>0</v>
      </c>
      <c r="AV348" s="51">
        <f t="shared" si="229"/>
        <v>2.0564051328778534</v>
      </c>
      <c r="AW348" s="14">
        <f t="shared" si="230"/>
        <v>3091.9763349482091</v>
      </c>
      <c r="AX348" s="44">
        <f t="shared" si="231"/>
        <v>6358.35600592435</v>
      </c>
      <c r="AY348" s="44">
        <f t="shared" si="232"/>
        <v>8534.0689954469399</v>
      </c>
      <c r="AZ348" s="44">
        <f t="shared" si="233"/>
        <v>1242.8573877772592</v>
      </c>
    </row>
    <row r="349" spans="1:52" ht="15" customHeight="1" x14ac:dyDescent="0.35">
      <c r="A349" s="59" t="str">
        <f>Segments!$A$329</f>
        <v>Greek</v>
      </c>
      <c r="B349" s="59" t="str">
        <f>Segments!$B$329</f>
        <v>Off 3-6mi</v>
      </c>
      <c r="C349" s="59" t="str">
        <f>Segments!$C$329</f>
        <v>Yes</v>
      </c>
      <c r="D349" s="59" t="str">
        <f>Segments!$D$329</f>
        <v>&lt;1.0</v>
      </c>
      <c r="E349" s="59" t="str">
        <f>Segments!$E$329</f>
        <v>Grad student</v>
      </c>
      <c r="F349" s="59">
        <f>Segments!$F$329</f>
        <v>3</v>
      </c>
      <c r="G349" s="59" t="str">
        <f>Segments!$G$329</f>
        <v>Grad</v>
      </c>
      <c r="H349" s="60">
        <f>Segments!$H$329</f>
        <v>0</v>
      </c>
      <c r="I349" s="26">
        <f>Segments!$Y$329</f>
        <v>4158.6293364871772</v>
      </c>
      <c r="J349" s="29">
        <v>4</v>
      </c>
      <c r="K349" s="14">
        <f t="shared" si="195"/>
        <v>1426.2297754450396</v>
      </c>
      <c r="L349" s="14">
        <f t="shared" si="196"/>
        <v>4158.6293364871772</v>
      </c>
      <c r="M349" s="14">
        <f t="shared" si="197"/>
        <v>6803.9221730883683</v>
      </c>
      <c r="N349" s="14">
        <f t="shared" si="198"/>
        <v>3115.1173963543251</v>
      </c>
      <c r="O349" s="14">
        <f t="shared" si="199"/>
        <v>1782.7872193062994</v>
      </c>
      <c r="P349" s="33">
        <f t="shared" si="200"/>
        <v>0.95</v>
      </c>
      <c r="Q349" s="33">
        <f t="shared" si="201"/>
        <v>0.02</v>
      </c>
      <c r="R349" s="51">
        <f t="shared" si="202"/>
        <v>0</v>
      </c>
      <c r="S349" s="51">
        <f>APPLICANTS_PER_YEAR*($H349/Segments!$AH$2)*Q349</f>
        <v>0</v>
      </c>
      <c r="T349" s="51">
        <f t="shared" si="203"/>
        <v>0</v>
      </c>
      <c r="U349" s="14">
        <f t="shared" si="204"/>
        <v>6803.9221730883683</v>
      </c>
      <c r="V349" s="44">
        <f t="shared" si="205"/>
        <v>0</v>
      </c>
      <c r="W349" s="44">
        <f t="shared" si="206"/>
        <v>0</v>
      </c>
      <c r="X349" s="44">
        <f t="shared" si="207"/>
        <v>0</v>
      </c>
      <c r="Y349" s="14">
        <f t="shared" si="208"/>
        <v>6803.9221730883683</v>
      </c>
      <c r="Z349" s="14">
        <f t="shared" si="209"/>
        <v>4283.3882165817922</v>
      </c>
      <c r="AA349" s="14">
        <f t="shared" si="210"/>
        <v>7006.789838281019</v>
      </c>
      <c r="AB349" s="14">
        <f t="shared" si="211"/>
        <v>3208.2847545957302</v>
      </c>
      <c r="AC349" s="14">
        <f t="shared" si="212"/>
        <v>7006.789838281019</v>
      </c>
      <c r="AD349" s="33">
        <f t="shared" si="213"/>
        <v>0.3</v>
      </c>
      <c r="AE349" s="33">
        <f t="shared" si="214"/>
        <v>0.02</v>
      </c>
      <c r="AF349" s="51">
        <f t="shared" si="215"/>
        <v>0</v>
      </c>
      <c r="AG349" s="51">
        <f>APPLICANTS_PER_YEAR*($H349/Segments!$AH$2)*AE349</f>
        <v>0</v>
      </c>
      <c r="AH349" s="51">
        <f t="shared" si="216"/>
        <v>0</v>
      </c>
      <c r="AI349" s="14">
        <f t="shared" si="217"/>
        <v>7006.789838281019</v>
      </c>
      <c r="AJ349" s="44">
        <f t="shared" si="218"/>
        <v>0</v>
      </c>
      <c r="AK349" s="44">
        <f t="shared" si="219"/>
        <v>0</v>
      </c>
      <c r="AL349" s="44">
        <f t="shared" si="220"/>
        <v>0</v>
      </c>
      <c r="AM349" s="14">
        <f t="shared" si="221"/>
        <v>7006.789838281019</v>
      </c>
      <c r="AN349" s="14">
        <f t="shared" si="222"/>
        <v>4411.8898630792464</v>
      </c>
      <c r="AO349" s="14">
        <f t="shared" si="223"/>
        <v>7215.7435334294505</v>
      </c>
      <c r="AP349" s="14">
        <f t="shared" si="224"/>
        <v>3304.2471084294866</v>
      </c>
      <c r="AQ349" s="14">
        <f t="shared" si="225"/>
        <v>7215.7435334294505</v>
      </c>
      <c r="AR349" s="33">
        <f t="shared" si="226"/>
        <v>0.3</v>
      </c>
      <c r="AS349" s="33">
        <f t="shared" si="227"/>
        <v>0.02</v>
      </c>
      <c r="AT349" s="51">
        <f t="shared" si="228"/>
        <v>0</v>
      </c>
      <c r="AU349" s="51">
        <f>APPLICANTS_PER_YEAR*($H349/Segments!$AH$2)*AS349</f>
        <v>0</v>
      </c>
      <c r="AV349" s="51">
        <f t="shared" si="229"/>
        <v>0</v>
      </c>
      <c r="AW349" s="14">
        <f t="shared" si="230"/>
        <v>7215.7435334294505</v>
      </c>
      <c r="AX349" s="44">
        <f t="shared" si="231"/>
        <v>0</v>
      </c>
      <c r="AY349" s="44">
        <f t="shared" si="232"/>
        <v>0</v>
      </c>
      <c r="AZ349" s="44">
        <f t="shared" si="233"/>
        <v>0</v>
      </c>
    </row>
    <row r="350" spans="1:52" ht="15" customHeight="1" x14ac:dyDescent="0.35">
      <c r="A350" s="61" t="str">
        <f>Segments!$A$330</f>
        <v>Greek</v>
      </c>
      <c r="B350" s="61" t="str">
        <f>Segments!$B$330</f>
        <v>Off 3-6mi</v>
      </c>
      <c r="C350" s="61" t="str">
        <f>Segments!$C$330</f>
        <v>Yes</v>
      </c>
      <c r="D350" s="61" t="str">
        <f>Segments!$D$330</f>
        <v>1.0-2.0</v>
      </c>
      <c r="E350" s="61" t="str">
        <f>Segments!$E$330</f>
        <v>Freshman</v>
      </c>
      <c r="F350" s="61">
        <f>Segments!$F$330</f>
        <v>1</v>
      </c>
      <c r="G350" s="61" t="str">
        <f>Segments!$G$330</f>
        <v>Base</v>
      </c>
      <c r="H350" s="62">
        <f>Segments!$H$330</f>
        <v>8</v>
      </c>
      <c r="I350" s="63">
        <f>Segments!$Y$330</f>
        <v>2865.6023496706348</v>
      </c>
      <c r="J350" s="42">
        <v>0</v>
      </c>
      <c r="K350" s="40">
        <f t="shared" si="195"/>
        <v>4701.3594885914727</v>
      </c>
      <c r="L350" s="40">
        <f t="shared" si="196"/>
        <v>2865.6023496706348</v>
      </c>
      <c r="M350" s="40">
        <f t="shared" si="197"/>
        <v>4701.3594885914727</v>
      </c>
      <c r="N350" s="40">
        <f t="shared" si="198"/>
        <v>2589.4437409799471</v>
      </c>
      <c r="O350" s="40">
        <f t="shared" si="199"/>
        <v>4701.3594885914727</v>
      </c>
      <c r="P350" s="41">
        <f t="shared" si="200"/>
        <v>0.44220667470220965</v>
      </c>
      <c r="Q350" s="41">
        <f t="shared" si="201"/>
        <v>0.02</v>
      </c>
      <c r="R350" s="64">
        <f t="shared" si="202"/>
        <v>0</v>
      </c>
      <c r="S350" s="64">
        <f>APPLICANTS_PER_YEAR*($H350/Segments!$AH$2)*Q350</f>
        <v>0.192</v>
      </c>
      <c r="T350" s="64">
        <f t="shared" si="203"/>
        <v>0.192</v>
      </c>
      <c r="U350" s="40">
        <f t="shared" si="204"/>
        <v>4701.3594885914727</v>
      </c>
      <c r="V350" s="65">
        <f t="shared" si="205"/>
        <v>902.66102180956273</v>
      </c>
      <c r="W350" s="65">
        <f t="shared" si="206"/>
        <v>616.21912927317328</v>
      </c>
      <c r="X350" s="65">
        <f t="shared" si="207"/>
        <v>210.83606888534206</v>
      </c>
      <c r="Y350" s="40">
        <f t="shared" si="208"/>
        <v>4841.1502732492172</v>
      </c>
      <c r="Z350" s="40">
        <f t="shared" si="209"/>
        <v>2951.5704201607541</v>
      </c>
      <c r="AA350" s="40">
        <f t="shared" si="210"/>
        <v>4841.1502732492172</v>
      </c>
      <c r="AB350" s="40">
        <f t="shared" si="211"/>
        <v>2666.7827896409713</v>
      </c>
      <c r="AC350" s="40">
        <f t="shared" si="212"/>
        <v>4841.1502732492172</v>
      </c>
      <c r="AD350" s="41">
        <f t="shared" si="213"/>
        <v>0.44232384953613324</v>
      </c>
      <c r="AE350" s="41">
        <f t="shared" si="214"/>
        <v>0.02</v>
      </c>
      <c r="AF350" s="64">
        <f t="shared" si="215"/>
        <v>0</v>
      </c>
      <c r="AG350" s="64">
        <f>APPLICANTS_PER_YEAR*($H350/Segments!$AH$2)*AE350</f>
        <v>0.192</v>
      </c>
      <c r="AH350" s="64">
        <f t="shared" si="216"/>
        <v>0.192</v>
      </c>
      <c r="AI350" s="40">
        <f t="shared" si="217"/>
        <v>4841.1502732492172</v>
      </c>
      <c r="AJ350" s="65">
        <f t="shared" si="218"/>
        <v>929.5008524638497</v>
      </c>
      <c r="AK350" s="65">
        <f t="shared" si="219"/>
        <v>634.70570315136865</v>
      </c>
      <c r="AL350" s="65">
        <f t="shared" si="220"/>
        <v>216.84819095190235</v>
      </c>
      <c r="AM350" s="40">
        <f t="shared" si="221"/>
        <v>4985.1347814466926</v>
      </c>
      <c r="AN350" s="40">
        <f t="shared" si="222"/>
        <v>3040.1175327655765</v>
      </c>
      <c r="AO350" s="40">
        <f t="shared" si="223"/>
        <v>4985.1347814466926</v>
      </c>
      <c r="AP350" s="40">
        <f t="shared" si="224"/>
        <v>2746.4419659614596</v>
      </c>
      <c r="AQ350" s="40">
        <f t="shared" si="225"/>
        <v>4985.1347814466926</v>
      </c>
      <c r="AR350" s="41">
        <f t="shared" si="226"/>
        <v>0.44243762598465763</v>
      </c>
      <c r="AS350" s="41">
        <f t="shared" si="227"/>
        <v>0.02</v>
      </c>
      <c r="AT350" s="64">
        <f t="shared" si="228"/>
        <v>0</v>
      </c>
      <c r="AU350" s="64">
        <f>APPLICANTS_PER_YEAR*($H350/Segments!$AH$2)*AS350</f>
        <v>0.192</v>
      </c>
      <c r="AV350" s="64">
        <f t="shared" si="229"/>
        <v>0.192</v>
      </c>
      <c r="AW350" s="40">
        <f t="shared" si="230"/>
        <v>4985.1347814466926</v>
      </c>
      <c r="AX350" s="65">
        <f t="shared" si="231"/>
        <v>957.14587803776499</v>
      </c>
      <c r="AY350" s="65">
        <f t="shared" si="232"/>
        <v>653.74687424590968</v>
      </c>
      <c r="AZ350" s="65">
        <f t="shared" si="233"/>
        <v>223.04067668045937</v>
      </c>
    </row>
    <row r="351" spans="1:52" ht="15" customHeight="1" x14ac:dyDescent="0.35">
      <c r="A351" s="61" t="str">
        <f>Segments!$A$331</f>
        <v>Greek</v>
      </c>
      <c r="B351" s="61" t="str">
        <f>Segments!$B$331</f>
        <v>Off 3-6mi</v>
      </c>
      <c r="C351" s="61" t="str">
        <f>Segments!$C$331</f>
        <v>Yes</v>
      </c>
      <c r="D351" s="61" t="str">
        <f>Segments!$D$331</f>
        <v>1.0-2.0</v>
      </c>
      <c r="E351" s="61" t="str">
        <f>Segments!$E$331</f>
        <v>Sophomore</v>
      </c>
      <c r="F351" s="61">
        <f>Segments!$F$331</f>
        <v>1</v>
      </c>
      <c r="G351" s="61" t="str">
        <f>Segments!$G$331</f>
        <v>Sophomore</v>
      </c>
      <c r="H351" s="62">
        <f>Segments!$H$331</f>
        <v>8</v>
      </c>
      <c r="I351" s="63">
        <f>Segments!$Y$331</f>
        <v>2836.4484071903707</v>
      </c>
      <c r="J351" s="42">
        <v>1</v>
      </c>
      <c r="K351" s="40">
        <f t="shared" si="195"/>
        <v>1426.2297754450396</v>
      </c>
      <c r="L351" s="40">
        <f t="shared" si="196"/>
        <v>2836.4484071903707</v>
      </c>
      <c r="M351" s="40">
        <f t="shared" si="197"/>
        <v>4653.9529052873695</v>
      </c>
      <c r="N351" s="40">
        <f t="shared" si="198"/>
        <v>2576.3552175582845</v>
      </c>
      <c r="O351" s="40">
        <f t="shared" si="199"/>
        <v>1782.7872193062994</v>
      </c>
      <c r="P351" s="41">
        <f t="shared" si="200"/>
        <v>0.92900981837513874</v>
      </c>
      <c r="Q351" s="41">
        <f t="shared" si="201"/>
        <v>0.02</v>
      </c>
      <c r="R351" s="64">
        <f t="shared" si="202"/>
        <v>7.4320785470011099</v>
      </c>
      <c r="S351" s="64">
        <f>APPLICANTS_PER_YEAR*($H351/Segments!$AH$2)*Q351</f>
        <v>0.192</v>
      </c>
      <c r="T351" s="64">
        <f t="shared" si="203"/>
        <v>7.6240785470011101</v>
      </c>
      <c r="U351" s="40">
        <f t="shared" si="204"/>
        <v>1855.0928505127358</v>
      </c>
      <c r="V351" s="65">
        <f t="shared" si="205"/>
        <v>14143.373604289287</v>
      </c>
      <c r="W351" s="65">
        <f t="shared" si="206"/>
        <v>24220.342105047846</v>
      </c>
      <c r="X351" s="65">
        <f t="shared" si="207"/>
        <v>2861.653745674229</v>
      </c>
      <c r="Y351" s="40">
        <f t="shared" si="208"/>
        <v>4701.3594885914727</v>
      </c>
      <c r="Z351" s="40">
        <f t="shared" si="209"/>
        <v>2921.541859406082</v>
      </c>
      <c r="AA351" s="40">
        <f t="shared" si="210"/>
        <v>4792.3214924459908</v>
      </c>
      <c r="AB351" s="40">
        <f t="shared" si="211"/>
        <v>2653.2998613448558</v>
      </c>
      <c r="AC351" s="40">
        <f t="shared" si="212"/>
        <v>4792.3214924459908</v>
      </c>
      <c r="AD351" s="41">
        <f t="shared" si="213"/>
        <v>0.44110854295738527</v>
      </c>
      <c r="AE351" s="41">
        <f t="shared" si="214"/>
        <v>0.02</v>
      </c>
      <c r="AF351" s="64">
        <f t="shared" si="215"/>
        <v>8.469284024781798E-2</v>
      </c>
      <c r="AG351" s="64">
        <f>APPLICANTS_PER_YEAR*($H351/Segments!$AH$2)*AE351</f>
        <v>0.192</v>
      </c>
      <c r="AH351" s="64">
        <f t="shared" si="216"/>
        <v>0.27669284024781798</v>
      </c>
      <c r="AI351" s="40">
        <f t="shared" si="217"/>
        <v>4792.3214924459908</v>
      </c>
      <c r="AJ351" s="65">
        <f t="shared" si="218"/>
        <v>1326.0010451255432</v>
      </c>
      <c r="AK351" s="65">
        <f t="shared" si="219"/>
        <v>905.37408077979558</v>
      </c>
      <c r="AL351" s="65">
        <f t="shared" si="220"/>
        <v>293.15245476292108</v>
      </c>
      <c r="AM351" s="40">
        <f t="shared" si="221"/>
        <v>4841.1502732492172</v>
      </c>
      <c r="AN351" s="40">
        <f t="shared" si="222"/>
        <v>3009.1881151882644</v>
      </c>
      <c r="AO351" s="40">
        <f t="shared" si="223"/>
        <v>4934.8411372193696</v>
      </c>
      <c r="AP351" s="40">
        <f t="shared" si="224"/>
        <v>2732.5527999735377</v>
      </c>
      <c r="AQ351" s="40">
        <f t="shared" si="225"/>
        <v>4934.8411372193696</v>
      </c>
      <c r="AR351" s="41">
        <f t="shared" si="226"/>
        <v>0.44122139892618389</v>
      </c>
      <c r="AS351" s="41">
        <f t="shared" si="227"/>
        <v>0.02</v>
      </c>
      <c r="AT351" s="64">
        <f t="shared" si="228"/>
        <v>8.4714508593827315E-2</v>
      </c>
      <c r="AU351" s="64">
        <f>APPLICANTS_PER_YEAR*($H351/Segments!$AH$2)*AS351</f>
        <v>0.192</v>
      </c>
      <c r="AV351" s="64">
        <f t="shared" si="229"/>
        <v>0.27671450859382729</v>
      </c>
      <c r="AW351" s="40">
        <f t="shared" si="230"/>
        <v>4934.8411372193696</v>
      </c>
      <c r="AX351" s="65">
        <f t="shared" si="231"/>
        <v>1365.5421402742618</v>
      </c>
      <c r="AY351" s="65">
        <f t="shared" si="232"/>
        <v>932.60833182799081</v>
      </c>
      <c r="AZ351" s="65">
        <f t="shared" si="233"/>
        <v>301.58388712582621</v>
      </c>
    </row>
    <row r="352" spans="1:52" ht="15" customHeight="1" x14ac:dyDescent="0.35">
      <c r="A352" s="61" t="str">
        <f>Segments!$A$332</f>
        <v>Greek</v>
      </c>
      <c r="B352" s="61" t="str">
        <f>Segments!$B$332</f>
        <v>Off 3-6mi</v>
      </c>
      <c r="C352" s="61" t="str">
        <f>Segments!$C$332</f>
        <v>Yes</v>
      </c>
      <c r="D352" s="61" t="str">
        <f>Segments!$D$332</f>
        <v>1.0-2.0</v>
      </c>
      <c r="E352" s="61" t="str">
        <f>Segments!$E$332</f>
        <v>Junior</v>
      </c>
      <c r="F352" s="61">
        <f>Segments!$F$332</f>
        <v>2</v>
      </c>
      <c r="G352" s="61" t="str">
        <f>Segments!$G$332</f>
        <v>Base</v>
      </c>
      <c r="H352" s="62">
        <f>Segments!$H$332</f>
        <v>6</v>
      </c>
      <c r="I352" s="63">
        <f>Segments!$Y$332</f>
        <v>3390.7631068109254</v>
      </c>
      <c r="J352" s="42">
        <v>2</v>
      </c>
      <c r="K352" s="40">
        <f t="shared" si="195"/>
        <v>1426.2297754450396</v>
      </c>
      <c r="L352" s="40">
        <f t="shared" si="196"/>
        <v>3390.7631068109254</v>
      </c>
      <c r="M352" s="40">
        <f t="shared" si="197"/>
        <v>5555.311821051163</v>
      </c>
      <c r="N352" s="40">
        <f t="shared" si="198"/>
        <v>2814.8092530516124</v>
      </c>
      <c r="O352" s="40">
        <f t="shared" si="199"/>
        <v>1782.7872193062994</v>
      </c>
      <c r="P352" s="41">
        <f t="shared" si="200"/>
        <v>0.95</v>
      </c>
      <c r="Q352" s="41">
        <f t="shared" si="201"/>
        <v>0.02</v>
      </c>
      <c r="R352" s="64">
        <f t="shared" si="202"/>
        <v>7.6</v>
      </c>
      <c r="S352" s="64">
        <f>APPLICANTS_PER_YEAR*($H352/Segments!$AH$2)*Q352</f>
        <v>0.14399999999999999</v>
      </c>
      <c r="T352" s="64">
        <f t="shared" si="203"/>
        <v>7.7439999999999998</v>
      </c>
      <c r="U352" s="40">
        <f t="shared" si="204"/>
        <v>1852.9374701651916</v>
      </c>
      <c r="V352" s="65">
        <f t="shared" si="205"/>
        <v>14349.147768959243</v>
      </c>
      <c r="W352" s="65">
        <f t="shared" si="206"/>
        <v>29409.037839041066</v>
      </c>
      <c r="X352" s="65">
        <f t="shared" si="207"/>
        <v>2898.4676999113949</v>
      </c>
      <c r="Y352" s="40">
        <f t="shared" si="208"/>
        <v>1855.0928505127358</v>
      </c>
      <c r="Z352" s="40">
        <f t="shared" si="209"/>
        <v>3492.486000015253</v>
      </c>
      <c r="AA352" s="40">
        <f t="shared" si="210"/>
        <v>5720.7211756826973</v>
      </c>
      <c r="AB352" s="40">
        <f t="shared" si="211"/>
        <v>2898.9368334116812</v>
      </c>
      <c r="AC352" s="40">
        <f t="shared" si="212"/>
        <v>2318.8660631409198</v>
      </c>
      <c r="AD352" s="41">
        <f t="shared" si="213"/>
        <v>0.87504888060773856</v>
      </c>
      <c r="AE352" s="41">
        <f t="shared" si="214"/>
        <v>0.02</v>
      </c>
      <c r="AF352" s="64">
        <f t="shared" si="215"/>
        <v>6.6714413982187954</v>
      </c>
      <c r="AG352" s="64">
        <f>APPLICANTS_PER_YEAR*($H352/Segments!$AH$2)*AE352</f>
        <v>0.14399999999999999</v>
      </c>
      <c r="AH352" s="64">
        <f t="shared" si="216"/>
        <v>6.8154413982187956</v>
      </c>
      <c r="AI352" s="40">
        <f t="shared" si="217"/>
        <v>2390.7421321412403</v>
      </c>
      <c r="AJ352" s="65">
        <f t="shared" si="218"/>
        <v>16293.962899861279</v>
      </c>
      <c r="AK352" s="65">
        <f t="shared" si="219"/>
        <v>26659.17370726795</v>
      </c>
      <c r="AL352" s="65">
        <f t="shared" si="220"/>
        <v>3248.3002507635983</v>
      </c>
      <c r="AM352" s="40">
        <f t="shared" si="221"/>
        <v>4792.3214924459908</v>
      </c>
      <c r="AN352" s="40">
        <f t="shared" si="222"/>
        <v>3597.2605800157107</v>
      </c>
      <c r="AO352" s="40">
        <f t="shared" si="223"/>
        <v>5891.0928109531787</v>
      </c>
      <c r="AP352" s="40">
        <f t="shared" si="224"/>
        <v>2985.5882070848852</v>
      </c>
      <c r="AQ352" s="40">
        <f t="shared" si="225"/>
        <v>5891.0928109531787</v>
      </c>
      <c r="AR352" s="41">
        <f t="shared" si="226"/>
        <v>0.3</v>
      </c>
      <c r="AS352" s="41">
        <f t="shared" si="227"/>
        <v>0.02</v>
      </c>
      <c r="AT352" s="64">
        <f t="shared" si="228"/>
        <v>8.3007852074345398E-2</v>
      </c>
      <c r="AU352" s="64">
        <f>APPLICANTS_PER_YEAR*($H352/Segments!$AH$2)*AS352</f>
        <v>0.14399999999999999</v>
      </c>
      <c r="AV352" s="64">
        <f t="shared" si="229"/>
        <v>0.22700785207434537</v>
      </c>
      <c r="AW352" s="40">
        <f t="shared" si="230"/>
        <v>5891.0928109531787</v>
      </c>
      <c r="AX352" s="65">
        <f t="shared" si="231"/>
        <v>1337.3243253850987</v>
      </c>
      <c r="AY352" s="65">
        <f t="shared" si="232"/>
        <v>914.59916533561</v>
      </c>
      <c r="AZ352" s="65">
        <f t="shared" si="233"/>
        <v>290.58556230647463</v>
      </c>
    </row>
    <row r="353" spans="1:52" ht="15" customHeight="1" x14ac:dyDescent="0.35">
      <c r="A353" s="61" t="str">
        <f>Segments!$A$333</f>
        <v>Greek</v>
      </c>
      <c r="B353" s="61" t="str">
        <f>Segments!$B$333</f>
        <v>Off 3-6mi</v>
      </c>
      <c r="C353" s="61" t="str">
        <f>Segments!$C$333</f>
        <v>Yes</v>
      </c>
      <c r="D353" s="61" t="str">
        <f>Segments!$D$333</f>
        <v>1.0-2.0</v>
      </c>
      <c r="E353" s="61" t="str">
        <f>Segments!$E$333</f>
        <v>Senior</v>
      </c>
      <c r="F353" s="61">
        <f>Segments!$F$333</f>
        <v>3</v>
      </c>
      <c r="G353" s="61" t="str">
        <f>Segments!$G$333</f>
        <v>Base</v>
      </c>
      <c r="H353" s="62">
        <f>Segments!$H$333</f>
        <v>5</v>
      </c>
      <c r="I353" s="63">
        <f>Segments!$Y$333</f>
        <v>3169.3037437308376</v>
      </c>
      <c r="J353" s="42">
        <v>3</v>
      </c>
      <c r="K353" s="40">
        <f t="shared" si="195"/>
        <v>1426.2297754450396</v>
      </c>
      <c r="L353" s="40">
        <f t="shared" si="196"/>
        <v>3169.3037437308376</v>
      </c>
      <c r="M353" s="40">
        <f t="shared" si="197"/>
        <v>5195.2016317881853</v>
      </c>
      <c r="N353" s="40">
        <f t="shared" si="198"/>
        <v>2722.0490915295713</v>
      </c>
      <c r="O353" s="40">
        <f t="shared" si="199"/>
        <v>1782.7872193062994</v>
      </c>
      <c r="P353" s="41">
        <f t="shared" si="200"/>
        <v>0.9475284593775426</v>
      </c>
      <c r="Q353" s="41">
        <f t="shared" si="201"/>
        <v>0.02</v>
      </c>
      <c r="R353" s="64">
        <f t="shared" si="202"/>
        <v>5.685170756265256</v>
      </c>
      <c r="S353" s="64">
        <f>APPLICANTS_PER_YEAR*($H353/Segments!$AH$2)*Q353</f>
        <v>0.12</v>
      </c>
      <c r="T353" s="64">
        <f t="shared" si="203"/>
        <v>5.8051707562652561</v>
      </c>
      <c r="U353" s="40">
        <f t="shared" si="204"/>
        <v>1853.3260107890276</v>
      </c>
      <c r="V353" s="65">
        <f t="shared" si="205"/>
        <v>10758.873959658209</v>
      </c>
      <c r="W353" s="65">
        <f t="shared" si="206"/>
        <v>20606.151340127646</v>
      </c>
      <c r="X353" s="65">
        <f t="shared" si="207"/>
        <v>2174.3504403542174</v>
      </c>
      <c r="Y353" s="40">
        <f t="shared" si="208"/>
        <v>1852.9374701651916</v>
      </c>
      <c r="Z353" s="40">
        <f t="shared" si="209"/>
        <v>3264.3828560427628</v>
      </c>
      <c r="AA353" s="40">
        <f t="shared" si="210"/>
        <v>5349.8076807418311</v>
      </c>
      <c r="AB353" s="40">
        <f t="shared" si="211"/>
        <v>2803.3830736083728</v>
      </c>
      <c r="AC353" s="40">
        <f t="shared" si="212"/>
        <v>2316.1718377064894</v>
      </c>
      <c r="AD353" s="41">
        <f t="shared" si="213"/>
        <v>0.86189701391304507</v>
      </c>
      <c r="AE353" s="41">
        <f t="shared" si="214"/>
        <v>0.02</v>
      </c>
      <c r="AF353" s="64">
        <f t="shared" si="215"/>
        <v>6.6745304757426211</v>
      </c>
      <c r="AG353" s="64">
        <f>APPLICANTS_PER_YEAR*($H353/Segments!$AH$2)*AE353</f>
        <v>0.12</v>
      </c>
      <c r="AH353" s="64">
        <f t="shared" si="216"/>
        <v>6.7945304757426213</v>
      </c>
      <c r="AI353" s="40">
        <f t="shared" si="217"/>
        <v>2369.7496827781833</v>
      </c>
      <c r="AJ353" s="65">
        <f t="shared" si="218"/>
        <v>16101.336439517776</v>
      </c>
      <c r="AK353" s="65">
        <f t="shared" si="219"/>
        <v>24841.542655859208</v>
      </c>
      <c r="AL353" s="65">
        <f t="shared" si="220"/>
        <v>3204.5123888428275</v>
      </c>
      <c r="AM353" s="40">
        <f t="shared" si="221"/>
        <v>2390.7421321412403</v>
      </c>
      <c r="AN353" s="40">
        <f t="shared" si="222"/>
        <v>3362.3143417240453</v>
      </c>
      <c r="AO353" s="40">
        <f t="shared" si="223"/>
        <v>5509.0519111640861</v>
      </c>
      <c r="AP353" s="40">
        <f t="shared" si="224"/>
        <v>2887.1570374450116</v>
      </c>
      <c r="AQ353" s="40">
        <f t="shared" si="225"/>
        <v>2988.4276651765504</v>
      </c>
      <c r="AR353" s="41">
        <f t="shared" si="226"/>
        <v>0.75746187747702876</v>
      </c>
      <c r="AS353" s="41">
        <f t="shared" si="227"/>
        <v>0.02</v>
      </c>
      <c r="AT353" s="64">
        <f t="shared" si="228"/>
        <v>5.1624370373294752</v>
      </c>
      <c r="AU353" s="64">
        <f>APPLICANTS_PER_YEAR*($H353/Segments!$AH$2)*AS353</f>
        <v>0.12</v>
      </c>
      <c r="AV353" s="64">
        <f t="shared" si="229"/>
        <v>5.2824370373294753</v>
      </c>
      <c r="AW353" s="40">
        <f t="shared" si="230"/>
        <v>3045.6881507026437</v>
      </c>
      <c r="AX353" s="65">
        <f t="shared" si="231"/>
        <v>16088.655891427161</v>
      </c>
      <c r="AY353" s="65">
        <f t="shared" si="232"/>
        <v>19892.559467051233</v>
      </c>
      <c r="AZ353" s="65">
        <f t="shared" si="233"/>
        <v>3172.5427222532126</v>
      </c>
    </row>
    <row r="354" spans="1:52" ht="15" customHeight="1" x14ac:dyDescent="0.35">
      <c r="A354" s="61" t="str">
        <f>Segments!$A$334</f>
        <v>Greek</v>
      </c>
      <c r="B354" s="61" t="str">
        <f>Segments!$B$334</f>
        <v>Off 3-6mi</v>
      </c>
      <c r="C354" s="61" t="str">
        <f>Segments!$C$334</f>
        <v>Yes</v>
      </c>
      <c r="D354" s="61" t="str">
        <f>Segments!$D$334</f>
        <v>1.0-2.0</v>
      </c>
      <c r="E354" s="61" t="str">
        <f>Segments!$E$334</f>
        <v>Grad student</v>
      </c>
      <c r="F354" s="61">
        <f>Segments!$F$334</f>
        <v>3</v>
      </c>
      <c r="G354" s="61" t="str">
        <f>Segments!$G$334</f>
        <v>Grad</v>
      </c>
      <c r="H354" s="62">
        <f>Segments!$H$334</f>
        <v>3</v>
      </c>
      <c r="I354" s="63">
        <f>Segments!$Y$334</f>
        <v>3773.627934802767</v>
      </c>
      <c r="J354" s="42">
        <v>4</v>
      </c>
      <c r="K354" s="40">
        <f t="shared" si="195"/>
        <v>1426.2297754450396</v>
      </c>
      <c r="L354" s="40">
        <f t="shared" si="196"/>
        <v>3773.627934802767</v>
      </c>
      <c r="M354" s="40">
        <f t="shared" si="197"/>
        <v>6177.8798793744372</v>
      </c>
      <c r="N354" s="40">
        <f t="shared" si="198"/>
        <v>2968.3457064645672</v>
      </c>
      <c r="O354" s="40">
        <f t="shared" si="199"/>
        <v>1782.7872193062994</v>
      </c>
      <c r="P354" s="41">
        <f t="shared" si="200"/>
        <v>0.95</v>
      </c>
      <c r="Q354" s="41">
        <f t="shared" si="201"/>
        <v>0.02</v>
      </c>
      <c r="R354" s="64">
        <f t="shared" si="202"/>
        <v>1.4249999999999998</v>
      </c>
      <c r="S354" s="64">
        <f>APPLICANTS_PER_YEAR*($H354/Segments!$AH$2)*Q354</f>
        <v>7.1999999999999995E-2</v>
      </c>
      <c r="T354" s="64">
        <f t="shared" si="203"/>
        <v>1.4969999999999999</v>
      </c>
      <c r="U354" s="40">
        <f t="shared" si="204"/>
        <v>1994.174441433825</v>
      </c>
      <c r="V354" s="65">
        <f t="shared" si="205"/>
        <v>2985.2791388264359</v>
      </c>
      <c r="W354" s="65">
        <f t="shared" si="206"/>
        <v>6327.015540607711</v>
      </c>
      <c r="X354" s="65">
        <f t="shared" si="207"/>
        <v>611.52601453421994</v>
      </c>
      <c r="Y354" s="40">
        <f t="shared" si="208"/>
        <v>1994.174441433825</v>
      </c>
      <c r="Z354" s="40">
        <f t="shared" si="209"/>
        <v>3886.8367728468502</v>
      </c>
      <c r="AA354" s="40">
        <f t="shared" si="210"/>
        <v>6361.9662757556707</v>
      </c>
      <c r="AB354" s="40">
        <f t="shared" si="211"/>
        <v>3057.0957631133706</v>
      </c>
      <c r="AC354" s="40">
        <f t="shared" si="212"/>
        <v>2492.7180517922811</v>
      </c>
      <c r="AD354" s="41">
        <f t="shared" si="213"/>
        <v>0.8673061878091648</v>
      </c>
      <c r="AE354" s="41">
        <f t="shared" si="214"/>
        <v>0.02</v>
      </c>
      <c r="AF354" s="64">
        <f t="shared" si="215"/>
        <v>0.64917868157515979</v>
      </c>
      <c r="AG354" s="64">
        <f>APPLICANTS_PER_YEAR*($H354/Segments!$AH$2)*AE354</f>
        <v>7.1999999999999995E-2</v>
      </c>
      <c r="AH354" s="64">
        <f t="shared" si="216"/>
        <v>0.72117868157515974</v>
      </c>
      <c r="AI354" s="40">
        <f t="shared" si="217"/>
        <v>2879.0104911595845</v>
      </c>
      <c r="AJ354" s="65">
        <f t="shared" si="218"/>
        <v>2076.2809902555223</v>
      </c>
      <c r="AK354" s="65">
        <f t="shared" si="219"/>
        <v>3139.4762776602852</v>
      </c>
      <c r="AL354" s="65">
        <f t="shared" si="220"/>
        <v>424.67283580470121</v>
      </c>
      <c r="AM354" s="40">
        <f t="shared" si="221"/>
        <v>2879.0104911595845</v>
      </c>
      <c r="AN354" s="40">
        <f t="shared" si="222"/>
        <v>4003.4418760322551</v>
      </c>
      <c r="AO354" s="40">
        <f t="shared" si="223"/>
        <v>6551.5752640283399</v>
      </c>
      <c r="AP354" s="40">
        <f t="shared" si="224"/>
        <v>3148.5082923870254</v>
      </c>
      <c r="AQ354" s="40">
        <f t="shared" si="225"/>
        <v>3598.7631139494806</v>
      </c>
      <c r="AR354" s="41">
        <f t="shared" si="226"/>
        <v>0.70349711994547481</v>
      </c>
      <c r="AS354" s="41">
        <f t="shared" si="227"/>
        <v>0.02</v>
      </c>
      <c r="AT354" s="64">
        <f t="shared" si="228"/>
        <v>0.25367356272709979</v>
      </c>
      <c r="AU354" s="64">
        <f>APPLICANTS_PER_YEAR*($H354/Segments!$AH$2)*AS354</f>
        <v>7.1999999999999995E-2</v>
      </c>
      <c r="AV354" s="64">
        <f t="shared" si="229"/>
        <v>0.3256735627270998</v>
      </c>
      <c r="AW354" s="40">
        <f t="shared" si="230"/>
        <v>4251.5716287868645</v>
      </c>
      <c r="AX354" s="65">
        <f t="shared" si="231"/>
        <v>1384.6244795364769</v>
      </c>
      <c r="AY354" s="65">
        <f t="shared" si="232"/>
        <v>1460.2730004108835</v>
      </c>
      <c r="AZ354" s="65">
        <f t="shared" si="233"/>
        <v>286.51746755228754</v>
      </c>
    </row>
    <row r="355" spans="1:52" ht="15" customHeight="1" x14ac:dyDescent="0.35">
      <c r="A355" s="59" t="str">
        <f>Segments!$A$335</f>
        <v>Greek</v>
      </c>
      <c r="B355" s="59" t="str">
        <f>Segments!$B$335</f>
        <v>Off 3-6mi</v>
      </c>
      <c r="C355" s="59" t="str">
        <f>Segments!$C$335</f>
        <v>Yes</v>
      </c>
      <c r="D355" s="59" t="str">
        <f>Segments!$D$335</f>
        <v>2.0-3.0</v>
      </c>
      <c r="E355" s="59" t="str">
        <f>Segments!$E$335</f>
        <v>Freshman</v>
      </c>
      <c r="F355" s="59">
        <f>Segments!$F$335</f>
        <v>1</v>
      </c>
      <c r="G355" s="59" t="str">
        <f>Segments!$G$335</f>
        <v>Base</v>
      </c>
      <c r="H355" s="60">
        <f>Segments!$H$335</f>
        <v>12</v>
      </c>
      <c r="I355" s="26">
        <f>Segments!$Y$335</f>
        <v>2815.9693132649536</v>
      </c>
      <c r="J355" s="29">
        <v>0</v>
      </c>
      <c r="K355" s="14">
        <f t="shared" si="195"/>
        <v>4620.6523020216164</v>
      </c>
      <c r="L355" s="14">
        <f t="shared" si="196"/>
        <v>2815.9693132649536</v>
      </c>
      <c r="M355" s="14">
        <f t="shared" si="197"/>
        <v>4620.6523020216164</v>
      </c>
      <c r="N355" s="14">
        <f t="shared" si="198"/>
        <v>2567.1213245816598</v>
      </c>
      <c r="O355" s="14">
        <f t="shared" si="199"/>
        <v>4620.6523020216164</v>
      </c>
      <c r="P355" s="33">
        <f t="shared" si="200"/>
        <v>0.45003234795016911</v>
      </c>
      <c r="Q355" s="33">
        <f t="shared" si="201"/>
        <v>0.02</v>
      </c>
      <c r="R355" s="51">
        <f t="shared" si="202"/>
        <v>0</v>
      </c>
      <c r="S355" s="51">
        <f>APPLICANTS_PER_YEAR*($H355/Segments!$AH$2)*Q355</f>
        <v>0.28799999999999998</v>
      </c>
      <c r="T355" s="51">
        <f t="shared" si="203"/>
        <v>0.28799999999999998</v>
      </c>
      <c r="U355" s="14">
        <f t="shared" si="204"/>
        <v>4620.6523020216164</v>
      </c>
      <c r="V355" s="44">
        <f t="shared" si="205"/>
        <v>1330.7478629822253</v>
      </c>
      <c r="W355" s="44">
        <f t="shared" si="206"/>
        <v>908.31906168674357</v>
      </c>
      <c r="X355" s="44">
        <f t="shared" si="207"/>
        <v>311.04752130801847</v>
      </c>
      <c r="Y355" s="14">
        <f t="shared" si="208"/>
        <v>4758.0218710822655</v>
      </c>
      <c r="Z355" s="14">
        <f t="shared" si="209"/>
        <v>2900.4483926629023</v>
      </c>
      <c r="AA355" s="14">
        <f t="shared" si="210"/>
        <v>4758.0218710822655</v>
      </c>
      <c r="AB355" s="14">
        <f t="shared" si="211"/>
        <v>2643.7877068136418</v>
      </c>
      <c r="AC355" s="14">
        <f t="shared" si="212"/>
        <v>4758.0218710822655</v>
      </c>
      <c r="AD355" s="33">
        <f t="shared" si="213"/>
        <v>0.45015054181170411</v>
      </c>
      <c r="AE355" s="33">
        <f t="shared" si="214"/>
        <v>0.02</v>
      </c>
      <c r="AF355" s="51">
        <f t="shared" si="215"/>
        <v>0</v>
      </c>
      <c r="AG355" s="51">
        <f>APPLICANTS_PER_YEAR*($H355/Segments!$AH$2)*AE355</f>
        <v>0.28799999999999998</v>
      </c>
      <c r="AH355" s="51">
        <f t="shared" si="216"/>
        <v>0.28799999999999998</v>
      </c>
      <c r="AI355" s="14">
        <f t="shared" si="217"/>
        <v>4758.0218710822655</v>
      </c>
      <c r="AJ355" s="44">
        <f t="shared" si="218"/>
        <v>1370.3102988716923</v>
      </c>
      <c r="AK355" s="44">
        <f t="shared" si="219"/>
        <v>935.56863353734582</v>
      </c>
      <c r="AL355" s="44">
        <f t="shared" si="220"/>
        <v>319.90950694725905</v>
      </c>
      <c r="AM355" s="14">
        <f t="shared" si="221"/>
        <v>4899.5125272147325</v>
      </c>
      <c r="AN355" s="14">
        <f t="shared" si="222"/>
        <v>2987.4618444427892</v>
      </c>
      <c r="AO355" s="14">
        <f t="shared" si="223"/>
        <v>4899.5125272147325</v>
      </c>
      <c r="AP355" s="14">
        <f t="shared" si="224"/>
        <v>2722.7540355593519</v>
      </c>
      <c r="AQ355" s="14">
        <f t="shared" si="225"/>
        <v>4899.5125272147325</v>
      </c>
      <c r="AR355" s="33">
        <f t="shared" si="226"/>
        <v>0.45026530798838826</v>
      </c>
      <c r="AS355" s="33">
        <f t="shared" si="227"/>
        <v>0.02</v>
      </c>
      <c r="AT355" s="51">
        <f t="shared" si="228"/>
        <v>0</v>
      </c>
      <c r="AU355" s="51">
        <f>APPLICANTS_PER_YEAR*($H355/Segments!$AH$2)*AS355</f>
        <v>0.28799999999999998</v>
      </c>
      <c r="AV355" s="51">
        <f t="shared" si="229"/>
        <v>0.28799999999999998</v>
      </c>
      <c r="AW355" s="14">
        <f t="shared" si="230"/>
        <v>4899.5125272147325</v>
      </c>
      <c r="AX355" s="44">
        <f t="shared" si="231"/>
        <v>1411.0596078378428</v>
      </c>
      <c r="AY355" s="44">
        <f t="shared" si="232"/>
        <v>963.63569254346612</v>
      </c>
      <c r="AZ355" s="44">
        <f t="shared" si="233"/>
        <v>329.03735215567679</v>
      </c>
    </row>
    <row r="356" spans="1:52" ht="15" customHeight="1" x14ac:dyDescent="0.35">
      <c r="A356" s="59" t="str">
        <f>Segments!$A$336</f>
        <v>Greek</v>
      </c>
      <c r="B356" s="59" t="str">
        <f>Segments!$B$336</f>
        <v>Off 3-6mi</v>
      </c>
      <c r="C356" s="59" t="str">
        <f>Segments!$C$336</f>
        <v>Yes</v>
      </c>
      <c r="D356" s="59" t="str">
        <f>Segments!$D$336</f>
        <v>2.0-3.0</v>
      </c>
      <c r="E356" s="59" t="str">
        <f>Segments!$E$336</f>
        <v>Sophomore</v>
      </c>
      <c r="F356" s="59">
        <f>Segments!$F$336</f>
        <v>1</v>
      </c>
      <c r="G356" s="59" t="str">
        <f>Segments!$G$336</f>
        <v>Sophomore</v>
      </c>
      <c r="H356" s="60">
        <f>Segments!$H$336</f>
        <v>8</v>
      </c>
      <c r="I356" s="26">
        <f>Segments!$Y$336</f>
        <v>2787.3203252451913</v>
      </c>
      <c r="J356" s="29">
        <v>1</v>
      </c>
      <c r="K356" s="14">
        <f t="shared" si="195"/>
        <v>1426.2297754450396</v>
      </c>
      <c r="L356" s="14">
        <f t="shared" si="196"/>
        <v>2787.3203252451913</v>
      </c>
      <c r="M356" s="14">
        <f t="shared" si="197"/>
        <v>4574.0668140363632</v>
      </c>
      <c r="N356" s="14">
        <f t="shared" si="198"/>
        <v>2554.1476631263295</v>
      </c>
      <c r="O356" s="14">
        <f t="shared" si="199"/>
        <v>1782.7872193062994</v>
      </c>
      <c r="P356" s="33">
        <f t="shared" si="200"/>
        <v>0.92600153662922313</v>
      </c>
      <c r="Q356" s="33">
        <f t="shared" si="201"/>
        <v>0.02</v>
      </c>
      <c r="R356" s="51">
        <f t="shared" si="202"/>
        <v>11.112018439550678</v>
      </c>
      <c r="S356" s="51">
        <f>APPLICANTS_PER_YEAR*($H356/Segments!$AH$2)*Q356</f>
        <v>0.192</v>
      </c>
      <c r="T356" s="51">
        <f t="shared" si="203"/>
        <v>11.304018439550678</v>
      </c>
      <c r="U356" s="14">
        <f t="shared" si="204"/>
        <v>1830.1974110937676</v>
      </c>
      <c r="V356" s="44">
        <f t="shared" si="205"/>
        <v>20688.585283021861</v>
      </c>
      <c r="W356" s="44">
        <f t="shared" si="206"/>
        <v>35288.870795926763</v>
      </c>
      <c r="X356" s="44">
        <f t="shared" si="207"/>
        <v>4171.7607162724698</v>
      </c>
      <c r="Y356" s="14">
        <f t="shared" si="208"/>
        <v>4620.6523020216164</v>
      </c>
      <c r="Z356" s="14">
        <f t="shared" si="209"/>
        <v>2870.9399350025469</v>
      </c>
      <c r="AA356" s="14">
        <f t="shared" si="210"/>
        <v>4710.0388184574531</v>
      </c>
      <c r="AB356" s="14">
        <f t="shared" si="211"/>
        <v>2630.423071404593</v>
      </c>
      <c r="AC356" s="14">
        <f t="shared" si="212"/>
        <v>4710.0388184574531</v>
      </c>
      <c r="AD356" s="33">
        <f t="shared" si="213"/>
        <v>0.44889587918754414</v>
      </c>
      <c r="AE356" s="33">
        <f t="shared" si="214"/>
        <v>0.02</v>
      </c>
      <c r="AF356" s="51">
        <f t="shared" si="215"/>
        <v>0.12928201320601271</v>
      </c>
      <c r="AG356" s="51">
        <f>APPLICANTS_PER_YEAR*($H356/Segments!$AH$2)*AE356</f>
        <v>0.192</v>
      </c>
      <c r="AH356" s="51">
        <f t="shared" si="216"/>
        <v>0.32128201320601268</v>
      </c>
      <c r="AI356" s="14">
        <f t="shared" si="217"/>
        <v>4710.0388184574531</v>
      </c>
      <c r="AJ356" s="44">
        <f t="shared" si="218"/>
        <v>1513.2507538724799</v>
      </c>
      <c r="AK356" s="44">
        <f t="shared" si="219"/>
        <v>1033.0671255644966</v>
      </c>
      <c r="AL356" s="44">
        <f t="shared" si="220"/>
        <v>328.88149360605308</v>
      </c>
      <c r="AM356" s="14">
        <f t="shared" si="221"/>
        <v>4758.0218710822655</v>
      </c>
      <c r="AN356" s="14">
        <f t="shared" si="222"/>
        <v>2957.0681330526231</v>
      </c>
      <c r="AO356" s="14">
        <f t="shared" si="223"/>
        <v>4850.0899830111766</v>
      </c>
      <c r="AP356" s="14">
        <f t="shared" si="224"/>
        <v>2708.9866962892943</v>
      </c>
      <c r="AQ356" s="14">
        <f t="shared" si="225"/>
        <v>4850.0899830111766</v>
      </c>
      <c r="AR356" s="33">
        <f t="shared" si="226"/>
        <v>0.44900970388044364</v>
      </c>
      <c r="AS356" s="33">
        <f t="shared" si="227"/>
        <v>0.02</v>
      </c>
      <c r="AT356" s="51">
        <f t="shared" si="228"/>
        <v>0.12931479471756777</v>
      </c>
      <c r="AU356" s="51">
        <f>APPLICANTS_PER_YEAR*($H356/Segments!$AH$2)*AS356</f>
        <v>0.192</v>
      </c>
      <c r="AV356" s="51">
        <f t="shared" si="229"/>
        <v>0.32131479471756774</v>
      </c>
      <c r="AW356" s="14">
        <f t="shared" si="230"/>
        <v>4850.0899830111775</v>
      </c>
      <c r="AX356" s="44">
        <f t="shared" si="231"/>
        <v>1558.405667252968</v>
      </c>
      <c r="AY356" s="44">
        <f t="shared" si="232"/>
        <v>1064.1677089541847</v>
      </c>
      <c r="AZ356" s="44">
        <f t="shared" si="233"/>
        <v>338.35757169099742</v>
      </c>
    </row>
    <row r="357" spans="1:52" ht="15" customHeight="1" x14ac:dyDescent="0.35">
      <c r="A357" s="59" t="str">
        <f>Segments!$A$337</f>
        <v>Greek</v>
      </c>
      <c r="B357" s="59" t="str">
        <f>Segments!$B$337</f>
        <v>Off 3-6mi</v>
      </c>
      <c r="C357" s="59" t="str">
        <f>Segments!$C$337</f>
        <v>Yes</v>
      </c>
      <c r="D357" s="59" t="str">
        <f>Segments!$D$337</f>
        <v>2.0-3.0</v>
      </c>
      <c r="E357" s="59" t="str">
        <f>Segments!$E$337</f>
        <v>Junior</v>
      </c>
      <c r="F357" s="59">
        <f>Segments!$F$337</f>
        <v>2</v>
      </c>
      <c r="G357" s="59" t="str">
        <f>Segments!$G$337</f>
        <v>Base</v>
      </c>
      <c r="H357" s="60">
        <f>Segments!$H$337</f>
        <v>8</v>
      </c>
      <c r="I357" s="26">
        <f>Segments!$Y$337</f>
        <v>3332.0341388008546</v>
      </c>
      <c r="J357" s="29">
        <v>2</v>
      </c>
      <c r="K357" s="14">
        <f t="shared" si="195"/>
        <v>1426.2297754450396</v>
      </c>
      <c r="L357" s="14">
        <f t="shared" si="196"/>
        <v>3332.0341388008546</v>
      </c>
      <c r="M357" s="14">
        <f t="shared" si="197"/>
        <v>5459.8139405769125</v>
      </c>
      <c r="N357" s="14">
        <f t="shared" si="198"/>
        <v>2790.5105644739474</v>
      </c>
      <c r="O357" s="14">
        <f t="shared" si="199"/>
        <v>1782.7872193062994</v>
      </c>
      <c r="P357" s="33">
        <f t="shared" si="200"/>
        <v>0.95</v>
      </c>
      <c r="Q357" s="33">
        <f t="shared" si="201"/>
        <v>0.02</v>
      </c>
      <c r="R357" s="51">
        <f t="shared" si="202"/>
        <v>7.6</v>
      </c>
      <c r="S357" s="51">
        <f>APPLICANTS_PER_YEAR*($H357/Segments!$AH$2)*Q357</f>
        <v>0.192</v>
      </c>
      <c r="T357" s="51">
        <f t="shared" si="203"/>
        <v>7.7919999999999998</v>
      </c>
      <c r="U357" s="14">
        <f t="shared" si="204"/>
        <v>1873.3915738345279</v>
      </c>
      <c r="V357" s="44">
        <f t="shared" si="205"/>
        <v>14597.467143318641</v>
      </c>
      <c r="W357" s="44">
        <f t="shared" si="206"/>
        <v>29078.795210680611</v>
      </c>
      <c r="X357" s="44">
        <f t="shared" si="207"/>
        <v>2956.2512397679006</v>
      </c>
      <c r="Y357" s="14">
        <f t="shared" si="208"/>
        <v>1830.1974110937676</v>
      </c>
      <c r="Z357" s="14">
        <f t="shared" si="209"/>
        <v>3431.9951629648804</v>
      </c>
      <c r="AA357" s="14">
        <f t="shared" si="210"/>
        <v>5622.3583587942194</v>
      </c>
      <c r="AB357" s="14">
        <f t="shared" si="211"/>
        <v>2873.906426194259</v>
      </c>
      <c r="AC357" s="14">
        <f t="shared" si="212"/>
        <v>2287.7467638672097</v>
      </c>
      <c r="AD357" s="33">
        <f t="shared" si="213"/>
        <v>0.87697960117707541</v>
      </c>
      <c r="AE357" s="33">
        <f t="shared" si="214"/>
        <v>0.02</v>
      </c>
      <c r="AF357" s="51">
        <f t="shared" si="215"/>
        <v>9.9133935828154591</v>
      </c>
      <c r="AG357" s="51">
        <f>APPLICANTS_PER_YEAR*($H357/Segments!$AH$2)*AE357</f>
        <v>0.192</v>
      </c>
      <c r="AH357" s="51">
        <f t="shared" si="216"/>
        <v>10.105393582815459</v>
      </c>
      <c r="AI357" s="14">
        <f t="shared" si="217"/>
        <v>2351.1035664478377</v>
      </c>
      <c r="AJ357" s="44">
        <f t="shared" si="218"/>
        <v>23758.826892916521</v>
      </c>
      <c r="AK357" s="44">
        <f t="shared" si="219"/>
        <v>38843.461323608484</v>
      </c>
      <c r="AL357" s="44">
        <f t="shared" si="220"/>
        <v>4735.1084025886285</v>
      </c>
      <c r="AM357" s="14">
        <f t="shared" si="221"/>
        <v>4710.0388184574531</v>
      </c>
      <c r="AN357" s="14">
        <f t="shared" si="222"/>
        <v>3534.9550178538266</v>
      </c>
      <c r="AO357" s="14">
        <f t="shared" si="223"/>
        <v>5789.779109558046</v>
      </c>
      <c r="AP357" s="14">
        <f t="shared" si="224"/>
        <v>2959.8041287698088</v>
      </c>
      <c r="AQ357" s="14">
        <f t="shared" si="225"/>
        <v>5789.779109558046</v>
      </c>
      <c r="AR357" s="33">
        <f t="shared" si="226"/>
        <v>0.30315935048011783</v>
      </c>
      <c r="AS357" s="33">
        <f t="shared" si="227"/>
        <v>0.02</v>
      </c>
      <c r="AT357" s="51">
        <f t="shared" si="228"/>
        <v>9.7399646444479446E-2</v>
      </c>
      <c r="AU357" s="51">
        <f>APPLICANTS_PER_YEAR*($H357/Segments!$AH$2)*AS357</f>
        <v>0.192</v>
      </c>
      <c r="AV357" s="51">
        <f t="shared" si="229"/>
        <v>0.28939964644447946</v>
      </c>
      <c r="AW357" s="14">
        <f t="shared" si="230"/>
        <v>5789.779109558046</v>
      </c>
      <c r="AX357" s="44">
        <f t="shared" si="231"/>
        <v>1675.5600272977317</v>
      </c>
      <c r="AY357" s="44">
        <f t="shared" si="232"/>
        <v>1145.7765002477204</v>
      </c>
      <c r="AZ357" s="44">
        <f t="shared" si="233"/>
        <v>366.17615370439097</v>
      </c>
    </row>
    <row r="358" spans="1:52" ht="15" customHeight="1" x14ac:dyDescent="0.35">
      <c r="A358" s="59" t="str">
        <f>Segments!$A$338</f>
        <v>Greek</v>
      </c>
      <c r="B358" s="59" t="str">
        <f>Segments!$B$338</f>
        <v>Off 3-6mi</v>
      </c>
      <c r="C358" s="59" t="str">
        <f>Segments!$C$338</f>
        <v>Yes</v>
      </c>
      <c r="D358" s="59" t="str">
        <f>Segments!$D$338</f>
        <v>2.0-3.0</v>
      </c>
      <c r="E358" s="59" t="str">
        <f>Segments!$E$338</f>
        <v>Senior</v>
      </c>
      <c r="F358" s="59">
        <f>Segments!$F$338</f>
        <v>3</v>
      </c>
      <c r="G358" s="59" t="str">
        <f>Segments!$G$338</f>
        <v>Base</v>
      </c>
      <c r="H358" s="60">
        <f>Segments!$H$338</f>
        <v>6</v>
      </c>
      <c r="I358" s="26">
        <f>Segments!$Y$338</f>
        <v>3114.4105140015513</v>
      </c>
      <c r="J358" s="29">
        <v>3</v>
      </c>
      <c r="K358" s="14">
        <f t="shared" si="195"/>
        <v>1426.2297754450396</v>
      </c>
      <c r="L358" s="14">
        <f t="shared" si="196"/>
        <v>3114.4105140015513</v>
      </c>
      <c r="M358" s="14">
        <f t="shared" si="197"/>
        <v>5105.9409607913103</v>
      </c>
      <c r="N358" s="14">
        <f t="shared" si="198"/>
        <v>2698.5635123052084</v>
      </c>
      <c r="O358" s="14">
        <f t="shared" si="199"/>
        <v>1782.7872193062994</v>
      </c>
      <c r="P358" s="33">
        <f t="shared" si="200"/>
        <v>0.94467847686798012</v>
      </c>
      <c r="Q358" s="33">
        <f t="shared" si="201"/>
        <v>0.02</v>
      </c>
      <c r="R358" s="51">
        <f t="shared" si="202"/>
        <v>7.557427814943841</v>
      </c>
      <c r="S358" s="51">
        <f>APPLICANTS_PER_YEAR*($H358/Segments!$AH$2)*Q358</f>
        <v>0.14399999999999999</v>
      </c>
      <c r="T358" s="51">
        <f t="shared" si="203"/>
        <v>7.7014278149438411</v>
      </c>
      <c r="U358" s="14">
        <f t="shared" si="204"/>
        <v>1844.9229881886999</v>
      </c>
      <c r="V358" s="44">
        <f t="shared" si="205"/>
        <v>14208.541217665761</v>
      </c>
      <c r="W358" s="44">
        <f t="shared" si="206"/>
        <v>26863.656690847303</v>
      </c>
      <c r="X358" s="44">
        <f t="shared" si="207"/>
        <v>2868.776788880094</v>
      </c>
      <c r="Y358" s="14">
        <f t="shared" si="208"/>
        <v>1873.3915738345279</v>
      </c>
      <c r="Z358" s="14">
        <f t="shared" si="209"/>
        <v>3207.8428294215978</v>
      </c>
      <c r="AA358" s="14">
        <f t="shared" si="210"/>
        <v>5257.8691896150494</v>
      </c>
      <c r="AB358" s="14">
        <f t="shared" si="211"/>
        <v>2779.1900765209971</v>
      </c>
      <c r="AC358" s="14">
        <f t="shared" si="212"/>
        <v>2341.73946729316</v>
      </c>
      <c r="AD358" s="33">
        <f t="shared" si="213"/>
        <v>0.85370109585585452</v>
      </c>
      <c r="AE358" s="33">
        <f t="shared" si="214"/>
        <v>0.02</v>
      </c>
      <c r="AF358" s="51">
        <f t="shared" si="215"/>
        <v>6.6520389389088184</v>
      </c>
      <c r="AG358" s="51">
        <f>APPLICANTS_PER_YEAR*($H358/Segments!$AH$2)*AE358</f>
        <v>0.14399999999999999</v>
      </c>
      <c r="AH358" s="51">
        <f t="shared" si="216"/>
        <v>6.7960389389088185</v>
      </c>
      <c r="AI358" s="14">
        <f t="shared" si="217"/>
        <v>2403.5287954281421</v>
      </c>
      <c r="AJ358" s="44">
        <f t="shared" si="218"/>
        <v>16334.475284518261</v>
      </c>
      <c r="AK358" s="44">
        <f t="shared" si="219"/>
        <v>24416.699752086453</v>
      </c>
      <c r="AL358" s="44">
        <f t="shared" si="220"/>
        <v>3253.2362682677876</v>
      </c>
      <c r="AM358" s="14">
        <f t="shared" si="221"/>
        <v>2351.1035664478377</v>
      </c>
      <c r="AN358" s="14">
        <f t="shared" si="222"/>
        <v>3304.0781143042454</v>
      </c>
      <c r="AO358" s="14">
        <f t="shared" si="223"/>
        <v>5414.3552653035003</v>
      </c>
      <c r="AP358" s="14">
        <f t="shared" si="224"/>
        <v>2862.2353989654798</v>
      </c>
      <c r="AQ358" s="14">
        <f t="shared" si="225"/>
        <v>2938.8794580597969</v>
      </c>
      <c r="AR358" s="33">
        <f t="shared" si="226"/>
        <v>0.7616111537992265</v>
      </c>
      <c r="AS358" s="33">
        <f t="shared" si="227"/>
        <v>0.02</v>
      </c>
      <c r="AT358" s="51">
        <f t="shared" si="228"/>
        <v>7.6963804662033812</v>
      </c>
      <c r="AU358" s="51">
        <f>APPLICANTS_PER_YEAR*($H358/Segments!$AH$2)*AS358</f>
        <v>0.14399999999999999</v>
      </c>
      <c r="AV358" s="51">
        <f t="shared" si="229"/>
        <v>7.8403804662033814</v>
      </c>
      <c r="AW358" s="14">
        <f t="shared" si="230"/>
        <v>2984.3451746509345</v>
      </c>
      <c r="AX358" s="44">
        <f t="shared" si="231"/>
        <v>23398.401611741505</v>
      </c>
      <c r="AY358" s="44">
        <f t="shared" si="232"/>
        <v>29013.857046945246</v>
      </c>
      <c r="AZ358" s="44">
        <f t="shared" si="233"/>
        <v>4609.9938644803424</v>
      </c>
    </row>
    <row r="359" spans="1:52" ht="15" customHeight="1" x14ac:dyDescent="0.35">
      <c r="A359" s="59" t="str">
        <f>Segments!$A$339</f>
        <v>Greek</v>
      </c>
      <c r="B359" s="59" t="str">
        <f>Segments!$B$339</f>
        <v>Off 3-6mi</v>
      </c>
      <c r="C359" s="59" t="str">
        <f>Segments!$C$339</f>
        <v>Yes</v>
      </c>
      <c r="D359" s="59" t="str">
        <f>Segments!$D$339</f>
        <v>2.0-3.0</v>
      </c>
      <c r="E359" s="59" t="str">
        <f>Segments!$E$339</f>
        <v>Grad student</v>
      </c>
      <c r="F359" s="59">
        <f>Segments!$F$339</f>
        <v>3</v>
      </c>
      <c r="G359" s="59" t="str">
        <f>Segments!$G$339</f>
        <v>Grad</v>
      </c>
      <c r="H359" s="60">
        <f>Segments!$H$339</f>
        <v>7</v>
      </c>
      <c r="I359" s="26">
        <f>Segments!$Y$339</f>
        <v>3708.2676405905954</v>
      </c>
      <c r="J359" s="29">
        <v>4</v>
      </c>
      <c r="K359" s="14">
        <f t="shared" si="195"/>
        <v>1426.2297754450396</v>
      </c>
      <c r="L359" s="14">
        <f t="shared" si="196"/>
        <v>3708.2676405905954</v>
      </c>
      <c r="M359" s="14">
        <f t="shared" si="197"/>
        <v>6071.5989455196914</v>
      </c>
      <c r="N359" s="14">
        <f t="shared" si="198"/>
        <v>2942.7020237633456</v>
      </c>
      <c r="O359" s="14">
        <f t="shared" si="199"/>
        <v>1782.7872193062994</v>
      </c>
      <c r="P359" s="33">
        <f t="shared" si="200"/>
        <v>0.95</v>
      </c>
      <c r="Q359" s="33">
        <f t="shared" si="201"/>
        <v>0.02</v>
      </c>
      <c r="R359" s="51">
        <f t="shared" si="202"/>
        <v>3.3249999999999997</v>
      </c>
      <c r="S359" s="51">
        <f>APPLICANTS_PER_YEAR*($H359/Segments!$AH$2)*Q359</f>
        <v>0.16800000000000001</v>
      </c>
      <c r="T359" s="51">
        <f t="shared" si="203"/>
        <v>3.4929999999999999</v>
      </c>
      <c r="U359" s="14">
        <f t="shared" si="204"/>
        <v>1989.0627331923145</v>
      </c>
      <c r="V359" s="44">
        <f t="shared" si="205"/>
        <v>6947.7961270407541</v>
      </c>
      <c r="W359" s="44">
        <f t="shared" si="206"/>
        <v>14507.336332812905</v>
      </c>
      <c r="X359" s="44">
        <f t="shared" si="207"/>
        <v>1422.8944698103583</v>
      </c>
      <c r="Y359" s="14">
        <f t="shared" si="208"/>
        <v>1989.0627331923145</v>
      </c>
      <c r="Z359" s="14">
        <f t="shared" si="209"/>
        <v>3819.5156698083133</v>
      </c>
      <c r="AA359" s="14">
        <f t="shared" si="210"/>
        <v>6252.4969138852821</v>
      </c>
      <c r="AB359" s="14">
        <f t="shared" si="211"/>
        <v>3030.6801526299751</v>
      </c>
      <c r="AC359" s="14">
        <f t="shared" si="212"/>
        <v>2486.328416490393</v>
      </c>
      <c r="AD359" s="33">
        <f t="shared" si="213"/>
        <v>0.86480685996626905</v>
      </c>
      <c r="AE359" s="33">
        <f t="shared" si="214"/>
        <v>0.02</v>
      </c>
      <c r="AF359" s="51">
        <f t="shared" si="215"/>
        <v>1.5103851809310889</v>
      </c>
      <c r="AG359" s="51">
        <f>APPLICANTS_PER_YEAR*($H359/Segments!$AH$2)*AE359</f>
        <v>0.16800000000000001</v>
      </c>
      <c r="AH359" s="51">
        <f t="shared" si="216"/>
        <v>1.6783851809310888</v>
      </c>
      <c r="AI359" s="14">
        <f t="shared" si="217"/>
        <v>2863.30761932829</v>
      </c>
      <c r="AJ359" s="44">
        <f t="shared" si="218"/>
        <v>4805.7330767276771</v>
      </c>
      <c r="AK359" s="44">
        <f t="shared" si="219"/>
        <v>7179.8927183651986</v>
      </c>
      <c r="AL359" s="44">
        <f t="shared" si="220"/>
        <v>982.81593697379833</v>
      </c>
      <c r="AM359" s="14">
        <f t="shared" si="221"/>
        <v>2863.30761932829</v>
      </c>
      <c r="AN359" s="14">
        <f t="shared" si="222"/>
        <v>3934.1011399025624</v>
      </c>
      <c r="AO359" s="14">
        <f t="shared" si="223"/>
        <v>6438.8218213018399</v>
      </c>
      <c r="AP359" s="14">
        <f t="shared" si="224"/>
        <v>3121.2975955210991</v>
      </c>
      <c r="AQ359" s="14">
        <f t="shared" si="225"/>
        <v>3579.1345241603626</v>
      </c>
      <c r="AR359" s="33">
        <f t="shared" si="226"/>
        <v>0.70165919947905064</v>
      </c>
      <c r="AS359" s="33">
        <f t="shared" si="227"/>
        <v>0.02</v>
      </c>
      <c r="AT359" s="51">
        <f t="shared" si="228"/>
        <v>0.5888272012348047</v>
      </c>
      <c r="AU359" s="51">
        <f>APPLICANTS_PER_YEAR*($H359/Segments!$AH$2)*AS359</f>
        <v>0.16800000000000001</v>
      </c>
      <c r="AV359" s="51">
        <f t="shared" si="229"/>
        <v>0.75682720123480474</v>
      </c>
      <c r="AW359" s="14">
        <f t="shared" si="230"/>
        <v>4213.9260130708099</v>
      </c>
      <c r="AX359" s="44">
        <f t="shared" si="231"/>
        <v>3189.2138306829202</v>
      </c>
      <c r="AY359" s="44">
        <f t="shared" si="232"/>
        <v>3334.7269256975646</v>
      </c>
      <c r="AZ359" s="44">
        <f t="shared" si="233"/>
        <v>659.95823033302293</v>
      </c>
    </row>
    <row r="360" spans="1:52" ht="15" customHeight="1" x14ac:dyDescent="0.35">
      <c r="A360" s="61" t="str">
        <f>Segments!$A$340</f>
        <v>Greek</v>
      </c>
      <c r="B360" s="61" t="str">
        <f>Segments!$B$340</f>
        <v>Off 3-6mi</v>
      </c>
      <c r="C360" s="61" t="str">
        <f>Segments!$C$340</f>
        <v>Yes</v>
      </c>
      <c r="D360" s="61" t="str">
        <f>Segments!$D$340</f>
        <v>3.0+</v>
      </c>
      <c r="E360" s="61" t="str">
        <f>Segments!$E$340</f>
        <v>Freshman</v>
      </c>
      <c r="F360" s="61">
        <f>Segments!$F$340</f>
        <v>1</v>
      </c>
      <c r="G360" s="61" t="str">
        <f>Segments!$G$340</f>
        <v>Base</v>
      </c>
      <c r="H360" s="62">
        <f>Segments!$H$340</f>
        <v>9</v>
      </c>
      <c r="I360" s="63">
        <f>Segments!$Y$340</f>
        <v>2468.3311929520055</v>
      </c>
      <c r="J360" s="42">
        <v>0</v>
      </c>
      <c r="K360" s="40">
        <f t="shared" si="195"/>
        <v>4055.3656166460746</v>
      </c>
      <c r="L360" s="40">
        <f t="shared" si="196"/>
        <v>2468.3311929520055</v>
      </c>
      <c r="M360" s="40">
        <f t="shared" si="197"/>
        <v>4055.3656166460746</v>
      </c>
      <c r="N360" s="40">
        <f t="shared" si="198"/>
        <v>2404.9705180680835</v>
      </c>
      <c r="O360" s="40">
        <f t="shared" si="199"/>
        <v>4055.3656166460746</v>
      </c>
      <c r="P360" s="41">
        <f t="shared" si="200"/>
        <v>0.50687830969675329</v>
      </c>
      <c r="Q360" s="41">
        <f t="shared" si="201"/>
        <v>0.02</v>
      </c>
      <c r="R360" s="64">
        <f t="shared" si="202"/>
        <v>0</v>
      </c>
      <c r="S360" s="64">
        <f>APPLICANTS_PER_YEAR*($H360/Segments!$AH$2)*Q360</f>
        <v>0.21599999999999997</v>
      </c>
      <c r="T360" s="64">
        <f t="shared" si="203"/>
        <v>0.21599999999999997</v>
      </c>
      <c r="U360" s="40">
        <f t="shared" si="204"/>
        <v>4055.3656166460746</v>
      </c>
      <c r="V360" s="65">
        <f t="shared" si="205"/>
        <v>875.95897319555195</v>
      </c>
      <c r="W360" s="65">
        <f t="shared" si="206"/>
        <v>597.13868219894914</v>
      </c>
      <c r="X360" s="65">
        <f t="shared" si="207"/>
        <v>205.93480999580365</v>
      </c>
      <c r="Y360" s="40">
        <f t="shared" si="208"/>
        <v>4175.7765851454569</v>
      </c>
      <c r="Z360" s="40">
        <f t="shared" si="209"/>
        <v>2542.3811287405656</v>
      </c>
      <c r="AA360" s="40">
        <f t="shared" si="210"/>
        <v>4175.7765851454569</v>
      </c>
      <c r="AB360" s="40">
        <f t="shared" si="211"/>
        <v>2476.7489594993026</v>
      </c>
      <c r="AC360" s="40">
        <f t="shared" si="212"/>
        <v>4175.7765851454569</v>
      </c>
      <c r="AD360" s="41">
        <f t="shared" si="213"/>
        <v>0.50700447372154578</v>
      </c>
      <c r="AE360" s="41">
        <f t="shared" si="214"/>
        <v>0.02</v>
      </c>
      <c r="AF360" s="64">
        <f t="shared" si="215"/>
        <v>0</v>
      </c>
      <c r="AG360" s="64">
        <f>APPLICANTS_PER_YEAR*($H360/Segments!$AH$2)*AE360</f>
        <v>0.21599999999999997</v>
      </c>
      <c r="AH360" s="64">
        <f t="shared" si="216"/>
        <v>0.21599999999999997</v>
      </c>
      <c r="AI360" s="40">
        <f t="shared" si="217"/>
        <v>4175.7765851454569</v>
      </c>
      <c r="AJ360" s="65">
        <f t="shared" si="218"/>
        <v>901.9677423914186</v>
      </c>
      <c r="AK360" s="65">
        <f t="shared" si="219"/>
        <v>615.05284266491765</v>
      </c>
      <c r="AL360" s="65">
        <f t="shared" si="220"/>
        <v>211.76077429567778</v>
      </c>
      <c r="AM360" s="40">
        <f t="shared" si="221"/>
        <v>4299.799882699821</v>
      </c>
      <c r="AN360" s="40">
        <f t="shared" si="222"/>
        <v>2618.6525626027824</v>
      </c>
      <c r="AO360" s="40">
        <f t="shared" si="223"/>
        <v>4299.799882699821</v>
      </c>
      <c r="AP360" s="40">
        <f t="shared" si="224"/>
        <v>2550.6806994977469</v>
      </c>
      <c r="AQ360" s="40">
        <f t="shared" si="225"/>
        <v>4299.799882699821</v>
      </c>
      <c r="AR360" s="41">
        <f t="shared" si="226"/>
        <v>0.50712698113360632</v>
      </c>
      <c r="AS360" s="41">
        <f t="shared" si="227"/>
        <v>0.02</v>
      </c>
      <c r="AT360" s="64">
        <f t="shared" si="228"/>
        <v>0</v>
      </c>
      <c r="AU360" s="64">
        <f>APPLICANTS_PER_YEAR*($H360/Segments!$AH$2)*AS360</f>
        <v>0.21599999999999997</v>
      </c>
      <c r="AV360" s="64">
        <f t="shared" si="229"/>
        <v>0.21599999999999997</v>
      </c>
      <c r="AW360" s="40">
        <f t="shared" si="230"/>
        <v>4299.799882699821</v>
      </c>
      <c r="AX360" s="65">
        <f t="shared" si="231"/>
        <v>928.7567746631612</v>
      </c>
      <c r="AY360" s="65">
        <f t="shared" si="232"/>
        <v>633.50442794486514</v>
      </c>
      <c r="AZ360" s="65">
        <f t="shared" si="233"/>
        <v>217.76151752454811</v>
      </c>
    </row>
    <row r="361" spans="1:52" ht="15" customHeight="1" x14ac:dyDescent="0.35">
      <c r="A361" s="61" t="str">
        <f>Segments!$A$341</f>
        <v>Greek</v>
      </c>
      <c r="B361" s="61" t="str">
        <f>Segments!$B$341</f>
        <v>Off 3-6mi</v>
      </c>
      <c r="C361" s="61" t="str">
        <f>Segments!$C$341</f>
        <v>Yes</v>
      </c>
      <c r="D361" s="61" t="str">
        <f>Segments!$D$341</f>
        <v>3.0+</v>
      </c>
      <c r="E361" s="61" t="str">
        <f>Segments!$E$341</f>
        <v>Sophomore</v>
      </c>
      <c r="F361" s="61">
        <f>Segments!$F$341</f>
        <v>1</v>
      </c>
      <c r="G361" s="61" t="str">
        <f>Segments!$G$341</f>
        <v>Sophomore</v>
      </c>
      <c r="H361" s="62">
        <f>Segments!$H$341</f>
        <v>6</v>
      </c>
      <c r="I361" s="63">
        <f>Segments!$Y$341</f>
        <v>2443.2189907548527</v>
      </c>
      <c r="J361" s="42">
        <v>1</v>
      </c>
      <c r="K361" s="40">
        <f t="shared" si="195"/>
        <v>1426.2297754450396</v>
      </c>
      <c r="L361" s="40">
        <f t="shared" si="196"/>
        <v>2443.2189907548527</v>
      </c>
      <c r="M361" s="40">
        <f t="shared" si="197"/>
        <v>4014.5312181349741</v>
      </c>
      <c r="N361" s="40">
        <f t="shared" si="198"/>
        <v>2392.8317863480802</v>
      </c>
      <c r="O361" s="40">
        <f t="shared" si="199"/>
        <v>1782.7872193062994</v>
      </c>
      <c r="P361" s="41">
        <f t="shared" si="200"/>
        <v>0.90247334988658467</v>
      </c>
      <c r="Q361" s="41">
        <f t="shared" si="201"/>
        <v>0.02</v>
      </c>
      <c r="R361" s="64">
        <f t="shared" si="202"/>
        <v>8.1222601489792616</v>
      </c>
      <c r="S361" s="64">
        <f>APPLICANTS_PER_YEAR*($H361/Segments!$AH$2)*Q361</f>
        <v>0.14399999999999999</v>
      </c>
      <c r="T361" s="64">
        <f t="shared" si="203"/>
        <v>8.2662601489792618</v>
      </c>
      <c r="U361" s="40">
        <f t="shared" si="204"/>
        <v>1821.6646717502576</v>
      </c>
      <c r="V361" s="65">
        <f t="shared" si="205"/>
        <v>15058.354080892543</v>
      </c>
      <c r="W361" s="65">
        <f t="shared" si="206"/>
        <v>22619.837831926914</v>
      </c>
      <c r="X361" s="65">
        <f t="shared" si="207"/>
        <v>3035.1873616076759</v>
      </c>
      <c r="Y361" s="40">
        <f t="shared" si="208"/>
        <v>4055.3656166460746</v>
      </c>
      <c r="Z361" s="40">
        <f t="shared" si="209"/>
        <v>2516.5155604774982</v>
      </c>
      <c r="AA361" s="40">
        <f t="shared" si="210"/>
        <v>4133.7171546790232</v>
      </c>
      <c r="AB361" s="40">
        <f t="shared" si="211"/>
        <v>2464.2441851304643</v>
      </c>
      <c r="AC361" s="40">
        <f t="shared" si="212"/>
        <v>4133.7171546790232</v>
      </c>
      <c r="AD361" s="41">
        <f t="shared" si="213"/>
        <v>0.5054645067750998</v>
      </c>
      <c r="AE361" s="41">
        <f t="shared" si="214"/>
        <v>0.02</v>
      </c>
      <c r="AF361" s="64">
        <f t="shared" si="215"/>
        <v>0.10918033346342154</v>
      </c>
      <c r="AG361" s="64">
        <f>APPLICANTS_PER_YEAR*($H361/Segments!$AH$2)*AE361</f>
        <v>0.14399999999999999</v>
      </c>
      <c r="AH361" s="64">
        <f t="shared" si="216"/>
        <v>0.2531803334634215</v>
      </c>
      <c r="AI361" s="40">
        <f t="shared" si="217"/>
        <v>4133.7171546790241</v>
      </c>
      <c r="AJ361" s="65">
        <f t="shared" si="218"/>
        <v>1046.5758876651012</v>
      </c>
      <c r="AK361" s="65">
        <f t="shared" si="219"/>
        <v>713.58811861969195</v>
      </c>
      <c r="AL361" s="65">
        <f t="shared" si="220"/>
        <v>227.30038389755481</v>
      </c>
      <c r="AM361" s="40">
        <f t="shared" si="221"/>
        <v>4175.7765851454569</v>
      </c>
      <c r="AN361" s="40">
        <f t="shared" si="222"/>
        <v>2592.0110272918232</v>
      </c>
      <c r="AO361" s="40">
        <f t="shared" si="223"/>
        <v>4256.4786693193946</v>
      </c>
      <c r="AP361" s="40">
        <f t="shared" si="224"/>
        <v>2537.7989003640259</v>
      </c>
      <c r="AQ361" s="40">
        <f t="shared" si="225"/>
        <v>4256.4786693193946</v>
      </c>
      <c r="AR361" s="41">
        <f t="shared" si="226"/>
        <v>0.50558590089231803</v>
      </c>
      <c r="AS361" s="41">
        <f t="shared" si="227"/>
        <v>0.02</v>
      </c>
      <c r="AT361" s="64">
        <f t="shared" si="228"/>
        <v>0.10920655459274067</v>
      </c>
      <c r="AU361" s="64">
        <f>APPLICANTS_PER_YEAR*($H361/Segments!$AH$2)*AS361</f>
        <v>0.14399999999999999</v>
      </c>
      <c r="AV361" s="64">
        <f t="shared" si="229"/>
        <v>0.25320655459274066</v>
      </c>
      <c r="AW361" s="40">
        <f t="shared" si="230"/>
        <v>4256.4786693193946</v>
      </c>
      <c r="AX361" s="65">
        <f t="shared" si="231"/>
        <v>1077.7682985558574</v>
      </c>
      <c r="AY361" s="65">
        <f t="shared" si="232"/>
        <v>735.07188348938723</v>
      </c>
      <c r="AZ361" s="65">
        <f t="shared" si="233"/>
        <v>233.81499201228161</v>
      </c>
    </row>
    <row r="362" spans="1:52" ht="15" customHeight="1" x14ac:dyDescent="0.35">
      <c r="A362" s="61" t="str">
        <f>Segments!$A$342</f>
        <v>Greek</v>
      </c>
      <c r="B362" s="61" t="str">
        <f>Segments!$B$342</f>
        <v>Off 3-6mi</v>
      </c>
      <c r="C362" s="61" t="str">
        <f>Segments!$C$342</f>
        <v>Yes</v>
      </c>
      <c r="D362" s="61" t="str">
        <f>Segments!$D$342</f>
        <v>3.0+</v>
      </c>
      <c r="E362" s="61" t="str">
        <f>Segments!$E$342</f>
        <v>Junior</v>
      </c>
      <c r="F362" s="61">
        <f>Segments!$F$342</f>
        <v>2</v>
      </c>
      <c r="G362" s="61" t="str">
        <f>Segments!$G$342</f>
        <v>Base</v>
      </c>
      <c r="H362" s="62">
        <f>Segments!$H$342</f>
        <v>2</v>
      </c>
      <c r="I362" s="63">
        <f>Segments!$Y$342</f>
        <v>2920.686586334713</v>
      </c>
      <c r="J362" s="42">
        <v>2</v>
      </c>
      <c r="K362" s="40">
        <f t="shared" si="195"/>
        <v>1426.2297754450396</v>
      </c>
      <c r="L362" s="40">
        <f t="shared" si="196"/>
        <v>2920.686586334713</v>
      </c>
      <c r="M362" s="40">
        <f t="shared" si="197"/>
        <v>4790.9307517551533</v>
      </c>
      <c r="N362" s="40">
        <f t="shared" si="198"/>
        <v>2613.9946614804876</v>
      </c>
      <c r="O362" s="40">
        <f t="shared" si="199"/>
        <v>1782.7872193062994</v>
      </c>
      <c r="P362" s="41">
        <f t="shared" si="200"/>
        <v>0.93399180178574226</v>
      </c>
      <c r="Q362" s="41">
        <f t="shared" si="201"/>
        <v>0.02</v>
      </c>
      <c r="R362" s="64">
        <f t="shared" si="202"/>
        <v>5.6039508107144531</v>
      </c>
      <c r="S362" s="64">
        <f>APPLICANTS_PER_YEAR*($H362/Segments!$AH$2)*Q362</f>
        <v>4.8000000000000001E-2</v>
      </c>
      <c r="T362" s="64">
        <f t="shared" si="203"/>
        <v>5.6519508107144532</v>
      </c>
      <c r="U362" s="40">
        <f t="shared" si="204"/>
        <v>1808.3343081599078</v>
      </c>
      <c r="V362" s="65">
        <f t="shared" si="205"/>
        <v>10220.61655904715</v>
      </c>
      <c r="W362" s="65">
        <f t="shared" si="206"/>
        <v>18488.486149814587</v>
      </c>
      <c r="X362" s="65">
        <f t="shared" si="207"/>
        <v>2053.9843095371489</v>
      </c>
      <c r="Y362" s="40">
        <f t="shared" si="208"/>
        <v>1821.6646717502576</v>
      </c>
      <c r="Z362" s="40">
        <f t="shared" si="209"/>
        <v>3008.3071839247546</v>
      </c>
      <c r="AA362" s="40">
        <f t="shared" si="210"/>
        <v>4933.4086743078087</v>
      </c>
      <c r="AB362" s="40">
        <f t="shared" si="211"/>
        <v>2692.0734715287276</v>
      </c>
      <c r="AC362" s="40">
        <f t="shared" si="212"/>
        <v>2277.0808396878219</v>
      </c>
      <c r="AD362" s="41">
        <f t="shared" si="213"/>
        <v>0.85207676559162537</v>
      </c>
      <c r="AE362" s="41">
        <f t="shared" si="214"/>
        <v>0.02</v>
      </c>
      <c r="AF362" s="64">
        <f t="shared" si="215"/>
        <v>7.043488211281197</v>
      </c>
      <c r="AG362" s="64">
        <f>APPLICANTS_PER_YEAR*($H362/Segments!$AH$2)*AE362</f>
        <v>4.8000000000000001E-2</v>
      </c>
      <c r="AH362" s="64">
        <f t="shared" si="216"/>
        <v>7.091488211281197</v>
      </c>
      <c r="AI362" s="40">
        <f t="shared" si="217"/>
        <v>2295.0606673717948</v>
      </c>
      <c r="AJ362" s="65">
        <f t="shared" si="218"/>
        <v>16275.395666842238</v>
      </c>
      <c r="AK362" s="65">
        <f t="shared" si="219"/>
        <v>23893.379922400727</v>
      </c>
      <c r="AL362" s="65">
        <f t="shared" si="220"/>
        <v>3227.3676718316437</v>
      </c>
      <c r="AM362" s="40">
        <f t="shared" si="221"/>
        <v>4133.7171546790241</v>
      </c>
      <c r="AN362" s="40">
        <f t="shared" si="222"/>
        <v>3098.556399442497</v>
      </c>
      <c r="AO362" s="40">
        <f t="shared" si="223"/>
        <v>5080.1609345370425</v>
      </c>
      <c r="AP362" s="40">
        <f t="shared" si="224"/>
        <v>2772.4946033009323</v>
      </c>
      <c r="AQ362" s="40">
        <f t="shared" si="225"/>
        <v>5080.1609345370425</v>
      </c>
      <c r="AR362" s="41">
        <f t="shared" si="226"/>
        <v>0.36514140416952756</v>
      </c>
      <c r="AS362" s="41">
        <f t="shared" si="227"/>
        <v>0.02</v>
      </c>
      <c r="AT362" s="64">
        <f t="shared" si="228"/>
        <v>9.244662246894296E-2</v>
      </c>
      <c r="AU362" s="64">
        <f>APPLICANTS_PER_YEAR*($H362/Segments!$AH$2)*AS362</f>
        <v>4.8000000000000001E-2</v>
      </c>
      <c r="AV362" s="64">
        <f t="shared" si="229"/>
        <v>0.14044662246894296</v>
      </c>
      <c r="AW362" s="40">
        <f t="shared" si="230"/>
        <v>5080.1609345370425</v>
      </c>
      <c r="AX362" s="65">
        <f t="shared" si="231"/>
        <v>713.49144485439649</v>
      </c>
      <c r="AY362" s="65">
        <f t="shared" si="232"/>
        <v>487.40359453097494</v>
      </c>
      <c r="AZ362" s="65">
        <f t="shared" si="233"/>
        <v>147.393485896882</v>
      </c>
    </row>
    <row r="363" spans="1:52" ht="15" customHeight="1" x14ac:dyDescent="0.35">
      <c r="A363" s="61" t="str">
        <f>Segments!$A$343</f>
        <v>Greek</v>
      </c>
      <c r="B363" s="61" t="str">
        <f>Segments!$B$343</f>
        <v>Off 3-6mi</v>
      </c>
      <c r="C363" s="61" t="str">
        <f>Segments!$C$343</f>
        <v>Yes</v>
      </c>
      <c r="D363" s="61" t="str">
        <f>Segments!$D$343</f>
        <v>3.0+</v>
      </c>
      <c r="E363" s="61" t="str">
        <f>Segments!$E$343</f>
        <v>Senior</v>
      </c>
      <c r="F363" s="61">
        <f>Segments!$F$343</f>
        <v>3</v>
      </c>
      <c r="G363" s="61" t="str">
        <f>Segments!$G$343</f>
        <v>Base</v>
      </c>
      <c r="H363" s="62">
        <f>Segments!$H$343</f>
        <v>8</v>
      </c>
      <c r="I363" s="63">
        <f>Segments!$Y$343</f>
        <v>2729.9291164698898</v>
      </c>
      <c r="J363" s="42">
        <v>3</v>
      </c>
      <c r="K363" s="40">
        <f t="shared" si="195"/>
        <v>1426.2297754450396</v>
      </c>
      <c r="L363" s="40">
        <f t="shared" si="196"/>
        <v>2729.9291164698898</v>
      </c>
      <c r="M363" s="40">
        <f t="shared" si="197"/>
        <v>4480.7442343690909</v>
      </c>
      <c r="N363" s="40">
        <f t="shared" si="198"/>
        <v>2527.9578404733898</v>
      </c>
      <c r="O363" s="40">
        <f t="shared" si="199"/>
        <v>1782.7872193062994</v>
      </c>
      <c r="P363" s="41">
        <f t="shared" si="200"/>
        <v>0.92238588777800756</v>
      </c>
      <c r="Q363" s="41">
        <f t="shared" si="201"/>
        <v>0.02</v>
      </c>
      <c r="R363" s="64">
        <f t="shared" si="202"/>
        <v>1.8447717755560151</v>
      </c>
      <c r="S363" s="64">
        <f>APPLICANTS_PER_YEAR*($H363/Segments!$AH$2)*Q363</f>
        <v>0.192</v>
      </c>
      <c r="T363" s="64">
        <f t="shared" si="203"/>
        <v>2.0367717755560153</v>
      </c>
      <c r="U363" s="40">
        <f t="shared" si="204"/>
        <v>2037.115049802009</v>
      </c>
      <c r="V363" s="65">
        <f t="shared" si="205"/>
        <v>4149.1384369971183</v>
      </c>
      <c r="W363" s="65">
        <f t="shared" si="206"/>
        <v>6227.4716825377755</v>
      </c>
      <c r="X363" s="65">
        <f t="shared" si="207"/>
        <v>859.8332013585358</v>
      </c>
      <c r="Y363" s="40">
        <f t="shared" si="208"/>
        <v>1808.3343081599078</v>
      </c>
      <c r="Z363" s="40">
        <f t="shared" si="209"/>
        <v>2811.8269899639868</v>
      </c>
      <c r="AA363" s="40">
        <f t="shared" si="210"/>
        <v>4613.916561400164</v>
      </c>
      <c r="AB363" s="40">
        <f t="shared" si="211"/>
        <v>2603.4439376960936</v>
      </c>
      <c r="AC363" s="40">
        <f t="shared" si="212"/>
        <v>2260.4178851998849</v>
      </c>
      <c r="AD363" s="41">
        <f t="shared" si="213"/>
        <v>0.8408792854206355</v>
      </c>
      <c r="AE363" s="41">
        <f t="shared" si="214"/>
        <v>0.02</v>
      </c>
      <c r="AF363" s="64">
        <f t="shared" si="215"/>
        <v>4.7526083589461505</v>
      </c>
      <c r="AG363" s="64">
        <f>APPLICANTS_PER_YEAR*($H363/Segments!$AH$2)*AE363</f>
        <v>0.192</v>
      </c>
      <c r="AH363" s="64">
        <f t="shared" si="216"/>
        <v>4.9446083589461507</v>
      </c>
      <c r="AI363" s="40">
        <f t="shared" si="217"/>
        <v>2351.8046469062783</v>
      </c>
      <c r="AJ363" s="65">
        <f t="shared" si="218"/>
        <v>11628.752915701185</v>
      </c>
      <c r="AK363" s="65">
        <f t="shared" si="219"/>
        <v>15571.789227104684</v>
      </c>
      <c r="AL363" s="65">
        <f t="shared" si="220"/>
        <v>2332.5319875390564</v>
      </c>
      <c r="AM363" s="40">
        <f t="shared" si="221"/>
        <v>2295.0606673717948</v>
      </c>
      <c r="AN363" s="40">
        <f t="shared" si="222"/>
        <v>2896.1817996629061</v>
      </c>
      <c r="AO363" s="40">
        <f t="shared" si="223"/>
        <v>4751.0840582421679</v>
      </c>
      <c r="AP363" s="40">
        <f t="shared" si="224"/>
        <v>2681.1945707598738</v>
      </c>
      <c r="AQ363" s="40">
        <f t="shared" si="225"/>
        <v>2868.8258342147437</v>
      </c>
      <c r="AR363" s="41">
        <f t="shared" si="226"/>
        <v>0.74000976365141347</v>
      </c>
      <c r="AS363" s="41">
        <f t="shared" si="227"/>
        <v>0.02</v>
      </c>
      <c r="AT363" s="64">
        <f t="shared" si="228"/>
        <v>5.2477705151669838</v>
      </c>
      <c r="AU363" s="64">
        <f>APPLICANTS_PER_YEAR*($H363/Segments!$AH$2)*AS363</f>
        <v>0.192</v>
      </c>
      <c r="AV363" s="64">
        <f t="shared" si="229"/>
        <v>5.439770515166984</v>
      </c>
      <c r="AW363" s="40">
        <f t="shared" si="230"/>
        <v>2935.261279975854</v>
      </c>
      <c r="AX363" s="65">
        <f t="shared" si="231"/>
        <v>15967.147765123953</v>
      </c>
      <c r="AY363" s="65">
        <f t="shared" si="232"/>
        <v>17645.112083613876</v>
      </c>
      <c r="AZ363" s="65">
        <f t="shared" si="233"/>
        <v>3163.3136227831546</v>
      </c>
    </row>
    <row r="364" spans="1:52" ht="15" customHeight="1" x14ac:dyDescent="0.35">
      <c r="A364" s="61" t="str">
        <f>Segments!$A$344</f>
        <v>Greek</v>
      </c>
      <c r="B364" s="61" t="str">
        <f>Segments!$B$344</f>
        <v>Off 3-6mi</v>
      </c>
      <c r="C364" s="61" t="str">
        <f>Segments!$C$344</f>
        <v>Yes</v>
      </c>
      <c r="D364" s="61" t="str">
        <f>Segments!$D$344</f>
        <v>3.0+</v>
      </c>
      <c r="E364" s="61" t="str">
        <f>Segments!$E$344</f>
        <v>Grad student</v>
      </c>
      <c r="F364" s="61">
        <f>Segments!$F$344</f>
        <v>3</v>
      </c>
      <c r="G364" s="61" t="str">
        <f>Segments!$G$344</f>
        <v>Grad</v>
      </c>
      <c r="H364" s="62">
        <f>Segments!$H$344</f>
        <v>6</v>
      </c>
      <c r="I364" s="63">
        <f>Segments!$Y$344</f>
        <v>3250.4731660131838</v>
      </c>
      <c r="J364" s="42">
        <v>4</v>
      </c>
      <c r="K364" s="40">
        <f t="shared" si="195"/>
        <v>1426.2297754450396</v>
      </c>
      <c r="L364" s="40">
        <f t="shared" si="196"/>
        <v>3250.4731660131838</v>
      </c>
      <c r="M364" s="40">
        <f t="shared" si="197"/>
        <v>5327.1894403591496</v>
      </c>
      <c r="N364" s="40">
        <f t="shared" si="198"/>
        <v>2756.410020166923</v>
      </c>
      <c r="O364" s="40">
        <f t="shared" si="199"/>
        <v>1782.7872193062994</v>
      </c>
      <c r="P364" s="41">
        <f t="shared" si="200"/>
        <v>0.95</v>
      </c>
      <c r="Q364" s="41">
        <f t="shared" si="201"/>
        <v>0.02</v>
      </c>
      <c r="R364" s="64">
        <f t="shared" si="202"/>
        <v>2.8499999999999996</v>
      </c>
      <c r="S364" s="64">
        <f>APPLICANTS_PER_YEAR*($H364/Segments!$AH$2)*Q364</f>
        <v>0.14399999999999999</v>
      </c>
      <c r="T364" s="64">
        <f t="shared" si="203"/>
        <v>2.9939999999999998</v>
      </c>
      <c r="U364" s="40">
        <f t="shared" si="204"/>
        <v>1953.2594704190617</v>
      </c>
      <c r="V364" s="65">
        <f t="shared" si="205"/>
        <v>5848.0588544346701</v>
      </c>
      <c r="W364" s="65">
        <f t="shared" si="206"/>
        <v>10899.74665812869</v>
      </c>
      <c r="X364" s="65">
        <f t="shared" si="207"/>
        <v>1195.6121582675628</v>
      </c>
      <c r="Y364" s="40">
        <f t="shared" si="208"/>
        <v>1953.2594704190617</v>
      </c>
      <c r="Z364" s="40">
        <f t="shared" si="209"/>
        <v>3347.9873609935794</v>
      </c>
      <c r="AA364" s="40">
        <f t="shared" si="210"/>
        <v>5485.7551235699239</v>
      </c>
      <c r="AB364" s="40">
        <f t="shared" si="211"/>
        <v>2838.7789130146566</v>
      </c>
      <c r="AC364" s="40">
        <f t="shared" si="212"/>
        <v>2441.5743380238273</v>
      </c>
      <c r="AD364" s="41">
        <f t="shared" si="213"/>
        <v>0.84496046313606998</v>
      </c>
      <c r="AE364" s="41">
        <f t="shared" si="214"/>
        <v>0.02</v>
      </c>
      <c r="AF364" s="64">
        <f t="shared" si="215"/>
        <v>1.2649058133146966</v>
      </c>
      <c r="AG364" s="64">
        <f>APPLICANTS_PER_YEAR*($H364/Segments!$AH$2)*AE364</f>
        <v>0.14399999999999999</v>
      </c>
      <c r="AH364" s="64">
        <f t="shared" si="216"/>
        <v>1.4089058133146966</v>
      </c>
      <c r="AI364" s="40">
        <f t="shared" si="217"/>
        <v>2752.7108447909582</v>
      </c>
      <c r="AJ364" s="65">
        <f t="shared" si="218"/>
        <v>3878.3103116003904</v>
      </c>
      <c r="AK364" s="65">
        <f t="shared" si="219"/>
        <v>5283.0387185049412</v>
      </c>
      <c r="AL364" s="65">
        <f t="shared" si="220"/>
        <v>792.4269709815602</v>
      </c>
      <c r="AM364" s="40">
        <f t="shared" si="221"/>
        <v>2752.7108447909582</v>
      </c>
      <c r="AN364" s="40">
        <f t="shared" si="222"/>
        <v>3448.4269818233865</v>
      </c>
      <c r="AO364" s="40">
        <f t="shared" si="223"/>
        <v>5649.0777772770216</v>
      </c>
      <c r="AP364" s="40">
        <f t="shared" si="224"/>
        <v>2923.6188363361584</v>
      </c>
      <c r="AQ364" s="40">
        <f t="shared" si="225"/>
        <v>3440.8885559886976</v>
      </c>
      <c r="AR364" s="41">
        <f t="shared" si="226"/>
        <v>0.68653605367025639</v>
      </c>
      <c r="AS364" s="41">
        <f t="shared" si="227"/>
        <v>0.02</v>
      </c>
      <c r="AT364" s="64">
        <f t="shared" si="228"/>
        <v>0.48363231853307737</v>
      </c>
      <c r="AU364" s="64">
        <f>APPLICANTS_PER_YEAR*($H364/Segments!$AH$2)*AS364</f>
        <v>0.14399999999999999</v>
      </c>
      <c r="AV364" s="64">
        <f t="shared" si="229"/>
        <v>0.62763231853307733</v>
      </c>
      <c r="AW364" s="40">
        <f t="shared" si="230"/>
        <v>3947.5215614539202</v>
      </c>
      <c r="AX364" s="65">
        <f t="shared" si="231"/>
        <v>2477.5921100746377</v>
      </c>
      <c r="AY364" s="65">
        <f t="shared" si="232"/>
        <v>2424.0655285210946</v>
      </c>
      <c r="AZ364" s="65">
        <f t="shared" si="233"/>
        <v>512.88890717224422</v>
      </c>
    </row>
    <row r="365" spans="1:52" ht="15" customHeight="1" x14ac:dyDescent="0.35">
      <c r="A365" s="59" t="str">
        <f>Segments!$A$345</f>
        <v>Greek</v>
      </c>
      <c r="B365" s="59" t="str">
        <f>Segments!$B$345</f>
        <v>Off 3-6mi</v>
      </c>
      <c r="C365" s="59" t="str">
        <f>Segments!$C$345</f>
        <v>No</v>
      </c>
      <c r="D365" s="59" t="str">
        <f>Segments!$D$345</f>
        <v>&lt;1.0</v>
      </c>
      <c r="E365" s="59" t="str">
        <f>Segments!$E$345</f>
        <v>Freshman</v>
      </c>
      <c r="F365" s="59">
        <f>Segments!$F$345</f>
        <v>1</v>
      </c>
      <c r="G365" s="59" t="str">
        <f>Segments!$G$345</f>
        <v>Base</v>
      </c>
      <c r="H365" s="60">
        <f>Segments!$H$345</f>
        <v>0</v>
      </c>
      <c r="I365" s="26">
        <f>Segments!$Y$345</f>
        <v>4863.499340731837</v>
      </c>
      <c r="J365" s="29">
        <v>0</v>
      </c>
      <c r="K365" s="14">
        <f t="shared" si="195"/>
        <v>7950.0957514100282</v>
      </c>
      <c r="L365" s="14">
        <f t="shared" si="196"/>
        <v>4863.499340731837</v>
      </c>
      <c r="M365" s="14">
        <f t="shared" si="197"/>
        <v>7950.0957514100282</v>
      </c>
      <c r="N365" s="14">
        <f t="shared" si="198"/>
        <v>3367.2931678575428</v>
      </c>
      <c r="O365" s="14">
        <f t="shared" si="199"/>
        <v>7950.0957514100282</v>
      </c>
      <c r="P365" s="33">
        <f t="shared" si="200"/>
        <v>0.3</v>
      </c>
      <c r="Q365" s="33">
        <f t="shared" si="201"/>
        <v>0.02</v>
      </c>
      <c r="R365" s="51">
        <f t="shared" si="202"/>
        <v>0</v>
      </c>
      <c r="S365" s="51">
        <f>APPLICANTS_PER_YEAR*($H365/Segments!$AH$2)*Q365</f>
        <v>0</v>
      </c>
      <c r="T365" s="51">
        <f t="shared" si="203"/>
        <v>0</v>
      </c>
      <c r="U365" s="14">
        <f t="shared" si="204"/>
        <v>7950.0957514100282</v>
      </c>
      <c r="V365" s="44">
        <f t="shared" si="205"/>
        <v>0</v>
      </c>
      <c r="W365" s="44">
        <f t="shared" si="206"/>
        <v>0</v>
      </c>
      <c r="X365" s="44">
        <f t="shared" si="207"/>
        <v>0</v>
      </c>
      <c r="Y365" s="14">
        <f t="shared" si="208"/>
        <v>8187.348623952329</v>
      </c>
      <c r="Z365" s="14">
        <f t="shared" si="209"/>
        <v>5009.4043209537922</v>
      </c>
      <c r="AA365" s="14">
        <f t="shared" si="210"/>
        <v>8187.348623952329</v>
      </c>
      <c r="AB365" s="14">
        <f t="shared" si="211"/>
        <v>3468.0472316727</v>
      </c>
      <c r="AC365" s="14">
        <f t="shared" si="212"/>
        <v>8187.348623952329</v>
      </c>
      <c r="AD365" s="33">
        <f t="shared" si="213"/>
        <v>0.3</v>
      </c>
      <c r="AE365" s="33">
        <f t="shared" si="214"/>
        <v>0.02</v>
      </c>
      <c r="AF365" s="51">
        <f t="shared" si="215"/>
        <v>0</v>
      </c>
      <c r="AG365" s="51">
        <f>APPLICANTS_PER_YEAR*($H365/Segments!$AH$2)*AE365</f>
        <v>0</v>
      </c>
      <c r="AH365" s="51">
        <f t="shared" si="216"/>
        <v>0</v>
      </c>
      <c r="AI365" s="14">
        <f t="shared" si="217"/>
        <v>8187.348623952329</v>
      </c>
      <c r="AJ365" s="44">
        <f t="shared" si="218"/>
        <v>0</v>
      </c>
      <c r="AK365" s="44">
        <f t="shared" si="219"/>
        <v>0</v>
      </c>
      <c r="AL365" s="44">
        <f t="shared" si="220"/>
        <v>0</v>
      </c>
      <c r="AM365" s="14">
        <f t="shared" si="221"/>
        <v>8431.7190826708975</v>
      </c>
      <c r="AN365" s="14">
        <f t="shared" si="222"/>
        <v>5159.686450582406</v>
      </c>
      <c r="AO365" s="14">
        <f t="shared" si="223"/>
        <v>8431.7190826708975</v>
      </c>
      <c r="AP365" s="14">
        <f t="shared" si="224"/>
        <v>3571.8238974870355</v>
      </c>
      <c r="AQ365" s="14">
        <f t="shared" si="225"/>
        <v>8431.7190826708975</v>
      </c>
      <c r="AR365" s="33">
        <f t="shared" si="226"/>
        <v>0.3</v>
      </c>
      <c r="AS365" s="33">
        <f t="shared" si="227"/>
        <v>0.02</v>
      </c>
      <c r="AT365" s="51">
        <f t="shared" si="228"/>
        <v>0</v>
      </c>
      <c r="AU365" s="51">
        <f>APPLICANTS_PER_YEAR*($H365/Segments!$AH$2)*AS365</f>
        <v>0</v>
      </c>
      <c r="AV365" s="51">
        <f t="shared" si="229"/>
        <v>0</v>
      </c>
      <c r="AW365" s="14">
        <f t="shared" si="230"/>
        <v>8431.7190826708975</v>
      </c>
      <c r="AX365" s="44">
        <f t="shared" si="231"/>
        <v>0</v>
      </c>
      <c r="AY365" s="44">
        <f t="shared" si="232"/>
        <v>0</v>
      </c>
      <c r="AZ365" s="44">
        <f t="shared" si="233"/>
        <v>0</v>
      </c>
    </row>
    <row r="366" spans="1:52" ht="15" customHeight="1" x14ac:dyDescent="0.35">
      <c r="A366" s="59" t="str">
        <f>Segments!$A$346</f>
        <v>Greek</v>
      </c>
      <c r="B366" s="59" t="str">
        <f>Segments!$B$346</f>
        <v>Off 3-6mi</v>
      </c>
      <c r="C366" s="59" t="str">
        <f>Segments!$C$346</f>
        <v>No</v>
      </c>
      <c r="D366" s="59" t="str">
        <f>Segments!$D$346</f>
        <v>&lt;1.0</v>
      </c>
      <c r="E366" s="59" t="str">
        <f>Segments!$E$346</f>
        <v>Sophomore</v>
      </c>
      <c r="F366" s="59">
        <f>Segments!$F$346</f>
        <v>1</v>
      </c>
      <c r="G366" s="59" t="str">
        <f>Segments!$G$346</f>
        <v>Sophomore</v>
      </c>
      <c r="H366" s="60">
        <f>Segments!$H$346</f>
        <v>1</v>
      </c>
      <c r="I366" s="26">
        <f>Segments!$Y$346</f>
        <v>4814.0192793936694</v>
      </c>
      <c r="J366" s="29">
        <v>1</v>
      </c>
      <c r="K366" s="14">
        <f t="shared" si="195"/>
        <v>1426.2297754450396</v>
      </c>
      <c r="L366" s="14">
        <f t="shared" si="196"/>
        <v>4814.0192793936694</v>
      </c>
      <c r="M366" s="14">
        <f t="shared" si="197"/>
        <v>7869.6373142258326</v>
      </c>
      <c r="N366" s="14">
        <f t="shared" si="198"/>
        <v>3350.2105992761431</v>
      </c>
      <c r="O366" s="14">
        <f t="shared" si="199"/>
        <v>1782.7872193062994</v>
      </c>
      <c r="P366" s="33">
        <f t="shared" si="200"/>
        <v>0.95</v>
      </c>
      <c r="Q366" s="33">
        <f t="shared" si="201"/>
        <v>0.02</v>
      </c>
      <c r="R366" s="51">
        <f t="shared" si="202"/>
        <v>0</v>
      </c>
      <c r="S366" s="51">
        <f>APPLICANTS_PER_YEAR*($H366/Segments!$AH$2)*Q366</f>
        <v>2.4E-2</v>
      </c>
      <c r="T366" s="51">
        <f t="shared" si="203"/>
        <v>2.4E-2</v>
      </c>
      <c r="U366" s="14">
        <f t="shared" si="204"/>
        <v>7869.6373142258326</v>
      </c>
      <c r="V366" s="44">
        <f t="shared" si="205"/>
        <v>188.87129554141998</v>
      </c>
      <c r="W366" s="44">
        <f t="shared" si="206"/>
        <v>129.40083823010187</v>
      </c>
      <c r="X366" s="44">
        <f t="shared" si="207"/>
        <v>43.387170201278074</v>
      </c>
      <c r="Y366" s="14">
        <f t="shared" si="208"/>
        <v>7950.0957514100282</v>
      </c>
      <c r="Z366" s="14">
        <f t="shared" si="209"/>
        <v>4958.43985777548</v>
      </c>
      <c r="AA366" s="14">
        <f t="shared" si="210"/>
        <v>8104.4764336526086</v>
      </c>
      <c r="AB366" s="14">
        <f t="shared" si="211"/>
        <v>3450.4508360778032</v>
      </c>
      <c r="AC366" s="14">
        <f t="shared" si="212"/>
        <v>8104.4764336526086</v>
      </c>
      <c r="AD366" s="33">
        <f t="shared" si="213"/>
        <v>0.3</v>
      </c>
      <c r="AE366" s="33">
        <f t="shared" si="214"/>
        <v>0.02</v>
      </c>
      <c r="AF366" s="51">
        <f t="shared" si="215"/>
        <v>0</v>
      </c>
      <c r="AG366" s="51">
        <f>APPLICANTS_PER_YEAR*($H366/Segments!$AH$2)*AE366</f>
        <v>2.4E-2</v>
      </c>
      <c r="AH366" s="51">
        <f t="shared" si="216"/>
        <v>2.4E-2</v>
      </c>
      <c r="AI366" s="14">
        <f t="shared" si="217"/>
        <v>8104.4764336526077</v>
      </c>
      <c r="AJ366" s="44">
        <f t="shared" si="218"/>
        <v>194.5074344076626</v>
      </c>
      <c r="AK366" s="44">
        <f t="shared" si="219"/>
        <v>133.2828633770049</v>
      </c>
      <c r="AL366" s="44">
        <f t="shared" si="220"/>
        <v>44.649665307316418</v>
      </c>
      <c r="AM366" s="14">
        <f t="shared" si="221"/>
        <v>8187.348623952329</v>
      </c>
      <c r="AN366" s="14">
        <f t="shared" si="222"/>
        <v>5107.193053508744</v>
      </c>
      <c r="AO366" s="14">
        <f t="shared" si="223"/>
        <v>8346.3607266621857</v>
      </c>
      <c r="AP366" s="14">
        <f t="shared" si="224"/>
        <v>3553.698259761994</v>
      </c>
      <c r="AQ366" s="14">
        <f t="shared" si="225"/>
        <v>8346.3607266621857</v>
      </c>
      <c r="AR366" s="33">
        <f t="shared" si="226"/>
        <v>0.3</v>
      </c>
      <c r="AS366" s="33">
        <f t="shared" si="227"/>
        <v>0.02</v>
      </c>
      <c r="AT366" s="51">
        <f t="shared" si="228"/>
        <v>0</v>
      </c>
      <c r="AU366" s="51">
        <f>APPLICANTS_PER_YEAR*($H366/Segments!$AH$2)*AS366</f>
        <v>2.4E-2</v>
      </c>
      <c r="AV366" s="51">
        <f t="shared" si="229"/>
        <v>2.4E-2</v>
      </c>
      <c r="AW366" s="14">
        <f t="shared" si="230"/>
        <v>8346.3607266621857</v>
      </c>
      <c r="AX366" s="44">
        <f t="shared" si="231"/>
        <v>200.31265743989246</v>
      </c>
      <c r="AY366" s="44">
        <f t="shared" si="232"/>
        <v>137.28134927831505</v>
      </c>
      <c r="AZ366" s="44">
        <f t="shared" si="233"/>
        <v>45.950035266535913</v>
      </c>
    </row>
    <row r="367" spans="1:52" ht="15" customHeight="1" x14ac:dyDescent="0.35">
      <c r="A367" s="59" t="str">
        <f>Segments!$A$347</f>
        <v>Greek</v>
      </c>
      <c r="B367" s="59" t="str">
        <f>Segments!$B$347</f>
        <v>Off 3-6mi</v>
      </c>
      <c r="C367" s="59" t="str">
        <f>Segments!$C$347</f>
        <v>No</v>
      </c>
      <c r="D367" s="59" t="str">
        <f>Segments!$D$347</f>
        <v>&lt;1.0</v>
      </c>
      <c r="E367" s="59" t="str">
        <f>Segments!$E$347</f>
        <v>Junior</v>
      </c>
      <c r="F367" s="59">
        <f>Segments!$F$347</f>
        <v>2</v>
      </c>
      <c r="G367" s="59" t="str">
        <f>Segments!$G$347</f>
        <v>Base</v>
      </c>
      <c r="H367" s="60">
        <f>Segments!$H$347</f>
        <v>0</v>
      </c>
      <c r="I367" s="26">
        <f>Segments!$Y$347</f>
        <v>5754.8020005107137</v>
      </c>
      <c r="J367" s="29">
        <v>2</v>
      </c>
      <c r="K367" s="14">
        <f t="shared" si="195"/>
        <v>1426.2297754450396</v>
      </c>
      <c r="L367" s="14">
        <f t="shared" si="196"/>
        <v>5754.8020005107137</v>
      </c>
      <c r="M367" s="14">
        <f t="shared" si="197"/>
        <v>9399.423361855168</v>
      </c>
      <c r="N367" s="14">
        <f t="shared" si="198"/>
        <v>3661.3846384519006</v>
      </c>
      <c r="O367" s="14">
        <f t="shared" si="199"/>
        <v>1782.7872193062994</v>
      </c>
      <c r="P367" s="33">
        <f t="shared" si="200"/>
        <v>0.95</v>
      </c>
      <c r="Q367" s="33">
        <f t="shared" si="201"/>
        <v>0.02</v>
      </c>
      <c r="R367" s="51">
        <f t="shared" si="202"/>
        <v>0.95</v>
      </c>
      <c r="S367" s="51">
        <f>APPLICANTS_PER_YEAR*($H367/Segments!$AH$2)*Q367</f>
        <v>0</v>
      </c>
      <c r="T367" s="51">
        <f t="shared" si="203"/>
        <v>0.95</v>
      </c>
      <c r="U367" s="14">
        <f t="shared" si="204"/>
        <v>1782.7872193062994</v>
      </c>
      <c r="V367" s="44">
        <f t="shared" si="205"/>
        <v>1693.6478583409844</v>
      </c>
      <c r="W367" s="44">
        <f t="shared" si="206"/>
        <v>6123.1093285433999</v>
      </c>
      <c r="X367" s="44">
        <f t="shared" si="207"/>
        <v>339.09944522644605</v>
      </c>
      <c r="Y367" s="14">
        <f t="shared" si="208"/>
        <v>7869.6373142258326</v>
      </c>
      <c r="Z367" s="14">
        <f t="shared" si="209"/>
        <v>5927.4460605260356</v>
      </c>
      <c r="AA367" s="14">
        <f t="shared" si="210"/>
        <v>9680.1560627108229</v>
      </c>
      <c r="AB367" s="14">
        <f t="shared" si="211"/>
        <v>3770.9827116841552</v>
      </c>
      <c r="AC367" s="14">
        <f t="shared" si="212"/>
        <v>9680.1560627108229</v>
      </c>
      <c r="AD367" s="33">
        <f t="shared" si="213"/>
        <v>0.3</v>
      </c>
      <c r="AE367" s="33">
        <f t="shared" si="214"/>
        <v>0.02</v>
      </c>
      <c r="AF367" s="51">
        <f t="shared" si="215"/>
        <v>7.1999999999999998E-3</v>
      </c>
      <c r="AG367" s="51">
        <f>APPLICANTS_PER_YEAR*($H367/Segments!$AH$2)*AE367</f>
        <v>0</v>
      </c>
      <c r="AH367" s="51">
        <f t="shared" si="216"/>
        <v>7.1999999999999998E-3</v>
      </c>
      <c r="AI367" s="14">
        <f t="shared" si="217"/>
        <v>9680.1560627108229</v>
      </c>
      <c r="AJ367" s="44">
        <f t="shared" si="218"/>
        <v>69.697123651517927</v>
      </c>
      <c r="AK367" s="44">
        <f t="shared" si="219"/>
        <v>47.798925032081954</v>
      </c>
      <c r="AL367" s="44">
        <f t="shared" si="220"/>
        <v>13.316756370136888</v>
      </c>
      <c r="AM367" s="14">
        <f t="shared" si="221"/>
        <v>8104.4764336526077</v>
      </c>
      <c r="AN367" s="14">
        <f t="shared" si="222"/>
        <v>6105.2694423418161</v>
      </c>
      <c r="AO367" s="14">
        <f t="shared" si="223"/>
        <v>9969.3107445921469</v>
      </c>
      <c r="AP367" s="14">
        <f t="shared" si="224"/>
        <v>3883.8687116224346</v>
      </c>
      <c r="AQ367" s="14">
        <f t="shared" si="225"/>
        <v>9969.3107445921469</v>
      </c>
      <c r="AR367" s="33">
        <f t="shared" si="226"/>
        <v>0.3</v>
      </c>
      <c r="AS367" s="33">
        <f t="shared" si="227"/>
        <v>0.02</v>
      </c>
      <c r="AT367" s="51">
        <f t="shared" si="228"/>
        <v>7.1999999999999998E-3</v>
      </c>
      <c r="AU367" s="51">
        <f>APPLICANTS_PER_YEAR*($H367/Segments!$AH$2)*AS367</f>
        <v>0</v>
      </c>
      <c r="AV367" s="51">
        <f t="shared" si="229"/>
        <v>7.1999999999999998E-3</v>
      </c>
      <c r="AW367" s="14">
        <f t="shared" si="230"/>
        <v>9969.3107445921469</v>
      </c>
      <c r="AX367" s="44">
        <f t="shared" si="231"/>
        <v>71.779037361063459</v>
      </c>
      <c r="AY367" s="44">
        <f t="shared" si="232"/>
        <v>49.232892783044413</v>
      </c>
      <c r="AZ367" s="44">
        <f t="shared" si="233"/>
        <v>13.710238061240993</v>
      </c>
    </row>
    <row r="368" spans="1:52" ht="15" customHeight="1" x14ac:dyDescent="0.35">
      <c r="A368" s="59" t="str">
        <f>Segments!$A$348</f>
        <v>Greek</v>
      </c>
      <c r="B368" s="59" t="str">
        <f>Segments!$B$348</f>
        <v>Off 3-6mi</v>
      </c>
      <c r="C368" s="59" t="str">
        <f>Segments!$C$348</f>
        <v>No</v>
      </c>
      <c r="D368" s="59" t="str">
        <f>Segments!$D$348</f>
        <v>&lt;1.0</v>
      </c>
      <c r="E368" s="59" t="str">
        <f>Segments!$E$348</f>
        <v>Senior</v>
      </c>
      <c r="F368" s="59">
        <f>Segments!$F$348</f>
        <v>3</v>
      </c>
      <c r="G368" s="59" t="str">
        <f>Segments!$G$348</f>
        <v>Base</v>
      </c>
      <c r="H368" s="60">
        <f>Segments!$H$348</f>
        <v>0</v>
      </c>
      <c r="I368" s="26">
        <f>Segments!$Y$348</f>
        <v>5378.9412442328257</v>
      </c>
      <c r="J368" s="29">
        <v>3</v>
      </c>
      <c r="K368" s="14">
        <f t="shared" si="195"/>
        <v>1426.2297754450396</v>
      </c>
      <c r="L368" s="14">
        <f t="shared" si="196"/>
        <v>5378.9412442328257</v>
      </c>
      <c r="M368" s="14">
        <f t="shared" si="197"/>
        <v>8788.2444701737713</v>
      </c>
      <c r="N368" s="14">
        <f t="shared" si="198"/>
        <v>3540.3468667987959</v>
      </c>
      <c r="O368" s="14">
        <f t="shared" si="199"/>
        <v>1782.7872193062994</v>
      </c>
      <c r="P368" s="33">
        <f t="shared" si="200"/>
        <v>0.95</v>
      </c>
      <c r="Q368" s="33">
        <f t="shared" si="201"/>
        <v>0.02</v>
      </c>
      <c r="R368" s="51">
        <f t="shared" si="202"/>
        <v>0</v>
      </c>
      <c r="S368" s="51">
        <f>APPLICANTS_PER_YEAR*($H368/Segments!$AH$2)*Q368</f>
        <v>0</v>
      </c>
      <c r="T368" s="51">
        <f t="shared" si="203"/>
        <v>0</v>
      </c>
      <c r="U368" s="14">
        <f t="shared" si="204"/>
        <v>8788.2444701737713</v>
      </c>
      <c r="V368" s="44">
        <f t="shared" si="205"/>
        <v>0</v>
      </c>
      <c r="W368" s="44">
        <f t="shared" si="206"/>
        <v>0</v>
      </c>
      <c r="X368" s="44">
        <f t="shared" si="207"/>
        <v>0</v>
      </c>
      <c r="Y368" s="14">
        <f t="shared" si="208"/>
        <v>1782.7872193062994</v>
      </c>
      <c r="Z368" s="14">
        <f t="shared" si="209"/>
        <v>5540.3094815598106</v>
      </c>
      <c r="AA368" s="14">
        <f t="shared" si="210"/>
        <v>9050.6418042789846</v>
      </c>
      <c r="AB368" s="14">
        <f t="shared" si="211"/>
        <v>3646.3054826762404</v>
      </c>
      <c r="AC368" s="14">
        <f t="shared" si="212"/>
        <v>2228.4840241328743</v>
      </c>
      <c r="AD368" s="33">
        <f t="shared" si="213"/>
        <v>0.95</v>
      </c>
      <c r="AE368" s="33">
        <f t="shared" si="214"/>
        <v>0.02</v>
      </c>
      <c r="AF368" s="51">
        <f t="shared" si="215"/>
        <v>0.90249999999999997</v>
      </c>
      <c r="AG368" s="51">
        <f>APPLICANTS_PER_YEAR*($H368/Segments!$AH$2)*AE368</f>
        <v>0</v>
      </c>
      <c r="AH368" s="51">
        <f t="shared" si="216"/>
        <v>0.90249999999999997</v>
      </c>
      <c r="AI368" s="14">
        <f t="shared" si="217"/>
        <v>2228.4840241328743</v>
      </c>
      <c r="AJ368" s="44">
        <f t="shared" si="218"/>
        <v>2011.206831779919</v>
      </c>
      <c r="AK368" s="44">
        <f t="shared" si="219"/>
        <v>5600.144823960657</v>
      </c>
      <c r="AL368" s="44">
        <f t="shared" si="220"/>
        <v>398.16809120640471</v>
      </c>
      <c r="AM368" s="14">
        <f t="shared" si="221"/>
        <v>9680.1560627108229</v>
      </c>
      <c r="AN368" s="14">
        <f t="shared" si="222"/>
        <v>5706.5187660066049</v>
      </c>
      <c r="AO368" s="14">
        <f t="shared" si="223"/>
        <v>9320.9110584073533</v>
      </c>
      <c r="AP368" s="14">
        <f t="shared" si="224"/>
        <v>3755.4428398950818</v>
      </c>
      <c r="AQ368" s="14">
        <f t="shared" si="225"/>
        <v>9320.9110584073533</v>
      </c>
      <c r="AR368" s="33">
        <f t="shared" si="226"/>
        <v>0.3</v>
      </c>
      <c r="AS368" s="33">
        <f t="shared" si="227"/>
        <v>0.02</v>
      </c>
      <c r="AT368" s="51">
        <f t="shared" si="228"/>
        <v>2.16E-3</v>
      </c>
      <c r="AU368" s="51">
        <f>APPLICANTS_PER_YEAR*($H368/Segments!$AH$2)*AS368</f>
        <v>0</v>
      </c>
      <c r="AV368" s="51">
        <f t="shared" si="229"/>
        <v>2.16E-3</v>
      </c>
      <c r="AW368" s="14">
        <f t="shared" si="230"/>
        <v>9320.9110584073533</v>
      </c>
      <c r="AX368" s="44">
        <f t="shared" si="231"/>
        <v>20.133167886159882</v>
      </c>
      <c r="AY368" s="44">
        <f t="shared" si="232"/>
        <v>13.805210198723181</v>
      </c>
      <c r="AZ368" s="44">
        <f t="shared" si="233"/>
        <v>3.8483687304842178</v>
      </c>
    </row>
    <row r="369" spans="1:52" ht="15" customHeight="1" x14ac:dyDescent="0.35">
      <c r="A369" s="59" t="str">
        <f>Segments!$A$349</f>
        <v>Greek</v>
      </c>
      <c r="B369" s="59" t="str">
        <f>Segments!$B$349</f>
        <v>Off 3-6mi</v>
      </c>
      <c r="C369" s="59" t="str">
        <f>Segments!$C$349</f>
        <v>No</v>
      </c>
      <c r="D369" s="59" t="str">
        <f>Segments!$D$349</f>
        <v>&lt;1.0</v>
      </c>
      <c r="E369" s="59" t="str">
        <f>Segments!$E$349</f>
        <v>Grad student</v>
      </c>
      <c r="F369" s="59">
        <f>Segments!$F$349</f>
        <v>3</v>
      </c>
      <c r="G369" s="59" t="str">
        <f>Segments!$G$349</f>
        <v>Grad</v>
      </c>
      <c r="H369" s="60">
        <f>Segments!$H$349</f>
        <v>0</v>
      </c>
      <c r="I369" s="26">
        <f>Segments!$Y$349</f>
        <v>6404.6000573631418</v>
      </c>
      <c r="J369" s="29">
        <v>4</v>
      </c>
      <c r="K369" s="14">
        <f t="shared" si="195"/>
        <v>1426.2297754450396</v>
      </c>
      <c r="L369" s="14">
        <f t="shared" si="196"/>
        <v>6404.6000573631418</v>
      </c>
      <c r="M369" s="14">
        <f t="shared" si="197"/>
        <v>10456.045660327236</v>
      </c>
      <c r="N369" s="14">
        <f t="shared" si="198"/>
        <v>3861.699581035738</v>
      </c>
      <c r="O369" s="14">
        <f t="shared" si="199"/>
        <v>1782.7872193062994</v>
      </c>
      <c r="P369" s="33">
        <f t="shared" si="200"/>
        <v>0.95</v>
      </c>
      <c r="Q369" s="33">
        <f t="shared" si="201"/>
        <v>0.02</v>
      </c>
      <c r="R369" s="51">
        <f t="shared" si="202"/>
        <v>0</v>
      </c>
      <c r="S369" s="51">
        <f>APPLICANTS_PER_YEAR*($H369/Segments!$AH$2)*Q369</f>
        <v>0</v>
      </c>
      <c r="T369" s="51">
        <f t="shared" si="203"/>
        <v>0</v>
      </c>
      <c r="U369" s="14">
        <f t="shared" si="204"/>
        <v>10456.045660327236</v>
      </c>
      <c r="V369" s="44">
        <f t="shared" si="205"/>
        <v>0</v>
      </c>
      <c r="W369" s="44">
        <f t="shared" si="206"/>
        <v>0</v>
      </c>
      <c r="X369" s="44">
        <f t="shared" si="207"/>
        <v>0</v>
      </c>
      <c r="Y369" s="14">
        <f t="shared" si="208"/>
        <v>10456.045660327236</v>
      </c>
      <c r="Z369" s="14">
        <f t="shared" si="209"/>
        <v>6596.7380590840366</v>
      </c>
      <c r="AA369" s="14">
        <f t="shared" si="210"/>
        <v>10768.477030137054</v>
      </c>
      <c r="AB369" s="14">
        <f t="shared" si="211"/>
        <v>3977.319732417141</v>
      </c>
      <c r="AC369" s="14">
        <f t="shared" si="212"/>
        <v>10768.477030137054</v>
      </c>
      <c r="AD369" s="33">
        <f t="shared" si="213"/>
        <v>0.3</v>
      </c>
      <c r="AE369" s="33">
        <f t="shared" si="214"/>
        <v>0.02</v>
      </c>
      <c r="AF369" s="51">
        <f t="shared" si="215"/>
        <v>0</v>
      </c>
      <c r="AG369" s="51">
        <f>APPLICANTS_PER_YEAR*($H369/Segments!$AH$2)*AE369</f>
        <v>0</v>
      </c>
      <c r="AH369" s="51">
        <f t="shared" si="216"/>
        <v>0</v>
      </c>
      <c r="AI369" s="14">
        <f t="shared" si="217"/>
        <v>10768.477030137054</v>
      </c>
      <c r="AJ369" s="44">
        <f t="shared" si="218"/>
        <v>0</v>
      </c>
      <c r="AK369" s="44">
        <f t="shared" si="219"/>
        <v>0</v>
      </c>
      <c r="AL369" s="44">
        <f t="shared" si="220"/>
        <v>0</v>
      </c>
      <c r="AM369" s="14">
        <f t="shared" si="221"/>
        <v>10768.477030137054</v>
      </c>
      <c r="AN369" s="14">
        <f t="shared" si="222"/>
        <v>6794.6402008565565</v>
      </c>
      <c r="AO369" s="14">
        <f t="shared" si="223"/>
        <v>11090.281341041164</v>
      </c>
      <c r="AP369" s="14">
        <f t="shared" si="224"/>
        <v>4096.4084751370647</v>
      </c>
      <c r="AQ369" s="14">
        <f t="shared" si="225"/>
        <v>11090.281341041164</v>
      </c>
      <c r="AR369" s="33">
        <f t="shared" si="226"/>
        <v>0.3</v>
      </c>
      <c r="AS369" s="33">
        <f t="shared" si="227"/>
        <v>0.02</v>
      </c>
      <c r="AT369" s="51">
        <f t="shared" si="228"/>
        <v>0</v>
      </c>
      <c r="AU369" s="51">
        <f>APPLICANTS_PER_YEAR*($H369/Segments!$AH$2)*AS369</f>
        <v>0</v>
      </c>
      <c r="AV369" s="51">
        <f t="shared" si="229"/>
        <v>0</v>
      </c>
      <c r="AW369" s="14">
        <f t="shared" si="230"/>
        <v>11090.281341041164</v>
      </c>
      <c r="AX369" s="44">
        <f t="shared" si="231"/>
        <v>0</v>
      </c>
      <c r="AY369" s="44">
        <f t="shared" si="232"/>
        <v>0</v>
      </c>
      <c r="AZ369" s="44">
        <f t="shared" si="233"/>
        <v>0</v>
      </c>
    </row>
    <row r="370" spans="1:52" ht="15" customHeight="1" x14ac:dyDescent="0.35">
      <c r="A370" s="61" t="str">
        <f>Segments!$A$350</f>
        <v>Greek</v>
      </c>
      <c r="B370" s="61" t="str">
        <f>Segments!$B$350</f>
        <v>Off 3-6mi</v>
      </c>
      <c r="C370" s="61" t="str">
        <f>Segments!$C$350</f>
        <v>No</v>
      </c>
      <c r="D370" s="61" t="str">
        <f>Segments!$D$350</f>
        <v>1.0-2.0</v>
      </c>
      <c r="E370" s="61" t="str">
        <f>Segments!$E$350</f>
        <v>Freshman</v>
      </c>
      <c r="F370" s="61">
        <f>Segments!$F$350</f>
        <v>1</v>
      </c>
      <c r="G370" s="61" t="str">
        <f>Segments!$G$350</f>
        <v>Base</v>
      </c>
      <c r="H370" s="62">
        <f>Segments!$H$350</f>
        <v>4</v>
      </c>
      <c r="I370" s="63">
        <f>Segments!$Y$350</f>
        <v>4413.2418371730728</v>
      </c>
      <c r="J370" s="42">
        <v>0</v>
      </c>
      <c r="K370" s="40">
        <f t="shared" si="195"/>
        <v>7217.9419487054411</v>
      </c>
      <c r="L370" s="40">
        <f t="shared" si="196"/>
        <v>4413.2418371730728</v>
      </c>
      <c r="M370" s="40">
        <f t="shared" si="197"/>
        <v>7217.9419487054411</v>
      </c>
      <c r="N370" s="40">
        <f t="shared" si="198"/>
        <v>3208.4955547230379</v>
      </c>
      <c r="O370" s="40">
        <f t="shared" si="199"/>
        <v>7217.9419487054411</v>
      </c>
      <c r="P370" s="41">
        <f t="shared" si="200"/>
        <v>0.3</v>
      </c>
      <c r="Q370" s="41">
        <f t="shared" si="201"/>
        <v>0.02</v>
      </c>
      <c r="R370" s="64">
        <f t="shared" si="202"/>
        <v>0</v>
      </c>
      <c r="S370" s="64">
        <f>APPLICANTS_PER_YEAR*($H370/Segments!$AH$2)*Q370</f>
        <v>9.6000000000000002E-2</v>
      </c>
      <c r="T370" s="64">
        <f t="shared" si="203"/>
        <v>9.6000000000000002E-2</v>
      </c>
      <c r="U370" s="40">
        <f t="shared" si="204"/>
        <v>7217.9419487054411</v>
      </c>
      <c r="V370" s="65">
        <f t="shared" si="205"/>
        <v>692.92242707572234</v>
      </c>
      <c r="W370" s="65">
        <f t="shared" si="206"/>
        <v>474.51176233284883</v>
      </c>
      <c r="X370" s="65">
        <f t="shared" si="207"/>
        <v>159.5346236649618</v>
      </c>
      <c r="Y370" s="40">
        <f t="shared" si="208"/>
        <v>7433.2302071666036</v>
      </c>
      <c r="Z370" s="40">
        <f t="shared" si="209"/>
        <v>4545.6390922882647</v>
      </c>
      <c r="AA370" s="40">
        <f t="shared" si="210"/>
        <v>7433.2302071666036</v>
      </c>
      <c r="AB370" s="40">
        <f t="shared" si="211"/>
        <v>3304.472586763955</v>
      </c>
      <c r="AC370" s="40">
        <f t="shared" si="212"/>
        <v>7433.2302071666036</v>
      </c>
      <c r="AD370" s="41">
        <f t="shared" si="213"/>
        <v>0.3</v>
      </c>
      <c r="AE370" s="41">
        <f t="shared" si="214"/>
        <v>0.02</v>
      </c>
      <c r="AF370" s="64">
        <f t="shared" si="215"/>
        <v>0</v>
      </c>
      <c r="AG370" s="64">
        <f>APPLICANTS_PER_YEAR*($H370/Segments!$AH$2)*AE370</f>
        <v>9.6000000000000002E-2</v>
      </c>
      <c r="AH370" s="64">
        <f t="shared" si="216"/>
        <v>9.6000000000000002E-2</v>
      </c>
      <c r="AI370" s="40">
        <f t="shared" si="217"/>
        <v>7433.2302071666036</v>
      </c>
      <c r="AJ370" s="65">
        <f t="shared" si="218"/>
        <v>713.59009988799392</v>
      </c>
      <c r="AK370" s="65">
        <f t="shared" si="219"/>
        <v>488.74711520283427</v>
      </c>
      <c r="AL370" s="65">
        <f t="shared" si="220"/>
        <v>164.16418237491064</v>
      </c>
      <c r="AM370" s="40">
        <f t="shared" si="221"/>
        <v>7654.9771133816021</v>
      </c>
      <c r="AN370" s="40">
        <f t="shared" si="222"/>
        <v>4682.0082650569129</v>
      </c>
      <c r="AO370" s="40">
        <f t="shared" si="223"/>
        <v>7654.9771133816021</v>
      </c>
      <c r="AP370" s="40">
        <f t="shared" si="224"/>
        <v>3403.3289067445394</v>
      </c>
      <c r="AQ370" s="40">
        <f t="shared" si="225"/>
        <v>7654.9771133816021</v>
      </c>
      <c r="AR370" s="41">
        <f t="shared" si="226"/>
        <v>0.3</v>
      </c>
      <c r="AS370" s="41">
        <f t="shared" si="227"/>
        <v>0.02</v>
      </c>
      <c r="AT370" s="64">
        <f t="shared" si="228"/>
        <v>0</v>
      </c>
      <c r="AU370" s="64">
        <f>APPLICANTS_PER_YEAR*($H370/Segments!$AH$2)*AS370</f>
        <v>9.6000000000000002E-2</v>
      </c>
      <c r="AV370" s="64">
        <f t="shared" si="229"/>
        <v>9.6000000000000002E-2</v>
      </c>
      <c r="AW370" s="40">
        <f t="shared" si="230"/>
        <v>7654.977113381603</v>
      </c>
      <c r="AX370" s="65">
        <f t="shared" si="231"/>
        <v>734.87780288463387</v>
      </c>
      <c r="AY370" s="65">
        <f t="shared" si="232"/>
        <v>503.40952865891933</v>
      </c>
      <c r="AZ370" s="65">
        <f t="shared" si="233"/>
        <v>168.93262784615797</v>
      </c>
    </row>
    <row r="371" spans="1:52" ht="15" customHeight="1" x14ac:dyDescent="0.35">
      <c r="A371" s="61" t="str">
        <f>Segments!$A$351</f>
        <v>Greek</v>
      </c>
      <c r="B371" s="61" t="str">
        <f>Segments!$B$351</f>
        <v>Off 3-6mi</v>
      </c>
      <c r="C371" s="61" t="str">
        <f>Segments!$C$351</f>
        <v>No</v>
      </c>
      <c r="D371" s="61" t="str">
        <f>Segments!$D$351</f>
        <v>1.0-2.0</v>
      </c>
      <c r="E371" s="61" t="str">
        <f>Segments!$E$351</f>
        <v>Sophomore</v>
      </c>
      <c r="F371" s="61">
        <f>Segments!$F$351</f>
        <v>1</v>
      </c>
      <c r="G371" s="61" t="str">
        <f>Segments!$G$351</f>
        <v>Sophomore</v>
      </c>
      <c r="H371" s="62">
        <f>Segments!$H$351</f>
        <v>2</v>
      </c>
      <c r="I371" s="63">
        <f>Segments!$Y$351</f>
        <v>4368.3425863446282</v>
      </c>
      <c r="J371" s="42">
        <v>1</v>
      </c>
      <c r="K371" s="40">
        <f t="shared" si="195"/>
        <v>1426.2297754450396</v>
      </c>
      <c r="L371" s="40">
        <f t="shared" si="196"/>
        <v>4368.3425863446282</v>
      </c>
      <c r="M371" s="40">
        <f t="shared" si="197"/>
        <v>7144.9322665284453</v>
      </c>
      <c r="N371" s="40">
        <f t="shared" si="198"/>
        <v>3192.2273011270486</v>
      </c>
      <c r="O371" s="40">
        <f t="shared" si="199"/>
        <v>1782.7872193062994</v>
      </c>
      <c r="P371" s="41">
        <f t="shared" si="200"/>
        <v>0.95</v>
      </c>
      <c r="Q371" s="41">
        <f t="shared" si="201"/>
        <v>0.02</v>
      </c>
      <c r="R371" s="64">
        <f t="shared" si="202"/>
        <v>3.8</v>
      </c>
      <c r="S371" s="64">
        <f>APPLICANTS_PER_YEAR*($H371/Segments!$AH$2)*Q371</f>
        <v>4.8000000000000001E-2</v>
      </c>
      <c r="T371" s="64">
        <f t="shared" si="203"/>
        <v>3.8479999999999999</v>
      </c>
      <c r="U371" s="40">
        <f t="shared" si="204"/>
        <v>1849.6746835128126</v>
      </c>
      <c r="V371" s="65">
        <f t="shared" si="205"/>
        <v>7117.548182157303</v>
      </c>
      <c r="W371" s="65">
        <f t="shared" si="206"/>
        <v>18826.508144924628</v>
      </c>
      <c r="X371" s="65">
        <f t="shared" si="207"/>
        <v>1435.3800926354982</v>
      </c>
      <c r="Y371" s="40">
        <f t="shared" si="208"/>
        <v>7217.9419487054411</v>
      </c>
      <c r="Z371" s="40">
        <f t="shared" si="209"/>
        <v>4499.392863934967</v>
      </c>
      <c r="AA371" s="40">
        <f t="shared" si="210"/>
        <v>7358.030234524299</v>
      </c>
      <c r="AB371" s="40">
        <f t="shared" si="211"/>
        <v>3287.7148695372753</v>
      </c>
      <c r="AC371" s="40">
        <f t="shared" si="212"/>
        <v>7358.030234524299</v>
      </c>
      <c r="AD371" s="41">
        <f t="shared" si="213"/>
        <v>0.3</v>
      </c>
      <c r="AE371" s="41">
        <f t="shared" si="214"/>
        <v>0.02</v>
      </c>
      <c r="AF371" s="64">
        <f t="shared" si="215"/>
        <v>2.8799999999999999E-2</v>
      </c>
      <c r="AG371" s="64">
        <f>APPLICANTS_PER_YEAR*($H371/Segments!$AH$2)*AE371</f>
        <v>4.8000000000000001E-2</v>
      </c>
      <c r="AH371" s="64">
        <f t="shared" si="216"/>
        <v>7.6800000000000007E-2</v>
      </c>
      <c r="AI371" s="40">
        <f t="shared" si="217"/>
        <v>7358.0302345242981</v>
      </c>
      <c r="AJ371" s="65">
        <f t="shared" si="218"/>
        <v>565.09672201146611</v>
      </c>
      <c r="AK371" s="65">
        <f t="shared" si="219"/>
        <v>387.01977658423016</v>
      </c>
      <c r="AL371" s="65">
        <f t="shared" si="220"/>
        <v>121.90077125416794</v>
      </c>
      <c r="AM371" s="40">
        <f t="shared" si="221"/>
        <v>7433.2302071666036</v>
      </c>
      <c r="AN371" s="40">
        <f t="shared" si="222"/>
        <v>4634.3746498530163</v>
      </c>
      <c r="AO371" s="40">
        <f t="shared" si="223"/>
        <v>7577.5211415600279</v>
      </c>
      <c r="AP371" s="40">
        <f t="shared" si="224"/>
        <v>3386.0670416244229</v>
      </c>
      <c r="AQ371" s="40">
        <f t="shared" si="225"/>
        <v>7577.5211415600279</v>
      </c>
      <c r="AR371" s="41">
        <f t="shared" si="226"/>
        <v>0.3</v>
      </c>
      <c r="AS371" s="41">
        <f t="shared" si="227"/>
        <v>0.02</v>
      </c>
      <c r="AT371" s="64">
        <f t="shared" si="228"/>
        <v>2.8799999999999999E-2</v>
      </c>
      <c r="AU371" s="64">
        <f>APPLICANTS_PER_YEAR*($H371/Segments!$AH$2)*AS371</f>
        <v>4.8000000000000001E-2</v>
      </c>
      <c r="AV371" s="64">
        <f t="shared" si="229"/>
        <v>7.6800000000000007E-2</v>
      </c>
      <c r="AW371" s="40">
        <f t="shared" si="230"/>
        <v>7577.5211415600279</v>
      </c>
      <c r="AX371" s="65">
        <f t="shared" si="231"/>
        <v>581.95362367181019</v>
      </c>
      <c r="AY371" s="65">
        <f t="shared" si="232"/>
        <v>398.63036988175713</v>
      </c>
      <c r="AZ371" s="65">
        <f t="shared" si="233"/>
        <v>125.45547039179296</v>
      </c>
    </row>
    <row r="372" spans="1:52" ht="15" customHeight="1" x14ac:dyDescent="0.35">
      <c r="A372" s="61" t="str">
        <f>Segments!$A$352</f>
        <v>Greek</v>
      </c>
      <c r="B372" s="61" t="str">
        <f>Segments!$B$352</f>
        <v>Off 3-6mi</v>
      </c>
      <c r="C372" s="61" t="str">
        <f>Segments!$C$352</f>
        <v>No</v>
      </c>
      <c r="D372" s="61" t="str">
        <f>Segments!$D$352</f>
        <v>1.0-2.0</v>
      </c>
      <c r="E372" s="61" t="str">
        <f>Segments!$E$352</f>
        <v>Junior</v>
      </c>
      <c r="F372" s="61">
        <f>Segments!$F$352</f>
        <v>2</v>
      </c>
      <c r="G372" s="61" t="str">
        <f>Segments!$G$352</f>
        <v>Base</v>
      </c>
      <c r="H372" s="62">
        <f>Segments!$H$352</f>
        <v>5</v>
      </c>
      <c r="I372" s="63">
        <f>Segments!$Y$352</f>
        <v>5222.0286616671965</v>
      </c>
      <c r="J372" s="42">
        <v>2</v>
      </c>
      <c r="K372" s="40">
        <f t="shared" si="195"/>
        <v>1426.2297754450396</v>
      </c>
      <c r="L372" s="40">
        <f t="shared" si="196"/>
        <v>5222.0286616671965</v>
      </c>
      <c r="M372" s="40">
        <f t="shared" si="197"/>
        <v>8533.0923780718149</v>
      </c>
      <c r="N372" s="40">
        <f t="shared" si="198"/>
        <v>3488.5742684124048</v>
      </c>
      <c r="O372" s="40">
        <f t="shared" si="199"/>
        <v>1782.7872193062994</v>
      </c>
      <c r="P372" s="41">
        <f t="shared" si="200"/>
        <v>0.95</v>
      </c>
      <c r="Q372" s="41">
        <f t="shared" si="201"/>
        <v>0.02</v>
      </c>
      <c r="R372" s="64">
        <f t="shared" si="202"/>
        <v>1.9</v>
      </c>
      <c r="S372" s="64">
        <f>APPLICANTS_PER_YEAR*($H372/Segments!$AH$2)*Q372</f>
        <v>0.12</v>
      </c>
      <c r="T372" s="64">
        <f t="shared" si="203"/>
        <v>2.02</v>
      </c>
      <c r="U372" s="40">
        <f t="shared" si="204"/>
        <v>2183.7954465596963</v>
      </c>
      <c r="V372" s="65">
        <f t="shared" si="205"/>
        <v>4411.2668020505862</v>
      </c>
      <c r="W372" s="65">
        <f t="shared" si="206"/>
        <v>11814.317644155866</v>
      </c>
      <c r="X372" s="65">
        <f t="shared" si="207"/>
        <v>912.96841357546248</v>
      </c>
      <c r="Y372" s="40">
        <f t="shared" si="208"/>
        <v>1849.6746835128126</v>
      </c>
      <c r="Z372" s="40">
        <f t="shared" si="209"/>
        <v>5378.6895215172126</v>
      </c>
      <c r="AA372" s="40">
        <f t="shared" si="210"/>
        <v>8787.8351494139697</v>
      </c>
      <c r="AB372" s="40">
        <f t="shared" si="211"/>
        <v>3592.9759693533456</v>
      </c>
      <c r="AC372" s="40">
        <f t="shared" si="212"/>
        <v>2312.093354391016</v>
      </c>
      <c r="AD372" s="41">
        <f t="shared" si="213"/>
        <v>0.95</v>
      </c>
      <c r="AE372" s="41">
        <f t="shared" si="214"/>
        <v>0.02</v>
      </c>
      <c r="AF372" s="64">
        <f t="shared" si="215"/>
        <v>3.6555999999999997</v>
      </c>
      <c r="AG372" s="64">
        <f>APPLICANTS_PER_YEAR*($H372/Segments!$AH$2)*AE372</f>
        <v>0.12</v>
      </c>
      <c r="AH372" s="64">
        <f t="shared" si="216"/>
        <v>3.7755999999999998</v>
      </c>
      <c r="AI372" s="40">
        <f t="shared" si="217"/>
        <v>2517.9120362966082</v>
      </c>
      <c r="AJ372" s="65">
        <f t="shared" si="218"/>
        <v>9506.6286842414738</v>
      </c>
      <c r="AK372" s="65">
        <f t="shared" si="219"/>
        <v>22744.713776333236</v>
      </c>
      <c r="AL372" s="65">
        <f t="shared" si="220"/>
        <v>1912.1737289491771</v>
      </c>
      <c r="AM372" s="40">
        <f t="shared" si="221"/>
        <v>7358.0302345242981</v>
      </c>
      <c r="AN372" s="40">
        <f t="shared" si="222"/>
        <v>5540.0502071627288</v>
      </c>
      <c r="AO372" s="40">
        <f t="shared" si="223"/>
        <v>9050.2202038963878</v>
      </c>
      <c r="AP372" s="40">
        <f t="shared" si="224"/>
        <v>3700.5097034132209</v>
      </c>
      <c r="AQ372" s="40">
        <f t="shared" si="225"/>
        <v>9050.2202038963878</v>
      </c>
      <c r="AR372" s="41">
        <f t="shared" si="226"/>
        <v>0.3</v>
      </c>
      <c r="AS372" s="41">
        <f t="shared" si="227"/>
        <v>0.02</v>
      </c>
      <c r="AT372" s="64">
        <f t="shared" si="228"/>
        <v>2.3040000000000001E-2</v>
      </c>
      <c r="AU372" s="64">
        <f>APPLICANTS_PER_YEAR*($H372/Segments!$AH$2)*AS372</f>
        <v>0.12</v>
      </c>
      <c r="AV372" s="64">
        <f t="shared" si="229"/>
        <v>0.14304</v>
      </c>
      <c r="AW372" s="40">
        <f t="shared" si="230"/>
        <v>9050.2202038963878</v>
      </c>
      <c r="AX372" s="65">
        <f t="shared" si="231"/>
        <v>1294.5434979653394</v>
      </c>
      <c r="AY372" s="65">
        <f t="shared" si="232"/>
        <v>887.54263542846354</v>
      </c>
      <c r="AZ372" s="65">
        <f t="shared" si="233"/>
        <v>288.54044597181399</v>
      </c>
    </row>
    <row r="373" spans="1:52" ht="15" customHeight="1" x14ac:dyDescent="0.35">
      <c r="A373" s="61" t="str">
        <f>Segments!$A$353</f>
        <v>Greek</v>
      </c>
      <c r="B373" s="61" t="str">
        <f>Segments!$B$353</f>
        <v>Off 3-6mi</v>
      </c>
      <c r="C373" s="61" t="str">
        <f>Segments!$C$353</f>
        <v>No</v>
      </c>
      <c r="D373" s="61" t="str">
        <f>Segments!$D$353</f>
        <v>1.0-2.0</v>
      </c>
      <c r="E373" s="61" t="str">
        <f>Segments!$E$353</f>
        <v>Senior</v>
      </c>
      <c r="F373" s="61">
        <f>Segments!$F$353</f>
        <v>3</v>
      </c>
      <c r="G373" s="61" t="str">
        <f>Segments!$G$353</f>
        <v>Base</v>
      </c>
      <c r="H373" s="62">
        <f>Segments!$H$353</f>
        <v>5</v>
      </c>
      <c r="I373" s="63">
        <f>Segments!$Y$353</f>
        <v>4880.9646872846124</v>
      </c>
      <c r="J373" s="42">
        <v>3</v>
      </c>
      <c r="K373" s="40">
        <f t="shared" si="195"/>
        <v>1426.2297754450396</v>
      </c>
      <c r="L373" s="40">
        <f t="shared" si="196"/>
        <v>4880.9646872846124</v>
      </c>
      <c r="M373" s="40">
        <f t="shared" si="197"/>
        <v>7978.4957664971707</v>
      </c>
      <c r="N373" s="40">
        <f t="shared" si="198"/>
        <v>3373.3022730612893</v>
      </c>
      <c r="O373" s="40">
        <f t="shared" si="199"/>
        <v>1782.7872193062994</v>
      </c>
      <c r="P373" s="41">
        <f t="shared" si="200"/>
        <v>0.95</v>
      </c>
      <c r="Q373" s="41">
        <f t="shared" si="201"/>
        <v>0.02</v>
      </c>
      <c r="R373" s="64">
        <f t="shared" si="202"/>
        <v>4.75</v>
      </c>
      <c r="S373" s="64">
        <f>APPLICANTS_PER_YEAR*($H373/Segments!$AH$2)*Q373</f>
        <v>0.12</v>
      </c>
      <c r="T373" s="64">
        <f t="shared" si="203"/>
        <v>4.87</v>
      </c>
      <c r="U373" s="40">
        <f t="shared" si="204"/>
        <v>1935.453549011208</v>
      </c>
      <c r="V373" s="65">
        <f t="shared" si="205"/>
        <v>9425.6587836845829</v>
      </c>
      <c r="W373" s="65">
        <f t="shared" si="206"/>
        <v>26622.733790325194</v>
      </c>
      <c r="X373" s="65">
        <f t="shared" si="207"/>
        <v>1915.3591923356744</v>
      </c>
      <c r="Y373" s="40">
        <f t="shared" si="208"/>
        <v>2183.7954465596963</v>
      </c>
      <c r="Z373" s="40">
        <f t="shared" si="209"/>
        <v>5027.3936279031514</v>
      </c>
      <c r="AA373" s="40">
        <f t="shared" si="210"/>
        <v>8216.600639492086</v>
      </c>
      <c r="AB373" s="40">
        <f t="shared" si="211"/>
        <v>3474.2370816531643</v>
      </c>
      <c r="AC373" s="40">
        <f t="shared" si="212"/>
        <v>2729.7443081996203</v>
      </c>
      <c r="AD373" s="41">
        <f t="shared" si="213"/>
        <v>0.88214478545305375</v>
      </c>
      <c r="AE373" s="41">
        <f t="shared" si="214"/>
        <v>0.02</v>
      </c>
      <c r="AF373" s="64">
        <f t="shared" si="215"/>
        <v>1.7819324666151686</v>
      </c>
      <c r="AG373" s="64">
        <f>APPLICANTS_PER_YEAR*($H373/Segments!$AH$2)*AE373</f>
        <v>0.12</v>
      </c>
      <c r="AH373" s="64">
        <f t="shared" si="216"/>
        <v>1.9019324666151687</v>
      </c>
      <c r="AI373" s="40">
        <f t="shared" si="217"/>
        <v>3075.9305010915673</v>
      </c>
      <c r="AJ373" s="65">
        <f t="shared" si="218"/>
        <v>5850.2120850779165</v>
      </c>
      <c r="AK373" s="65">
        <f t="shared" si="219"/>
        <v>10709.17474296681</v>
      </c>
      <c r="AL373" s="65">
        <f t="shared" si="220"/>
        <v>1181.2384560978962</v>
      </c>
      <c r="AM373" s="40">
        <f t="shared" si="221"/>
        <v>2517.9120362966082</v>
      </c>
      <c r="AN373" s="40">
        <f t="shared" si="222"/>
        <v>5178.2154367402454</v>
      </c>
      <c r="AO373" s="40">
        <f t="shared" si="223"/>
        <v>8461.8486586768486</v>
      </c>
      <c r="AP373" s="40">
        <f t="shared" si="224"/>
        <v>3578.1999146937765</v>
      </c>
      <c r="AQ373" s="40">
        <f t="shared" si="225"/>
        <v>3147.3900453707602</v>
      </c>
      <c r="AR373" s="41">
        <f t="shared" si="226"/>
        <v>0.835199245373897</v>
      </c>
      <c r="AS373" s="41">
        <f t="shared" si="227"/>
        <v>0.02</v>
      </c>
      <c r="AT373" s="64">
        <f t="shared" si="228"/>
        <v>3.1533782708336853</v>
      </c>
      <c r="AU373" s="64">
        <f>APPLICANTS_PER_YEAR*($H373/Segments!$AH$2)*AS373</f>
        <v>0.12</v>
      </c>
      <c r="AV373" s="64">
        <f t="shared" si="229"/>
        <v>3.2733782708336854</v>
      </c>
      <c r="AW373" s="40">
        <f t="shared" si="230"/>
        <v>3342.2147740857545</v>
      </c>
      <c r="AX373" s="65">
        <f t="shared" si="231"/>
        <v>10940.333217951624</v>
      </c>
      <c r="AY373" s="65">
        <f t="shared" si="232"/>
        <v>18984.288839399615</v>
      </c>
      <c r="AZ373" s="65">
        <f t="shared" si="233"/>
        <v>2171.7303079759731</v>
      </c>
    </row>
    <row r="374" spans="1:52" ht="15" customHeight="1" x14ac:dyDescent="0.35">
      <c r="A374" s="61" t="str">
        <f>Segments!$A$354</f>
        <v>Greek</v>
      </c>
      <c r="B374" s="61" t="str">
        <f>Segments!$B$354</f>
        <v>Off 3-6mi</v>
      </c>
      <c r="C374" s="61" t="str">
        <f>Segments!$C$354</f>
        <v>No</v>
      </c>
      <c r="D374" s="61" t="str">
        <f>Segments!$D$354</f>
        <v>1.0-2.0</v>
      </c>
      <c r="E374" s="61" t="str">
        <f>Segments!$E$354</f>
        <v>Grad student</v>
      </c>
      <c r="F374" s="61">
        <f>Segments!$F$354</f>
        <v>3</v>
      </c>
      <c r="G374" s="61" t="str">
        <f>Segments!$G$354</f>
        <v>Grad</v>
      </c>
      <c r="H374" s="62">
        <f>Segments!$H$354</f>
        <v>1</v>
      </c>
      <c r="I374" s="63">
        <f>Segments!$Y$354</f>
        <v>5811.6691179118943</v>
      </c>
      <c r="J374" s="42">
        <v>4</v>
      </c>
      <c r="K374" s="40">
        <f t="shared" si="195"/>
        <v>1426.2297754450396</v>
      </c>
      <c r="L374" s="40">
        <f t="shared" si="196"/>
        <v>5811.6691179118943</v>
      </c>
      <c r="M374" s="40">
        <f t="shared" si="197"/>
        <v>9491.8937280901373</v>
      </c>
      <c r="N374" s="40">
        <f t="shared" si="198"/>
        <v>3679.3506846130035</v>
      </c>
      <c r="O374" s="40">
        <f t="shared" si="199"/>
        <v>1782.7872193062994</v>
      </c>
      <c r="P374" s="41">
        <f t="shared" si="200"/>
        <v>0.95</v>
      </c>
      <c r="Q374" s="41">
        <f t="shared" si="201"/>
        <v>0.02</v>
      </c>
      <c r="R374" s="64">
        <f t="shared" si="202"/>
        <v>0.47499999999999998</v>
      </c>
      <c r="S374" s="64">
        <f>APPLICANTS_PER_YEAR*($H374/Segments!$AH$2)*Q374</f>
        <v>2.4E-2</v>
      </c>
      <c r="T374" s="64">
        <f t="shared" si="203"/>
        <v>0.499</v>
      </c>
      <c r="U374" s="40">
        <f t="shared" si="204"/>
        <v>2153.5658890674458</v>
      </c>
      <c r="V374" s="65">
        <f t="shared" si="205"/>
        <v>1074.6293786446554</v>
      </c>
      <c r="W374" s="65">
        <f t="shared" si="206"/>
        <v>3248.0256366185995</v>
      </c>
      <c r="X374" s="65">
        <f t="shared" si="207"/>
        <v>221.65814329543559</v>
      </c>
      <c r="Y374" s="40">
        <f t="shared" si="208"/>
        <v>2153.5658890674458</v>
      </c>
      <c r="Z374" s="40">
        <f t="shared" si="209"/>
        <v>5986.0191914492516</v>
      </c>
      <c r="AA374" s="40">
        <f t="shared" si="210"/>
        <v>9775.4005399328435</v>
      </c>
      <c r="AB374" s="40">
        <f t="shared" si="211"/>
        <v>3789.4889281356063</v>
      </c>
      <c r="AC374" s="40">
        <f t="shared" si="212"/>
        <v>2691.9573613343073</v>
      </c>
      <c r="AD374" s="41">
        <f t="shared" si="213"/>
        <v>0.91981261030379557</v>
      </c>
      <c r="AE374" s="41">
        <f t="shared" si="214"/>
        <v>0.02</v>
      </c>
      <c r="AF374" s="64">
        <f t="shared" si="215"/>
        <v>0.22949324627079701</v>
      </c>
      <c r="AG374" s="64">
        <f>APPLICANTS_PER_YEAR*($H374/Segments!$AH$2)*AE374</f>
        <v>2.4E-2</v>
      </c>
      <c r="AH374" s="64">
        <f t="shared" si="216"/>
        <v>0.253493246270797</v>
      </c>
      <c r="AI374" s="40">
        <f t="shared" si="217"/>
        <v>3362.5970678642307</v>
      </c>
      <c r="AJ374" s="65">
        <f t="shared" si="218"/>
        <v>852.39564663356737</v>
      </c>
      <c r="AK374" s="65">
        <f t="shared" si="219"/>
        <v>1699.505289529334</v>
      </c>
      <c r="AL374" s="65">
        <f t="shared" si="220"/>
        <v>174.98397859270375</v>
      </c>
      <c r="AM374" s="40">
        <f t="shared" si="221"/>
        <v>3362.5970678642307</v>
      </c>
      <c r="AN374" s="40">
        <f t="shared" si="222"/>
        <v>6165.599767192728</v>
      </c>
      <c r="AO374" s="40">
        <f t="shared" si="223"/>
        <v>10067.412556130826</v>
      </c>
      <c r="AP374" s="40">
        <f t="shared" si="224"/>
        <v>3902.931303698791</v>
      </c>
      <c r="AQ374" s="40">
        <f t="shared" si="225"/>
        <v>4203.2463348302881</v>
      </c>
      <c r="AR374" s="41">
        <f t="shared" si="226"/>
        <v>0.73652698987465015</v>
      </c>
      <c r="AS374" s="41">
        <f t="shared" si="227"/>
        <v>0.02</v>
      </c>
      <c r="AT374" s="64">
        <f t="shared" si="228"/>
        <v>9.3352308814691753E-2</v>
      </c>
      <c r="AU374" s="64">
        <f>APPLICANTS_PER_YEAR*($H374/Segments!$AH$2)*AS374</f>
        <v>2.4E-2</v>
      </c>
      <c r="AV374" s="64">
        <f t="shared" si="229"/>
        <v>0.11735230881469175</v>
      </c>
      <c r="AW374" s="40">
        <f t="shared" si="230"/>
        <v>5402.5409267539299</v>
      </c>
      <c r="AX374" s="65">
        <f t="shared" si="231"/>
        <v>634.00065122043816</v>
      </c>
      <c r="AY374" s="65">
        <f t="shared" si="232"/>
        <v>810.37305205627968</v>
      </c>
      <c r="AZ374" s="65">
        <f t="shared" si="233"/>
        <v>131.22979580410654</v>
      </c>
    </row>
    <row r="375" spans="1:52" ht="15" customHeight="1" x14ac:dyDescent="0.35">
      <c r="A375" s="59" t="str">
        <f>Segments!$A$355</f>
        <v>Greek</v>
      </c>
      <c r="B375" s="59" t="str">
        <f>Segments!$B$355</f>
        <v>Off 3-6mi</v>
      </c>
      <c r="C375" s="59" t="str">
        <f>Segments!$C$355</f>
        <v>No</v>
      </c>
      <c r="D375" s="59" t="str">
        <f>Segments!$D$355</f>
        <v>2.0-3.0</v>
      </c>
      <c r="E375" s="59" t="str">
        <f>Segments!$E$355</f>
        <v>Freshman</v>
      </c>
      <c r="F375" s="59">
        <f>Segments!$F$355</f>
        <v>1</v>
      </c>
      <c r="G375" s="59" t="str">
        <f>Segments!$G$355</f>
        <v>Base</v>
      </c>
      <c r="H375" s="60">
        <f>Segments!$H$355</f>
        <v>5</v>
      </c>
      <c r="I375" s="26">
        <f>Segments!$Y$355</f>
        <v>4336.8032507806984</v>
      </c>
      <c r="J375" s="29">
        <v>0</v>
      </c>
      <c r="K375" s="14">
        <f t="shared" si="195"/>
        <v>7093.6468481058882</v>
      </c>
      <c r="L375" s="14">
        <f t="shared" si="196"/>
        <v>4336.8032507806984</v>
      </c>
      <c r="M375" s="14">
        <f t="shared" si="197"/>
        <v>7093.6468481058882</v>
      </c>
      <c r="N375" s="14">
        <f t="shared" si="198"/>
        <v>3180.7499667940697</v>
      </c>
      <c r="O375" s="14">
        <f t="shared" si="199"/>
        <v>7093.6468481058882</v>
      </c>
      <c r="P375" s="33">
        <f t="shared" si="200"/>
        <v>0.3</v>
      </c>
      <c r="Q375" s="33">
        <f t="shared" si="201"/>
        <v>0.02</v>
      </c>
      <c r="R375" s="51">
        <f t="shared" si="202"/>
        <v>0</v>
      </c>
      <c r="S375" s="51">
        <f>APPLICANTS_PER_YEAR*($H375/Segments!$AH$2)*Q375</f>
        <v>0.12</v>
      </c>
      <c r="T375" s="51">
        <f t="shared" si="203"/>
        <v>0.12</v>
      </c>
      <c r="U375" s="14">
        <f t="shared" si="204"/>
        <v>7093.6468481058882</v>
      </c>
      <c r="V375" s="44">
        <f t="shared" si="205"/>
        <v>851.23762177270658</v>
      </c>
      <c r="W375" s="44">
        <f t="shared" si="206"/>
        <v>582.86635690492585</v>
      </c>
      <c r="X375" s="44">
        <f t="shared" si="207"/>
        <v>196.07722727708628</v>
      </c>
      <c r="Y375" s="14">
        <f t="shared" si="208"/>
        <v>7305.206253549065</v>
      </c>
      <c r="Z375" s="14">
        <f t="shared" si="209"/>
        <v>4466.9073483041193</v>
      </c>
      <c r="AA375" s="14">
        <f t="shared" si="210"/>
        <v>7305.206253549065</v>
      </c>
      <c r="AB375" s="14">
        <f t="shared" si="211"/>
        <v>3275.8922074476673</v>
      </c>
      <c r="AC375" s="14">
        <f t="shared" si="212"/>
        <v>7305.206253549065</v>
      </c>
      <c r="AD375" s="33">
        <f t="shared" si="213"/>
        <v>0.3</v>
      </c>
      <c r="AE375" s="33">
        <f t="shared" si="214"/>
        <v>0.02</v>
      </c>
      <c r="AF375" s="51">
        <f t="shared" si="215"/>
        <v>0</v>
      </c>
      <c r="AG375" s="51">
        <f>APPLICANTS_PER_YEAR*($H375/Segments!$AH$2)*AE375</f>
        <v>0.12</v>
      </c>
      <c r="AH375" s="51">
        <f t="shared" si="216"/>
        <v>0.12</v>
      </c>
      <c r="AI375" s="14">
        <f t="shared" si="217"/>
        <v>7305.206253549065</v>
      </c>
      <c r="AJ375" s="44">
        <f t="shared" si="218"/>
        <v>876.62475042588778</v>
      </c>
      <c r="AK375" s="44">
        <f t="shared" si="219"/>
        <v>600.35234761207369</v>
      </c>
      <c r="AL375" s="44">
        <f t="shared" si="220"/>
        <v>201.76394409539887</v>
      </c>
      <c r="AM375" s="14">
        <f t="shared" si="221"/>
        <v>7523.1124411555365</v>
      </c>
      <c r="AN375" s="14">
        <f t="shared" si="222"/>
        <v>4600.9145687532427</v>
      </c>
      <c r="AO375" s="14">
        <f t="shared" si="223"/>
        <v>7523.1124411555365</v>
      </c>
      <c r="AP375" s="14">
        <f t="shared" si="224"/>
        <v>3373.8886916914889</v>
      </c>
      <c r="AQ375" s="14">
        <f t="shared" si="225"/>
        <v>7523.1124411555365</v>
      </c>
      <c r="AR375" s="33">
        <f t="shared" si="226"/>
        <v>0.3</v>
      </c>
      <c r="AS375" s="33">
        <f t="shared" si="227"/>
        <v>0.02</v>
      </c>
      <c r="AT375" s="51">
        <f t="shared" si="228"/>
        <v>0</v>
      </c>
      <c r="AU375" s="51">
        <f>APPLICANTS_PER_YEAR*($H375/Segments!$AH$2)*AS375</f>
        <v>0.12</v>
      </c>
      <c r="AV375" s="51">
        <f t="shared" si="229"/>
        <v>0.12</v>
      </c>
      <c r="AW375" s="14">
        <f t="shared" si="230"/>
        <v>7523.1124411555365</v>
      </c>
      <c r="AX375" s="44">
        <f t="shared" si="231"/>
        <v>902.77349293866439</v>
      </c>
      <c r="AY375" s="44">
        <f t="shared" si="232"/>
        <v>618.36291804043583</v>
      </c>
      <c r="AZ375" s="44">
        <f t="shared" si="233"/>
        <v>207.62126241826084</v>
      </c>
    </row>
    <row r="376" spans="1:52" ht="15" customHeight="1" x14ac:dyDescent="0.35">
      <c r="A376" s="59" t="str">
        <f>Segments!$A$356</f>
        <v>Greek</v>
      </c>
      <c r="B376" s="59" t="str">
        <f>Segments!$B$356</f>
        <v>Off 3-6mi</v>
      </c>
      <c r="C376" s="59" t="str">
        <f>Segments!$C$356</f>
        <v>No</v>
      </c>
      <c r="D376" s="59" t="str">
        <f>Segments!$D$356</f>
        <v>2.0-3.0</v>
      </c>
      <c r="E376" s="59" t="str">
        <f>Segments!$E$356</f>
        <v>Sophomore</v>
      </c>
      <c r="F376" s="59">
        <f>Segments!$F$356</f>
        <v>1</v>
      </c>
      <c r="G376" s="59" t="str">
        <f>Segments!$G$356</f>
        <v>Sophomore</v>
      </c>
      <c r="H376" s="60">
        <f>Segments!$H$356</f>
        <v>7</v>
      </c>
      <c r="I376" s="26">
        <f>Segments!$Y$356</f>
        <v>4292.6816675694008</v>
      </c>
      <c r="J376" s="29">
        <v>1</v>
      </c>
      <c r="K376" s="14">
        <f t="shared" si="195"/>
        <v>1426.2297754450396</v>
      </c>
      <c r="L376" s="14">
        <f t="shared" si="196"/>
        <v>4292.6816675694008</v>
      </c>
      <c r="M376" s="14">
        <f t="shared" si="197"/>
        <v>7021.90171410107</v>
      </c>
      <c r="N376" s="14">
        <f t="shared" si="198"/>
        <v>3164.6240384758989</v>
      </c>
      <c r="O376" s="14">
        <f t="shared" si="199"/>
        <v>1782.7872193062994</v>
      </c>
      <c r="P376" s="33">
        <f t="shared" si="200"/>
        <v>0.95</v>
      </c>
      <c r="Q376" s="33">
        <f t="shared" si="201"/>
        <v>0.02</v>
      </c>
      <c r="R376" s="51">
        <f t="shared" si="202"/>
        <v>4.75</v>
      </c>
      <c r="S376" s="51">
        <f>APPLICANTS_PER_YEAR*($H376/Segments!$AH$2)*Q376</f>
        <v>0.16800000000000001</v>
      </c>
      <c r="T376" s="51">
        <f t="shared" si="203"/>
        <v>4.9180000000000001</v>
      </c>
      <c r="U376" s="14">
        <f t="shared" si="204"/>
        <v>1961.7565635774506</v>
      </c>
      <c r="V376" s="44">
        <f t="shared" si="205"/>
        <v>9647.9187796739025</v>
      </c>
      <c r="W376" s="44">
        <f t="shared" si="206"/>
        <v>23644.777454039071</v>
      </c>
      <c r="X376" s="44">
        <f t="shared" si="207"/>
        <v>1967.3054314372816</v>
      </c>
      <c r="Y376" s="14">
        <f t="shared" si="208"/>
        <v>7093.6468481058882</v>
      </c>
      <c r="Z376" s="14">
        <f t="shared" si="209"/>
        <v>4421.462117596483</v>
      </c>
      <c r="AA376" s="14">
        <f t="shared" si="210"/>
        <v>7231.3087655241025</v>
      </c>
      <c r="AB376" s="14">
        <f t="shared" si="211"/>
        <v>3259.2810730484725</v>
      </c>
      <c r="AC376" s="14">
        <f t="shared" si="212"/>
        <v>7231.3087655241025</v>
      </c>
      <c r="AD376" s="33">
        <f t="shared" si="213"/>
        <v>0.3</v>
      </c>
      <c r="AE376" s="33">
        <f t="shared" si="214"/>
        <v>0.02</v>
      </c>
      <c r="AF376" s="51">
        <f t="shared" si="215"/>
        <v>3.5999999999999997E-2</v>
      </c>
      <c r="AG376" s="51">
        <f>APPLICANTS_PER_YEAR*($H376/Segments!$AH$2)*AE376</f>
        <v>0.16800000000000001</v>
      </c>
      <c r="AH376" s="51">
        <f t="shared" si="216"/>
        <v>0.20400000000000001</v>
      </c>
      <c r="AI376" s="14">
        <f t="shared" si="217"/>
        <v>7231.3087655241025</v>
      </c>
      <c r="AJ376" s="44">
        <f t="shared" si="218"/>
        <v>1475.186988166917</v>
      </c>
      <c r="AK376" s="44">
        <f t="shared" si="219"/>
        <v>1010.2156646284446</v>
      </c>
      <c r="AL376" s="44">
        <f t="shared" si="220"/>
        <v>329.61043630482902</v>
      </c>
      <c r="AM376" s="14">
        <f t="shared" si="221"/>
        <v>7305.206253549065</v>
      </c>
      <c r="AN376" s="14">
        <f t="shared" si="222"/>
        <v>4554.1059811243767</v>
      </c>
      <c r="AO376" s="14">
        <f t="shared" si="223"/>
        <v>7446.9980284898247</v>
      </c>
      <c r="AP376" s="14">
        <f t="shared" si="224"/>
        <v>3356.7777946657088</v>
      </c>
      <c r="AQ376" s="14">
        <f t="shared" si="225"/>
        <v>7446.9980284898247</v>
      </c>
      <c r="AR376" s="33">
        <f t="shared" si="226"/>
        <v>0.3</v>
      </c>
      <c r="AS376" s="33">
        <f t="shared" si="227"/>
        <v>0.02</v>
      </c>
      <c r="AT376" s="51">
        <f t="shared" si="228"/>
        <v>3.5999999999999997E-2</v>
      </c>
      <c r="AU376" s="51">
        <f>APPLICANTS_PER_YEAR*($H376/Segments!$AH$2)*AS376</f>
        <v>0.16800000000000001</v>
      </c>
      <c r="AV376" s="51">
        <f t="shared" si="229"/>
        <v>0.20400000000000001</v>
      </c>
      <c r="AW376" s="14">
        <f t="shared" si="230"/>
        <v>7446.9980284898238</v>
      </c>
      <c r="AX376" s="44">
        <f t="shared" si="231"/>
        <v>1519.1875978119242</v>
      </c>
      <c r="AY376" s="44">
        <f t="shared" si="232"/>
        <v>1040.5221345672978</v>
      </c>
      <c r="AZ376" s="44">
        <f t="shared" si="233"/>
        <v>339.19480439397387</v>
      </c>
    </row>
    <row r="377" spans="1:52" ht="15" customHeight="1" x14ac:dyDescent="0.35">
      <c r="A377" s="59" t="str">
        <f>Segments!$A$357</f>
        <v>Greek</v>
      </c>
      <c r="B377" s="59" t="str">
        <f>Segments!$B$357</f>
        <v>Off 3-6mi</v>
      </c>
      <c r="C377" s="59" t="str">
        <f>Segments!$C$357</f>
        <v>No</v>
      </c>
      <c r="D377" s="59" t="str">
        <f>Segments!$D$357</f>
        <v>2.0-3.0</v>
      </c>
      <c r="E377" s="59" t="str">
        <f>Segments!$E$357</f>
        <v>Junior</v>
      </c>
      <c r="F377" s="59">
        <f>Segments!$F$357</f>
        <v>2</v>
      </c>
      <c r="G377" s="59" t="str">
        <f>Segments!$G$357</f>
        <v>Base</v>
      </c>
      <c r="H377" s="60">
        <f>Segments!$H$357</f>
        <v>2</v>
      </c>
      <c r="I377" s="26">
        <f>Segments!$Y$357</f>
        <v>5131.5816606358676</v>
      </c>
      <c r="J377" s="29">
        <v>2</v>
      </c>
      <c r="K377" s="14">
        <f t="shared" si="195"/>
        <v>1426.2297754450396</v>
      </c>
      <c r="L377" s="14">
        <f t="shared" si="196"/>
        <v>5131.5816606358676</v>
      </c>
      <c r="M377" s="14">
        <f t="shared" si="197"/>
        <v>8386.0185031781984</v>
      </c>
      <c r="N377" s="14">
        <f t="shared" si="198"/>
        <v>3458.3795752730484</v>
      </c>
      <c r="O377" s="14">
        <f t="shared" si="199"/>
        <v>1782.7872193062994</v>
      </c>
      <c r="P377" s="33">
        <f t="shared" si="200"/>
        <v>0.95</v>
      </c>
      <c r="Q377" s="33">
        <f t="shared" si="201"/>
        <v>0.02</v>
      </c>
      <c r="R377" s="51">
        <f t="shared" si="202"/>
        <v>6.6499999999999995</v>
      </c>
      <c r="S377" s="51">
        <f>APPLICANTS_PER_YEAR*($H377/Segments!$AH$2)*Q377</f>
        <v>4.8000000000000001E-2</v>
      </c>
      <c r="T377" s="51">
        <f t="shared" si="203"/>
        <v>6.6979999999999995</v>
      </c>
      <c r="U377" s="14">
        <f t="shared" si="204"/>
        <v>1830.1080765212669</v>
      </c>
      <c r="V377" s="44">
        <f t="shared" si="205"/>
        <v>12258.063896539445</v>
      </c>
      <c r="W377" s="44">
        <f t="shared" si="206"/>
        <v>38495.89403849173</v>
      </c>
      <c r="X377" s="44">
        <f t="shared" si="207"/>
        <v>2466.0225875312944</v>
      </c>
      <c r="Y377" s="14">
        <f t="shared" si="208"/>
        <v>1961.7565635774506</v>
      </c>
      <c r="Z377" s="14">
        <f t="shared" si="209"/>
        <v>5285.5291104549442</v>
      </c>
      <c r="AA377" s="14">
        <f t="shared" si="210"/>
        <v>8636.3490582735449</v>
      </c>
      <c r="AB377" s="14">
        <f t="shared" si="211"/>
        <v>3561.8732042828037</v>
      </c>
      <c r="AC377" s="14">
        <f t="shared" si="212"/>
        <v>2452.1957044718133</v>
      </c>
      <c r="AD377" s="33">
        <f t="shared" si="213"/>
        <v>0.93077161737210523</v>
      </c>
      <c r="AE377" s="33">
        <f t="shared" si="214"/>
        <v>0.02</v>
      </c>
      <c r="AF377" s="51">
        <f t="shared" si="215"/>
        <v>4.5775348142360137</v>
      </c>
      <c r="AG377" s="51">
        <f>APPLICANTS_PER_YEAR*($H377/Segments!$AH$2)*AE377</f>
        <v>4.8000000000000001E-2</v>
      </c>
      <c r="AH377" s="51">
        <f t="shared" si="216"/>
        <v>4.6255348142360138</v>
      </c>
      <c r="AI377" s="14">
        <f t="shared" si="217"/>
        <v>2516.3697671269902</v>
      </c>
      <c r="AJ377" s="44">
        <f t="shared" si="218"/>
        <v>11639.555963336863</v>
      </c>
      <c r="AK377" s="44">
        <f t="shared" si="219"/>
        <v>27382.206781515324</v>
      </c>
      <c r="AL377" s="44">
        <f t="shared" si="220"/>
        <v>2308.0958397732866</v>
      </c>
      <c r="AM377" s="14">
        <f t="shared" si="221"/>
        <v>7231.3087655241025</v>
      </c>
      <c r="AN377" s="14">
        <f t="shared" si="222"/>
        <v>5444.0949837685921</v>
      </c>
      <c r="AO377" s="14">
        <f t="shared" si="223"/>
        <v>8894.1895300217511</v>
      </c>
      <c r="AP377" s="14">
        <f t="shared" si="224"/>
        <v>3668.4716237802918</v>
      </c>
      <c r="AQ377" s="14">
        <f t="shared" si="225"/>
        <v>8894.1895300217511</v>
      </c>
      <c r="AR377" s="33">
        <f t="shared" si="226"/>
        <v>0.3</v>
      </c>
      <c r="AS377" s="33">
        <f t="shared" si="227"/>
        <v>0.02</v>
      </c>
      <c r="AT377" s="51">
        <f t="shared" si="228"/>
        <v>6.1200000000000004E-2</v>
      </c>
      <c r="AU377" s="51">
        <f>APPLICANTS_PER_YEAR*($H377/Segments!$AH$2)*AS377</f>
        <v>4.8000000000000001E-2</v>
      </c>
      <c r="AV377" s="51">
        <f t="shared" si="229"/>
        <v>0.10920000000000001</v>
      </c>
      <c r="AW377" s="14">
        <f t="shared" si="230"/>
        <v>8894.1895300217511</v>
      </c>
      <c r="AX377" s="44">
        <f t="shared" si="231"/>
        <v>971.24549667837528</v>
      </c>
      <c r="AY377" s="44">
        <f t="shared" si="232"/>
        <v>665.83459289483392</v>
      </c>
      <c r="AZ377" s="44">
        <f t="shared" si="233"/>
        <v>201.89163728264947</v>
      </c>
    </row>
    <row r="378" spans="1:52" ht="15" customHeight="1" x14ac:dyDescent="0.35">
      <c r="A378" s="59" t="str">
        <f>Segments!$A$358</f>
        <v>Greek</v>
      </c>
      <c r="B378" s="59" t="str">
        <f>Segments!$B$358</f>
        <v>Off 3-6mi</v>
      </c>
      <c r="C378" s="59" t="str">
        <f>Segments!$C$358</f>
        <v>No</v>
      </c>
      <c r="D378" s="59" t="str">
        <f>Segments!$D$358</f>
        <v>2.0-3.0</v>
      </c>
      <c r="E378" s="59" t="str">
        <f>Segments!$E$358</f>
        <v>Senior</v>
      </c>
      <c r="F378" s="59">
        <f>Segments!$F$358</f>
        <v>3</v>
      </c>
      <c r="G378" s="59" t="str">
        <f>Segments!$G$358</f>
        <v>Base</v>
      </c>
      <c r="H378" s="60">
        <f>Segments!$H$358</f>
        <v>4</v>
      </c>
      <c r="I378" s="26">
        <f>Segments!$Y$358</f>
        <v>4796.4250099470755</v>
      </c>
      <c r="J378" s="29">
        <v>3</v>
      </c>
      <c r="K378" s="14">
        <f t="shared" si="195"/>
        <v>1426.2297754450396</v>
      </c>
      <c r="L378" s="14">
        <f t="shared" si="196"/>
        <v>4796.4250099470755</v>
      </c>
      <c r="M378" s="14">
        <f t="shared" si="197"/>
        <v>7841.0276604625578</v>
      </c>
      <c r="N378" s="14">
        <f t="shared" si="198"/>
        <v>3344.1152969716604</v>
      </c>
      <c r="O378" s="14">
        <f t="shared" si="199"/>
        <v>1782.7872193062994</v>
      </c>
      <c r="P378" s="33">
        <f t="shared" si="200"/>
        <v>0.95</v>
      </c>
      <c r="Q378" s="33">
        <f t="shared" si="201"/>
        <v>0.02</v>
      </c>
      <c r="R378" s="51">
        <f t="shared" si="202"/>
        <v>1.9</v>
      </c>
      <c r="S378" s="51">
        <f>APPLICANTS_PER_YEAR*($H378/Segments!$AH$2)*Q378</f>
        <v>9.6000000000000002E-2</v>
      </c>
      <c r="T378" s="51">
        <f t="shared" si="203"/>
        <v>1.996</v>
      </c>
      <c r="U378" s="14">
        <f t="shared" si="204"/>
        <v>2074.165517077342</v>
      </c>
      <c r="V378" s="44">
        <f t="shared" si="205"/>
        <v>4140.0343720863748</v>
      </c>
      <c r="W378" s="44">
        <f t="shared" si="206"/>
        <v>10722.504038236886</v>
      </c>
      <c r="X378" s="44">
        <f t="shared" si="207"/>
        <v>851.13234926347889</v>
      </c>
      <c r="Y378" s="14">
        <f t="shared" si="208"/>
        <v>1830.1080765212669</v>
      </c>
      <c r="Z378" s="14">
        <f t="shared" si="209"/>
        <v>4940.317760245488</v>
      </c>
      <c r="AA378" s="14">
        <f t="shared" si="210"/>
        <v>8075.0084902764347</v>
      </c>
      <c r="AB378" s="14">
        <f t="shared" si="211"/>
        <v>3444.172189681849</v>
      </c>
      <c r="AC378" s="14">
        <f t="shared" si="212"/>
        <v>2287.6350956515835</v>
      </c>
      <c r="AD378" s="33">
        <f t="shared" si="213"/>
        <v>0.94289768779491534</v>
      </c>
      <c r="AE378" s="33">
        <f t="shared" si="214"/>
        <v>0.02</v>
      </c>
      <c r="AF378" s="51">
        <f t="shared" si="215"/>
        <v>6.3155287128503428</v>
      </c>
      <c r="AG378" s="51">
        <f>APPLICANTS_PER_YEAR*($H378/Segments!$AH$2)*AE378</f>
        <v>9.6000000000000002E-2</v>
      </c>
      <c r="AH378" s="51">
        <f t="shared" si="216"/>
        <v>6.4115287128503429</v>
      </c>
      <c r="AI378" s="14">
        <f t="shared" si="217"/>
        <v>2374.2896004922845</v>
      </c>
      <c r="AJ378" s="44">
        <f t="shared" si="218"/>
        <v>15222.825946178253</v>
      </c>
      <c r="AK378" s="44">
        <f t="shared" si="219"/>
        <v>35475.987870868659</v>
      </c>
      <c r="AL378" s="44">
        <f t="shared" si="220"/>
        <v>3034.8767066120258</v>
      </c>
      <c r="AM378" s="14">
        <f t="shared" si="221"/>
        <v>2516.3697671269902</v>
      </c>
      <c r="AN378" s="14">
        <f t="shared" si="222"/>
        <v>5088.5272930528527</v>
      </c>
      <c r="AO378" s="14">
        <f t="shared" si="223"/>
        <v>8316.0087449847269</v>
      </c>
      <c r="AP378" s="14">
        <f t="shared" si="224"/>
        <v>3547.2307688410306</v>
      </c>
      <c r="AQ378" s="14">
        <f t="shared" si="225"/>
        <v>3145.4622089087379</v>
      </c>
      <c r="AR378" s="33">
        <f t="shared" si="226"/>
        <v>0.83163129721661166</v>
      </c>
      <c r="AS378" s="33">
        <f t="shared" si="227"/>
        <v>0.02</v>
      </c>
      <c r="AT378" s="51">
        <f t="shared" si="228"/>
        <v>3.8467395178836949</v>
      </c>
      <c r="AU378" s="51">
        <f>APPLICANTS_PER_YEAR*($H378/Segments!$AH$2)*AS378</f>
        <v>9.6000000000000002E-2</v>
      </c>
      <c r="AV378" s="51">
        <f t="shared" si="229"/>
        <v>3.942739517883695</v>
      </c>
      <c r="AW378" s="14">
        <f t="shared" si="230"/>
        <v>3271.3575325059019</v>
      </c>
      <c r="AX378" s="44">
        <f t="shared" si="231"/>
        <v>12898.110620537514</v>
      </c>
      <c r="AY378" s="44">
        <f t="shared" si="232"/>
        <v>22470.266163687138</v>
      </c>
      <c r="AZ378" s="44">
        <f t="shared" si="233"/>
        <v>2546.9394870224132</v>
      </c>
    </row>
    <row r="379" spans="1:52" ht="15" customHeight="1" x14ac:dyDescent="0.35">
      <c r="A379" s="59" t="str">
        <f>Segments!$A$359</f>
        <v>Greek</v>
      </c>
      <c r="B379" s="59" t="str">
        <f>Segments!$B$359</f>
        <v>Off 3-6mi</v>
      </c>
      <c r="C379" s="59" t="str">
        <f>Segments!$C$359</f>
        <v>No</v>
      </c>
      <c r="D379" s="59" t="str">
        <f>Segments!$D$359</f>
        <v>2.0-3.0</v>
      </c>
      <c r="E379" s="59" t="str">
        <f>Segments!$E$359</f>
        <v>Grad student</v>
      </c>
      <c r="F379" s="59">
        <f>Segments!$F$359</f>
        <v>3</v>
      </c>
      <c r="G379" s="59" t="str">
        <f>Segments!$G$359</f>
        <v>Grad</v>
      </c>
      <c r="H379" s="60">
        <f>Segments!$H$359</f>
        <v>0</v>
      </c>
      <c r="I379" s="26">
        <f>Segments!$Y$359</f>
        <v>5711.0093788032036</v>
      </c>
      <c r="J379" s="29">
        <v>4</v>
      </c>
      <c r="K379" s="14">
        <f t="shared" si="195"/>
        <v>1426.2297754450396</v>
      </c>
      <c r="L379" s="14">
        <f t="shared" si="196"/>
        <v>5711.0093788032036</v>
      </c>
      <c r="M379" s="14">
        <f t="shared" si="197"/>
        <v>9328.2131449012322</v>
      </c>
      <c r="N379" s="14">
        <f t="shared" si="198"/>
        <v>3647.4889086816911</v>
      </c>
      <c r="O379" s="14">
        <f t="shared" si="199"/>
        <v>1782.7872193062994</v>
      </c>
      <c r="P379" s="33">
        <f t="shared" si="200"/>
        <v>0.95</v>
      </c>
      <c r="Q379" s="33">
        <f t="shared" si="201"/>
        <v>0.02</v>
      </c>
      <c r="R379" s="51">
        <f t="shared" si="202"/>
        <v>0</v>
      </c>
      <c r="S379" s="51">
        <f>APPLICANTS_PER_YEAR*($H379/Segments!$AH$2)*Q379</f>
        <v>0</v>
      </c>
      <c r="T379" s="51">
        <f t="shared" si="203"/>
        <v>0</v>
      </c>
      <c r="U379" s="14">
        <f t="shared" si="204"/>
        <v>9328.2131449012322</v>
      </c>
      <c r="V379" s="44">
        <f t="shared" si="205"/>
        <v>0</v>
      </c>
      <c r="W379" s="44">
        <f t="shared" si="206"/>
        <v>0</v>
      </c>
      <c r="X379" s="44">
        <f t="shared" si="207"/>
        <v>0</v>
      </c>
      <c r="Y379" s="14">
        <f t="shared" si="208"/>
        <v>9328.2131449012322</v>
      </c>
      <c r="Z379" s="14">
        <f t="shared" si="209"/>
        <v>5882.3396601673003</v>
      </c>
      <c r="AA379" s="14">
        <f t="shared" si="210"/>
        <v>9606.8095392482701</v>
      </c>
      <c r="AB379" s="14">
        <f t="shared" si="211"/>
        <v>3756.6691824357495</v>
      </c>
      <c r="AC379" s="14">
        <f t="shared" si="212"/>
        <v>9606.8095392482701</v>
      </c>
      <c r="AD379" s="33">
        <f t="shared" si="213"/>
        <v>0.3</v>
      </c>
      <c r="AE379" s="33">
        <f t="shared" si="214"/>
        <v>0.02</v>
      </c>
      <c r="AF379" s="51">
        <f t="shared" si="215"/>
        <v>0</v>
      </c>
      <c r="AG379" s="51">
        <f>APPLICANTS_PER_YEAR*($H379/Segments!$AH$2)*AE379</f>
        <v>0</v>
      </c>
      <c r="AH379" s="51">
        <f t="shared" si="216"/>
        <v>0</v>
      </c>
      <c r="AI379" s="14">
        <f t="shared" si="217"/>
        <v>9606.8095392482701</v>
      </c>
      <c r="AJ379" s="44">
        <f t="shared" si="218"/>
        <v>0</v>
      </c>
      <c r="AK379" s="44">
        <f t="shared" si="219"/>
        <v>0</v>
      </c>
      <c r="AL379" s="44">
        <f t="shared" si="220"/>
        <v>0</v>
      </c>
      <c r="AM379" s="14">
        <f t="shared" si="221"/>
        <v>9606.8095392482701</v>
      </c>
      <c r="AN379" s="14">
        <f t="shared" si="222"/>
        <v>6058.8098499723183</v>
      </c>
      <c r="AO379" s="14">
        <f t="shared" si="223"/>
        <v>9893.7638254257163</v>
      </c>
      <c r="AP379" s="14">
        <f t="shared" si="224"/>
        <v>3869.1248487337425</v>
      </c>
      <c r="AQ379" s="14">
        <f t="shared" si="225"/>
        <v>9893.7638254257163</v>
      </c>
      <c r="AR379" s="33">
        <f t="shared" si="226"/>
        <v>0.3</v>
      </c>
      <c r="AS379" s="33">
        <f t="shared" si="227"/>
        <v>0.02</v>
      </c>
      <c r="AT379" s="51">
        <f t="shared" si="228"/>
        <v>0</v>
      </c>
      <c r="AU379" s="51">
        <f>APPLICANTS_PER_YEAR*($H379/Segments!$AH$2)*AS379</f>
        <v>0</v>
      </c>
      <c r="AV379" s="51">
        <f t="shared" si="229"/>
        <v>0</v>
      </c>
      <c r="AW379" s="14">
        <f t="shared" si="230"/>
        <v>9893.7638254257163</v>
      </c>
      <c r="AX379" s="44">
        <f t="shared" si="231"/>
        <v>0</v>
      </c>
      <c r="AY379" s="44">
        <f t="shared" si="232"/>
        <v>0</v>
      </c>
      <c r="AZ379" s="44">
        <f t="shared" si="233"/>
        <v>0</v>
      </c>
    </row>
    <row r="380" spans="1:52" ht="15" customHeight="1" x14ac:dyDescent="0.35">
      <c r="A380" s="61" t="str">
        <f>Segments!$A$360</f>
        <v>Greek</v>
      </c>
      <c r="B380" s="61" t="str">
        <f>Segments!$B$360</f>
        <v>Off 3-6mi</v>
      </c>
      <c r="C380" s="61" t="str">
        <f>Segments!$C$360</f>
        <v>No</v>
      </c>
      <c r="D380" s="61" t="str">
        <f>Segments!$D$360</f>
        <v>3.0+</v>
      </c>
      <c r="E380" s="61" t="str">
        <f>Segments!$E$360</f>
        <v>Freshman</v>
      </c>
      <c r="F380" s="61">
        <f>Segments!$F$360</f>
        <v>1</v>
      </c>
      <c r="G380" s="61" t="str">
        <f>Segments!$G$360</f>
        <v>Base</v>
      </c>
      <c r="H380" s="62">
        <f>Segments!$H$360</f>
        <v>3</v>
      </c>
      <c r="I380" s="63">
        <f>Segments!$Y$360</f>
        <v>3801.41455774112</v>
      </c>
      <c r="J380" s="42">
        <v>0</v>
      </c>
      <c r="K380" s="40">
        <f t="shared" si="195"/>
        <v>6223.0630945076382</v>
      </c>
      <c r="L380" s="40">
        <f t="shared" si="196"/>
        <v>3801.41455774112</v>
      </c>
      <c r="M380" s="40">
        <f t="shared" si="197"/>
        <v>6223.0630945076382</v>
      </c>
      <c r="N380" s="40">
        <f t="shared" si="198"/>
        <v>2979.1807397101543</v>
      </c>
      <c r="O380" s="40">
        <f t="shared" si="199"/>
        <v>6223.0630945076382</v>
      </c>
      <c r="P380" s="41">
        <f t="shared" si="200"/>
        <v>0.30557476396798233</v>
      </c>
      <c r="Q380" s="41">
        <f t="shared" si="201"/>
        <v>0.02</v>
      </c>
      <c r="R380" s="64">
        <f t="shared" si="202"/>
        <v>0</v>
      </c>
      <c r="S380" s="64">
        <f>APPLICANTS_PER_YEAR*($H380/Segments!$AH$2)*Q380</f>
        <v>7.1999999999999995E-2</v>
      </c>
      <c r="T380" s="64">
        <f t="shared" si="203"/>
        <v>7.1999999999999995E-2</v>
      </c>
      <c r="U380" s="40">
        <f t="shared" si="204"/>
        <v>6223.0630945076382</v>
      </c>
      <c r="V380" s="65">
        <f t="shared" si="205"/>
        <v>448.06054280454993</v>
      </c>
      <c r="W380" s="65">
        <f t="shared" si="206"/>
        <v>306.54606993624395</v>
      </c>
      <c r="X380" s="65">
        <f t="shared" si="207"/>
        <v>103.60556158821917</v>
      </c>
      <c r="Y380" s="40">
        <f t="shared" si="208"/>
        <v>6408.5049873428679</v>
      </c>
      <c r="Z380" s="40">
        <f t="shared" si="209"/>
        <v>3915.4569944733539</v>
      </c>
      <c r="AA380" s="40">
        <f t="shared" si="210"/>
        <v>6408.5049873428679</v>
      </c>
      <c r="AB380" s="40">
        <f t="shared" si="211"/>
        <v>3068.2569396821259</v>
      </c>
      <c r="AC380" s="40">
        <f t="shared" si="212"/>
        <v>6408.5049873428679</v>
      </c>
      <c r="AD380" s="41">
        <f t="shared" si="213"/>
        <v>0.30567660836012067</v>
      </c>
      <c r="AE380" s="41">
        <f t="shared" si="214"/>
        <v>0.02</v>
      </c>
      <c r="AF380" s="64">
        <f t="shared" si="215"/>
        <v>0</v>
      </c>
      <c r="AG380" s="64">
        <f>APPLICANTS_PER_YEAR*($H380/Segments!$AH$2)*AE380</f>
        <v>7.1999999999999995E-2</v>
      </c>
      <c r="AH380" s="64">
        <f t="shared" si="216"/>
        <v>7.1999999999999995E-2</v>
      </c>
      <c r="AI380" s="40">
        <f t="shared" si="217"/>
        <v>6408.5049873428679</v>
      </c>
      <c r="AJ380" s="65">
        <f t="shared" si="218"/>
        <v>461.41235908868646</v>
      </c>
      <c r="AK380" s="65">
        <f t="shared" si="219"/>
        <v>315.74245203433128</v>
      </c>
      <c r="AL380" s="65">
        <f t="shared" si="220"/>
        <v>106.59636843586577</v>
      </c>
      <c r="AM380" s="40">
        <f t="shared" si="221"/>
        <v>6599.5101369631529</v>
      </c>
      <c r="AN380" s="40">
        <f t="shared" si="222"/>
        <v>4032.9207043075539</v>
      </c>
      <c r="AO380" s="40">
        <f t="shared" si="223"/>
        <v>6599.5101369631529</v>
      </c>
      <c r="AP380" s="40">
        <f t="shared" si="224"/>
        <v>3160.0053968947796</v>
      </c>
      <c r="AQ380" s="40">
        <f t="shared" si="225"/>
        <v>6599.5101369631529</v>
      </c>
      <c r="AR380" s="41">
        <f t="shared" si="226"/>
        <v>0.30577549591398678</v>
      </c>
      <c r="AS380" s="41">
        <f t="shared" si="227"/>
        <v>0.02</v>
      </c>
      <c r="AT380" s="64">
        <f t="shared" si="228"/>
        <v>0</v>
      </c>
      <c r="AU380" s="64">
        <f>APPLICANTS_PER_YEAR*($H380/Segments!$AH$2)*AS380</f>
        <v>7.1999999999999995E-2</v>
      </c>
      <c r="AV380" s="64">
        <f t="shared" si="229"/>
        <v>7.1999999999999995E-2</v>
      </c>
      <c r="AW380" s="40">
        <f t="shared" si="230"/>
        <v>6599.5101369631529</v>
      </c>
      <c r="AX380" s="65">
        <f t="shared" si="231"/>
        <v>475.16472986134698</v>
      </c>
      <c r="AY380" s="65">
        <f t="shared" si="232"/>
        <v>325.21472559536119</v>
      </c>
      <c r="AZ380" s="65">
        <f t="shared" si="233"/>
        <v>109.67689948894173</v>
      </c>
    </row>
    <row r="381" spans="1:52" ht="15" customHeight="1" x14ac:dyDescent="0.35">
      <c r="A381" s="61" t="str">
        <f>Segments!$A$361</f>
        <v>Greek</v>
      </c>
      <c r="B381" s="61" t="str">
        <f>Segments!$B$361</f>
        <v>Off 3-6mi</v>
      </c>
      <c r="C381" s="61" t="str">
        <f>Segments!$C$361</f>
        <v>No</v>
      </c>
      <c r="D381" s="61" t="str">
        <f>Segments!$D$361</f>
        <v>3.0+</v>
      </c>
      <c r="E381" s="61" t="str">
        <f>Segments!$E$361</f>
        <v>Sophomore</v>
      </c>
      <c r="F381" s="61">
        <f>Segments!$F$361</f>
        <v>1</v>
      </c>
      <c r="G381" s="61" t="str">
        <f>Segments!$G$361</f>
        <v>Sophomore</v>
      </c>
      <c r="H381" s="62">
        <f>Segments!$H$361</f>
        <v>4</v>
      </c>
      <c r="I381" s="63">
        <f>Segments!$Y$361</f>
        <v>3762.7398890897757</v>
      </c>
      <c r="J381" s="42">
        <v>1</v>
      </c>
      <c r="K381" s="40">
        <f t="shared" si="195"/>
        <v>1426.2297754450396</v>
      </c>
      <c r="L381" s="40">
        <f t="shared" si="196"/>
        <v>3762.7398890897757</v>
      </c>
      <c r="M381" s="40">
        <f t="shared" si="197"/>
        <v>6160.1750682168649</v>
      </c>
      <c r="N381" s="40">
        <f t="shared" si="198"/>
        <v>2964.0892537582386</v>
      </c>
      <c r="O381" s="40">
        <f t="shared" si="199"/>
        <v>1782.7872193062994</v>
      </c>
      <c r="P381" s="41">
        <f t="shared" si="200"/>
        <v>0.95</v>
      </c>
      <c r="Q381" s="41">
        <f t="shared" si="201"/>
        <v>0.02</v>
      </c>
      <c r="R381" s="64">
        <f t="shared" si="202"/>
        <v>2.8499999999999996</v>
      </c>
      <c r="S381" s="64">
        <f>APPLICANTS_PER_YEAR*($H381/Segments!$AH$2)*Q381</f>
        <v>9.6000000000000002E-2</v>
      </c>
      <c r="T381" s="64">
        <f t="shared" si="203"/>
        <v>2.9459999999999997</v>
      </c>
      <c r="U381" s="40">
        <f t="shared" si="204"/>
        <v>1925.4312225294545</v>
      </c>
      <c r="V381" s="65">
        <f t="shared" si="205"/>
        <v>5672.3203815717725</v>
      </c>
      <c r="W381" s="65">
        <f t="shared" si="206"/>
        <v>12415.235518849497</v>
      </c>
      <c r="X381" s="65">
        <f t="shared" si="207"/>
        <v>1154.0867403462737</v>
      </c>
      <c r="Y381" s="40">
        <f t="shared" si="208"/>
        <v>6223.0630945076382</v>
      </c>
      <c r="Z381" s="40">
        <f t="shared" si="209"/>
        <v>3875.6220857624689</v>
      </c>
      <c r="AA381" s="40">
        <f t="shared" si="210"/>
        <v>6343.7303202633702</v>
      </c>
      <c r="AB381" s="40">
        <f t="shared" si="211"/>
        <v>3052.7111855296284</v>
      </c>
      <c r="AC381" s="40">
        <f t="shared" si="212"/>
        <v>6343.7303202633702</v>
      </c>
      <c r="AD381" s="41">
        <f t="shared" si="213"/>
        <v>0.30515072133016874</v>
      </c>
      <c r="AE381" s="41">
        <f t="shared" si="214"/>
        <v>0.02</v>
      </c>
      <c r="AF381" s="64">
        <f t="shared" si="215"/>
        <v>2.1970851935772147E-2</v>
      </c>
      <c r="AG381" s="64">
        <f>APPLICANTS_PER_YEAR*($H381/Segments!$AH$2)*AE381</f>
        <v>9.6000000000000002E-2</v>
      </c>
      <c r="AH381" s="64">
        <f t="shared" si="216"/>
        <v>0.11797085193577214</v>
      </c>
      <c r="AI381" s="40">
        <f t="shared" si="217"/>
        <v>6343.7303202633711</v>
      </c>
      <c r="AJ381" s="65">
        <f t="shared" si="218"/>
        <v>748.37527033225854</v>
      </c>
      <c r="AK381" s="65">
        <f t="shared" si="219"/>
        <v>512.07569194711175</v>
      </c>
      <c r="AL381" s="65">
        <f t="shared" si="220"/>
        <v>167.51727700759724</v>
      </c>
      <c r="AM381" s="40">
        <f t="shared" si="221"/>
        <v>6408.5049873428679</v>
      </c>
      <c r="AN381" s="40">
        <f t="shared" si="222"/>
        <v>3991.8907483353428</v>
      </c>
      <c r="AO381" s="40">
        <f t="shared" si="223"/>
        <v>6532.792229871271</v>
      </c>
      <c r="AP381" s="40">
        <f t="shared" si="224"/>
        <v>3143.9917460540892</v>
      </c>
      <c r="AQ381" s="40">
        <f t="shared" si="225"/>
        <v>6532.792229871271</v>
      </c>
      <c r="AR381" s="41">
        <f t="shared" si="226"/>
        <v>0.3052489778670896</v>
      </c>
      <c r="AS381" s="41">
        <f t="shared" si="227"/>
        <v>0.02</v>
      </c>
      <c r="AT381" s="64">
        <f t="shared" si="228"/>
        <v>2.197792640643045E-2</v>
      </c>
      <c r="AU381" s="64">
        <f>APPLICANTS_PER_YEAR*($H381/Segments!$AH$2)*AS381</f>
        <v>9.6000000000000002E-2</v>
      </c>
      <c r="AV381" s="64">
        <f t="shared" si="229"/>
        <v>0.11797792640643046</v>
      </c>
      <c r="AW381" s="40">
        <f t="shared" si="230"/>
        <v>6532.792229871271</v>
      </c>
      <c r="AX381" s="65">
        <f t="shared" si="231"/>
        <v>770.72528092425352</v>
      </c>
      <c r="AY381" s="65">
        <f t="shared" si="232"/>
        <v>527.46959208117187</v>
      </c>
      <c r="AZ381" s="65">
        <f t="shared" si="233"/>
        <v>172.37681851518002</v>
      </c>
    </row>
    <row r="382" spans="1:52" ht="15" customHeight="1" x14ac:dyDescent="0.35">
      <c r="A382" s="61" t="str">
        <f>Segments!$A$362</f>
        <v>Greek</v>
      </c>
      <c r="B382" s="61" t="str">
        <f>Segments!$B$362</f>
        <v>Off 3-6mi</v>
      </c>
      <c r="C382" s="61" t="str">
        <f>Segments!$C$362</f>
        <v>No</v>
      </c>
      <c r="D382" s="61" t="str">
        <f>Segments!$D$362</f>
        <v>3.0+</v>
      </c>
      <c r="E382" s="61" t="str">
        <f>Segments!$E$362</f>
        <v>Junior</v>
      </c>
      <c r="F382" s="61">
        <f>Segments!$F$362</f>
        <v>2</v>
      </c>
      <c r="G382" s="61" t="str">
        <f>Segments!$G$362</f>
        <v>Base</v>
      </c>
      <c r="H382" s="62">
        <f>Segments!$H$362</f>
        <v>3</v>
      </c>
      <c r="I382" s="63">
        <f>Segments!$Y$362</f>
        <v>4498.0756794689487</v>
      </c>
      <c r="J382" s="42">
        <v>2</v>
      </c>
      <c r="K382" s="40">
        <f t="shared" si="195"/>
        <v>1426.2297754450396</v>
      </c>
      <c r="L382" s="40">
        <f t="shared" si="196"/>
        <v>4498.0756794689487</v>
      </c>
      <c r="M382" s="40">
        <f t="shared" si="197"/>
        <v>7355.8883898953109</v>
      </c>
      <c r="N382" s="40">
        <f t="shared" si="198"/>
        <v>3239.0101954947845</v>
      </c>
      <c r="O382" s="40">
        <f t="shared" si="199"/>
        <v>1782.7872193062994</v>
      </c>
      <c r="P382" s="41">
        <f t="shared" si="200"/>
        <v>0.95</v>
      </c>
      <c r="Q382" s="41">
        <f t="shared" si="201"/>
        <v>0.02</v>
      </c>
      <c r="R382" s="64">
        <f t="shared" si="202"/>
        <v>3.8</v>
      </c>
      <c r="S382" s="64">
        <f>APPLICANTS_PER_YEAR*($H382/Segments!$AH$2)*Q382</f>
        <v>7.1999999999999995E-2</v>
      </c>
      <c r="T382" s="64">
        <f t="shared" si="203"/>
        <v>3.8719999999999999</v>
      </c>
      <c r="U382" s="40">
        <f t="shared" si="204"/>
        <v>1886.4192658668389</v>
      </c>
      <c r="V382" s="65">
        <f t="shared" si="205"/>
        <v>7304.2153974364001</v>
      </c>
      <c r="W382" s="65">
        <f t="shared" si="206"/>
        <v>19506.534914612224</v>
      </c>
      <c r="X382" s="65">
        <f t="shared" si="207"/>
        <v>1478.2735488580158</v>
      </c>
      <c r="Y382" s="40">
        <f t="shared" si="208"/>
        <v>1925.4312225294545</v>
      </c>
      <c r="Z382" s="40">
        <f t="shared" si="209"/>
        <v>4633.0179498530169</v>
      </c>
      <c r="AA382" s="40">
        <f t="shared" si="210"/>
        <v>7575.31504159217</v>
      </c>
      <c r="AB382" s="40">
        <f t="shared" si="211"/>
        <v>3335.9052844492289</v>
      </c>
      <c r="AC382" s="40">
        <f t="shared" si="212"/>
        <v>2406.7890281618184</v>
      </c>
      <c r="AD382" s="41">
        <f t="shared" si="213"/>
        <v>0.91425998747905268</v>
      </c>
      <c r="AE382" s="41">
        <f t="shared" si="214"/>
        <v>0.02</v>
      </c>
      <c r="AF382" s="64">
        <f t="shared" si="215"/>
        <v>2.6934099231132889</v>
      </c>
      <c r="AG382" s="64">
        <f>APPLICANTS_PER_YEAR*($H382/Segments!$AH$2)*AE382</f>
        <v>7.1999999999999995E-2</v>
      </c>
      <c r="AH382" s="64">
        <f t="shared" si="216"/>
        <v>2.7654099231132889</v>
      </c>
      <c r="AI382" s="40">
        <f t="shared" si="217"/>
        <v>2541.3563738043908</v>
      </c>
      <c r="AJ382" s="65">
        <f t="shared" si="218"/>
        <v>7027.8921342858666</v>
      </c>
      <c r="AK382" s="65">
        <f t="shared" si="219"/>
        <v>14349.657069983783</v>
      </c>
      <c r="AL382" s="65">
        <f t="shared" si="220"/>
        <v>1404.4696057471067</v>
      </c>
      <c r="AM382" s="40">
        <f t="shared" si="221"/>
        <v>6343.7303202633711</v>
      </c>
      <c r="AN382" s="40">
        <f t="shared" si="222"/>
        <v>4772.0084883486079</v>
      </c>
      <c r="AO382" s="40">
        <f t="shared" si="223"/>
        <v>7801.3244928399363</v>
      </c>
      <c r="AP382" s="40">
        <f t="shared" si="224"/>
        <v>3435.7072036953973</v>
      </c>
      <c r="AQ382" s="40">
        <f t="shared" si="225"/>
        <v>7801.3244928399363</v>
      </c>
      <c r="AR382" s="41">
        <f t="shared" si="226"/>
        <v>0.3</v>
      </c>
      <c r="AS382" s="41">
        <f t="shared" si="227"/>
        <v>0.02</v>
      </c>
      <c r="AT382" s="64">
        <f t="shared" si="228"/>
        <v>3.539125558073164E-2</v>
      </c>
      <c r="AU382" s="64">
        <f>APPLICANTS_PER_YEAR*($H382/Segments!$AH$2)*AS382</f>
        <v>7.1999999999999995E-2</v>
      </c>
      <c r="AV382" s="64">
        <f t="shared" si="229"/>
        <v>0.10739125558073163</v>
      </c>
      <c r="AW382" s="40">
        <f t="shared" si="230"/>
        <v>7801.3244928399363</v>
      </c>
      <c r="AX382" s="65">
        <f t="shared" si="231"/>
        <v>837.7940324787952</v>
      </c>
      <c r="AY382" s="65">
        <f t="shared" si="232"/>
        <v>573.9686211903462</v>
      </c>
      <c r="AZ382" s="65">
        <f t="shared" si="233"/>
        <v>181.95023497206358</v>
      </c>
    </row>
    <row r="383" spans="1:52" ht="15" customHeight="1" x14ac:dyDescent="0.35">
      <c r="A383" s="61" t="str">
        <f>Segments!$A$363</f>
        <v>Greek</v>
      </c>
      <c r="B383" s="61" t="str">
        <f>Segments!$B$363</f>
        <v>Off 3-6mi</v>
      </c>
      <c r="C383" s="61" t="str">
        <f>Segments!$C$363</f>
        <v>No</v>
      </c>
      <c r="D383" s="61" t="str">
        <f>Segments!$D$363</f>
        <v>3.0+</v>
      </c>
      <c r="E383" s="61" t="str">
        <f>Segments!$E$363</f>
        <v>Senior</v>
      </c>
      <c r="F383" s="61">
        <f>Segments!$F$363</f>
        <v>3</v>
      </c>
      <c r="G383" s="61" t="str">
        <f>Segments!$G$363</f>
        <v>Base</v>
      </c>
      <c r="H383" s="62">
        <f>Segments!$H$363</f>
        <v>4</v>
      </c>
      <c r="I383" s="63">
        <f>Segments!$Y$363</f>
        <v>4204.2949157640751</v>
      </c>
      <c r="J383" s="42">
        <v>3</v>
      </c>
      <c r="K383" s="40">
        <f t="shared" si="195"/>
        <v>1426.2297754450396</v>
      </c>
      <c r="L383" s="40">
        <f t="shared" si="196"/>
        <v>4204.2949157640751</v>
      </c>
      <c r="M383" s="40">
        <f t="shared" si="197"/>
        <v>6878.1779650652479</v>
      </c>
      <c r="N383" s="40">
        <f t="shared" si="198"/>
        <v>3132.0699568473924</v>
      </c>
      <c r="O383" s="40">
        <f t="shared" si="199"/>
        <v>1782.7872193062994</v>
      </c>
      <c r="P383" s="41">
        <f t="shared" si="200"/>
        <v>0.95</v>
      </c>
      <c r="Q383" s="41">
        <f t="shared" si="201"/>
        <v>0.02</v>
      </c>
      <c r="R383" s="64">
        <f t="shared" si="202"/>
        <v>2.8499999999999996</v>
      </c>
      <c r="S383" s="64">
        <f>APPLICANTS_PER_YEAR*($H383/Segments!$AH$2)*Q383</f>
        <v>9.6000000000000002E-2</v>
      </c>
      <c r="T383" s="64">
        <f t="shared" si="203"/>
        <v>2.9459999999999997</v>
      </c>
      <c r="U383" s="40">
        <f t="shared" si="204"/>
        <v>1948.8284656039434</v>
      </c>
      <c r="V383" s="65">
        <f t="shared" si="205"/>
        <v>5741.248659669217</v>
      </c>
      <c r="W383" s="65">
        <f t="shared" si="206"/>
        <v>13872.155160461882</v>
      </c>
      <c r="X383" s="65">
        <f t="shared" si="207"/>
        <v>1169.5266746401014</v>
      </c>
      <c r="Y383" s="40">
        <f t="shared" si="208"/>
        <v>1886.4192658668389</v>
      </c>
      <c r="Z383" s="40">
        <f t="shared" si="209"/>
        <v>4330.4237632369977</v>
      </c>
      <c r="AA383" s="40">
        <f t="shared" si="210"/>
        <v>7083.2733040172061</v>
      </c>
      <c r="AB383" s="40">
        <f t="shared" si="211"/>
        <v>3225.7474409225579</v>
      </c>
      <c r="AC383" s="40">
        <f t="shared" si="212"/>
        <v>2358.0240823335489</v>
      </c>
      <c r="AD383" s="41">
        <f t="shared" si="213"/>
        <v>0.90949958102436579</v>
      </c>
      <c r="AE383" s="41">
        <f t="shared" si="214"/>
        <v>0.02</v>
      </c>
      <c r="AF383" s="64">
        <f t="shared" si="215"/>
        <v>3.5215823777263444</v>
      </c>
      <c r="AG383" s="64">
        <f>APPLICANTS_PER_YEAR*($H383/Segments!$AH$2)*AE383</f>
        <v>9.6000000000000002E-2</v>
      </c>
      <c r="AH383" s="64">
        <f t="shared" si="216"/>
        <v>3.6175823777263445</v>
      </c>
      <c r="AI383" s="40">
        <f t="shared" si="217"/>
        <v>2483.4183036440622</v>
      </c>
      <c r="AJ383" s="65">
        <f t="shared" si="218"/>
        <v>8983.9702917858122</v>
      </c>
      <c r="AK383" s="65">
        <f t="shared" si="219"/>
        <v>17545.544457250395</v>
      </c>
      <c r="AL383" s="65">
        <f t="shared" si="220"/>
        <v>1796.5218310035432</v>
      </c>
      <c r="AM383" s="40">
        <f t="shared" si="221"/>
        <v>2541.3563738043908</v>
      </c>
      <c r="AN383" s="40">
        <f t="shared" si="222"/>
        <v>4460.3364761341072</v>
      </c>
      <c r="AO383" s="40">
        <f t="shared" si="223"/>
        <v>7294.5215031377211</v>
      </c>
      <c r="AP383" s="40">
        <f t="shared" si="224"/>
        <v>3322.2352247714084</v>
      </c>
      <c r="AQ383" s="40">
        <f t="shared" si="225"/>
        <v>3176.6954672554884</v>
      </c>
      <c r="AR383" s="41">
        <f t="shared" si="226"/>
        <v>0.79690389115598137</v>
      </c>
      <c r="AS383" s="41">
        <f t="shared" si="227"/>
        <v>0.02</v>
      </c>
      <c r="AT383" s="64">
        <f t="shared" si="228"/>
        <v>2.203765928370343</v>
      </c>
      <c r="AU383" s="64">
        <f>APPLICANTS_PER_YEAR*($H383/Segments!$AH$2)*AS383</f>
        <v>9.6000000000000002E-2</v>
      </c>
      <c r="AV383" s="64">
        <f t="shared" si="229"/>
        <v>2.2997659283703431</v>
      </c>
      <c r="AW383" s="40">
        <f t="shared" si="230"/>
        <v>3348.5874387679191</v>
      </c>
      <c r="AX383" s="65">
        <f t="shared" si="231"/>
        <v>7700.9672998473734</v>
      </c>
      <c r="AY383" s="65">
        <f t="shared" si="232"/>
        <v>11488.65743970634</v>
      </c>
      <c r="AZ383" s="65">
        <f t="shared" si="233"/>
        <v>1528.3877304891032</v>
      </c>
    </row>
    <row r="384" spans="1:52" ht="15" customHeight="1" x14ac:dyDescent="0.35">
      <c r="A384" s="61" t="str">
        <f>Segments!$A$364</f>
        <v>Greek</v>
      </c>
      <c r="B384" s="61" t="str">
        <f>Segments!$B$364</f>
        <v>Off 3-6mi</v>
      </c>
      <c r="C384" s="61" t="str">
        <f>Segments!$C$364</f>
        <v>No</v>
      </c>
      <c r="D384" s="61" t="str">
        <f>Segments!$D$364</f>
        <v>3.0+</v>
      </c>
      <c r="E384" s="61" t="str">
        <f>Segments!$E$364</f>
        <v>Grad student</v>
      </c>
      <c r="F384" s="61">
        <f>Segments!$F$364</f>
        <v>3</v>
      </c>
      <c r="G384" s="61" t="str">
        <f>Segments!$G$364</f>
        <v>Grad</v>
      </c>
      <c r="H384" s="62">
        <f>Segments!$H$364</f>
        <v>0</v>
      </c>
      <c r="I384" s="63">
        <f>Segments!$Y$364</f>
        <v>5005.9716654359199</v>
      </c>
      <c r="J384" s="42">
        <v>4</v>
      </c>
      <c r="K384" s="40">
        <f t="shared" si="195"/>
        <v>1426.2297754450396</v>
      </c>
      <c r="L384" s="40">
        <f t="shared" si="196"/>
        <v>5005.9716654359199</v>
      </c>
      <c r="M384" s="40">
        <f t="shared" si="197"/>
        <v>8181.7668584716412</v>
      </c>
      <c r="N384" s="40">
        <f t="shared" si="198"/>
        <v>3416.0034410553035</v>
      </c>
      <c r="O384" s="40">
        <f t="shared" si="199"/>
        <v>1782.7872193062994</v>
      </c>
      <c r="P384" s="41">
        <f t="shared" si="200"/>
        <v>0.95</v>
      </c>
      <c r="Q384" s="41">
        <f t="shared" si="201"/>
        <v>0.02</v>
      </c>
      <c r="R384" s="64">
        <f t="shared" si="202"/>
        <v>0</v>
      </c>
      <c r="S384" s="64">
        <f>APPLICANTS_PER_YEAR*($H384/Segments!$AH$2)*Q384</f>
        <v>0</v>
      </c>
      <c r="T384" s="64">
        <f t="shared" si="203"/>
        <v>0</v>
      </c>
      <c r="U384" s="40">
        <f t="shared" si="204"/>
        <v>8181.7668584716412</v>
      </c>
      <c r="V384" s="65">
        <f t="shared" si="205"/>
        <v>0</v>
      </c>
      <c r="W384" s="65">
        <f t="shared" si="206"/>
        <v>0</v>
      </c>
      <c r="X384" s="65">
        <f t="shared" si="207"/>
        <v>0</v>
      </c>
      <c r="Y384" s="40">
        <f t="shared" si="208"/>
        <v>8181.7668584716412</v>
      </c>
      <c r="Z384" s="40">
        <f t="shared" si="209"/>
        <v>5156.150815398998</v>
      </c>
      <c r="AA384" s="40">
        <f t="shared" si="210"/>
        <v>8425.9698642257899</v>
      </c>
      <c r="AB384" s="40">
        <f t="shared" si="211"/>
        <v>3518.2225882655948</v>
      </c>
      <c r="AC384" s="40">
        <f t="shared" si="212"/>
        <v>8425.9698642257899</v>
      </c>
      <c r="AD384" s="41">
        <f t="shared" si="213"/>
        <v>0.3</v>
      </c>
      <c r="AE384" s="41">
        <f t="shared" si="214"/>
        <v>0.02</v>
      </c>
      <c r="AF384" s="64">
        <f t="shared" si="215"/>
        <v>0</v>
      </c>
      <c r="AG384" s="64">
        <f>APPLICANTS_PER_YEAR*($H384/Segments!$AH$2)*AE384</f>
        <v>0</v>
      </c>
      <c r="AH384" s="64">
        <f t="shared" si="216"/>
        <v>0</v>
      </c>
      <c r="AI384" s="40">
        <f t="shared" si="217"/>
        <v>8425.9698642257899</v>
      </c>
      <c r="AJ384" s="65">
        <f t="shared" si="218"/>
        <v>0</v>
      </c>
      <c r="AK384" s="65">
        <f t="shared" si="219"/>
        <v>0</v>
      </c>
      <c r="AL384" s="65">
        <f t="shared" si="220"/>
        <v>0</v>
      </c>
      <c r="AM384" s="40">
        <f t="shared" si="221"/>
        <v>8425.9698642257899</v>
      </c>
      <c r="AN384" s="40">
        <f t="shared" si="222"/>
        <v>5310.835339860967</v>
      </c>
      <c r="AO384" s="40">
        <f t="shared" si="223"/>
        <v>8677.4989601525631</v>
      </c>
      <c r="AP384" s="40">
        <f t="shared" si="224"/>
        <v>3623.5082908168929</v>
      </c>
      <c r="AQ384" s="40">
        <f t="shared" si="225"/>
        <v>8677.4989601525631</v>
      </c>
      <c r="AR384" s="41">
        <f t="shared" si="226"/>
        <v>0.3</v>
      </c>
      <c r="AS384" s="41">
        <f t="shared" si="227"/>
        <v>0.02</v>
      </c>
      <c r="AT384" s="64">
        <f t="shared" si="228"/>
        <v>0</v>
      </c>
      <c r="AU384" s="64">
        <f>APPLICANTS_PER_YEAR*($H384/Segments!$AH$2)*AS384</f>
        <v>0</v>
      </c>
      <c r="AV384" s="64">
        <f t="shared" si="229"/>
        <v>0</v>
      </c>
      <c r="AW384" s="40">
        <f t="shared" si="230"/>
        <v>8677.4989601525631</v>
      </c>
      <c r="AX384" s="65">
        <f t="shared" si="231"/>
        <v>0</v>
      </c>
      <c r="AY384" s="65">
        <f t="shared" si="232"/>
        <v>0</v>
      </c>
      <c r="AZ384" s="65">
        <f t="shared" si="233"/>
        <v>0</v>
      </c>
    </row>
    <row r="385" spans="1:52" ht="15" customHeight="1" x14ac:dyDescent="0.35">
      <c r="A385" s="59" t="str">
        <f>Segments!$A$365</f>
        <v>Greek</v>
      </c>
      <c r="B385" s="59" t="str">
        <f>Segments!$B$365</f>
        <v>Off 6+mi</v>
      </c>
      <c r="C385" s="59" t="str">
        <f>Segments!$C$365</f>
        <v>Yes</v>
      </c>
      <c r="D385" s="59" t="str">
        <f>Segments!$D$365</f>
        <v>&lt;1.0</v>
      </c>
      <c r="E385" s="59" t="str">
        <f>Segments!$E$365</f>
        <v>Freshman</v>
      </c>
      <c r="F385" s="59">
        <f>Segments!$F$365</f>
        <v>1</v>
      </c>
      <c r="G385" s="59" t="str">
        <f>Segments!$G$365</f>
        <v>Base</v>
      </c>
      <c r="H385" s="60">
        <f>Segments!$H$365</f>
        <v>2</v>
      </c>
      <c r="I385" s="26">
        <f>Segments!$Y$365</f>
        <v>3600.1530161003484</v>
      </c>
      <c r="J385" s="29">
        <v>0</v>
      </c>
      <c r="K385" s="14">
        <f t="shared" si="195"/>
        <v>5895.7961375201085</v>
      </c>
      <c r="L385" s="14">
        <f t="shared" si="196"/>
        <v>3600.1530161003484</v>
      </c>
      <c r="M385" s="14">
        <f t="shared" si="197"/>
        <v>5895.7961375201085</v>
      </c>
      <c r="N385" s="14">
        <f t="shared" si="198"/>
        <v>2899.786199236943</v>
      </c>
      <c r="O385" s="14">
        <f t="shared" si="199"/>
        <v>5895.7961375201085</v>
      </c>
      <c r="P385" s="33">
        <f t="shared" si="200"/>
        <v>0.33340847696434606</v>
      </c>
      <c r="Q385" s="33">
        <f t="shared" si="201"/>
        <v>0.02</v>
      </c>
      <c r="R385" s="51">
        <f t="shared" si="202"/>
        <v>0</v>
      </c>
      <c r="S385" s="51">
        <f>APPLICANTS_PER_YEAR*($H385/Segments!$AH$2)*Q385</f>
        <v>4.8000000000000001E-2</v>
      </c>
      <c r="T385" s="51">
        <f t="shared" si="203"/>
        <v>4.8000000000000001E-2</v>
      </c>
      <c r="U385" s="14">
        <f t="shared" si="204"/>
        <v>5895.7961375201075</v>
      </c>
      <c r="V385" s="44">
        <f t="shared" si="205"/>
        <v>282.99821460096518</v>
      </c>
      <c r="W385" s="44">
        <f t="shared" si="206"/>
        <v>193.54422614555475</v>
      </c>
      <c r="X385" s="44">
        <f t="shared" si="207"/>
        <v>65.551600070616203</v>
      </c>
      <c r="Y385" s="14">
        <f t="shared" si="208"/>
        <v>6071.4200216457111</v>
      </c>
      <c r="Z385" s="14">
        <f t="shared" si="209"/>
        <v>3708.1576065833588</v>
      </c>
      <c r="AA385" s="14">
        <f t="shared" si="210"/>
        <v>6071.4200216457111</v>
      </c>
      <c r="AB385" s="14">
        <f t="shared" si="211"/>
        <v>2986.4723696239698</v>
      </c>
      <c r="AC385" s="14">
        <f t="shared" si="212"/>
        <v>6071.4200216457111</v>
      </c>
      <c r="AD385" s="33">
        <f t="shared" si="213"/>
        <v>0.33351311008275453</v>
      </c>
      <c r="AE385" s="33">
        <f t="shared" si="214"/>
        <v>0.02</v>
      </c>
      <c r="AF385" s="51">
        <f t="shared" si="215"/>
        <v>0</v>
      </c>
      <c r="AG385" s="51">
        <f>APPLICANTS_PER_YEAR*($H385/Segments!$AH$2)*AE385</f>
        <v>4.8000000000000001E-2</v>
      </c>
      <c r="AH385" s="51">
        <f t="shared" si="216"/>
        <v>4.8000000000000001E-2</v>
      </c>
      <c r="AI385" s="14">
        <f t="shared" si="217"/>
        <v>6071.4200216457111</v>
      </c>
      <c r="AJ385" s="44">
        <f t="shared" si="218"/>
        <v>291.42816103899412</v>
      </c>
      <c r="AK385" s="44">
        <f t="shared" si="219"/>
        <v>199.35055292992141</v>
      </c>
      <c r="AL385" s="44">
        <f t="shared" si="220"/>
        <v>67.439908072734681</v>
      </c>
      <c r="AM385" s="14">
        <f t="shared" si="221"/>
        <v>6252.3126222950823</v>
      </c>
      <c r="AN385" s="14">
        <f t="shared" si="222"/>
        <v>3819.4023347808593</v>
      </c>
      <c r="AO385" s="14">
        <f t="shared" si="223"/>
        <v>6252.3126222950823</v>
      </c>
      <c r="AP385" s="14">
        <f t="shared" si="224"/>
        <v>3075.7590939361889</v>
      </c>
      <c r="AQ385" s="14">
        <f t="shared" si="225"/>
        <v>6252.3126222950823</v>
      </c>
      <c r="AR385" s="33">
        <f t="shared" si="226"/>
        <v>0.33361470594016629</v>
      </c>
      <c r="AS385" s="33">
        <f t="shared" si="227"/>
        <v>0.02</v>
      </c>
      <c r="AT385" s="51">
        <f t="shared" si="228"/>
        <v>0</v>
      </c>
      <c r="AU385" s="51">
        <f>APPLICANTS_PER_YEAR*($H385/Segments!$AH$2)*AS385</f>
        <v>4.8000000000000001E-2</v>
      </c>
      <c r="AV385" s="51">
        <f t="shared" si="229"/>
        <v>4.8000000000000001E-2</v>
      </c>
      <c r="AW385" s="14">
        <f t="shared" si="230"/>
        <v>6252.3126222950832</v>
      </c>
      <c r="AX385" s="44">
        <f t="shared" si="231"/>
        <v>300.11100587016398</v>
      </c>
      <c r="AY385" s="44">
        <f t="shared" si="232"/>
        <v>205.331069517819</v>
      </c>
      <c r="AZ385" s="44">
        <f t="shared" si="233"/>
        <v>69.384865314916723</v>
      </c>
    </row>
    <row r="386" spans="1:52" ht="15" customHeight="1" x14ac:dyDescent="0.35">
      <c r="A386" s="59" t="str">
        <f>Segments!$A$366</f>
        <v>Greek</v>
      </c>
      <c r="B386" s="59" t="str">
        <f>Segments!$B$366</f>
        <v>Off 6+mi</v>
      </c>
      <c r="C386" s="59" t="str">
        <f>Segments!$C$366</f>
        <v>Yes</v>
      </c>
      <c r="D386" s="59" t="str">
        <f>Segments!$D$366</f>
        <v>&lt;1.0</v>
      </c>
      <c r="E386" s="59" t="str">
        <f>Segments!$E$366</f>
        <v>Sophomore</v>
      </c>
      <c r="F386" s="59">
        <f>Segments!$F$366</f>
        <v>1</v>
      </c>
      <c r="G386" s="59" t="str">
        <f>Segments!$G$366</f>
        <v>Sophomore</v>
      </c>
      <c r="H386" s="60">
        <f>Segments!$H$366</f>
        <v>1</v>
      </c>
      <c r="I386" s="26">
        <f>Segments!$Y$366</f>
        <v>3563.5259335033493</v>
      </c>
      <c r="J386" s="29">
        <v>1</v>
      </c>
      <c r="K386" s="14">
        <f t="shared" si="195"/>
        <v>1426.2297754450396</v>
      </c>
      <c r="L386" s="14">
        <f t="shared" si="196"/>
        <v>3563.5259335033493</v>
      </c>
      <c r="M386" s="14">
        <f t="shared" si="197"/>
        <v>5836.237645782795</v>
      </c>
      <c r="N386" s="14">
        <f t="shared" si="198"/>
        <v>2885.102408405754</v>
      </c>
      <c r="O386" s="14">
        <f t="shared" si="199"/>
        <v>1782.7872193062994</v>
      </c>
      <c r="P386" s="33">
        <f t="shared" si="200"/>
        <v>0.95</v>
      </c>
      <c r="Q386" s="33">
        <f t="shared" si="201"/>
        <v>0.02</v>
      </c>
      <c r="R386" s="51">
        <f t="shared" si="202"/>
        <v>1.9</v>
      </c>
      <c r="S386" s="51">
        <f>APPLICANTS_PER_YEAR*($H386/Segments!$AH$2)*Q386</f>
        <v>2.4E-2</v>
      </c>
      <c r="T386" s="51">
        <f t="shared" si="203"/>
        <v>1.9239999999999999</v>
      </c>
      <c r="U386" s="14">
        <f t="shared" si="204"/>
        <v>1833.3500104889583</v>
      </c>
      <c r="V386" s="44">
        <f t="shared" si="205"/>
        <v>3527.3654201807558</v>
      </c>
      <c r="W386" s="44">
        <f t="shared" si="206"/>
        <v>7678.9707635876975</v>
      </c>
      <c r="X386" s="44">
        <f t="shared" si="207"/>
        <v>710.65450403662044</v>
      </c>
      <c r="Y386" s="14">
        <f t="shared" si="208"/>
        <v>5895.7961375201075</v>
      </c>
      <c r="Z386" s="14">
        <f t="shared" si="209"/>
        <v>3670.43171150845</v>
      </c>
      <c r="AA386" s="14">
        <f t="shared" si="210"/>
        <v>6010.0747751562794</v>
      </c>
      <c r="AB386" s="14">
        <f t="shared" si="211"/>
        <v>2971.3465003072947</v>
      </c>
      <c r="AC386" s="14">
        <f t="shared" si="212"/>
        <v>6010.0747751562794</v>
      </c>
      <c r="AD386" s="33">
        <f t="shared" si="213"/>
        <v>0.33284648602980516</v>
      </c>
      <c r="AE386" s="33">
        <f t="shared" si="214"/>
        <v>0.02</v>
      </c>
      <c r="AF386" s="51">
        <f t="shared" si="215"/>
        <v>1.5976631329430648E-2</v>
      </c>
      <c r="AG386" s="51">
        <f>APPLICANTS_PER_YEAR*($H386/Segments!$AH$2)*AE386</f>
        <v>2.4E-2</v>
      </c>
      <c r="AH386" s="51">
        <f t="shared" si="216"/>
        <v>3.9976631329430648E-2</v>
      </c>
      <c r="AI386" s="14">
        <f t="shared" si="217"/>
        <v>6010.0747751562794</v>
      </c>
      <c r="AJ386" s="44">
        <f t="shared" si="218"/>
        <v>240.26254354873339</v>
      </c>
      <c r="AK386" s="44">
        <f t="shared" si="219"/>
        <v>164.33927479292339</v>
      </c>
      <c r="AL386" s="44">
        <f t="shared" si="220"/>
        <v>51.857616168430503</v>
      </c>
      <c r="AM386" s="14">
        <f t="shared" si="221"/>
        <v>6071.4200216457111</v>
      </c>
      <c r="AN386" s="14">
        <f t="shared" si="222"/>
        <v>3780.5446628537029</v>
      </c>
      <c r="AO386" s="14">
        <f t="shared" si="223"/>
        <v>6189.1270184109671</v>
      </c>
      <c r="AP386" s="14">
        <f t="shared" si="224"/>
        <v>3060.1778833007652</v>
      </c>
      <c r="AQ386" s="14">
        <f t="shared" si="225"/>
        <v>6189.1270184109671</v>
      </c>
      <c r="AR386" s="33">
        <f t="shared" si="226"/>
        <v>0.33294740192949246</v>
      </c>
      <c r="AS386" s="33">
        <f t="shared" si="227"/>
        <v>0.02</v>
      </c>
      <c r="AT386" s="51">
        <f t="shared" si="228"/>
        <v>1.5981475292615639E-2</v>
      </c>
      <c r="AU386" s="51">
        <f>APPLICANTS_PER_YEAR*($H386/Segments!$AH$2)*AS386</f>
        <v>2.4E-2</v>
      </c>
      <c r="AV386" s="51">
        <f t="shared" si="229"/>
        <v>3.9981475292615642E-2</v>
      </c>
      <c r="AW386" s="14">
        <f t="shared" si="230"/>
        <v>6189.1270184109662</v>
      </c>
      <c r="AX386" s="44">
        <f t="shared" si="231"/>
        <v>247.45042896945796</v>
      </c>
      <c r="AY386" s="44">
        <f t="shared" si="232"/>
        <v>169.28996339417711</v>
      </c>
      <c r="AZ386" s="44">
        <f t="shared" si="233"/>
        <v>53.366627276545081</v>
      </c>
    </row>
    <row r="387" spans="1:52" ht="15" customHeight="1" x14ac:dyDescent="0.35">
      <c r="A387" s="59" t="str">
        <f>Segments!$A$367</f>
        <v>Greek</v>
      </c>
      <c r="B387" s="59" t="str">
        <f>Segments!$B$367</f>
        <v>Off 6+mi</v>
      </c>
      <c r="C387" s="59" t="str">
        <f>Segments!$C$367</f>
        <v>Yes</v>
      </c>
      <c r="D387" s="59" t="str">
        <f>Segments!$D$367</f>
        <v>&lt;1.0</v>
      </c>
      <c r="E387" s="59" t="str">
        <f>Segments!$E$367</f>
        <v>Junior</v>
      </c>
      <c r="F387" s="59">
        <f>Segments!$F$367</f>
        <v>2</v>
      </c>
      <c r="G387" s="59" t="str">
        <f>Segments!$G$367</f>
        <v>Base</v>
      </c>
      <c r="H387" s="60">
        <f>Segments!$H$367</f>
        <v>4</v>
      </c>
      <c r="I387" s="26">
        <f>Segments!$Y$367</f>
        <v>4259.9302123234966</v>
      </c>
      <c r="J387" s="29">
        <v>2</v>
      </c>
      <c r="K387" s="14">
        <f t="shared" si="195"/>
        <v>1426.2297754450396</v>
      </c>
      <c r="L387" s="14">
        <f t="shared" si="196"/>
        <v>4259.9302123234966</v>
      </c>
      <c r="M387" s="14">
        <f t="shared" si="197"/>
        <v>6968.6452945791943</v>
      </c>
      <c r="N387" s="14">
        <f t="shared" si="198"/>
        <v>3152.6004208658946</v>
      </c>
      <c r="O387" s="14">
        <f t="shared" si="199"/>
        <v>1782.7872193062994</v>
      </c>
      <c r="P387" s="33">
        <f t="shared" si="200"/>
        <v>0.95</v>
      </c>
      <c r="Q387" s="33">
        <f t="shared" si="201"/>
        <v>0.02</v>
      </c>
      <c r="R387" s="51">
        <f t="shared" si="202"/>
        <v>0.95</v>
      </c>
      <c r="S387" s="51">
        <f>APPLICANTS_PER_YEAR*($H387/Segments!$AH$2)*Q387</f>
        <v>9.6000000000000002E-2</v>
      </c>
      <c r="T387" s="51">
        <f t="shared" si="203"/>
        <v>1.046</v>
      </c>
      <c r="U387" s="14">
        <f t="shared" si="204"/>
        <v>2258.7359527921481</v>
      </c>
      <c r="V387" s="44">
        <f t="shared" si="205"/>
        <v>2362.6378066205871</v>
      </c>
      <c r="W387" s="44">
        <f t="shared" si="206"/>
        <v>4990.5934423412236</v>
      </c>
      <c r="X387" s="44">
        <f t="shared" si="207"/>
        <v>493.27319364107706</v>
      </c>
      <c r="Y387" s="14">
        <f t="shared" si="208"/>
        <v>1833.3500104889583</v>
      </c>
      <c r="Z387" s="14">
        <f t="shared" si="209"/>
        <v>4387.7281186932014</v>
      </c>
      <c r="AA387" s="14">
        <f t="shared" si="210"/>
        <v>7176.4546534165702</v>
      </c>
      <c r="AB387" s="14">
        <f t="shared" si="211"/>
        <v>3246.8956724999398</v>
      </c>
      <c r="AC387" s="14">
        <f t="shared" si="212"/>
        <v>2291.6875131111979</v>
      </c>
      <c r="AD387" s="33">
        <f t="shared" si="213"/>
        <v>0.922095603883891</v>
      </c>
      <c r="AE387" s="33">
        <f t="shared" si="214"/>
        <v>0.02</v>
      </c>
      <c r="AF387" s="51">
        <f t="shared" si="215"/>
        <v>1.7741119418726061</v>
      </c>
      <c r="AG387" s="51">
        <f>APPLICANTS_PER_YEAR*($H387/Segments!$AH$2)*AE387</f>
        <v>9.6000000000000002E-2</v>
      </c>
      <c r="AH387" s="51">
        <f t="shared" si="216"/>
        <v>1.8701119418726062</v>
      </c>
      <c r="AI387" s="14">
        <f t="shared" si="217"/>
        <v>2542.4412968658498</v>
      </c>
      <c r="AJ387" s="44">
        <f t="shared" si="218"/>
        <v>4754.6498307789016</v>
      </c>
      <c r="AK387" s="44">
        <f t="shared" si="219"/>
        <v>9190.207882753386</v>
      </c>
      <c r="AL387" s="44">
        <f t="shared" si="220"/>
        <v>962.54394449014433</v>
      </c>
      <c r="AM387" s="14">
        <f t="shared" si="221"/>
        <v>6010.0747751562794</v>
      </c>
      <c r="AN387" s="14">
        <f t="shared" si="222"/>
        <v>4519.3599622539969</v>
      </c>
      <c r="AO387" s="14">
        <f t="shared" si="223"/>
        <v>7390.4982930190663</v>
      </c>
      <c r="AP387" s="14">
        <f t="shared" si="224"/>
        <v>3344.0197574148833</v>
      </c>
      <c r="AQ387" s="14">
        <f t="shared" si="225"/>
        <v>7390.4982930190663</v>
      </c>
      <c r="AR387" s="33">
        <f t="shared" si="226"/>
        <v>0.3</v>
      </c>
      <c r="AS387" s="33">
        <f t="shared" si="227"/>
        <v>0.02</v>
      </c>
      <c r="AT387" s="51">
        <f t="shared" si="228"/>
        <v>1.1992989398829194E-2</v>
      </c>
      <c r="AU387" s="51">
        <f>APPLICANTS_PER_YEAR*($H387/Segments!$AH$2)*AS387</f>
        <v>9.6000000000000002E-2</v>
      </c>
      <c r="AV387" s="51">
        <f t="shared" si="229"/>
        <v>0.1079929893988292</v>
      </c>
      <c r="AW387" s="14">
        <f t="shared" si="230"/>
        <v>7390.4982930190663</v>
      </c>
      <c r="AX387" s="44">
        <f t="shared" si="231"/>
        <v>798.12200381007335</v>
      </c>
      <c r="AY387" s="44">
        <f t="shared" si="232"/>
        <v>546.62629559237178</v>
      </c>
      <c r="AZ387" s="44">
        <f t="shared" si="233"/>
        <v>180.23699277262452</v>
      </c>
    </row>
    <row r="388" spans="1:52" ht="15" customHeight="1" x14ac:dyDescent="0.35">
      <c r="A388" s="59" t="str">
        <f>Segments!$A$368</f>
        <v>Greek</v>
      </c>
      <c r="B388" s="59" t="str">
        <f>Segments!$B$368</f>
        <v>Off 6+mi</v>
      </c>
      <c r="C388" s="59" t="str">
        <f>Segments!$C$368</f>
        <v>Yes</v>
      </c>
      <c r="D388" s="59" t="str">
        <f>Segments!$D$368</f>
        <v>&lt;1.0</v>
      </c>
      <c r="E388" s="59" t="str">
        <f>Segments!$E$368</f>
        <v>Senior</v>
      </c>
      <c r="F388" s="59">
        <f>Segments!$F$368</f>
        <v>3</v>
      </c>
      <c r="G388" s="59" t="str">
        <f>Segments!$G$368</f>
        <v>Base</v>
      </c>
      <c r="H388" s="60">
        <f>Segments!$H$368</f>
        <v>3</v>
      </c>
      <c r="I388" s="26">
        <f>Segments!$Y$368</f>
        <v>3981.7033348127093</v>
      </c>
      <c r="J388" s="29">
        <v>3</v>
      </c>
      <c r="K388" s="14">
        <f t="shared" si="195"/>
        <v>1426.2297754450396</v>
      </c>
      <c r="L388" s="14">
        <f t="shared" si="196"/>
        <v>3981.7033348127093</v>
      </c>
      <c r="M388" s="14">
        <f t="shared" si="197"/>
        <v>6516.2267012762622</v>
      </c>
      <c r="N388" s="14">
        <f t="shared" si="198"/>
        <v>3048.5466282985103</v>
      </c>
      <c r="O388" s="14">
        <f t="shared" si="199"/>
        <v>1782.7872193062994</v>
      </c>
      <c r="P388" s="33">
        <f t="shared" si="200"/>
        <v>0.95</v>
      </c>
      <c r="Q388" s="33">
        <f t="shared" si="201"/>
        <v>0.02</v>
      </c>
      <c r="R388" s="51">
        <f t="shared" si="202"/>
        <v>3.8</v>
      </c>
      <c r="S388" s="51">
        <f>APPLICANTS_PER_YEAR*($H388/Segments!$AH$2)*Q388</f>
        <v>7.1999999999999995E-2</v>
      </c>
      <c r="T388" s="51">
        <f t="shared" si="203"/>
        <v>3.8719999999999999</v>
      </c>
      <c r="U388" s="14">
        <f t="shared" si="204"/>
        <v>1870.8057220702037</v>
      </c>
      <c r="V388" s="44">
        <f t="shared" si="205"/>
        <v>7243.7597558558282</v>
      </c>
      <c r="W388" s="44">
        <f t="shared" si="206"/>
        <v>17267.213949882189</v>
      </c>
      <c r="X388" s="44">
        <f t="shared" si="207"/>
        <v>1464.7314851439678</v>
      </c>
      <c r="Y388" s="14">
        <f t="shared" si="208"/>
        <v>2258.7359527921481</v>
      </c>
      <c r="Z388" s="14">
        <f t="shared" si="209"/>
        <v>4101.1544348570906</v>
      </c>
      <c r="AA388" s="14">
        <f t="shared" si="210"/>
        <v>6710.4635023145493</v>
      </c>
      <c r="AB388" s="14">
        <f t="shared" si="211"/>
        <v>3139.7106139992202</v>
      </c>
      <c r="AC388" s="14">
        <f t="shared" si="212"/>
        <v>2823.4199409901848</v>
      </c>
      <c r="AD388" s="33">
        <f t="shared" si="213"/>
        <v>0.82536939895014072</v>
      </c>
      <c r="AE388" s="33">
        <f t="shared" si="214"/>
        <v>0.02</v>
      </c>
      <c r="AF388" s="51">
        <f t="shared" si="215"/>
        <v>0.86333639130184725</v>
      </c>
      <c r="AG388" s="51">
        <f>APPLICANTS_PER_YEAR*($H388/Segments!$AH$2)*AE388</f>
        <v>7.1999999999999995E-2</v>
      </c>
      <c r="AH388" s="51">
        <f t="shared" si="216"/>
        <v>0.9353363913018472</v>
      </c>
      <c r="AI388" s="14">
        <f t="shared" si="217"/>
        <v>3122.6354307519177</v>
      </c>
      <c r="AJ388" s="44">
        <f t="shared" si="218"/>
        <v>2920.7145551507879</v>
      </c>
      <c r="AK388" s="44">
        <f t="shared" si="219"/>
        <v>4296.2740679832941</v>
      </c>
      <c r="AL388" s="44">
        <f t="shared" si="220"/>
        <v>589.43214677536855</v>
      </c>
      <c r="AM388" s="14">
        <f t="shared" si="221"/>
        <v>2542.4412968658498</v>
      </c>
      <c r="AN388" s="14">
        <f t="shared" si="222"/>
        <v>4224.1890679028029</v>
      </c>
      <c r="AO388" s="14">
        <f t="shared" si="223"/>
        <v>6910.5274073839855</v>
      </c>
      <c r="AP388" s="14">
        <f t="shared" si="224"/>
        <v>3233.6094924315853</v>
      </c>
      <c r="AQ388" s="14">
        <f t="shared" si="225"/>
        <v>3178.0516210823125</v>
      </c>
      <c r="AR388" s="33">
        <f t="shared" si="226"/>
        <v>0.78359068967346068</v>
      </c>
      <c r="AS388" s="33">
        <f t="shared" si="227"/>
        <v>0.02</v>
      </c>
      <c r="AT388" s="51">
        <f t="shared" si="228"/>
        <v>1.4654023062985304</v>
      </c>
      <c r="AU388" s="51">
        <f>APPLICANTS_PER_YEAR*($H388/Segments!$AH$2)*AS388</f>
        <v>7.1999999999999995E-2</v>
      </c>
      <c r="AV388" s="51">
        <f t="shared" si="229"/>
        <v>1.5374023062985305</v>
      </c>
      <c r="AW388" s="14">
        <f t="shared" si="230"/>
        <v>3352.8518379889319</v>
      </c>
      <c r="AX388" s="44">
        <f t="shared" si="231"/>
        <v>5154.6821484014508</v>
      </c>
      <c r="AY388" s="44">
        <f t="shared" si="232"/>
        <v>7273.5913770629868</v>
      </c>
      <c r="AZ388" s="44">
        <f t="shared" si="233"/>
        <v>1024.1975012404525</v>
      </c>
    </row>
    <row r="389" spans="1:52" ht="15" customHeight="1" x14ac:dyDescent="0.35">
      <c r="A389" s="59" t="str">
        <f>Segments!$A$369</f>
        <v>Greek</v>
      </c>
      <c r="B389" s="59" t="str">
        <f>Segments!$B$369</f>
        <v>Off 6+mi</v>
      </c>
      <c r="C389" s="59" t="str">
        <f>Segments!$C$369</f>
        <v>Yes</v>
      </c>
      <c r="D389" s="59" t="str">
        <f>Segments!$D$369</f>
        <v>&lt;1.0</v>
      </c>
      <c r="E389" s="59" t="str">
        <f>Segments!$E$369</f>
        <v>Grad student</v>
      </c>
      <c r="F389" s="59">
        <f>Segments!$F$369</f>
        <v>3</v>
      </c>
      <c r="G389" s="59" t="str">
        <f>Segments!$G$369</f>
        <v>Grad</v>
      </c>
      <c r="H389" s="60">
        <f>Segments!$H$369</f>
        <v>1</v>
      </c>
      <c r="I389" s="26">
        <f>Segments!$Y$369</f>
        <v>4740.9362267874349</v>
      </c>
      <c r="J389" s="29">
        <v>4</v>
      </c>
      <c r="K389" s="14">
        <f t="shared" si="195"/>
        <v>1426.2297754450396</v>
      </c>
      <c r="L389" s="14">
        <f t="shared" si="196"/>
        <v>4740.9362267874349</v>
      </c>
      <c r="M389" s="14">
        <f t="shared" si="197"/>
        <v>7750.7985731587878</v>
      </c>
      <c r="N389" s="14">
        <f t="shared" si="198"/>
        <v>3324.8187482201179</v>
      </c>
      <c r="O389" s="14">
        <f t="shared" si="199"/>
        <v>1782.7872193062994</v>
      </c>
      <c r="P389" s="33">
        <f t="shared" si="200"/>
        <v>0.95</v>
      </c>
      <c r="Q389" s="33">
        <f t="shared" si="201"/>
        <v>0.02</v>
      </c>
      <c r="R389" s="51">
        <f t="shared" si="202"/>
        <v>0.47499999999999998</v>
      </c>
      <c r="S389" s="51">
        <f>APPLICANTS_PER_YEAR*($H389/Segments!$AH$2)*Q389</f>
        <v>2.4E-2</v>
      </c>
      <c r="T389" s="51">
        <f t="shared" si="203"/>
        <v>0.499</v>
      </c>
      <c r="U389" s="14">
        <f t="shared" si="204"/>
        <v>2069.8258415356777</v>
      </c>
      <c r="V389" s="44">
        <f t="shared" si="205"/>
        <v>1032.8430949263031</v>
      </c>
      <c r="W389" s="44">
        <f t="shared" si="206"/>
        <v>2649.6144384269614</v>
      </c>
      <c r="X389" s="44">
        <f t="shared" si="207"/>
        <v>212.29801574252465</v>
      </c>
      <c r="Y389" s="14">
        <f t="shared" si="208"/>
        <v>2069.8258415356777</v>
      </c>
      <c r="Z389" s="14">
        <f t="shared" si="209"/>
        <v>4883.1643135910581</v>
      </c>
      <c r="AA389" s="14">
        <f t="shared" si="210"/>
        <v>7982.0725303535519</v>
      </c>
      <c r="AB389" s="14">
        <f t="shared" si="211"/>
        <v>3424.2951972528199</v>
      </c>
      <c r="AC389" s="14">
        <f t="shared" si="212"/>
        <v>2587.2823019195971</v>
      </c>
      <c r="AD389" s="33">
        <f t="shared" si="213"/>
        <v>0.8972168135511106</v>
      </c>
      <c r="AE389" s="33">
        <f t="shared" si="214"/>
        <v>0.02</v>
      </c>
      <c r="AF389" s="51">
        <f t="shared" si="215"/>
        <v>0.2238555949810021</v>
      </c>
      <c r="AG389" s="51">
        <f>APPLICANTS_PER_YEAR*($H389/Segments!$AH$2)*AE389</f>
        <v>2.4E-2</v>
      </c>
      <c r="AH389" s="51">
        <f t="shared" si="216"/>
        <v>0.2478555949810021</v>
      </c>
      <c r="AI389" s="14">
        <f t="shared" si="217"/>
        <v>3109.6629465539822</v>
      </c>
      <c r="AJ389" s="44">
        <f t="shared" si="218"/>
        <v>770.74735980851335</v>
      </c>
      <c r="AK389" s="44">
        <f t="shared" si="219"/>
        <v>1355.5579478953216</v>
      </c>
      <c r="AL389" s="44">
        <f t="shared" si="220"/>
        <v>157.93330382892603</v>
      </c>
      <c r="AM389" s="14">
        <f t="shared" si="221"/>
        <v>3109.6629465539822</v>
      </c>
      <c r="AN389" s="14">
        <f t="shared" si="222"/>
        <v>5029.6592429987895</v>
      </c>
      <c r="AO389" s="14">
        <f t="shared" si="223"/>
        <v>8220.2847062641576</v>
      </c>
      <c r="AP389" s="14">
        <f t="shared" si="224"/>
        <v>3526.7559190680645</v>
      </c>
      <c r="AQ389" s="14">
        <f t="shared" si="225"/>
        <v>3887.0786831924779</v>
      </c>
      <c r="AR389" s="33">
        <f t="shared" si="226"/>
        <v>0.72391583477945542</v>
      </c>
      <c r="AS389" s="33">
        <f t="shared" si="227"/>
        <v>0.02</v>
      </c>
      <c r="AT389" s="51">
        <f t="shared" si="228"/>
        <v>8.9713294972715366E-2</v>
      </c>
      <c r="AU389" s="51">
        <f>APPLICANTS_PER_YEAR*($H389/Segments!$AH$2)*AS389</f>
        <v>2.4E-2</v>
      </c>
      <c r="AV389" s="51">
        <f t="shared" si="229"/>
        <v>0.11371329497271537</v>
      </c>
      <c r="AW389" s="14">
        <f t="shared" si="230"/>
        <v>4801.6326461101253</v>
      </c>
      <c r="AX389" s="44">
        <f t="shared" si="231"/>
        <v>546.00946943774056</v>
      </c>
      <c r="AY389" s="44">
        <f t="shared" si="232"/>
        <v>640.57182012472958</v>
      </c>
      <c r="AZ389" s="44">
        <f t="shared" si="233"/>
        <v>112.97509477644915</v>
      </c>
    </row>
    <row r="390" spans="1:52" ht="15" customHeight="1" x14ac:dyDescent="0.35">
      <c r="A390" s="61" t="str">
        <f>Segments!$A$370</f>
        <v>Greek</v>
      </c>
      <c r="B390" s="61" t="str">
        <f>Segments!$B$370</f>
        <v>Off 6+mi</v>
      </c>
      <c r="C390" s="61" t="str">
        <f>Segments!$C$370</f>
        <v>Yes</v>
      </c>
      <c r="D390" s="61" t="str">
        <f>Segments!$D$370</f>
        <v>1.0-2.0</v>
      </c>
      <c r="E390" s="61" t="str">
        <f>Segments!$E$370</f>
        <v>Freshman</v>
      </c>
      <c r="F390" s="61">
        <f>Segments!$F$370</f>
        <v>1</v>
      </c>
      <c r="G390" s="61" t="str">
        <f>Segments!$G$370</f>
        <v>Base</v>
      </c>
      <c r="H390" s="62">
        <f>Segments!$H$370</f>
        <v>9</v>
      </c>
      <c r="I390" s="63">
        <f>Segments!$Y$370</f>
        <v>3266.8547475300102</v>
      </c>
      <c r="J390" s="42">
        <v>0</v>
      </c>
      <c r="K390" s="40">
        <f t="shared" si="195"/>
        <v>5353.8271690078946</v>
      </c>
      <c r="L390" s="40">
        <f t="shared" si="196"/>
        <v>3266.8547475300102</v>
      </c>
      <c r="M390" s="40">
        <f t="shared" si="197"/>
        <v>5353.8271690078946</v>
      </c>
      <c r="N390" s="40">
        <f t="shared" si="198"/>
        <v>2763.292912636241</v>
      </c>
      <c r="O390" s="40">
        <f t="shared" si="199"/>
        <v>5353.8271690078946</v>
      </c>
      <c r="P390" s="41">
        <f t="shared" si="200"/>
        <v>0.38125956272579364</v>
      </c>
      <c r="Q390" s="41">
        <f t="shared" si="201"/>
        <v>0.02</v>
      </c>
      <c r="R390" s="64">
        <f t="shared" si="202"/>
        <v>0</v>
      </c>
      <c r="S390" s="64">
        <f>APPLICANTS_PER_YEAR*($H390/Segments!$AH$2)*Q390</f>
        <v>0.21599999999999997</v>
      </c>
      <c r="T390" s="64">
        <f t="shared" si="203"/>
        <v>0.21599999999999997</v>
      </c>
      <c r="U390" s="40">
        <f t="shared" si="204"/>
        <v>5353.8271690078946</v>
      </c>
      <c r="V390" s="65">
        <f t="shared" si="205"/>
        <v>1156.426668505705</v>
      </c>
      <c r="W390" s="65">
        <f t="shared" si="206"/>
        <v>790.31750052246002</v>
      </c>
      <c r="X390" s="65">
        <f t="shared" si="207"/>
        <v>268.75957374527792</v>
      </c>
      <c r="Y390" s="40">
        <f t="shared" si="208"/>
        <v>5513.1919840781311</v>
      </c>
      <c r="Z390" s="40">
        <f t="shared" si="209"/>
        <v>3364.8603899559107</v>
      </c>
      <c r="AA390" s="40">
        <f t="shared" si="210"/>
        <v>5513.1919840781311</v>
      </c>
      <c r="AB390" s="40">
        <f t="shared" si="211"/>
        <v>2845.8690979031799</v>
      </c>
      <c r="AC390" s="40">
        <f t="shared" si="212"/>
        <v>5513.1919840781311</v>
      </c>
      <c r="AD390" s="41">
        <f t="shared" si="213"/>
        <v>0.38136936478557293</v>
      </c>
      <c r="AE390" s="41">
        <f t="shared" si="214"/>
        <v>0.02</v>
      </c>
      <c r="AF390" s="64">
        <f t="shared" si="215"/>
        <v>0</v>
      </c>
      <c r="AG390" s="64">
        <f>APPLICANTS_PER_YEAR*($H390/Segments!$AH$2)*AE390</f>
        <v>0.21599999999999997</v>
      </c>
      <c r="AH390" s="64">
        <f t="shared" si="216"/>
        <v>0.21599999999999997</v>
      </c>
      <c r="AI390" s="40">
        <f t="shared" si="217"/>
        <v>5513.1919840781311</v>
      </c>
      <c r="AJ390" s="65">
        <f t="shared" si="218"/>
        <v>1190.8494685608762</v>
      </c>
      <c r="AK390" s="65">
        <f t="shared" si="219"/>
        <v>814.0270255381339</v>
      </c>
      <c r="AL390" s="65">
        <f t="shared" si="220"/>
        <v>276.47028095763625</v>
      </c>
      <c r="AM390" s="40">
        <f t="shared" si="221"/>
        <v>5677.3377436004748</v>
      </c>
      <c r="AN390" s="40">
        <f t="shared" si="222"/>
        <v>3465.8062016545878</v>
      </c>
      <c r="AO390" s="40">
        <f t="shared" si="223"/>
        <v>5677.3377436004748</v>
      </c>
      <c r="AP390" s="40">
        <f t="shared" si="224"/>
        <v>2930.922532687187</v>
      </c>
      <c r="AQ390" s="40">
        <f t="shared" si="225"/>
        <v>5677.3377436004748</v>
      </c>
      <c r="AR390" s="41">
        <f t="shared" si="226"/>
        <v>0.38147598063684329</v>
      </c>
      <c r="AS390" s="41">
        <f t="shared" si="227"/>
        <v>0.02</v>
      </c>
      <c r="AT390" s="64">
        <f t="shared" si="228"/>
        <v>0</v>
      </c>
      <c r="AU390" s="64">
        <f>APPLICANTS_PER_YEAR*($H390/Segments!$AH$2)*AS390</f>
        <v>0.21599999999999997</v>
      </c>
      <c r="AV390" s="64">
        <f t="shared" si="229"/>
        <v>0.21599999999999997</v>
      </c>
      <c r="AW390" s="40">
        <f t="shared" si="230"/>
        <v>5677.3377436004748</v>
      </c>
      <c r="AX390" s="65">
        <f t="shared" si="231"/>
        <v>1226.3049526177024</v>
      </c>
      <c r="AY390" s="65">
        <f t="shared" si="232"/>
        <v>838.44783630427787</v>
      </c>
      <c r="AZ390" s="65">
        <f t="shared" si="233"/>
        <v>284.41230938636534</v>
      </c>
    </row>
    <row r="391" spans="1:52" ht="15" customHeight="1" x14ac:dyDescent="0.35">
      <c r="A391" s="61" t="str">
        <f>Segments!$A$371</f>
        <v>Greek</v>
      </c>
      <c r="B391" s="61" t="str">
        <f>Segments!$B$371</f>
        <v>Off 6+mi</v>
      </c>
      <c r="C391" s="61" t="str">
        <f>Segments!$C$371</f>
        <v>Yes</v>
      </c>
      <c r="D391" s="61" t="str">
        <f>Segments!$D$371</f>
        <v>1.0-2.0</v>
      </c>
      <c r="E391" s="61" t="str">
        <f>Segments!$E$371</f>
        <v>Sophomore</v>
      </c>
      <c r="F391" s="61">
        <f>Segments!$F$371</f>
        <v>1</v>
      </c>
      <c r="G391" s="61" t="str">
        <f>Segments!$G$371</f>
        <v>Sophomore</v>
      </c>
      <c r="H391" s="62">
        <f>Segments!$H$371</f>
        <v>5</v>
      </c>
      <c r="I391" s="63">
        <f>Segments!$Y$371</f>
        <v>3233.6185605859932</v>
      </c>
      <c r="J391" s="42">
        <v>1</v>
      </c>
      <c r="K391" s="40">
        <f t="shared" si="195"/>
        <v>1426.2297754450396</v>
      </c>
      <c r="L391" s="40">
        <f t="shared" si="196"/>
        <v>3233.6185605859932</v>
      </c>
      <c r="M391" s="40">
        <f t="shared" si="197"/>
        <v>5299.7825379553733</v>
      </c>
      <c r="N391" s="40">
        <f t="shared" si="198"/>
        <v>2749.3103969933322</v>
      </c>
      <c r="O391" s="40">
        <f t="shared" si="199"/>
        <v>1782.7872193062994</v>
      </c>
      <c r="P391" s="41">
        <f t="shared" si="200"/>
        <v>0.95</v>
      </c>
      <c r="Q391" s="41">
        <f t="shared" si="201"/>
        <v>0.02</v>
      </c>
      <c r="R391" s="64">
        <f t="shared" si="202"/>
        <v>8.5499999999999989</v>
      </c>
      <c r="S391" s="64">
        <f>APPLICANTS_PER_YEAR*($H391/Segments!$AH$2)*Q391</f>
        <v>0.12</v>
      </c>
      <c r="T391" s="64">
        <f t="shared" si="203"/>
        <v>8.6699999999999982</v>
      </c>
      <c r="U391" s="40">
        <f t="shared" si="204"/>
        <v>1831.4653552045565</v>
      </c>
      <c r="V391" s="65">
        <f t="shared" si="205"/>
        <v>15878.804629623502</v>
      </c>
      <c r="W391" s="65">
        <f t="shared" si="206"/>
        <v>31399.729670714223</v>
      </c>
      <c r="X391" s="65">
        <f t="shared" si="207"/>
        <v>3199.7531616582546</v>
      </c>
      <c r="Y391" s="40">
        <f t="shared" si="208"/>
        <v>5353.8271690078946</v>
      </c>
      <c r="Z391" s="40">
        <f t="shared" si="209"/>
        <v>3330.6271174035733</v>
      </c>
      <c r="AA391" s="40">
        <f t="shared" si="210"/>
        <v>5457.5260140940345</v>
      </c>
      <c r="AB391" s="40">
        <f t="shared" si="211"/>
        <v>2831.4654659052089</v>
      </c>
      <c r="AC391" s="40">
        <f t="shared" si="212"/>
        <v>5457.5260140940345</v>
      </c>
      <c r="AD391" s="41">
        <f t="shared" si="213"/>
        <v>0.38046110701657543</v>
      </c>
      <c r="AE391" s="41">
        <f t="shared" si="214"/>
        <v>0.02</v>
      </c>
      <c r="AF391" s="64">
        <f t="shared" si="215"/>
        <v>8.2179599115580287E-2</v>
      </c>
      <c r="AG391" s="64">
        <f>APPLICANTS_PER_YEAR*($H391/Segments!$AH$2)*AE391</f>
        <v>0.12</v>
      </c>
      <c r="AH391" s="64">
        <f t="shared" si="216"/>
        <v>0.20217959911558028</v>
      </c>
      <c r="AI391" s="40">
        <f t="shared" si="217"/>
        <v>5457.5260140940345</v>
      </c>
      <c r="AJ391" s="65">
        <f t="shared" si="218"/>
        <v>1103.4004216923827</v>
      </c>
      <c r="AK391" s="65">
        <f t="shared" si="219"/>
        <v>754.19103804815143</v>
      </c>
      <c r="AL391" s="65">
        <f t="shared" si="220"/>
        <v>238.50788094136686</v>
      </c>
      <c r="AM391" s="40">
        <f t="shared" si="221"/>
        <v>5513.1919840781311</v>
      </c>
      <c r="AN391" s="40">
        <f t="shared" si="222"/>
        <v>3430.5459309256803</v>
      </c>
      <c r="AO391" s="40">
        <f t="shared" si="223"/>
        <v>5620.0017945168556</v>
      </c>
      <c r="AP391" s="40">
        <f t="shared" si="224"/>
        <v>2916.0851502906803</v>
      </c>
      <c r="AQ391" s="40">
        <f t="shared" si="225"/>
        <v>5620.0017945168556</v>
      </c>
      <c r="AR391" s="41">
        <f t="shared" si="226"/>
        <v>0.38056694782073713</v>
      </c>
      <c r="AS391" s="41">
        <f t="shared" si="227"/>
        <v>0.02</v>
      </c>
      <c r="AT391" s="64">
        <f t="shared" si="228"/>
        <v>8.2202460729279211E-2</v>
      </c>
      <c r="AU391" s="64">
        <f>APPLICANTS_PER_YEAR*($H391/Segments!$AH$2)*AS391</f>
        <v>0.12</v>
      </c>
      <c r="AV391" s="64">
        <f t="shared" si="229"/>
        <v>0.20220246072927922</v>
      </c>
      <c r="AW391" s="40">
        <f t="shared" si="230"/>
        <v>5620.0017945168556</v>
      </c>
      <c r="AX391" s="65">
        <f t="shared" si="231"/>
        <v>1136.3781921542732</v>
      </c>
      <c r="AY391" s="65">
        <f t="shared" si="232"/>
        <v>776.90460834334715</v>
      </c>
      <c r="AZ391" s="65">
        <f t="shared" si="233"/>
        <v>245.42353506871399</v>
      </c>
    </row>
    <row r="392" spans="1:52" ht="15" customHeight="1" x14ac:dyDescent="0.35">
      <c r="A392" s="61" t="str">
        <f>Segments!$A$372</f>
        <v>Greek</v>
      </c>
      <c r="B392" s="61" t="str">
        <f>Segments!$B$372</f>
        <v>Off 6+mi</v>
      </c>
      <c r="C392" s="61" t="str">
        <f>Segments!$C$372</f>
        <v>Yes</v>
      </c>
      <c r="D392" s="61" t="str">
        <f>Segments!$D$372</f>
        <v>1.0-2.0</v>
      </c>
      <c r="E392" s="61" t="str">
        <f>Segments!$E$372</f>
        <v>Junior</v>
      </c>
      <c r="F392" s="61">
        <f>Segments!$F$372</f>
        <v>2</v>
      </c>
      <c r="G392" s="61" t="str">
        <f>Segments!$G$372</f>
        <v>Base</v>
      </c>
      <c r="H392" s="62">
        <f>Segments!$H$372</f>
        <v>7</v>
      </c>
      <c r="I392" s="63">
        <f>Segments!$Y$372</f>
        <v>3865.5504852262752</v>
      </c>
      <c r="J392" s="42">
        <v>2</v>
      </c>
      <c r="K392" s="40">
        <f t="shared" si="195"/>
        <v>1426.2297754450396</v>
      </c>
      <c r="L392" s="40">
        <f t="shared" si="196"/>
        <v>3865.5504852262752</v>
      </c>
      <c r="M392" s="40">
        <f t="shared" si="197"/>
        <v>6327.353112613052</v>
      </c>
      <c r="N392" s="40">
        <f t="shared" si="198"/>
        <v>3004.0405138685442</v>
      </c>
      <c r="O392" s="40">
        <f t="shared" si="199"/>
        <v>1782.7872193062994</v>
      </c>
      <c r="P392" s="41">
        <f t="shared" si="200"/>
        <v>0.95</v>
      </c>
      <c r="Q392" s="41">
        <f t="shared" si="201"/>
        <v>0.02</v>
      </c>
      <c r="R392" s="64">
        <f t="shared" si="202"/>
        <v>4.75</v>
      </c>
      <c r="S392" s="64">
        <f>APPLICANTS_PER_YEAR*($H392/Segments!$AH$2)*Q392</f>
        <v>0.16800000000000001</v>
      </c>
      <c r="T392" s="64">
        <f t="shared" si="203"/>
        <v>4.9180000000000001</v>
      </c>
      <c r="U392" s="40">
        <f t="shared" si="204"/>
        <v>1938.0306251776969</v>
      </c>
      <c r="V392" s="65">
        <f t="shared" si="205"/>
        <v>9531.2346146239142</v>
      </c>
      <c r="W392" s="65">
        <f t="shared" si="206"/>
        <v>21292.070560703964</v>
      </c>
      <c r="X392" s="65">
        <f t="shared" si="207"/>
        <v>1941.1681784660846</v>
      </c>
      <c r="Y392" s="40">
        <f t="shared" si="208"/>
        <v>1831.4653552045565</v>
      </c>
      <c r="Z392" s="40">
        <f t="shared" si="209"/>
        <v>3981.5169997830635</v>
      </c>
      <c r="AA392" s="40">
        <f t="shared" si="210"/>
        <v>6515.923705991444</v>
      </c>
      <c r="AB392" s="40">
        <f t="shared" si="211"/>
        <v>3093.8649835009901</v>
      </c>
      <c r="AC392" s="40">
        <f t="shared" si="212"/>
        <v>2289.3316940056957</v>
      </c>
      <c r="AD392" s="41">
        <f t="shared" si="213"/>
        <v>0.90502074973952029</v>
      </c>
      <c r="AE392" s="41">
        <f t="shared" si="214"/>
        <v>0.02</v>
      </c>
      <c r="AF392" s="64">
        <f t="shared" si="215"/>
        <v>7.8465299002416389</v>
      </c>
      <c r="AG392" s="64">
        <f>APPLICANTS_PER_YEAR*($H392/Segments!$AH$2)*AE392</f>
        <v>0.16800000000000001</v>
      </c>
      <c r="AH392" s="64">
        <f t="shared" si="216"/>
        <v>8.014529900241639</v>
      </c>
      <c r="AI392" s="40">
        <f t="shared" si="217"/>
        <v>2377.9292121199142</v>
      </c>
      <c r="AJ392" s="65">
        <f t="shared" si="218"/>
        <v>19057.984771193096</v>
      </c>
      <c r="AK392" s="65">
        <f t="shared" si="219"/>
        <v>35739.185488251562</v>
      </c>
      <c r="AL392" s="65">
        <f t="shared" si="220"/>
        <v>3804.7633511515573</v>
      </c>
      <c r="AM392" s="40">
        <f t="shared" si="221"/>
        <v>5457.5260140940345</v>
      </c>
      <c r="AN392" s="40">
        <f t="shared" si="222"/>
        <v>4100.9625097765556</v>
      </c>
      <c r="AO392" s="40">
        <f t="shared" si="223"/>
        <v>6710.1514171711879</v>
      </c>
      <c r="AP392" s="40">
        <f t="shared" si="224"/>
        <v>3186.3841591721416</v>
      </c>
      <c r="AQ392" s="40">
        <f t="shared" si="225"/>
        <v>6710.1514171711879</v>
      </c>
      <c r="AR392" s="41">
        <f t="shared" si="226"/>
        <v>0.3</v>
      </c>
      <c r="AS392" s="41">
        <f t="shared" si="227"/>
        <v>0.02</v>
      </c>
      <c r="AT392" s="64">
        <f t="shared" si="228"/>
        <v>6.0653879734674079E-2</v>
      </c>
      <c r="AU392" s="64">
        <f>APPLICANTS_PER_YEAR*($H392/Segments!$AH$2)*AS392</f>
        <v>0.16800000000000001</v>
      </c>
      <c r="AV392" s="64">
        <f t="shared" si="229"/>
        <v>0.2286538797346741</v>
      </c>
      <c r="AW392" s="40">
        <f t="shared" si="230"/>
        <v>6710.1514171711869</v>
      </c>
      <c r="AX392" s="65">
        <f t="shared" si="231"/>
        <v>1534.3021551433135</v>
      </c>
      <c r="AY392" s="65">
        <f t="shared" si="232"/>
        <v>1050.2251071276787</v>
      </c>
      <c r="AZ392" s="65">
        <f t="shared" si="233"/>
        <v>338.21187524974636</v>
      </c>
    </row>
    <row r="393" spans="1:52" ht="15" customHeight="1" x14ac:dyDescent="0.35">
      <c r="A393" s="61" t="str">
        <f>Segments!$A$373</f>
        <v>Greek</v>
      </c>
      <c r="B393" s="61" t="str">
        <f>Segments!$B$373</f>
        <v>Off 6+mi</v>
      </c>
      <c r="C393" s="61" t="str">
        <f>Segments!$C$373</f>
        <v>Yes</v>
      </c>
      <c r="D393" s="61" t="str">
        <f>Segments!$D$373</f>
        <v>1.0-2.0</v>
      </c>
      <c r="E393" s="61" t="str">
        <f>Segments!$E$373</f>
        <v>Senior</v>
      </c>
      <c r="F393" s="61">
        <f>Segments!$F$373</f>
        <v>3</v>
      </c>
      <c r="G393" s="61" t="str">
        <f>Segments!$G$373</f>
        <v>Base</v>
      </c>
      <c r="H393" s="62">
        <f>Segments!$H$373</f>
        <v>8</v>
      </c>
      <c r="I393" s="63">
        <f>Segments!$Y$373</f>
        <v>3613.0815508166188</v>
      </c>
      <c r="J393" s="42">
        <v>3</v>
      </c>
      <c r="K393" s="40">
        <f t="shared" si="195"/>
        <v>1426.2297754450396</v>
      </c>
      <c r="L393" s="40">
        <f t="shared" si="196"/>
        <v>3613.0815508166188</v>
      </c>
      <c r="M393" s="40">
        <f t="shared" si="197"/>
        <v>5916.8189428728247</v>
      </c>
      <c r="N393" s="40">
        <f t="shared" si="198"/>
        <v>2904.9515232172926</v>
      </c>
      <c r="O393" s="40">
        <f t="shared" si="199"/>
        <v>1782.7872193062994</v>
      </c>
      <c r="P393" s="41">
        <f t="shared" si="200"/>
        <v>0.95</v>
      </c>
      <c r="Q393" s="41">
        <f t="shared" si="201"/>
        <v>0.02</v>
      </c>
      <c r="R393" s="64">
        <f t="shared" si="202"/>
        <v>6.6499999999999995</v>
      </c>
      <c r="S393" s="64">
        <f>APPLICANTS_PER_YEAR*($H393/Segments!$AH$2)*Q393</f>
        <v>0.192</v>
      </c>
      <c r="T393" s="64">
        <f t="shared" si="203"/>
        <v>6.8419999999999996</v>
      </c>
      <c r="U393" s="40">
        <f t="shared" si="204"/>
        <v>1898.7962942733811</v>
      </c>
      <c r="V393" s="65">
        <f t="shared" si="205"/>
        <v>12991.564245418473</v>
      </c>
      <c r="W393" s="65">
        <f t="shared" si="206"/>
        <v>27687.188447169781</v>
      </c>
      <c r="X393" s="65">
        <f t="shared" si="207"/>
        <v>2636.8066656801975</v>
      </c>
      <c r="Y393" s="40">
        <f t="shared" si="208"/>
        <v>1938.0306251776969</v>
      </c>
      <c r="Z393" s="40">
        <f t="shared" si="209"/>
        <v>3721.4739973411174</v>
      </c>
      <c r="AA393" s="40">
        <f t="shared" si="210"/>
        <v>6093.0735111590093</v>
      </c>
      <c r="AB393" s="40">
        <f t="shared" si="211"/>
        <v>2991.7931999986472</v>
      </c>
      <c r="AC393" s="40">
        <f t="shared" si="212"/>
        <v>2422.5382814721211</v>
      </c>
      <c r="AD393" s="41">
        <f t="shared" si="213"/>
        <v>0.87013607399849424</v>
      </c>
      <c r="AE393" s="41">
        <f t="shared" si="214"/>
        <v>0.02</v>
      </c>
      <c r="AF393" s="64">
        <f t="shared" si="215"/>
        <v>4.2793292119245949</v>
      </c>
      <c r="AG393" s="64">
        <f>APPLICANTS_PER_YEAR*($H393/Segments!$AH$2)*AE393</f>
        <v>0.192</v>
      </c>
      <c r="AH393" s="64">
        <f t="shared" si="216"/>
        <v>4.4713292119245951</v>
      </c>
      <c r="AI393" s="40">
        <f t="shared" si="217"/>
        <v>2580.1519866362146</v>
      </c>
      <c r="AJ393" s="65">
        <f t="shared" si="218"/>
        <v>11536.708949051785</v>
      </c>
      <c r="AK393" s="65">
        <f t="shared" si="219"/>
        <v>18636.727643216629</v>
      </c>
      <c r="AL393" s="65">
        <f t="shared" si="220"/>
        <v>2315.6100296042682</v>
      </c>
      <c r="AM393" s="40">
        <f t="shared" si="221"/>
        <v>2377.9292121199142</v>
      </c>
      <c r="AN393" s="40">
        <f t="shared" si="222"/>
        <v>3833.1182172613508</v>
      </c>
      <c r="AO393" s="40">
        <f t="shared" si="223"/>
        <v>6274.6157164937786</v>
      </c>
      <c r="AP393" s="40">
        <f t="shared" si="224"/>
        <v>3081.2400960631217</v>
      </c>
      <c r="AQ393" s="40">
        <f t="shared" si="225"/>
        <v>2972.4115151498927</v>
      </c>
      <c r="AR393" s="41">
        <f t="shared" si="226"/>
        <v>0.79265986705357339</v>
      </c>
      <c r="AS393" s="41">
        <f t="shared" si="227"/>
        <v>0.02</v>
      </c>
      <c r="AT393" s="64">
        <f t="shared" si="228"/>
        <v>6.3527962052224263</v>
      </c>
      <c r="AU393" s="64">
        <f>APPLICANTS_PER_YEAR*($H393/Segments!$AH$2)*AS393</f>
        <v>0.192</v>
      </c>
      <c r="AV393" s="64">
        <f t="shared" si="229"/>
        <v>6.5447962052224264</v>
      </c>
      <c r="AW393" s="40">
        <f t="shared" si="230"/>
        <v>3069.2859153263421</v>
      </c>
      <c r="AX393" s="65">
        <f t="shared" si="231"/>
        <v>20087.850811370485</v>
      </c>
      <c r="AY393" s="65">
        <f t="shared" si="232"/>
        <v>28097.414870001168</v>
      </c>
      <c r="AZ393" s="65">
        <f t="shared" si="233"/>
        <v>3974.4651450683086</v>
      </c>
    </row>
    <row r="394" spans="1:52" ht="15" customHeight="1" x14ac:dyDescent="0.35">
      <c r="A394" s="61" t="str">
        <f>Segments!$A$374</f>
        <v>Greek</v>
      </c>
      <c r="B394" s="61" t="str">
        <f>Segments!$B$374</f>
        <v>Off 6+mi</v>
      </c>
      <c r="C394" s="61" t="str">
        <f>Segments!$C$374</f>
        <v>Yes</v>
      </c>
      <c r="D394" s="61" t="str">
        <f>Segments!$D$374</f>
        <v>1.0-2.0</v>
      </c>
      <c r="E394" s="61" t="str">
        <f>Segments!$E$374</f>
        <v>Grad student</v>
      </c>
      <c r="F394" s="61">
        <f>Segments!$F$374</f>
        <v>3</v>
      </c>
      <c r="G394" s="61" t="str">
        <f>Segments!$G$374</f>
        <v>Grad</v>
      </c>
      <c r="H394" s="62">
        <f>Segments!$H$374</f>
        <v>1</v>
      </c>
      <c r="I394" s="63">
        <f>Segments!$Y$374</f>
        <v>4302.0254836262338</v>
      </c>
      <c r="J394" s="42">
        <v>4</v>
      </c>
      <c r="K394" s="40">
        <f t="shared" si="195"/>
        <v>1426.2297754450396</v>
      </c>
      <c r="L394" s="40">
        <f t="shared" si="196"/>
        <v>4302.0254836262338</v>
      </c>
      <c r="M394" s="40">
        <f t="shared" si="197"/>
        <v>7037.095487450124</v>
      </c>
      <c r="N394" s="40">
        <f t="shared" si="198"/>
        <v>3168.045946139559</v>
      </c>
      <c r="O394" s="40">
        <f t="shared" si="199"/>
        <v>1782.7872193062994</v>
      </c>
      <c r="P394" s="41">
        <f t="shared" si="200"/>
        <v>0.95</v>
      </c>
      <c r="Q394" s="41">
        <f t="shared" si="201"/>
        <v>0.02</v>
      </c>
      <c r="R394" s="64">
        <f t="shared" si="202"/>
        <v>0.47499999999999998</v>
      </c>
      <c r="S394" s="64">
        <f>APPLICANTS_PER_YEAR*($H394/Segments!$AH$2)*Q394</f>
        <v>2.4E-2</v>
      </c>
      <c r="T394" s="64">
        <f t="shared" si="203"/>
        <v>0.499</v>
      </c>
      <c r="U394" s="40">
        <f t="shared" si="204"/>
        <v>2035.4994406198298</v>
      </c>
      <c r="V394" s="65">
        <f t="shared" si="205"/>
        <v>1015.7142208692951</v>
      </c>
      <c r="W394" s="65">
        <f t="shared" si="206"/>
        <v>2404.3160022890302</v>
      </c>
      <c r="X394" s="65">
        <f t="shared" si="207"/>
        <v>208.46114795375487</v>
      </c>
      <c r="Y394" s="40">
        <f t="shared" si="208"/>
        <v>2035.4994406198298</v>
      </c>
      <c r="Z394" s="40">
        <f t="shared" si="209"/>
        <v>4431.0862481350214</v>
      </c>
      <c r="AA394" s="40">
        <f t="shared" si="210"/>
        <v>7246.9583520736278</v>
      </c>
      <c r="AB394" s="40">
        <f t="shared" si="211"/>
        <v>3262.8059422269735</v>
      </c>
      <c r="AC394" s="40">
        <f t="shared" si="212"/>
        <v>2544.3743007747871</v>
      </c>
      <c r="AD394" s="41">
        <f t="shared" si="213"/>
        <v>0.88509414200126058</v>
      </c>
      <c r="AE394" s="41">
        <f t="shared" si="214"/>
        <v>0.02</v>
      </c>
      <c r="AF394" s="64">
        <f t="shared" si="215"/>
        <v>0.22083098842931451</v>
      </c>
      <c r="AG394" s="64">
        <f>APPLICANTS_PER_YEAR*($H394/Segments!$AH$2)*AE394</f>
        <v>2.4E-2</v>
      </c>
      <c r="AH394" s="64">
        <f t="shared" si="216"/>
        <v>0.2448309884293145</v>
      </c>
      <c r="AI394" s="40">
        <f t="shared" si="217"/>
        <v>3005.3535990050714</v>
      </c>
      <c r="AJ394" s="65">
        <f t="shared" si="218"/>
        <v>735.8036922240093</v>
      </c>
      <c r="AK394" s="65">
        <f t="shared" si="219"/>
        <v>1215.0512930600128</v>
      </c>
      <c r="AL394" s="65">
        <f t="shared" si="220"/>
        <v>150.65096261466587</v>
      </c>
      <c r="AM394" s="40">
        <f t="shared" si="221"/>
        <v>3005.3535990050714</v>
      </c>
      <c r="AN394" s="40">
        <f t="shared" si="222"/>
        <v>4564.0188355790715</v>
      </c>
      <c r="AO394" s="40">
        <f t="shared" si="223"/>
        <v>7463.1171026358361</v>
      </c>
      <c r="AP394" s="40">
        <f t="shared" si="224"/>
        <v>3360.4087142821718</v>
      </c>
      <c r="AQ394" s="40">
        <f t="shared" si="225"/>
        <v>3756.6919987563392</v>
      </c>
      <c r="AR394" s="41">
        <f t="shared" si="226"/>
        <v>0.71603644553861678</v>
      </c>
      <c r="AS394" s="41">
        <f t="shared" si="227"/>
        <v>0.02</v>
      </c>
      <c r="AT394" s="64">
        <f t="shared" si="228"/>
        <v>8.7653955356316288E-2</v>
      </c>
      <c r="AU394" s="64">
        <f>APPLICANTS_PER_YEAR*($H394/Segments!$AH$2)*AS394</f>
        <v>2.4E-2</v>
      </c>
      <c r="AV394" s="64">
        <f t="shared" si="229"/>
        <v>0.11165395535631628</v>
      </c>
      <c r="AW394" s="40">
        <f t="shared" si="230"/>
        <v>4553.387487144837</v>
      </c>
      <c r="AX394" s="65">
        <f t="shared" si="231"/>
        <v>508.40372320967879</v>
      </c>
      <c r="AY394" s="65">
        <f t="shared" si="232"/>
        <v>570.74164595070818</v>
      </c>
      <c r="AZ394" s="65">
        <f t="shared" si="233"/>
        <v>105.19040115996972</v>
      </c>
    </row>
    <row r="395" spans="1:52" ht="15" customHeight="1" x14ac:dyDescent="0.35">
      <c r="A395" s="59" t="str">
        <f>Segments!$A$375</f>
        <v>Greek</v>
      </c>
      <c r="B395" s="59" t="str">
        <f>Segments!$B$375</f>
        <v>Off 6+mi</v>
      </c>
      <c r="C395" s="59" t="str">
        <f>Segments!$C$375</f>
        <v>Yes</v>
      </c>
      <c r="D395" s="59" t="str">
        <f>Segments!$D$375</f>
        <v>2.0-3.0</v>
      </c>
      <c r="E395" s="59" t="str">
        <f>Segments!$E$375</f>
        <v>Freshman</v>
      </c>
      <c r="F395" s="59">
        <f>Segments!$F$375</f>
        <v>1</v>
      </c>
      <c r="G395" s="59" t="str">
        <f>Segments!$G$375</f>
        <v>Base</v>
      </c>
      <c r="H395" s="60">
        <f>Segments!$H$375</f>
        <v>12</v>
      </c>
      <c r="I395" s="26">
        <f>Segments!$Y$375</f>
        <v>3210.2719070549988</v>
      </c>
      <c r="J395" s="29">
        <v>0</v>
      </c>
      <c r="K395" s="14">
        <f t="shared" si="195"/>
        <v>5261.8190592170049</v>
      </c>
      <c r="L395" s="14">
        <f t="shared" si="196"/>
        <v>3210.2719070549988</v>
      </c>
      <c r="M395" s="14">
        <f t="shared" si="197"/>
        <v>5261.8190592170049</v>
      </c>
      <c r="N395" s="14">
        <f t="shared" si="198"/>
        <v>2739.4457496470886</v>
      </c>
      <c r="O395" s="14">
        <f t="shared" si="199"/>
        <v>5261.8190592170049</v>
      </c>
      <c r="P395" s="33">
        <f t="shared" si="200"/>
        <v>0.38961977347153831</v>
      </c>
      <c r="Q395" s="33">
        <f t="shared" si="201"/>
        <v>0.02</v>
      </c>
      <c r="R395" s="51">
        <f t="shared" si="202"/>
        <v>0</v>
      </c>
      <c r="S395" s="51">
        <f>APPLICANTS_PER_YEAR*($H395/Segments!$AH$2)*Q395</f>
        <v>0.28799999999999998</v>
      </c>
      <c r="T395" s="51">
        <f t="shared" si="203"/>
        <v>0.28799999999999998</v>
      </c>
      <c r="U395" s="14">
        <f t="shared" si="204"/>
        <v>5261.8190592170049</v>
      </c>
      <c r="V395" s="44">
        <f t="shared" si="205"/>
        <v>1515.4038890544973</v>
      </c>
      <c r="W395" s="44">
        <f t="shared" si="206"/>
        <v>1035.5053063396604</v>
      </c>
      <c r="X395" s="44">
        <f t="shared" si="207"/>
        <v>352.41047114820736</v>
      </c>
      <c r="Y395" s="14">
        <f t="shared" si="208"/>
        <v>5418.423630993515</v>
      </c>
      <c r="Z395" s="14">
        <f t="shared" si="209"/>
        <v>3306.5800642666491</v>
      </c>
      <c r="AA395" s="14">
        <f t="shared" si="210"/>
        <v>5418.423630993515</v>
      </c>
      <c r="AB395" s="14">
        <f t="shared" si="211"/>
        <v>2821.3037114165704</v>
      </c>
      <c r="AC395" s="14">
        <f t="shared" si="212"/>
        <v>5418.423630993515</v>
      </c>
      <c r="AD395" s="33">
        <f t="shared" si="213"/>
        <v>0.38973053147955194</v>
      </c>
      <c r="AE395" s="33">
        <f t="shared" si="214"/>
        <v>0.02</v>
      </c>
      <c r="AF395" s="51">
        <f t="shared" si="215"/>
        <v>0</v>
      </c>
      <c r="AG395" s="51">
        <f>APPLICANTS_PER_YEAR*($H395/Segments!$AH$2)*AE395</f>
        <v>0.28799999999999998</v>
      </c>
      <c r="AH395" s="51">
        <f t="shared" si="216"/>
        <v>0.28799999999999998</v>
      </c>
      <c r="AI395" s="14">
        <f t="shared" si="217"/>
        <v>5418.423630993515</v>
      </c>
      <c r="AJ395" s="44">
        <f t="shared" si="218"/>
        <v>1560.5060057261321</v>
      </c>
      <c r="AK395" s="44">
        <f t="shared" si="219"/>
        <v>1066.5704655298505</v>
      </c>
      <c r="AL395" s="44">
        <f t="shared" si="220"/>
        <v>362.51334528265357</v>
      </c>
      <c r="AM395" s="14">
        <f t="shared" si="221"/>
        <v>5579.7263399233207</v>
      </c>
      <c r="AN395" s="14">
        <f t="shared" si="222"/>
        <v>3405.7774661946482</v>
      </c>
      <c r="AO395" s="14">
        <f t="shared" si="223"/>
        <v>5579.7263399233207</v>
      </c>
      <c r="AP395" s="14">
        <f t="shared" si="224"/>
        <v>2905.6173750485418</v>
      </c>
      <c r="AQ395" s="14">
        <f t="shared" si="225"/>
        <v>5579.7263399233207</v>
      </c>
      <c r="AR395" s="33">
        <f t="shared" si="226"/>
        <v>0.38983807574971829</v>
      </c>
      <c r="AS395" s="33">
        <f t="shared" si="227"/>
        <v>0.02</v>
      </c>
      <c r="AT395" s="51">
        <f t="shared" si="228"/>
        <v>0</v>
      </c>
      <c r="AU395" s="51">
        <f>APPLICANTS_PER_YEAR*($H395/Segments!$AH$2)*AS395</f>
        <v>0.28799999999999998</v>
      </c>
      <c r="AV395" s="51">
        <f t="shared" si="229"/>
        <v>0.28799999999999998</v>
      </c>
      <c r="AW395" s="14">
        <f t="shared" si="230"/>
        <v>5579.7263399233207</v>
      </c>
      <c r="AX395" s="44">
        <f t="shared" si="231"/>
        <v>1606.9611858979163</v>
      </c>
      <c r="AY395" s="44">
        <f t="shared" si="232"/>
        <v>1098.5675794957458</v>
      </c>
      <c r="AZ395" s="44">
        <f t="shared" si="233"/>
        <v>372.91930564113323</v>
      </c>
    </row>
    <row r="396" spans="1:52" ht="15" customHeight="1" x14ac:dyDescent="0.35">
      <c r="A396" s="59" t="str">
        <f>Segments!$A$376</f>
        <v>Greek</v>
      </c>
      <c r="B396" s="59" t="str">
        <f>Segments!$B$376</f>
        <v>Off 6+mi</v>
      </c>
      <c r="C396" s="59" t="str">
        <f>Segments!$C$376</f>
        <v>Yes</v>
      </c>
      <c r="D396" s="59" t="str">
        <f>Segments!$D$376</f>
        <v>2.0-3.0</v>
      </c>
      <c r="E396" s="59" t="str">
        <f>Segments!$E$376</f>
        <v>Sophomore</v>
      </c>
      <c r="F396" s="59">
        <f>Segments!$F$376</f>
        <v>1</v>
      </c>
      <c r="G396" s="59" t="str">
        <f>Segments!$G$376</f>
        <v>Sophomore</v>
      </c>
      <c r="H396" s="60">
        <f>Segments!$H$376</f>
        <v>11</v>
      </c>
      <c r="I396" s="26">
        <f>Segments!$Y$376</f>
        <v>3177.6113801905344</v>
      </c>
      <c r="J396" s="29">
        <v>1</v>
      </c>
      <c r="K396" s="14">
        <f t="shared" si="195"/>
        <v>1426.2297754450396</v>
      </c>
      <c r="L396" s="14">
        <f t="shared" si="196"/>
        <v>3177.6113801905344</v>
      </c>
      <c r="M396" s="14">
        <f t="shared" si="197"/>
        <v>5208.7104963320953</v>
      </c>
      <c r="N396" s="14">
        <f t="shared" si="198"/>
        <v>2725.5858088752125</v>
      </c>
      <c r="O396" s="14">
        <f t="shared" si="199"/>
        <v>1782.7872193062994</v>
      </c>
      <c r="P396" s="33">
        <f t="shared" si="200"/>
        <v>0.94795338611224733</v>
      </c>
      <c r="Q396" s="33">
        <f t="shared" si="201"/>
        <v>0.02</v>
      </c>
      <c r="R396" s="51">
        <f t="shared" si="202"/>
        <v>11.375440633346969</v>
      </c>
      <c r="S396" s="51">
        <f>APPLICANTS_PER_YEAR*($H396/Segments!$AH$2)*Q396</f>
        <v>0.26400000000000001</v>
      </c>
      <c r="T396" s="51">
        <f t="shared" si="203"/>
        <v>11.639440633346968</v>
      </c>
      <c r="U396" s="14">
        <f t="shared" si="204"/>
        <v>1860.4923061421377</v>
      </c>
      <c r="V396" s="44">
        <f t="shared" si="205"/>
        <v>21655.089746140206</v>
      </c>
      <c r="W396" s="44">
        <f t="shared" si="206"/>
        <v>41423.893297444505</v>
      </c>
      <c r="X396" s="44">
        <f t="shared" si="207"/>
        <v>4380.3292596735473</v>
      </c>
      <c r="Y396" s="14">
        <f t="shared" si="208"/>
        <v>5261.8190592170049</v>
      </c>
      <c r="Z396" s="14">
        <f t="shared" si="209"/>
        <v>3272.9397215962504</v>
      </c>
      <c r="AA396" s="14">
        <f t="shared" si="210"/>
        <v>5363.721811222058</v>
      </c>
      <c r="AB396" s="14">
        <f t="shared" si="211"/>
        <v>2807.0263174754814</v>
      </c>
      <c r="AC396" s="14">
        <f t="shared" si="212"/>
        <v>5363.721811222058</v>
      </c>
      <c r="AD396" s="33">
        <f t="shared" si="213"/>
        <v>0.38878010381782802</v>
      </c>
      <c r="AE396" s="33">
        <f t="shared" si="214"/>
        <v>0.02</v>
      </c>
      <c r="AF396" s="51">
        <f t="shared" si="215"/>
        <v>0.11196866989953445</v>
      </c>
      <c r="AG396" s="51">
        <f>APPLICANTS_PER_YEAR*($H396/Segments!$AH$2)*AE396</f>
        <v>0.26400000000000001</v>
      </c>
      <c r="AH396" s="51">
        <f t="shared" si="216"/>
        <v>0.37596866989953448</v>
      </c>
      <c r="AI396" s="14">
        <f t="shared" si="217"/>
        <v>5363.721811222058</v>
      </c>
      <c r="AJ396" s="44">
        <f t="shared" si="218"/>
        <v>2016.5913550762791</v>
      </c>
      <c r="AK396" s="44">
        <f t="shared" si="219"/>
        <v>1378.1855290446824</v>
      </c>
      <c r="AL396" s="44">
        <f t="shared" si="220"/>
        <v>444.81592904309935</v>
      </c>
      <c r="AM396" s="14">
        <f t="shared" si="221"/>
        <v>5418.423630993515</v>
      </c>
      <c r="AN396" s="14">
        <f t="shared" si="222"/>
        <v>3371.1279132441377</v>
      </c>
      <c r="AO396" s="14">
        <f t="shared" si="223"/>
        <v>5523.3834655587198</v>
      </c>
      <c r="AP396" s="14">
        <f t="shared" si="224"/>
        <v>2890.9100037758531</v>
      </c>
      <c r="AQ396" s="14">
        <f t="shared" si="225"/>
        <v>5523.3834655587198</v>
      </c>
      <c r="AR396" s="33">
        <f t="shared" si="226"/>
        <v>0.38888685483333196</v>
      </c>
      <c r="AS396" s="33">
        <f t="shared" si="227"/>
        <v>0.02</v>
      </c>
      <c r="AT396" s="51">
        <f t="shared" si="228"/>
        <v>0.1119994141919996</v>
      </c>
      <c r="AU396" s="51">
        <f>APPLICANTS_PER_YEAR*($H396/Segments!$AH$2)*AS396</f>
        <v>0.26400000000000001</v>
      </c>
      <c r="AV396" s="51">
        <f t="shared" si="229"/>
        <v>0.37599941419199961</v>
      </c>
      <c r="AW396" s="14">
        <f t="shared" si="230"/>
        <v>5523.3834655587198</v>
      </c>
      <c r="AX396" s="44">
        <f t="shared" si="231"/>
        <v>2076.7889474078552</v>
      </c>
      <c r="AY396" s="44">
        <f t="shared" si="232"/>
        <v>1419.6471750116252</v>
      </c>
      <c r="AZ396" s="44">
        <f t="shared" si="233"/>
        <v>457.66916256568726</v>
      </c>
    </row>
    <row r="397" spans="1:52" ht="15" customHeight="1" x14ac:dyDescent="0.35">
      <c r="A397" s="59" t="str">
        <f>Segments!$A$377</f>
        <v>Greek</v>
      </c>
      <c r="B397" s="59" t="str">
        <f>Segments!$B$377</f>
        <v>Off 6+mi</v>
      </c>
      <c r="C397" s="59" t="str">
        <f>Segments!$C$377</f>
        <v>Yes</v>
      </c>
      <c r="D397" s="59" t="str">
        <f>Segments!$D$377</f>
        <v>2.0-3.0</v>
      </c>
      <c r="E397" s="59" t="str">
        <f>Segments!$E$377</f>
        <v>Junior</v>
      </c>
      <c r="F397" s="59">
        <f>Segments!$F$377</f>
        <v>2</v>
      </c>
      <c r="G397" s="59" t="str">
        <f>Segments!$G$377</f>
        <v>Base</v>
      </c>
      <c r="H397" s="60">
        <f>Segments!$H$377</f>
        <v>9</v>
      </c>
      <c r="I397" s="26">
        <f>Segments!$Y$377</f>
        <v>3798.5980666594464</v>
      </c>
      <c r="J397" s="29">
        <v>2</v>
      </c>
      <c r="K397" s="14">
        <f t="shared" si="195"/>
        <v>1426.2297754450396</v>
      </c>
      <c r="L397" s="14">
        <f t="shared" si="196"/>
        <v>3798.5980666594464</v>
      </c>
      <c r="M397" s="14">
        <f t="shared" si="197"/>
        <v>6218.4832604361736</v>
      </c>
      <c r="N397" s="14">
        <f t="shared" si="198"/>
        <v>2978.0842808994885</v>
      </c>
      <c r="O397" s="14">
        <f t="shared" si="199"/>
        <v>1782.7872193062994</v>
      </c>
      <c r="P397" s="33">
        <f t="shared" si="200"/>
        <v>0.95</v>
      </c>
      <c r="Q397" s="33">
        <f t="shared" si="201"/>
        <v>0.02</v>
      </c>
      <c r="R397" s="51">
        <f t="shared" si="202"/>
        <v>10.45</v>
      </c>
      <c r="S397" s="51">
        <f>APPLICANTS_PER_YEAR*($H397/Segments!$AH$2)*Q397</f>
        <v>0.21599999999999997</v>
      </c>
      <c r="T397" s="51">
        <f t="shared" si="203"/>
        <v>10.665999999999999</v>
      </c>
      <c r="U397" s="14">
        <f t="shared" si="204"/>
        <v>1872.6156784178741</v>
      </c>
      <c r="V397" s="44">
        <f t="shared" si="205"/>
        <v>19973.318826005041</v>
      </c>
      <c r="W397" s="44">
        <f t="shared" si="206"/>
        <v>45377.748616468409</v>
      </c>
      <c r="X397" s="44">
        <f t="shared" si="207"/>
        <v>4040.6889915638508</v>
      </c>
      <c r="Y397" s="14">
        <f t="shared" si="208"/>
        <v>1860.4923061421377</v>
      </c>
      <c r="Z397" s="14">
        <f t="shared" si="209"/>
        <v>3912.55600865923</v>
      </c>
      <c r="AA397" s="14">
        <f t="shared" si="210"/>
        <v>6403.7877582492592</v>
      </c>
      <c r="AB397" s="14">
        <f t="shared" si="211"/>
        <v>3067.1274769299857</v>
      </c>
      <c r="AC397" s="14">
        <f t="shared" si="212"/>
        <v>2325.6153826776722</v>
      </c>
      <c r="AD397" s="33">
        <f t="shared" si="213"/>
        <v>0.89588054699873831</v>
      </c>
      <c r="AE397" s="33">
        <f t="shared" si="214"/>
        <v>0.02</v>
      </c>
      <c r="AF397" s="51">
        <f t="shared" si="215"/>
        <v>10.427548441362223</v>
      </c>
      <c r="AG397" s="51">
        <f>APPLICANTS_PER_YEAR*($H397/Segments!$AH$2)*AE397</f>
        <v>0.21599999999999997</v>
      </c>
      <c r="AH397" s="51">
        <f t="shared" si="216"/>
        <v>10.643548441362222</v>
      </c>
      <c r="AI397" s="14">
        <f t="shared" si="217"/>
        <v>2408.3777469377183</v>
      </c>
      <c r="AJ397" s="44">
        <f t="shared" si="218"/>
        <v>25633.685214630412</v>
      </c>
      <c r="AK397" s="44">
        <f t="shared" si="219"/>
        <v>46640.69693663223</v>
      </c>
      <c r="AL397" s="44">
        <f t="shared" si="220"/>
        <v>5111.4501098447572</v>
      </c>
      <c r="AM397" s="14">
        <f t="shared" si="221"/>
        <v>5363.721811222058</v>
      </c>
      <c r="AN397" s="14">
        <f t="shared" si="222"/>
        <v>4029.9326889190065</v>
      </c>
      <c r="AO397" s="14">
        <f t="shared" si="223"/>
        <v>6594.6513909967362</v>
      </c>
      <c r="AP397" s="14">
        <f t="shared" si="224"/>
        <v>3158.8419400511384</v>
      </c>
      <c r="AQ397" s="14">
        <f t="shared" si="225"/>
        <v>6594.6513909967362</v>
      </c>
      <c r="AR397" s="33">
        <f t="shared" si="226"/>
        <v>0.3</v>
      </c>
      <c r="AS397" s="33">
        <f t="shared" si="227"/>
        <v>0.02</v>
      </c>
      <c r="AT397" s="51">
        <f t="shared" si="228"/>
        <v>0.11279060096986034</v>
      </c>
      <c r="AU397" s="51">
        <f>APPLICANTS_PER_YEAR*($H397/Segments!$AH$2)*AS397</f>
        <v>0.21599999999999997</v>
      </c>
      <c r="AV397" s="51">
        <f t="shared" si="229"/>
        <v>0.32879060096986029</v>
      </c>
      <c r="AW397" s="14">
        <f t="shared" si="230"/>
        <v>6594.6513909967371</v>
      </c>
      <c r="AX397" s="44">
        <f t="shared" si="231"/>
        <v>2168.2593940325423</v>
      </c>
      <c r="AY397" s="44">
        <f t="shared" si="232"/>
        <v>1484.0044695366971</v>
      </c>
      <c r="AZ397" s="44">
        <f t="shared" si="233"/>
        <v>471.63240200748299</v>
      </c>
    </row>
    <row r="398" spans="1:52" ht="15" customHeight="1" x14ac:dyDescent="0.35">
      <c r="A398" s="59" t="str">
        <f>Segments!$A$378</f>
        <v>Greek</v>
      </c>
      <c r="B398" s="59" t="str">
        <f>Segments!$B$378</f>
        <v>Off 6+mi</v>
      </c>
      <c r="C398" s="59" t="str">
        <f>Segments!$C$378</f>
        <v>Yes</v>
      </c>
      <c r="D398" s="59" t="str">
        <f>Segments!$D$378</f>
        <v>2.0-3.0</v>
      </c>
      <c r="E398" s="59" t="str">
        <f>Segments!$E$378</f>
        <v>Senior</v>
      </c>
      <c r="F398" s="59">
        <f>Segments!$F$378</f>
        <v>3</v>
      </c>
      <c r="G398" s="59" t="str">
        <f>Segments!$G$378</f>
        <v>Base</v>
      </c>
      <c r="H398" s="60">
        <f>Segments!$H$378</f>
        <v>8</v>
      </c>
      <c r="I398" s="26">
        <f>Segments!$Y$378</f>
        <v>3550.5019650031895</v>
      </c>
      <c r="J398" s="29">
        <v>3</v>
      </c>
      <c r="K398" s="14">
        <f t="shared" si="195"/>
        <v>1426.2297754450396</v>
      </c>
      <c r="L398" s="14">
        <f t="shared" si="196"/>
        <v>3550.5019650031895</v>
      </c>
      <c r="M398" s="14">
        <f t="shared" si="197"/>
        <v>5815.0596576574908</v>
      </c>
      <c r="N398" s="14">
        <f t="shared" si="198"/>
        <v>2879.863057463037</v>
      </c>
      <c r="O398" s="14">
        <f t="shared" si="199"/>
        <v>1782.7872193062994</v>
      </c>
      <c r="P398" s="33">
        <f t="shared" si="200"/>
        <v>0.95</v>
      </c>
      <c r="Q398" s="33">
        <f t="shared" si="201"/>
        <v>0.02</v>
      </c>
      <c r="R398" s="51">
        <f t="shared" si="202"/>
        <v>8.5499999999999989</v>
      </c>
      <c r="S398" s="51">
        <f>APPLICANTS_PER_YEAR*($H398/Segments!$AH$2)*Q398</f>
        <v>0.192</v>
      </c>
      <c r="T398" s="51">
        <f t="shared" si="203"/>
        <v>8.7419999999999991</v>
      </c>
      <c r="U398" s="14">
        <f t="shared" si="204"/>
        <v>1871.3477670257491</v>
      </c>
      <c r="V398" s="44">
        <f t="shared" si="205"/>
        <v>16359.322179339097</v>
      </c>
      <c r="W398" s="44">
        <f t="shared" si="206"/>
        <v>34763.106759424831</v>
      </c>
      <c r="X398" s="44">
        <f t="shared" si="207"/>
        <v>3310.6290927945479</v>
      </c>
      <c r="Y398" s="14">
        <f t="shared" si="208"/>
        <v>1872.6156784178741</v>
      </c>
      <c r="Z398" s="14">
        <f t="shared" si="209"/>
        <v>3657.0170239532854</v>
      </c>
      <c r="AA398" s="14">
        <f t="shared" si="210"/>
        <v>5988.2614473872154</v>
      </c>
      <c r="AB398" s="14">
        <f t="shared" si="211"/>
        <v>2965.9494066480047</v>
      </c>
      <c r="AC398" s="14">
        <f t="shared" si="212"/>
        <v>2340.7695980223425</v>
      </c>
      <c r="AD398" s="33">
        <f t="shared" si="213"/>
        <v>0.88039286462951083</v>
      </c>
      <c r="AE398" s="33">
        <f t="shared" si="214"/>
        <v>0.02</v>
      </c>
      <c r="AF398" s="51">
        <f t="shared" si="215"/>
        <v>9.3902702941383609</v>
      </c>
      <c r="AG398" s="51">
        <f>APPLICANTS_PER_YEAR*($H398/Segments!$AH$2)*AE398</f>
        <v>0.192</v>
      </c>
      <c r="AH398" s="51">
        <f t="shared" si="216"/>
        <v>9.5822702941383611</v>
      </c>
      <c r="AI398" s="14">
        <f t="shared" si="217"/>
        <v>2413.8544112848581</v>
      </c>
      <c r="AJ398" s="44">
        <f t="shared" si="218"/>
        <v>23130.205419629739</v>
      </c>
      <c r="AK398" s="44">
        <f t="shared" si="219"/>
        <v>39247.628665040145</v>
      </c>
      <c r="AL398" s="44">
        <f t="shared" si="220"/>
        <v>4608.2953471192313</v>
      </c>
      <c r="AM398" s="14">
        <f t="shared" si="221"/>
        <v>2408.3777469377183</v>
      </c>
      <c r="AN398" s="14">
        <f t="shared" si="222"/>
        <v>3766.7275346718834</v>
      </c>
      <c r="AO398" s="14">
        <f t="shared" si="223"/>
        <v>6166.6592908088314</v>
      </c>
      <c r="AP398" s="14">
        <f t="shared" si="224"/>
        <v>3054.61831447023</v>
      </c>
      <c r="AQ398" s="14">
        <f t="shared" si="225"/>
        <v>3010.4721836721478</v>
      </c>
      <c r="AR398" s="33">
        <f t="shared" si="226"/>
        <v>0.78222612880780473</v>
      </c>
      <c r="AS398" s="33">
        <f t="shared" si="227"/>
        <v>0.02</v>
      </c>
      <c r="AT398" s="51">
        <f t="shared" si="228"/>
        <v>8.3256616940651149</v>
      </c>
      <c r="AU398" s="51">
        <f>APPLICANTS_PER_YEAR*($H398/Segments!$AH$2)*AS398</f>
        <v>0.192</v>
      </c>
      <c r="AV398" s="51">
        <f t="shared" si="229"/>
        <v>8.5176616940651151</v>
      </c>
      <c r="AW398" s="14">
        <f t="shared" si="230"/>
        <v>3081.6170525734897</v>
      </c>
      <c r="AX398" s="44">
        <f t="shared" si="231"/>
        <v>26248.171524483056</v>
      </c>
      <c r="AY398" s="44">
        <f t="shared" si="232"/>
        <v>35933.756134141637</v>
      </c>
      <c r="AZ398" s="44">
        <f t="shared" si="233"/>
        <v>5177.4976024428352</v>
      </c>
    </row>
    <row r="399" spans="1:52" ht="15" customHeight="1" x14ac:dyDescent="0.35">
      <c r="A399" s="59" t="str">
        <f>Segments!$A$379</f>
        <v>Greek</v>
      </c>
      <c r="B399" s="59" t="str">
        <f>Segments!$B$379</f>
        <v>Off 6+mi</v>
      </c>
      <c r="C399" s="59" t="str">
        <f>Segments!$C$379</f>
        <v>Yes</v>
      </c>
      <c r="D399" s="59" t="str">
        <f>Segments!$D$379</f>
        <v>2.0-3.0</v>
      </c>
      <c r="E399" s="59" t="str">
        <f>Segments!$E$379</f>
        <v>Grad student</v>
      </c>
      <c r="F399" s="59">
        <f>Segments!$F$379</f>
        <v>3</v>
      </c>
      <c r="G399" s="59" t="str">
        <f>Segments!$G$379</f>
        <v>Grad</v>
      </c>
      <c r="H399" s="60">
        <f>Segments!$H$379</f>
        <v>7</v>
      </c>
      <c r="I399" s="26">
        <f>Segments!$Y$379</f>
        <v>4227.5131956699051</v>
      </c>
      <c r="J399" s="29">
        <v>4</v>
      </c>
      <c r="K399" s="14">
        <f t="shared" si="195"/>
        <v>1426.2297754450396</v>
      </c>
      <c r="L399" s="14">
        <f t="shared" si="196"/>
        <v>4227.5131956699051</v>
      </c>
      <c r="M399" s="14">
        <f t="shared" si="197"/>
        <v>6915.9326982811363</v>
      </c>
      <c r="N399" s="14">
        <f t="shared" si="198"/>
        <v>3140.6542533781894</v>
      </c>
      <c r="O399" s="14">
        <f t="shared" si="199"/>
        <v>1782.7872193062994</v>
      </c>
      <c r="P399" s="33">
        <f t="shared" si="200"/>
        <v>0.95</v>
      </c>
      <c r="Q399" s="33">
        <f t="shared" si="201"/>
        <v>0.02</v>
      </c>
      <c r="R399" s="51">
        <f t="shared" si="202"/>
        <v>3.3249999999999997</v>
      </c>
      <c r="S399" s="51">
        <f>APPLICANTS_PER_YEAR*($H399/Segments!$AH$2)*Q399</f>
        <v>0.16800000000000001</v>
      </c>
      <c r="T399" s="51">
        <f t="shared" si="203"/>
        <v>3.4929999999999999</v>
      </c>
      <c r="U399" s="14">
        <f t="shared" si="204"/>
        <v>2029.6719718020831</v>
      </c>
      <c r="V399" s="44">
        <f t="shared" si="205"/>
        <v>7089.6441975046764</v>
      </c>
      <c r="W399" s="44">
        <f t="shared" si="206"/>
        <v>16538.708023571977</v>
      </c>
      <c r="X399" s="44">
        <f t="shared" si="207"/>
        <v>1454.6684375942771</v>
      </c>
      <c r="Y399" s="14">
        <f t="shared" si="208"/>
        <v>2029.6719718020831</v>
      </c>
      <c r="Z399" s="14">
        <f t="shared" si="209"/>
        <v>4354.3385915400022</v>
      </c>
      <c r="AA399" s="14">
        <f t="shared" si="210"/>
        <v>7122.1606792295697</v>
      </c>
      <c r="AB399" s="14">
        <f t="shared" si="211"/>
        <v>3234.5900443499345</v>
      </c>
      <c r="AC399" s="14">
        <f t="shared" si="212"/>
        <v>2537.0899647526039</v>
      </c>
      <c r="AD399" s="33">
        <f t="shared" si="213"/>
        <v>0.88281893068886719</v>
      </c>
      <c r="AE399" s="33">
        <f t="shared" si="214"/>
        <v>0.02</v>
      </c>
      <c r="AF399" s="51">
        <f t="shared" si="215"/>
        <v>1.5418432624481064</v>
      </c>
      <c r="AG399" s="51">
        <f>APPLICANTS_PER_YEAR*($H399/Segments!$AH$2)*AE399</f>
        <v>0.16800000000000001</v>
      </c>
      <c r="AH399" s="51">
        <f t="shared" si="216"/>
        <v>1.7098432624481064</v>
      </c>
      <c r="AI399" s="14">
        <f t="shared" si="217"/>
        <v>2987.5943454460994</v>
      </c>
      <c r="AJ399" s="44">
        <f t="shared" si="218"/>
        <v>5108.3180624890738</v>
      </c>
      <c r="AK399" s="44">
        <f t="shared" si="219"/>
        <v>8338.6648835419437</v>
      </c>
      <c r="AL399" s="44">
        <f t="shared" si="220"/>
        <v>1045.7472838532669</v>
      </c>
      <c r="AM399" s="14">
        <f t="shared" si="221"/>
        <v>2987.5943454460994</v>
      </c>
      <c r="AN399" s="14">
        <f t="shared" si="222"/>
        <v>4484.9687492862022</v>
      </c>
      <c r="AO399" s="14">
        <f t="shared" si="223"/>
        <v>7334.575499606457</v>
      </c>
      <c r="AP399" s="14">
        <f t="shared" si="224"/>
        <v>3331.3438845046785</v>
      </c>
      <c r="AQ399" s="14">
        <f t="shared" si="225"/>
        <v>3734.4929318076242</v>
      </c>
      <c r="AR399" s="33">
        <f t="shared" si="226"/>
        <v>0.71449152935274229</v>
      </c>
      <c r="AS399" s="33">
        <f t="shared" si="227"/>
        <v>0.02</v>
      </c>
      <c r="AT399" s="51">
        <f t="shared" si="228"/>
        <v>0.61083426377001493</v>
      </c>
      <c r="AU399" s="51">
        <f>APPLICANTS_PER_YEAR*($H399/Segments!$AH$2)*AS399</f>
        <v>0.16800000000000001</v>
      </c>
      <c r="AV399" s="51">
        <f t="shared" si="229"/>
        <v>0.77883426377001497</v>
      </c>
      <c r="AW399" s="14">
        <f t="shared" si="230"/>
        <v>4511.0559305418474</v>
      </c>
      <c r="AX399" s="44">
        <f t="shared" si="231"/>
        <v>3513.3649244889198</v>
      </c>
      <c r="AY399" s="44">
        <f t="shared" si="232"/>
        <v>3912.2130139476658</v>
      </c>
      <c r="AZ399" s="44">
        <f t="shared" si="233"/>
        <v>726.92995994149226</v>
      </c>
    </row>
    <row r="400" spans="1:52" ht="15" customHeight="1" x14ac:dyDescent="0.35">
      <c r="A400" s="61" t="str">
        <f>Segments!$A$380</f>
        <v>Greek</v>
      </c>
      <c r="B400" s="61" t="str">
        <f>Segments!$B$380</f>
        <v>Off 6+mi</v>
      </c>
      <c r="C400" s="61" t="str">
        <f>Segments!$C$380</f>
        <v>Yes</v>
      </c>
      <c r="D400" s="61" t="str">
        <f>Segments!$D$380</f>
        <v>3.0+</v>
      </c>
      <c r="E400" s="61" t="str">
        <f>Segments!$E$380</f>
        <v>Freshman</v>
      </c>
      <c r="F400" s="61">
        <f>Segments!$F$380</f>
        <v>1</v>
      </c>
      <c r="G400" s="61" t="str">
        <f>Segments!$G$380</f>
        <v>Base</v>
      </c>
      <c r="H400" s="62">
        <f>Segments!$H$380</f>
        <v>7</v>
      </c>
      <c r="I400" s="63">
        <f>Segments!$Y$380</f>
        <v>2813.9561921766613</v>
      </c>
      <c r="J400" s="42">
        <v>0</v>
      </c>
      <c r="K400" s="40">
        <f t="shared" si="195"/>
        <v>4617.3788101898344</v>
      </c>
      <c r="L400" s="40">
        <f t="shared" si="196"/>
        <v>2813.9561921766613</v>
      </c>
      <c r="M400" s="40">
        <f t="shared" si="197"/>
        <v>4617.3788101898344</v>
      </c>
      <c r="N400" s="40">
        <f t="shared" si="198"/>
        <v>2566.211827500164</v>
      </c>
      <c r="O400" s="40">
        <f t="shared" si="199"/>
        <v>4617.3788101898344</v>
      </c>
      <c r="P400" s="41">
        <f t="shared" si="200"/>
        <v>0.45035119456841888</v>
      </c>
      <c r="Q400" s="41">
        <f t="shared" si="201"/>
        <v>0.02</v>
      </c>
      <c r="R400" s="64">
        <f t="shared" si="202"/>
        <v>0</v>
      </c>
      <c r="S400" s="64">
        <f>APPLICANTS_PER_YEAR*($H400/Segments!$AH$2)*Q400</f>
        <v>0.16800000000000001</v>
      </c>
      <c r="T400" s="64">
        <f t="shared" si="203"/>
        <v>0.16800000000000001</v>
      </c>
      <c r="U400" s="40">
        <f t="shared" si="204"/>
        <v>4617.3788101898344</v>
      </c>
      <c r="V400" s="65">
        <f t="shared" si="205"/>
        <v>775.7196401118922</v>
      </c>
      <c r="W400" s="65">
        <f t="shared" si="206"/>
        <v>529.4739971199607</v>
      </c>
      <c r="X400" s="65">
        <f t="shared" si="207"/>
        <v>181.32119938506386</v>
      </c>
      <c r="Y400" s="40">
        <f t="shared" si="208"/>
        <v>4754.6501744955303</v>
      </c>
      <c r="Z400" s="40">
        <f t="shared" si="209"/>
        <v>2898.3748779419611</v>
      </c>
      <c r="AA400" s="40">
        <f t="shared" si="210"/>
        <v>4754.6501744955303</v>
      </c>
      <c r="AB400" s="40">
        <f t="shared" si="211"/>
        <v>2642.8508017311897</v>
      </c>
      <c r="AC400" s="40">
        <f t="shared" si="212"/>
        <v>4754.6501744955303</v>
      </c>
      <c r="AD400" s="41">
        <f t="shared" si="213"/>
        <v>0.45046943032481923</v>
      </c>
      <c r="AE400" s="41">
        <f t="shared" si="214"/>
        <v>0.02</v>
      </c>
      <c r="AF400" s="64">
        <f t="shared" si="215"/>
        <v>0</v>
      </c>
      <c r="AG400" s="64">
        <f>APPLICANTS_PER_YEAR*($H400/Segments!$AH$2)*AE400</f>
        <v>0.16800000000000001</v>
      </c>
      <c r="AH400" s="64">
        <f t="shared" si="216"/>
        <v>0.16800000000000001</v>
      </c>
      <c r="AI400" s="40">
        <f t="shared" si="217"/>
        <v>4754.6501744955303</v>
      </c>
      <c r="AJ400" s="65">
        <f t="shared" si="218"/>
        <v>798.78122931524911</v>
      </c>
      <c r="AK400" s="65">
        <f t="shared" si="219"/>
        <v>545.35821703355953</v>
      </c>
      <c r="AL400" s="65">
        <f t="shared" si="220"/>
        <v>186.48699536661582</v>
      </c>
      <c r="AM400" s="40">
        <f t="shared" si="221"/>
        <v>4896.0396797303956</v>
      </c>
      <c r="AN400" s="40">
        <f t="shared" si="222"/>
        <v>2985.32612428022</v>
      </c>
      <c r="AO400" s="40">
        <f t="shared" si="223"/>
        <v>4896.0396797303956</v>
      </c>
      <c r="AP400" s="40">
        <f t="shared" si="224"/>
        <v>2721.7889001880899</v>
      </c>
      <c r="AQ400" s="40">
        <f t="shared" si="225"/>
        <v>4896.0396797303956</v>
      </c>
      <c r="AR400" s="41">
        <f t="shared" si="226"/>
        <v>0.45058423719193397</v>
      </c>
      <c r="AS400" s="41">
        <f t="shared" si="227"/>
        <v>0.02</v>
      </c>
      <c r="AT400" s="64">
        <f t="shared" si="228"/>
        <v>0</v>
      </c>
      <c r="AU400" s="64">
        <f>APPLICANTS_PER_YEAR*($H400/Segments!$AH$2)*AS400</f>
        <v>0.16800000000000001</v>
      </c>
      <c r="AV400" s="64">
        <f t="shared" si="229"/>
        <v>0.16800000000000001</v>
      </c>
      <c r="AW400" s="40">
        <f t="shared" si="230"/>
        <v>4896.0396797303956</v>
      </c>
      <c r="AX400" s="65">
        <f t="shared" si="231"/>
        <v>822.53466619470646</v>
      </c>
      <c r="AY400" s="65">
        <f t="shared" si="232"/>
        <v>561.71896354456624</v>
      </c>
      <c r="AZ400" s="65">
        <f t="shared" si="233"/>
        <v>191.80776522761425</v>
      </c>
    </row>
    <row r="401" spans="1:52" ht="15" customHeight="1" x14ac:dyDescent="0.35">
      <c r="A401" s="61" t="str">
        <f>Segments!$A$381</f>
        <v>Greek</v>
      </c>
      <c r="B401" s="61" t="str">
        <f>Segments!$B$381</f>
        <v>Off 6+mi</v>
      </c>
      <c r="C401" s="61" t="str">
        <f>Segments!$C$381</f>
        <v>Yes</v>
      </c>
      <c r="D401" s="61" t="str">
        <f>Segments!$D$381</f>
        <v>3.0+</v>
      </c>
      <c r="E401" s="61" t="str">
        <f>Segments!$E$381</f>
        <v>Sophomore</v>
      </c>
      <c r="F401" s="61">
        <f>Segments!$F$381</f>
        <v>1</v>
      </c>
      <c r="G401" s="61" t="str">
        <f>Segments!$G$381</f>
        <v>Sophomore</v>
      </c>
      <c r="H401" s="62">
        <f>Segments!$H$381</f>
        <v>4</v>
      </c>
      <c r="I401" s="63">
        <f>Segments!$Y$381</f>
        <v>2785.3276851620253</v>
      </c>
      <c r="J401" s="42">
        <v>1</v>
      </c>
      <c r="K401" s="40">
        <f t="shared" si="195"/>
        <v>1426.2297754450396</v>
      </c>
      <c r="L401" s="40">
        <f t="shared" si="196"/>
        <v>2785.3276851620253</v>
      </c>
      <c r="M401" s="40">
        <f t="shared" si="197"/>
        <v>4570.8266259156089</v>
      </c>
      <c r="N401" s="40">
        <f t="shared" si="198"/>
        <v>2553.2428463187412</v>
      </c>
      <c r="O401" s="40">
        <f t="shared" si="199"/>
        <v>1782.7872193062994</v>
      </c>
      <c r="P401" s="41">
        <f t="shared" si="200"/>
        <v>0.92587785874408346</v>
      </c>
      <c r="Q401" s="41">
        <f t="shared" si="201"/>
        <v>0.02</v>
      </c>
      <c r="R401" s="64">
        <f t="shared" si="202"/>
        <v>6.481145011208584</v>
      </c>
      <c r="S401" s="64">
        <f>APPLICANTS_PER_YEAR*($H401/Segments!$AH$2)*Q401</f>
        <v>9.6000000000000002E-2</v>
      </c>
      <c r="T401" s="64">
        <f t="shared" si="203"/>
        <v>6.5771450112085841</v>
      </c>
      <c r="U401" s="40">
        <f t="shared" si="204"/>
        <v>1823.4814388465968</v>
      </c>
      <c r="V401" s="65">
        <f t="shared" si="205"/>
        <v>11993.301848541345</v>
      </c>
      <c r="W401" s="65">
        <f t="shared" si="206"/>
        <v>20517.844579729917</v>
      </c>
      <c r="X401" s="65">
        <f t="shared" si="207"/>
        <v>2416.0349270615625</v>
      </c>
      <c r="Y401" s="40">
        <f t="shared" si="208"/>
        <v>4617.3788101898344</v>
      </c>
      <c r="Z401" s="40">
        <f t="shared" si="209"/>
        <v>2868.8875157168864</v>
      </c>
      <c r="AA401" s="40">
        <f t="shared" si="210"/>
        <v>4706.7014246930776</v>
      </c>
      <c r="AB401" s="40">
        <f t="shared" si="211"/>
        <v>2629.4909863902672</v>
      </c>
      <c r="AC401" s="40">
        <f t="shared" si="212"/>
        <v>4706.7014246930776</v>
      </c>
      <c r="AD401" s="41">
        <f t="shared" si="213"/>
        <v>0.44921316456335297</v>
      </c>
      <c r="AE401" s="41">
        <f t="shared" si="214"/>
        <v>0.02</v>
      </c>
      <c r="AF401" s="64">
        <f t="shared" si="215"/>
        <v>7.5467811646643304E-2</v>
      </c>
      <c r="AG401" s="64">
        <f>APPLICANTS_PER_YEAR*($H401/Segments!$AH$2)*AE401</f>
        <v>9.6000000000000002E-2</v>
      </c>
      <c r="AH401" s="64">
        <f t="shared" si="216"/>
        <v>0.17146781164664332</v>
      </c>
      <c r="AI401" s="40">
        <f t="shared" si="217"/>
        <v>4706.7014246930767</v>
      </c>
      <c r="AJ401" s="65">
        <f t="shared" si="218"/>
        <v>807.04779336626029</v>
      </c>
      <c r="AK401" s="65">
        <f t="shared" si="219"/>
        <v>550.95248788199149</v>
      </c>
      <c r="AL401" s="65">
        <f t="shared" si="220"/>
        <v>174.17590596612482</v>
      </c>
      <c r="AM401" s="40">
        <f t="shared" si="221"/>
        <v>4754.6501744955303</v>
      </c>
      <c r="AN401" s="40">
        <f t="shared" si="222"/>
        <v>2954.9541411883924</v>
      </c>
      <c r="AO401" s="40">
        <f t="shared" si="223"/>
        <v>4846.6524674338689</v>
      </c>
      <c r="AP401" s="40">
        <f t="shared" si="224"/>
        <v>2708.0265249734748</v>
      </c>
      <c r="AQ401" s="40">
        <f t="shared" si="225"/>
        <v>4846.6524674338689</v>
      </c>
      <c r="AR401" s="41">
        <f t="shared" si="226"/>
        <v>0.44932702907846889</v>
      </c>
      <c r="AS401" s="41">
        <f t="shared" si="227"/>
        <v>0.02</v>
      </c>
      <c r="AT401" s="64">
        <f t="shared" si="228"/>
        <v>7.5486940885182777E-2</v>
      </c>
      <c r="AU401" s="64">
        <f>APPLICANTS_PER_YEAR*($H401/Segments!$AH$2)*AS401</f>
        <v>9.6000000000000002E-2</v>
      </c>
      <c r="AV401" s="64">
        <f t="shared" si="229"/>
        <v>0.17148694088518279</v>
      </c>
      <c r="AW401" s="40">
        <f t="shared" si="230"/>
        <v>4846.652467433868</v>
      </c>
      <c r="AX401" s="65">
        <f t="shared" si="231"/>
        <v>831.13760517385708</v>
      </c>
      <c r="AY401" s="65">
        <f t="shared" si="232"/>
        <v>567.54437166380796</v>
      </c>
      <c r="AZ401" s="65">
        <f t="shared" si="233"/>
        <v>179.19949848614044</v>
      </c>
    </row>
    <row r="402" spans="1:52" ht="15" customHeight="1" x14ac:dyDescent="0.35">
      <c r="A402" s="61" t="str">
        <f>Segments!$A$382</f>
        <v>Greek</v>
      </c>
      <c r="B402" s="61" t="str">
        <f>Segments!$B$382</f>
        <v>Off 6+mi</v>
      </c>
      <c r="C402" s="61" t="str">
        <f>Segments!$C$382</f>
        <v>Yes</v>
      </c>
      <c r="D402" s="61" t="str">
        <f>Segments!$D$382</f>
        <v>3.0+</v>
      </c>
      <c r="E402" s="61" t="str">
        <f>Segments!$E$382</f>
        <v>Junior</v>
      </c>
      <c r="F402" s="61">
        <f>Segments!$F$382</f>
        <v>2</v>
      </c>
      <c r="G402" s="61" t="str">
        <f>Segments!$G$382</f>
        <v>Base</v>
      </c>
      <c r="H402" s="62">
        <f>Segments!$H$382</f>
        <v>3</v>
      </c>
      <c r="I402" s="63">
        <f>Segments!$Y$382</f>
        <v>3329.6520857862379</v>
      </c>
      <c r="J402" s="42">
        <v>2</v>
      </c>
      <c r="K402" s="40">
        <f t="shared" si="195"/>
        <v>1426.2297754450396</v>
      </c>
      <c r="L402" s="40">
        <f t="shared" si="196"/>
        <v>3329.6520857862379</v>
      </c>
      <c r="M402" s="40">
        <f t="shared" si="197"/>
        <v>5455.9405366711226</v>
      </c>
      <c r="N402" s="40">
        <f t="shared" si="198"/>
        <v>2789.5205406051309</v>
      </c>
      <c r="O402" s="40">
        <f t="shared" si="199"/>
        <v>1782.7872193062994</v>
      </c>
      <c r="P402" s="41">
        <f t="shared" si="200"/>
        <v>0.95</v>
      </c>
      <c r="Q402" s="41">
        <f t="shared" si="201"/>
        <v>0.02</v>
      </c>
      <c r="R402" s="64">
        <f t="shared" si="202"/>
        <v>3.8</v>
      </c>
      <c r="S402" s="64">
        <f>APPLICANTS_PER_YEAR*($H402/Segments!$AH$2)*Q402</f>
        <v>7.1999999999999995E-2</v>
      </c>
      <c r="T402" s="64">
        <f t="shared" si="203"/>
        <v>3.8719999999999999</v>
      </c>
      <c r="U402" s="40">
        <f t="shared" si="204"/>
        <v>1851.0896570258933</v>
      </c>
      <c r="V402" s="65">
        <f t="shared" si="205"/>
        <v>7167.4191520042586</v>
      </c>
      <c r="W402" s="65">
        <f t="shared" si="206"/>
        <v>14439.502421304032</v>
      </c>
      <c r="X402" s="65">
        <f t="shared" si="207"/>
        <v>1447.631189881216</v>
      </c>
      <c r="Y402" s="40">
        <f t="shared" si="208"/>
        <v>1823.4814388465968</v>
      </c>
      <c r="Z402" s="40">
        <f t="shared" si="209"/>
        <v>3429.5416483598251</v>
      </c>
      <c r="AA402" s="40">
        <f t="shared" si="210"/>
        <v>5618.3687527712564</v>
      </c>
      <c r="AB402" s="40">
        <f t="shared" si="211"/>
        <v>2872.8865882194768</v>
      </c>
      <c r="AC402" s="40">
        <f t="shared" si="212"/>
        <v>2279.3517985582462</v>
      </c>
      <c r="AD402" s="41">
        <f t="shared" si="213"/>
        <v>0.87829937702641514</v>
      </c>
      <c r="AE402" s="41">
        <f t="shared" si="214"/>
        <v>0.02</v>
      </c>
      <c r="AF402" s="64">
        <f t="shared" si="215"/>
        <v>5.7767023659568935</v>
      </c>
      <c r="AG402" s="64">
        <f>APPLICANTS_PER_YEAR*($H402/Segments!$AH$2)*AE402</f>
        <v>7.1999999999999995E-2</v>
      </c>
      <c r="AH402" s="64">
        <f t="shared" si="216"/>
        <v>5.8487023659568935</v>
      </c>
      <c r="AI402" s="40">
        <f t="shared" si="217"/>
        <v>2320.4565095968292</v>
      </c>
      <c r="AJ402" s="65">
        <f t="shared" si="218"/>
        <v>13571.659477779051</v>
      </c>
      <c r="AK402" s="65">
        <f t="shared" si="219"/>
        <v>22465.372555258993</v>
      </c>
      <c r="AL402" s="65">
        <f t="shared" si="220"/>
        <v>2697.9759778763623</v>
      </c>
      <c r="AM402" s="40">
        <f t="shared" si="221"/>
        <v>4706.7014246930767</v>
      </c>
      <c r="AN402" s="40">
        <f t="shared" si="222"/>
        <v>3532.4278978106195</v>
      </c>
      <c r="AO402" s="40">
        <f t="shared" si="223"/>
        <v>5785.669815354393</v>
      </c>
      <c r="AP402" s="40">
        <f t="shared" si="224"/>
        <v>2958.7535822285977</v>
      </c>
      <c r="AQ402" s="40">
        <f t="shared" si="225"/>
        <v>5785.669815354393</v>
      </c>
      <c r="AR402" s="41">
        <f t="shared" si="226"/>
        <v>0.30350693906561926</v>
      </c>
      <c r="AS402" s="41">
        <f t="shared" si="227"/>
        <v>0.02</v>
      </c>
      <c r="AT402" s="64">
        <f t="shared" si="228"/>
        <v>5.2041670661152853E-2</v>
      </c>
      <c r="AU402" s="64">
        <f>APPLICANTS_PER_YEAR*($H402/Segments!$AH$2)*AS402</f>
        <v>7.1999999999999995E-2</v>
      </c>
      <c r="AV402" s="64">
        <f t="shared" si="229"/>
        <v>0.12404167066115285</v>
      </c>
      <c r="AW402" s="40">
        <f t="shared" si="230"/>
        <v>5785.669815354393</v>
      </c>
      <c r="AX402" s="65">
        <f t="shared" si="231"/>
        <v>717.66414979036267</v>
      </c>
      <c r="AY402" s="65">
        <f t="shared" si="232"/>
        <v>490.74844888663262</v>
      </c>
      <c r="AZ402" s="65">
        <f t="shared" si="233"/>
        <v>154.49924565829465</v>
      </c>
    </row>
    <row r="403" spans="1:52" ht="15" customHeight="1" x14ac:dyDescent="0.35">
      <c r="A403" s="61" t="str">
        <f>Segments!$A$383</f>
        <v>Greek</v>
      </c>
      <c r="B403" s="61" t="str">
        <f>Segments!$B$383</f>
        <v>Off 6+mi</v>
      </c>
      <c r="C403" s="61" t="str">
        <f>Segments!$C$383</f>
        <v>Yes</v>
      </c>
      <c r="D403" s="61" t="str">
        <f>Segments!$D$383</f>
        <v>3.0+</v>
      </c>
      <c r="E403" s="61" t="str">
        <f>Segments!$E$383</f>
        <v>Senior</v>
      </c>
      <c r="F403" s="61">
        <f>Segments!$F$383</f>
        <v>3</v>
      </c>
      <c r="G403" s="61" t="str">
        <f>Segments!$G$383</f>
        <v>Base</v>
      </c>
      <c r="H403" s="62">
        <f>Segments!$H$383</f>
        <v>6</v>
      </c>
      <c r="I403" s="63">
        <f>Segments!$Y$383</f>
        <v>3112.1840389281892</v>
      </c>
      <c r="J403" s="42">
        <v>3</v>
      </c>
      <c r="K403" s="40">
        <f t="shared" si="195"/>
        <v>1426.2297754450396</v>
      </c>
      <c r="L403" s="40">
        <f t="shared" si="196"/>
        <v>3112.1840389281892</v>
      </c>
      <c r="M403" s="40">
        <f t="shared" si="197"/>
        <v>5102.3205387468024</v>
      </c>
      <c r="N403" s="40">
        <f t="shared" si="198"/>
        <v>2697.6066199921488</v>
      </c>
      <c r="O403" s="40">
        <f t="shared" si="199"/>
        <v>1782.7872193062994</v>
      </c>
      <c r="P403" s="41">
        <f t="shared" si="200"/>
        <v>0.94456130554878892</v>
      </c>
      <c r="Q403" s="41">
        <f t="shared" si="201"/>
        <v>0.02</v>
      </c>
      <c r="R403" s="64">
        <f t="shared" si="202"/>
        <v>2.8336839166463665</v>
      </c>
      <c r="S403" s="64">
        <f>APPLICANTS_PER_YEAR*($H403/Segments!$AH$2)*Q403</f>
        <v>0.14399999999999999</v>
      </c>
      <c r="T403" s="64">
        <f t="shared" si="203"/>
        <v>2.9776839166463667</v>
      </c>
      <c r="U403" s="40">
        <f t="shared" si="204"/>
        <v>1943.3189652472172</v>
      </c>
      <c r="V403" s="65">
        <f t="shared" si="205"/>
        <v>5786.5896277304983</v>
      </c>
      <c r="W403" s="65">
        <f t="shared" si="206"/>
        <v>10379.152401363201</v>
      </c>
      <c r="X403" s="65">
        <f t="shared" si="207"/>
        <v>1182.5348134892754</v>
      </c>
      <c r="Y403" s="40">
        <f t="shared" si="208"/>
        <v>1851.0896570258933</v>
      </c>
      <c r="Z403" s="40">
        <f t="shared" si="209"/>
        <v>3205.5495600960348</v>
      </c>
      <c r="AA403" s="40">
        <f t="shared" si="210"/>
        <v>5254.1401549092061</v>
      </c>
      <c r="AB403" s="40">
        <f t="shared" si="211"/>
        <v>2778.2043602463286</v>
      </c>
      <c r="AC403" s="40">
        <f t="shared" si="212"/>
        <v>2313.8620712823667</v>
      </c>
      <c r="AD403" s="41">
        <f t="shared" si="213"/>
        <v>0.85856877838223378</v>
      </c>
      <c r="AE403" s="41">
        <f t="shared" si="214"/>
        <v>0.02</v>
      </c>
      <c r="AF403" s="64">
        <f t="shared" si="215"/>
        <v>3.3243783098960091</v>
      </c>
      <c r="AG403" s="64">
        <f>APPLICANTS_PER_YEAR*($H403/Segments!$AH$2)*AE403</f>
        <v>0.14399999999999999</v>
      </c>
      <c r="AH403" s="64">
        <f t="shared" si="216"/>
        <v>3.4683783098960093</v>
      </c>
      <c r="AI403" s="40">
        <f t="shared" si="217"/>
        <v>2435.9364259841636</v>
      </c>
      <c r="AJ403" s="65">
        <f t="shared" si="218"/>
        <v>8448.7490641690783</v>
      </c>
      <c r="AK403" s="65">
        <f t="shared" si="219"/>
        <v>12452.225593397838</v>
      </c>
      <c r="AL403" s="65">
        <f t="shared" si="220"/>
        <v>1696.2620057066185</v>
      </c>
      <c r="AM403" s="40">
        <f t="shared" si="221"/>
        <v>2320.4565095968292</v>
      </c>
      <c r="AN403" s="40">
        <f t="shared" si="222"/>
        <v>3301.7160468989159</v>
      </c>
      <c r="AO403" s="40">
        <f t="shared" si="223"/>
        <v>5410.5143595564823</v>
      </c>
      <c r="AP403" s="40">
        <f t="shared" si="224"/>
        <v>2861.2199939691486</v>
      </c>
      <c r="AQ403" s="40">
        <f t="shared" si="225"/>
        <v>2900.5706369960362</v>
      </c>
      <c r="AR403" s="41">
        <f t="shared" si="226"/>
        <v>0.76812345029221274</v>
      </c>
      <c r="AS403" s="41">
        <f t="shared" si="227"/>
        <v>0.02</v>
      </c>
      <c r="AT403" s="64">
        <f t="shared" si="228"/>
        <v>4.4925254410710371</v>
      </c>
      <c r="AU403" s="64">
        <f>APPLICANTS_PER_YEAR*($H403/Segments!$AH$2)*AS403</f>
        <v>0.14399999999999999</v>
      </c>
      <c r="AV403" s="64">
        <f t="shared" si="229"/>
        <v>4.6365254410710373</v>
      </c>
      <c r="AW403" s="40">
        <f t="shared" si="230"/>
        <v>2978.5238156515629</v>
      </c>
      <c r="AX403" s="65">
        <f t="shared" si="231"/>
        <v>13810.001448104451</v>
      </c>
      <c r="AY403" s="65">
        <f t="shared" si="232"/>
        <v>17145.509304716037</v>
      </c>
      <c r="AZ403" s="65">
        <f t="shared" si="233"/>
        <v>2733.6897748853262</v>
      </c>
    </row>
    <row r="404" spans="1:52" ht="15" customHeight="1" x14ac:dyDescent="0.35">
      <c r="A404" s="61" t="str">
        <f>Segments!$A$384</f>
        <v>Greek</v>
      </c>
      <c r="B404" s="61" t="str">
        <f>Segments!$B$384</f>
        <v>Off 6+mi</v>
      </c>
      <c r="C404" s="61" t="str">
        <f>Segments!$C$384</f>
        <v>Yes</v>
      </c>
      <c r="D404" s="61" t="str">
        <f>Segments!$D$384</f>
        <v>3.0+</v>
      </c>
      <c r="E404" s="61" t="str">
        <f>Segments!$E$384</f>
        <v>Grad student</v>
      </c>
      <c r="F404" s="61">
        <f>Segments!$F$384</f>
        <v>3</v>
      </c>
      <c r="G404" s="61" t="str">
        <f>Segments!$G$384</f>
        <v>Grad</v>
      </c>
      <c r="H404" s="62">
        <f>Segments!$H$384</f>
        <v>3</v>
      </c>
      <c r="I404" s="63">
        <f>Segments!$Y$384</f>
        <v>3705.6166202995933</v>
      </c>
      <c r="J404" s="42">
        <v>4</v>
      </c>
      <c r="K404" s="40">
        <f t="shared" si="195"/>
        <v>1426.2297754450396</v>
      </c>
      <c r="L404" s="40">
        <f t="shared" si="196"/>
        <v>3705.6166202995933</v>
      </c>
      <c r="M404" s="40">
        <f t="shared" si="197"/>
        <v>6067.2881798539038</v>
      </c>
      <c r="N404" s="40">
        <f t="shared" si="198"/>
        <v>2941.6571959209277</v>
      </c>
      <c r="O404" s="40">
        <f t="shared" si="199"/>
        <v>1782.7872193062994</v>
      </c>
      <c r="P404" s="41">
        <f t="shared" si="200"/>
        <v>0.95</v>
      </c>
      <c r="Q404" s="41">
        <f t="shared" si="201"/>
        <v>0.02</v>
      </c>
      <c r="R404" s="64">
        <f t="shared" si="202"/>
        <v>1.4249999999999998</v>
      </c>
      <c r="S404" s="64">
        <f>APPLICANTS_PER_YEAR*($H404/Segments!$AH$2)*Q404</f>
        <v>7.1999999999999995E-2</v>
      </c>
      <c r="T404" s="64">
        <f t="shared" si="203"/>
        <v>1.4969999999999999</v>
      </c>
      <c r="U404" s="40">
        <f t="shared" si="204"/>
        <v>1988.855401777527</v>
      </c>
      <c r="V404" s="65">
        <f t="shared" si="205"/>
        <v>2977.3165364609576</v>
      </c>
      <c r="W404" s="65">
        <f t="shared" si="206"/>
        <v>6212.9850502591107</v>
      </c>
      <c r="X404" s="65">
        <f t="shared" si="207"/>
        <v>609.74239160435286</v>
      </c>
      <c r="Y404" s="40">
        <f t="shared" si="208"/>
        <v>1988.855401777527</v>
      </c>
      <c r="Z404" s="40">
        <f t="shared" si="209"/>
        <v>3816.7851189085814</v>
      </c>
      <c r="AA404" s="40">
        <f t="shared" si="210"/>
        <v>6248.0568252495214</v>
      </c>
      <c r="AB404" s="40">
        <f t="shared" si="211"/>
        <v>3029.6038723451575</v>
      </c>
      <c r="AC404" s="40">
        <f t="shared" si="212"/>
        <v>2486.0692522219088</v>
      </c>
      <c r="AD404" s="41">
        <f t="shared" si="213"/>
        <v>0.86470390899693916</v>
      </c>
      <c r="AE404" s="41">
        <f t="shared" si="214"/>
        <v>0.02</v>
      </c>
      <c r="AF404" s="64">
        <f t="shared" si="215"/>
        <v>0.64723087588420891</v>
      </c>
      <c r="AG404" s="64">
        <f>APPLICANTS_PER_YEAR*($H404/Segments!$AH$2)*AE404</f>
        <v>7.1999999999999995E-2</v>
      </c>
      <c r="AH404" s="64">
        <f t="shared" si="216"/>
        <v>0.71923087588420886</v>
      </c>
      <c r="AI404" s="40">
        <f t="shared" si="217"/>
        <v>2862.6703052912644</v>
      </c>
      <c r="AJ404" s="65">
        <f t="shared" si="218"/>
        <v>2058.9208710423518</v>
      </c>
      <c r="AK404" s="65">
        <f t="shared" si="219"/>
        <v>3074.5676686305655</v>
      </c>
      <c r="AL404" s="65">
        <f t="shared" si="220"/>
        <v>421.06576534431741</v>
      </c>
      <c r="AM404" s="40">
        <f t="shared" si="221"/>
        <v>2862.6703052912644</v>
      </c>
      <c r="AN404" s="40">
        <f t="shared" si="222"/>
        <v>3931.2886724758382</v>
      </c>
      <c r="AO404" s="40">
        <f t="shared" si="223"/>
        <v>6434.2485300070057</v>
      </c>
      <c r="AP404" s="40">
        <f t="shared" si="224"/>
        <v>3120.1889191887944</v>
      </c>
      <c r="AQ404" s="40">
        <f t="shared" si="225"/>
        <v>3578.3378816140803</v>
      </c>
      <c r="AR404" s="41">
        <f t="shared" si="226"/>
        <v>0.7015831373850917</v>
      </c>
      <c r="AS404" s="41">
        <f t="shared" si="227"/>
        <v>0.02</v>
      </c>
      <c r="AT404" s="64">
        <f t="shared" si="228"/>
        <v>0.2523001272035354</v>
      </c>
      <c r="AU404" s="64">
        <f>APPLICANTS_PER_YEAR*($H404/Segments!$AH$2)*AS404</f>
        <v>7.1999999999999995E-2</v>
      </c>
      <c r="AV404" s="64">
        <f t="shared" si="229"/>
        <v>0.3243001272035354</v>
      </c>
      <c r="AW404" s="40">
        <f t="shared" si="230"/>
        <v>4212.3973513325027</v>
      </c>
      <c r="AX404" s="65">
        <f t="shared" si="231"/>
        <v>1366.0809968689662</v>
      </c>
      <c r="AY404" s="65">
        <f t="shared" si="232"/>
        <v>1427.9075065446602</v>
      </c>
      <c r="AZ404" s="65">
        <f t="shared" si="233"/>
        <v>282.68961724792297</v>
      </c>
    </row>
    <row r="405" spans="1:52" ht="15" customHeight="1" x14ac:dyDescent="0.35">
      <c r="A405" s="59" t="str">
        <f>Segments!$A$385</f>
        <v>Greek</v>
      </c>
      <c r="B405" s="59" t="str">
        <f>Segments!$B$385</f>
        <v>Off 6+mi</v>
      </c>
      <c r="C405" s="59" t="str">
        <f>Segments!$C$385</f>
        <v>No</v>
      </c>
      <c r="D405" s="59" t="str">
        <f>Segments!$D$385</f>
        <v>&lt;1.0</v>
      </c>
      <c r="E405" s="59" t="str">
        <f>Segments!$E$385</f>
        <v>Freshman</v>
      </c>
      <c r="F405" s="59">
        <f>Segments!$F$385</f>
        <v>1</v>
      </c>
      <c r="G405" s="59" t="str">
        <f>Segments!$G$385</f>
        <v>Base</v>
      </c>
      <c r="H405" s="60">
        <f>Segments!$H$385</f>
        <v>0</v>
      </c>
      <c r="I405" s="26">
        <f>Segments!$Y$385</f>
        <v>5544.5047749577134</v>
      </c>
      <c r="J405" s="29">
        <v>0</v>
      </c>
      <c r="K405" s="14">
        <f t="shared" si="195"/>
        <v>9057.4636784075847</v>
      </c>
      <c r="L405" s="14">
        <f t="shared" si="196"/>
        <v>5544.5047749577134</v>
      </c>
      <c r="M405" s="14">
        <f t="shared" si="197"/>
        <v>9057.4636784075847</v>
      </c>
      <c r="N405" s="14">
        <f t="shared" si="198"/>
        <v>3594.1653256572454</v>
      </c>
      <c r="O405" s="14">
        <f t="shared" si="199"/>
        <v>9057.4636784075847</v>
      </c>
      <c r="P405" s="33">
        <f t="shared" si="200"/>
        <v>0.3</v>
      </c>
      <c r="Q405" s="33">
        <f t="shared" si="201"/>
        <v>0.02</v>
      </c>
      <c r="R405" s="51">
        <f t="shared" si="202"/>
        <v>0</v>
      </c>
      <c r="S405" s="51">
        <f>APPLICANTS_PER_YEAR*($H405/Segments!$AH$2)*Q405</f>
        <v>0</v>
      </c>
      <c r="T405" s="51">
        <f t="shared" si="203"/>
        <v>0</v>
      </c>
      <c r="U405" s="14">
        <f t="shared" si="204"/>
        <v>9057.4636784075847</v>
      </c>
      <c r="V405" s="44">
        <f t="shared" si="205"/>
        <v>0</v>
      </c>
      <c r="W405" s="44">
        <f t="shared" si="206"/>
        <v>0</v>
      </c>
      <c r="X405" s="44">
        <f t="shared" si="207"/>
        <v>0</v>
      </c>
      <c r="Y405" s="14">
        <f t="shared" si="208"/>
        <v>9327.9375887598126</v>
      </c>
      <c r="Z405" s="14">
        <f t="shared" si="209"/>
        <v>5710.839918206445</v>
      </c>
      <c r="AA405" s="14">
        <f t="shared" si="210"/>
        <v>9327.9375887598126</v>
      </c>
      <c r="AB405" s="14">
        <f t="shared" si="211"/>
        <v>3701.7422658202067</v>
      </c>
      <c r="AC405" s="14">
        <f t="shared" si="212"/>
        <v>9327.9375887598126</v>
      </c>
      <c r="AD405" s="33">
        <f t="shared" si="213"/>
        <v>0.3</v>
      </c>
      <c r="AE405" s="33">
        <f t="shared" si="214"/>
        <v>0.02</v>
      </c>
      <c r="AF405" s="51">
        <f t="shared" si="215"/>
        <v>0</v>
      </c>
      <c r="AG405" s="51">
        <f>APPLICANTS_PER_YEAR*($H405/Segments!$AH$2)*AE405</f>
        <v>0</v>
      </c>
      <c r="AH405" s="51">
        <f t="shared" si="216"/>
        <v>0</v>
      </c>
      <c r="AI405" s="14">
        <f t="shared" si="217"/>
        <v>9327.9375887598126</v>
      </c>
      <c r="AJ405" s="44">
        <f t="shared" si="218"/>
        <v>0</v>
      </c>
      <c r="AK405" s="44">
        <f t="shared" si="219"/>
        <v>0</v>
      </c>
      <c r="AL405" s="44">
        <f t="shared" si="220"/>
        <v>0</v>
      </c>
      <c r="AM405" s="14">
        <f t="shared" si="221"/>
        <v>9606.5257164226059</v>
      </c>
      <c r="AN405" s="14">
        <f t="shared" si="222"/>
        <v>5882.1651157526376</v>
      </c>
      <c r="AO405" s="14">
        <f t="shared" si="223"/>
        <v>9606.5257164226059</v>
      </c>
      <c r="AP405" s="14">
        <f t="shared" si="224"/>
        <v>3812.5464978114878</v>
      </c>
      <c r="AQ405" s="14">
        <f t="shared" si="225"/>
        <v>9606.5257164226059</v>
      </c>
      <c r="AR405" s="33">
        <f t="shared" si="226"/>
        <v>0.3</v>
      </c>
      <c r="AS405" s="33">
        <f t="shared" si="227"/>
        <v>0.02</v>
      </c>
      <c r="AT405" s="51">
        <f t="shared" si="228"/>
        <v>0</v>
      </c>
      <c r="AU405" s="51">
        <f>APPLICANTS_PER_YEAR*($H405/Segments!$AH$2)*AS405</f>
        <v>0</v>
      </c>
      <c r="AV405" s="51">
        <f t="shared" si="229"/>
        <v>0</v>
      </c>
      <c r="AW405" s="14">
        <f t="shared" si="230"/>
        <v>9606.5257164226059</v>
      </c>
      <c r="AX405" s="44">
        <f t="shared" si="231"/>
        <v>0</v>
      </c>
      <c r="AY405" s="44">
        <f t="shared" si="232"/>
        <v>0</v>
      </c>
      <c r="AZ405" s="44">
        <f t="shared" si="233"/>
        <v>0</v>
      </c>
    </row>
    <row r="406" spans="1:52" ht="15" customHeight="1" x14ac:dyDescent="0.35">
      <c r="A406" s="59" t="str">
        <f>Segments!$A$386</f>
        <v>Greek</v>
      </c>
      <c r="B406" s="59" t="str">
        <f>Segments!$B$386</f>
        <v>Off 6+mi</v>
      </c>
      <c r="C406" s="59" t="str">
        <f>Segments!$C$386</f>
        <v>No</v>
      </c>
      <c r="D406" s="59" t="str">
        <f>Segments!$D$386</f>
        <v>&lt;1.0</v>
      </c>
      <c r="E406" s="59" t="str">
        <f>Segments!$E$386</f>
        <v>Sophomore</v>
      </c>
      <c r="F406" s="59">
        <f>Segments!$F$386</f>
        <v>1</v>
      </c>
      <c r="G406" s="59" t="str">
        <f>Segments!$G$386</f>
        <v>Sophomore</v>
      </c>
      <c r="H406" s="60">
        <f>Segments!$H$386</f>
        <v>0</v>
      </c>
      <c r="I406" s="26">
        <f>Segments!$Y$386</f>
        <v>5488.0963296934051</v>
      </c>
      <c r="J406" s="29">
        <v>1</v>
      </c>
      <c r="K406" s="14">
        <f t="shared" si="195"/>
        <v>1426.2297754450396</v>
      </c>
      <c r="L406" s="14">
        <f t="shared" si="196"/>
        <v>5488.0963296934051</v>
      </c>
      <c r="M406" s="14">
        <f t="shared" si="197"/>
        <v>8965.7391488250887</v>
      </c>
      <c r="N406" s="14">
        <f t="shared" si="198"/>
        <v>3575.9200400634809</v>
      </c>
      <c r="O406" s="14">
        <f t="shared" si="199"/>
        <v>1782.7872193062994</v>
      </c>
      <c r="P406" s="33">
        <f t="shared" si="200"/>
        <v>0.95</v>
      </c>
      <c r="Q406" s="33">
        <f t="shared" si="201"/>
        <v>0.02</v>
      </c>
      <c r="R406" s="51">
        <f t="shared" si="202"/>
        <v>0</v>
      </c>
      <c r="S406" s="51">
        <f>APPLICANTS_PER_YEAR*($H406/Segments!$AH$2)*Q406</f>
        <v>0</v>
      </c>
      <c r="T406" s="51">
        <f t="shared" si="203"/>
        <v>0</v>
      </c>
      <c r="U406" s="14">
        <f t="shared" si="204"/>
        <v>8965.7391488250887</v>
      </c>
      <c r="V406" s="44">
        <f t="shared" si="205"/>
        <v>0</v>
      </c>
      <c r="W406" s="44">
        <f t="shared" si="206"/>
        <v>0</v>
      </c>
      <c r="X406" s="44">
        <f t="shared" si="207"/>
        <v>0</v>
      </c>
      <c r="Y406" s="14">
        <f t="shared" si="208"/>
        <v>9057.4636784075847</v>
      </c>
      <c r="Z406" s="14">
        <f t="shared" si="209"/>
        <v>5652.7392195842076</v>
      </c>
      <c r="AA406" s="14">
        <f t="shared" si="210"/>
        <v>9233.4613232898428</v>
      </c>
      <c r="AB406" s="14">
        <f t="shared" si="211"/>
        <v>3682.9483561118545</v>
      </c>
      <c r="AC406" s="14">
        <f t="shared" si="212"/>
        <v>9233.4613232898428</v>
      </c>
      <c r="AD406" s="33">
        <f t="shared" si="213"/>
        <v>0.3</v>
      </c>
      <c r="AE406" s="33">
        <f t="shared" si="214"/>
        <v>0.02</v>
      </c>
      <c r="AF406" s="51">
        <f t="shared" si="215"/>
        <v>0</v>
      </c>
      <c r="AG406" s="51">
        <f>APPLICANTS_PER_YEAR*($H406/Segments!$AH$2)*AE406</f>
        <v>0</v>
      </c>
      <c r="AH406" s="51">
        <f t="shared" si="216"/>
        <v>0</v>
      </c>
      <c r="AI406" s="14">
        <f t="shared" si="217"/>
        <v>9233.4613232898428</v>
      </c>
      <c r="AJ406" s="44">
        <f t="shared" si="218"/>
        <v>0</v>
      </c>
      <c r="AK406" s="44">
        <f t="shared" si="219"/>
        <v>0</v>
      </c>
      <c r="AL406" s="44">
        <f t="shared" si="220"/>
        <v>0</v>
      </c>
      <c r="AM406" s="14">
        <f t="shared" si="221"/>
        <v>9327.9375887598126</v>
      </c>
      <c r="AN406" s="14">
        <f t="shared" si="222"/>
        <v>5822.3213961717329</v>
      </c>
      <c r="AO406" s="14">
        <f t="shared" si="223"/>
        <v>9509.2151629885357</v>
      </c>
      <c r="AP406" s="14">
        <f t="shared" si="224"/>
        <v>3793.187505013123</v>
      </c>
      <c r="AQ406" s="14">
        <f t="shared" si="225"/>
        <v>9509.2151629885357</v>
      </c>
      <c r="AR406" s="33">
        <f t="shared" si="226"/>
        <v>0.3</v>
      </c>
      <c r="AS406" s="33">
        <f t="shared" si="227"/>
        <v>0.02</v>
      </c>
      <c r="AT406" s="51">
        <f t="shared" si="228"/>
        <v>0</v>
      </c>
      <c r="AU406" s="51">
        <f>APPLICANTS_PER_YEAR*($H406/Segments!$AH$2)*AS406</f>
        <v>0</v>
      </c>
      <c r="AV406" s="51">
        <f t="shared" si="229"/>
        <v>0</v>
      </c>
      <c r="AW406" s="14">
        <f t="shared" si="230"/>
        <v>9509.2151629885357</v>
      </c>
      <c r="AX406" s="44">
        <f t="shared" si="231"/>
        <v>0</v>
      </c>
      <c r="AY406" s="44">
        <f t="shared" si="232"/>
        <v>0</v>
      </c>
      <c r="AZ406" s="44">
        <f t="shared" si="233"/>
        <v>0</v>
      </c>
    </row>
    <row r="407" spans="1:52" ht="15" customHeight="1" x14ac:dyDescent="0.35">
      <c r="A407" s="59" t="str">
        <f>Segments!$A$387</f>
        <v>Greek</v>
      </c>
      <c r="B407" s="59" t="str">
        <f>Segments!$B$387</f>
        <v>Off 6+mi</v>
      </c>
      <c r="C407" s="59" t="str">
        <f>Segments!$C$387</f>
        <v>No</v>
      </c>
      <c r="D407" s="59" t="str">
        <f>Segments!$D$387</f>
        <v>&lt;1.0</v>
      </c>
      <c r="E407" s="59" t="str">
        <f>Segments!$E$387</f>
        <v>Junior</v>
      </c>
      <c r="F407" s="59">
        <f>Segments!$F$387</f>
        <v>2</v>
      </c>
      <c r="G407" s="59" t="str">
        <f>Segments!$G$387</f>
        <v>Base</v>
      </c>
      <c r="H407" s="60">
        <f>Segments!$H$387</f>
        <v>1</v>
      </c>
      <c r="I407" s="26">
        <f>Segments!$Y$387</f>
        <v>6560.610978918432</v>
      </c>
      <c r="J407" s="29">
        <v>2</v>
      </c>
      <c r="K407" s="14">
        <f t="shared" si="195"/>
        <v>1426.2297754450396</v>
      </c>
      <c r="L407" s="14">
        <f t="shared" si="196"/>
        <v>6560.610978918432</v>
      </c>
      <c r="M407" s="14">
        <f t="shared" si="197"/>
        <v>10709.731581333202</v>
      </c>
      <c r="N407" s="14">
        <f t="shared" si="198"/>
        <v>3908.2653528543201</v>
      </c>
      <c r="O407" s="14">
        <f t="shared" si="199"/>
        <v>1782.7872193062994</v>
      </c>
      <c r="P407" s="33">
        <f t="shared" si="200"/>
        <v>0.95</v>
      </c>
      <c r="Q407" s="33">
        <f t="shared" si="201"/>
        <v>0.02</v>
      </c>
      <c r="R407" s="51">
        <f t="shared" si="202"/>
        <v>0</v>
      </c>
      <c r="S407" s="51">
        <f>APPLICANTS_PER_YEAR*($H407/Segments!$AH$2)*Q407</f>
        <v>2.4E-2</v>
      </c>
      <c r="T407" s="51">
        <f t="shared" si="203"/>
        <v>2.4E-2</v>
      </c>
      <c r="U407" s="14">
        <f t="shared" si="204"/>
        <v>10709.731581333201</v>
      </c>
      <c r="V407" s="44">
        <f t="shared" si="205"/>
        <v>257.03355795199684</v>
      </c>
      <c r="W407" s="44">
        <f t="shared" si="206"/>
        <v>176.34922311332747</v>
      </c>
      <c r="X407" s="44">
        <f t="shared" si="207"/>
        <v>58.655516981247288</v>
      </c>
      <c r="Y407" s="14">
        <f t="shared" si="208"/>
        <v>8965.7391488250887</v>
      </c>
      <c r="Z407" s="14">
        <f t="shared" si="209"/>
        <v>6757.4293082859849</v>
      </c>
      <c r="AA407" s="14">
        <f t="shared" si="210"/>
        <v>11029.773528773199</v>
      </c>
      <c r="AB407" s="14">
        <f t="shared" si="211"/>
        <v>4025.2852278871364</v>
      </c>
      <c r="AC407" s="14">
        <f t="shared" si="212"/>
        <v>11029.773528773199</v>
      </c>
      <c r="AD407" s="33">
        <f t="shared" si="213"/>
        <v>0.3</v>
      </c>
      <c r="AE407" s="33">
        <f t="shared" si="214"/>
        <v>0.02</v>
      </c>
      <c r="AF407" s="51">
        <f t="shared" si="215"/>
        <v>0</v>
      </c>
      <c r="AG407" s="51">
        <f>APPLICANTS_PER_YEAR*($H407/Segments!$AH$2)*AE407</f>
        <v>2.4E-2</v>
      </c>
      <c r="AH407" s="51">
        <f t="shared" si="216"/>
        <v>2.4E-2</v>
      </c>
      <c r="AI407" s="14">
        <f t="shared" si="217"/>
        <v>11029.773528773201</v>
      </c>
      <c r="AJ407" s="44">
        <f t="shared" si="218"/>
        <v>264.71456469055681</v>
      </c>
      <c r="AK407" s="44">
        <f t="shared" si="219"/>
        <v>181.63969980672729</v>
      </c>
      <c r="AL407" s="44">
        <f t="shared" si="220"/>
        <v>60.376062490684724</v>
      </c>
      <c r="AM407" s="14">
        <f t="shared" si="221"/>
        <v>9233.4613232898428</v>
      </c>
      <c r="AN407" s="14">
        <f t="shared" si="222"/>
        <v>6960.1521875345643</v>
      </c>
      <c r="AO407" s="14">
        <f t="shared" si="223"/>
        <v>11359.416734636396</v>
      </c>
      <c r="AP407" s="14">
        <f t="shared" si="224"/>
        <v>4145.8156864343937</v>
      </c>
      <c r="AQ407" s="14">
        <f t="shared" si="225"/>
        <v>11359.416734636396</v>
      </c>
      <c r="AR407" s="33">
        <f t="shared" si="226"/>
        <v>0.3</v>
      </c>
      <c r="AS407" s="33">
        <f t="shared" si="227"/>
        <v>0.02</v>
      </c>
      <c r="AT407" s="51">
        <f t="shared" si="228"/>
        <v>0</v>
      </c>
      <c r="AU407" s="51">
        <f>APPLICANTS_PER_YEAR*($H407/Segments!$AH$2)*AS407</f>
        <v>2.4E-2</v>
      </c>
      <c r="AV407" s="51">
        <f t="shared" si="229"/>
        <v>2.4E-2</v>
      </c>
      <c r="AW407" s="14">
        <f t="shared" si="230"/>
        <v>11359.416734636396</v>
      </c>
      <c r="AX407" s="44">
        <f t="shared" si="231"/>
        <v>272.62600163127348</v>
      </c>
      <c r="AY407" s="44">
        <f t="shared" si="232"/>
        <v>187.08889080092911</v>
      </c>
      <c r="AZ407" s="44">
        <f t="shared" si="233"/>
        <v>62.148224365405262</v>
      </c>
    </row>
    <row r="408" spans="1:52" ht="15" customHeight="1" x14ac:dyDescent="0.35">
      <c r="A408" s="59" t="str">
        <f>Segments!$A$388</f>
        <v>Greek</v>
      </c>
      <c r="B408" s="59" t="str">
        <f>Segments!$B$388</f>
        <v>Off 6+mi</v>
      </c>
      <c r="C408" s="59" t="str">
        <f>Segments!$C$388</f>
        <v>No</v>
      </c>
      <c r="D408" s="59" t="str">
        <f>Segments!$D$388</f>
        <v>&lt;1.0</v>
      </c>
      <c r="E408" s="59" t="str">
        <f>Segments!$E$388</f>
        <v>Senior</v>
      </c>
      <c r="F408" s="59">
        <f>Segments!$F$388</f>
        <v>3</v>
      </c>
      <c r="G408" s="59" t="str">
        <f>Segments!$G$388</f>
        <v>Base</v>
      </c>
      <c r="H408" s="60">
        <f>Segments!$H$388</f>
        <v>2</v>
      </c>
      <c r="I408" s="26">
        <f>Segments!$Y$388</f>
        <v>6132.1207886456032</v>
      </c>
      <c r="J408" s="29">
        <v>3</v>
      </c>
      <c r="K408" s="14">
        <f t="shared" si="195"/>
        <v>1426.2297754450396</v>
      </c>
      <c r="L408" s="14">
        <f t="shared" si="196"/>
        <v>6132.1207886456032</v>
      </c>
      <c r="M408" s="14">
        <f t="shared" si="197"/>
        <v>10012.973127003703</v>
      </c>
      <c r="N408" s="14">
        <f t="shared" si="198"/>
        <v>3778.9946301184004</v>
      </c>
      <c r="O408" s="14">
        <f t="shared" si="199"/>
        <v>1782.7872193062994</v>
      </c>
      <c r="P408" s="33">
        <f t="shared" si="200"/>
        <v>0.95</v>
      </c>
      <c r="Q408" s="33">
        <f t="shared" si="201"/>
        <v>0.02</v>
      </c>
      <c r="R408" s="51">
        <f t="shared" si="202"/>
        <v>0.95</v>
      </c>
      <c r="S408" s="51">
        <f>APPLICANTS_PER_YEAR*($H408/Segments!$AH$2)*Q408</f>
        <v>4.8000000000000001E-2</v>
      </c>
      <c r="T408" s="51">
        <f t="shared" si="203"/>
        <v>0.998</v>
      </c>
      <c r="U408" s="14">
        <f t="shared" si="204"/>
        <v>2178.627824085333</v>
      </c>
      <c r="V408" s="44">
        <f t="shared" si="205"/>
        <v>2174.2705684371622</v>
      </c>
      <c r="W408" s="44">
        <f t="shared" si="206"/>
        <v>6854.23933271651</v>
      </c>
      <c r="X408" s="44">
        <f t="shared" si="207"/>
        <v>448.91893228798983</v>
      </c>
      <c r="Y408" s="14">
        <f t="shared" si="208"/>
        <v>10709.731581333201</v>
      </c>
      <c r="Z408" s="14">
        <f t="shared" si="209"/>
        <v>6316.084412304971</v>
      </c>
      <c r="AA408" s="14">
        <f t="shared" si="210"/>
        <v>10312.112320813814</v>
      </c>
      <c r="AB408" s="14">
        <f t="shared" si="211"/>
        <v>3892.1285807214363</v>
      </c>
      <c r="AC408" s="14">
        <f t="shared" si="212"/>
        <v>10312.112320813814</v>
      </c>
      <c r="AD408" s="33">
        <f t="shared" si="213"/>
        <v>0.3</v>
      </c>
      <c r="AE408" s="33">
        <f t="shared" si="214"/>
        <v>0.02</v>
      </c>
      <c r="AF408" s="51">
        <f t="shared" si="215"/>
        <v>7.1999999999999998E-3</v>
      </c>
      <c r="AG408" s="51">
        <f>APPLICANTS_PER_YEAR*($H408/Segments!$AH$2)*AE408</f>
        <v>4.8000000000000001E-2</v>
      </c>
      <c r="AH408" s="51">
        <f t="shared" si="216"/>
        <v>5.5199999999999999E-2</v>
      </c>
      <c r="AI408" s="14">
        <f t="shared" si="217"/>
        <v>10312.112320813816</v>
      </c>
      <c r="AJ408" s="44">
        <f t="shared" si="218"/>
        <v>569.22860010892259</v>
      </c>
      <c r="AK408" s="44">
        <f t="shared" si="219"/>
        <v>390.48560270634255</v>
      </c>
      <c r="AL408" s="44">
        <f t="shared" si="220"/>
        <v>127.21255411955357</v>
      </c>
      <c r="AM408" s="14">
        <f t="shared" si="221"/>
        <v>11029.773528773201</v>
      </c>
      <c r="AN408" s="14">
        <f t="shared" si="222"/>
        <v>6505.5669446741204</v>
      </c>
      <c r="AO408" s="14">
        <f t="shared" si="223"/>
        <v>10620.225690438228</v>
      </c>
      <c r="AP408" s="14">
        <f t="shared" si="224"/>
        <v>4008.6565357535687</v>
      </c>
      <c r="AQ408" s="14">
        <f t="shared" si="225"/>
        <v>10620.225690438228</v>
      </c>
      <c r="AR408" s="33">
        <f t="shared" si="226"/>
        <v>0.3</v>
      </c>
      <c r="AS408" s="33">
        <f t="shared" si="227"/>
        <v>0.02</v>
      </c>
      <c r="AT408" s="51">
        <f t="shared" si="228"/>
        <v>7.1999999999999998E-3</v>
      </c>
      <c r="AU408" s="51">
        <f>APPLICANTS_PER_YEAR*($H408/Segments!$AH$2)*AS408</f>
        <v>4.8000000000000001E-2</v>
      </c>
      <c r="AV408" s="51">
        <f t="shared" si="229"/>
        <v>5.5199999999999999E-2</v>
      </c>
      <c r="AW408" s="14">
        <f t="shared" si="230"/>
        <v>10620.225690438228</v>
      </c>
      <c r="AX408" s="44">
        <f t="shared" si="231"/>
        <v>586.23645811219023</v>
      </c>
      <c r="AY408" s="44">
        <f t="shared" si="232"/>
        <v>402.20017078753284</v>
      </c>
      <c r="AZ408" s="44">
        <f t="shared" si="233"/>
        <v>130.9446697431402</v>
      </c>
    </row>
    <row r="409" spans="1:52" ht="15" customHeight="1" x14ac:dyDescent="0.35">
      <c r="A409" s="59" t="str">
        <f>Segments!$A$389</f>
        <v>Greek</v>
      </c>
      <c r="B409" s="59" t="str">
        <f>Segments!$B$389</f>
        <v>Off 6+mi</v>
      </c>
      <c r="C409" s="59" t="str">
        <f>Segments!$C$389</f>
        <v>No</v>
      </c>
      <c r="D409" s="59" t="str">
        <f>Segments!$D$389</f>
        <v>&lt;1.0</v>
      </c>
      <c r="E409" s="59" t="str">
        <f>Segments!$E$389</f>
        <v>Grad student</v>
      </c>
      <c r="F409" s="59">
        <f>Segments!$F$389</f>
        <v>3</v>
      </c>
      <c r="G409" s="59" t="str">
        <f>Segments!$G$389</f>
        <v>Grad</v>
      </c>
      <c r="H409" s="60">
        <f>Segments!$H$389</f>
        <v>0</v>
      </c>
      <c r="I409" s="26">
        <f>Segments!$Y$389</f>
        <v>7301.396198894302</v>
      </c>
      <c r="J409" s="29">
        <v>4</v>
      </c>
      <c r="K409" s="14">
        <f t="shared" ref="K409:K424" si="234">IF($J409=0,M409,CURRENT_FLAT)</f>
        <v>1426.2297754450396</v>
      </c>
      <c r="L409" s="14">
        <f t="shared" ref="L409:L424" si="235">$I409*(1+LOSS_TREND)^0</f>
        <v>7301.396198894302</v>
      </c>
      <c r="M409" s="14">
        <f t="shared" ref="M409:M424" si="236">L409*GROSS_MULT+POLICY_FEE</f>
        <v>11914.30610037151</v>
      </c>
      <c r="N409" s="14">
        <f t="shared" ref="N409:N424" si="237">M409^MARKET_RISK_WEIGHT*(CURRENT_FLAT*(1+LOSS_TREND)^0)^(1-MARKET_RISK_WEIGHT)</f>
        <v>4122.2006397210125</v>
      </c>
      <c r="O409" s="14">
        <f t="shared" ref="O409:O424" si="238">MIN(M409,K409*(1+CAP_UP))</f>
        <v>1782.7872193062994</v>
      </c>
      <c r="P409" s="33">
        <f t="shared" ref="P409:P424" si="239">MEDIAN(RET_FLOOR,BASE_RETENTION-ELAST_MARKET*(O409/N409-1)-ELAST_INCREASE*MAX(O409/K409-1,0),RET_CEIL)</f>
        <v>0.95</v>
      </c>
      <c r="Q409" s="33">
        <f t="shared" ref="Q409:Q424" si="240">MEDIAN(CONV_FLOOR,BASE_CONVERSION-ELAST_MARKET*(M409/N409-1),CONV_CEIL)</f>
        <v>0.02</v>
      </c>
      <c r="R409" s="51">
        <f t="shared" ref="R409:R424" si="241">IF($J409=0,0,IF($J409=4,$H409*GRAD_CONTINUE,$H408)*P409)</f>
        <v>0</v>
      </c>
      <c r="S409" s="51">
        <f>APPLICANTS_PER_YEAR*($H409/Segments!$AH$2)*Q409</f>
        <v>0</v>
      </c>
      <c r="T409" s="51">
        <f t="shared" ref="T409:T424" si="242">R409+S409</f>
        <v>0</v>
      </c>
      <c r="U409" s="14">
        <f t="shared" ref="U409:U424" si="243">IFERROR((R409*O409+S409*M409)/T409,M409)</f>
        <v>11914.30610037151</v>
      </c>
      <c r="V409" s="44">
        <f t="shared" ref="V409:V424" si="244">R409*O409+S409*M409</f>
        <v>0</v>
      </c>
      <c r="W409" s="44">
        <f t="shared" ref="W409:W424" si="245">T409*L409*(1+LAE_RATIO)</f>
        <v>0</v>
      </c>
      <c r="X409" s="44">
        <f t="shared" ref="X409:X424" si="246">R409*O409*(PREMIUM_TAX+OTHER_VARIABLE+COMMISSION_RN)+S409*M409*(PREMIUM_TAX+OTHER_VARIABLE+COMMISSION_NB)+T409*FIXED_PER_POLICY+S409*NB_ACQUISITION</f>
        <v>0</v>
      </c>
      <c r="Y409" s="14">
        <f t="shared" ref="Y409:Y424" si="247">IF($J409=0,AA409,IF($J409=4,U409,U408))</f>
        <v>11914.30610037151</v>
      </c>
      <c r="Z409" s="14">
        <f t="shared" ref="Z409:Z424" si="248">$I409*(1+LOSS_TREND)^1</f>
        <v>7520.4380848611308</v>
      </c>
      <c r="AA409" s="14">
        <f t="shared" ref="AA409:AA424" si="249">Z409*GROSS_MULT+POLICY_FEE</f>
        <v>12270.485283382655</v>
      </c>
      <c r="AB409" s="14">
        <f t="shared" ref="AB409:AB424" si="250">AA409^MARKET_RISK_WEIGHT*(CURRENT_FLAT*(1+LOSS_TREND)^1)^(1-MARKET_RISK_WEIGHT)</f>
        <v>4245.6504112362009</v>
      </c>
      <c r="AC409" s="14">
        <f t="shared" ref="AC409:AC424" si="251">MIN(AA409,Y409*(1+CAP_UP))</f>
        <v>12270.485283382655</v>
      </c>
      <c r="AD409" s="33">
        <f t="shared" ref="AD409:AD424" si="252">MEDIAN(RET_FLOOR,BASE_RETENTION-ELAST_MARKET*(AC409/AB409-1)-ELAST_INCREASE*MAX(AC409/Y409-1,0),RET_CEIL)</f>
        <v>0.3</v>
      </c>
      <c r="AE409" s="33">
        <f t="shared" ref="AE409:AE424" si="253">MEDIAN(CONV_FLOOR,BASE_CONVERSION-ELAST_MARKET*(AA409/AB409-1),CONV_CEIL)</f>
        <v>0.02</v>
      </c>
      <c r="AF409" s="51">
        <f t="shared" ref="AF409:AF424" si="254">IF($J409=0,0,IF($J409=4,T409*GRAD_CONTINUE,T408)*AD409)</f>
        <v>0</v>
      </c>
      <c r="AG409" s="51">
        <f>APPLICANTS_PER_YEAR*($H409/Segments!$AH$2)*AE409</f>
        <v>0</v>
      </c>
      <c r="AH409" s="51">
        <f t="shared" ref="AH409:AH424" si="255">AF409+AG409</f>
        <v>0</v>
      </c>
      <c r="AI409" s="14">
        <f t="shared" ref="AI409:AI424" si="256">IFERROR((AF409*AC409+AG409*AA409)/AH409,AA409)</f>
        <v>12270.485283382655</v>
      </c>
      <c r="AJ409" s="44">
        <f t="shared" ref="AJ409:AJ424" si="257">AF409*AC409+AG409*AA409</f>
        <v>0</v>
      </c>
      <c r="AK409" s="44">
        <f t="shared" ref="AK409:AK424" si="258">AH409*Z409*(1+LAE_RATIO)</f>
        <v>0</v>
      </c>
      <c r="AL409" s="44">
        <f t="shared" ref="AL409:AL424" si="259">AF409*AC409*(PREMIUM_TAX+OTHER_VARIABLE+COMMISSION_RN)+AG409*AA409*(PREMIUM_TAX+OTHER_VARIABLE+COMMISSION_NB)+AH409*FIXED_PER_POLICY+AG409*NB_ACQUISITION</f>
        <v>0</v>
      </c>
      <c r="AM409" s="14">
        <f t="shared" ref="AM409:AM424" si="260">IF($J409=0,AO409,IF($J409=4,AI409,AI408))</f>
        <v>12270.485283382655</v>
      </c>
      <c r="AN409" s="14">
        <f t="shared" ref="AN409:AN424" si="261">$I409*(1+LOSS_TREND)^2</f>
        <v>7746.0512274069642</v>
      </c>
      <c r="AO409" s="14">
        <f t="shared" ref="AO409:AO424" si="262">AN409*GROSS_MULT+POLICY_FEE</f>
        <v>12637.349841884134</v>
      </c>
      <c r="AP409" s="14">
        <f t="shared" ref="AP409:AP424" si="263">AO409^MARKET_RISK_WEIGHT*(CURRENT_FLAT*(1+LOSS_TREND)^2)^(1-MARKET_RISK_WEIGHT)</f>
        <v>4372.8036650423664</v>
      </c>
      <c r="AQ409" s="14">
        <f t="shared" ref="AQ409:AQ424" si="264">MIN(AO409,AM409*(1+CAP_UP))</f>
        <v>12637.349841884134</v>
      </c>
      <c r="AR409" s="33">
        <f t="shared" ref="AR409:AR424" si="265">MEDIAN(RET_FLOOR,BASE_RETENTION-ELAST_MARKET*(AQ409/AP409-1)-ELAST_INCREASE*MAX(AQ409/AM409-1,0),RET_CEIL)</f>
        <v>0.3</v>
      </c>
      <c r="AS409" s="33">
        <f t="shared" ref="AS409:AS424" si="266">MEDIAN(CONV_FLOOR,BASE_CONVERSION-ELAST_MARKET*(AO409/AP409-1),CONV_CEIL)</f>
        <v>0.02</v>
      </c>
      <c r="AT409" s="51">
        <f t="shared" ref="AT409:AT424" si="267">IF($J409=0,0,IF($J409=4,AH409*GRAD_CONTINUE,AH408)*AR409)</f>
        <v>0</v>
      </c>
      <c r="AU409" s="51">
        <f>APPLICANTS_PER_YEAR*($H409/Segments!$AH$2)*AS409</f>
        <v>0</v>
      </c>
      <c r="AV409" s="51">
        <f t="shared" ref="AV409:AV424" si="268">AT409+AU409</f>
        <v>0</v>
      </c>
      <c r="AW409" s="14">
        <f t="shared" ref="AW409:AW424" si="269">IFERROR((AT409*AQ409+AU409*AO409)/AV409,AO409)</f>
        <v>12637.349841884134</v>
      </c>
      <c r="AX409" s="44">
        <f t="shared" ref="AX409:AX424" si="270">AT409*AQ409+AU409*AO409</f>
        <v>0</v>
      </c>
      <c r="AY409" s="44">
        <f t="shared" ref="AY409:AY424" si="271">AV409*AN409*(1+LAE_RATIO)</f>
        <v>0</v>
      </c>
      <c r="AZ409" s="44">
        <f t="shared" ref="AZ409:AZ424" si="272">AT409*AQ409*(PREMIUM_TAX+OTHER_VARIABLE+COMMISSION_RN)+AU409*AO409*(PREMIUM_TAX+OTHER_VARIABLE+COMMISSION_NB)+AV409*FIXED_PER_POLICY+AU409*NB_ACQUISITION</f>
        <v>0</v>
      </c>
    </row>
    <row r="410" spans="1:52" ht="15" customHeight="1" x14ac:dyDescent="0.35">
      <c r="A410" s="61" t="str">
        <f>Segments!$A$390</f>
        <v>Greek</v>
      </c>
      <c r="B410" s="61" t="str">
        <f>Segments!$B$390</f>
        <v>Off 6+mi</v>
      </c>
      <c r="C410" s="61" t="str">
        <f>Segments!$C$390</f>
        <v>No</v>
      </c>
      <c r="D410" s="61" t="str">
        <f>Segments!$D$390</f>
        <v>1.0-2.0</v>
      </c>
      <c r="E410" s="61" t="str">
        <f>Segments!$E$390</f>
        <v>Freshman</v>
      </c>
      <c r="F410" s="61">
        <f>Segments!$F$390</f>
        <v>1</v>
      </c>
      <c r="G410" s="61" t="str">
        <f>Segments!$G$390</f>
        <v>Base</v>
      </c>
      <c r="H410" s="62">
        <f>Segments!$H$390</f>
        <v>5</v>
      </c>
      <c r="I410" s="63">
        <f>Segments!$Y$390</f>
        <v>5031.2005255802569</v>
      </c>
      <c r="J410" s="42">
        <v>0</v>
      </c>
      <c r="K410" s="40">
        <f t="shared" si="234"/>
        <v>8222.7909518994766</v>
      </c>
      <c r="L410" s="40">
        <f t="shared" si="235"/>
        <v>5031.2005255802569</v>
      </c>
      <c r="M410" s="40">
        <f t="shared" si="236"/>
        <v>8222.7909518994766</v>
      </c>
      <c r="N410" s="40">
        <f t="shared" si="237"/>
        <v>3424.5568023992673</v>
      </c>
      <c r="O410" s="40">
        <f t="shared" si="238"/>
        <v>8222.7909518994766</v>
      </c>
      <c r="P410" s="41">
        <f t="shared" si="239"/>
        <v>0.3</v>
      </c>
      <c r="Q410" s="41">
        <f t="shared" si="240"/>
        <v>0.02</v>
      </c>
      <c r="R410" s="64">
        <f t="shared" si="241"/>
        <v>0</v>
      </c>
      <c r="S410" s="64">
        <f>APPLICANTS_PER_YEAR*($H410/Segments!$AH$2)*Q410</f>
        <v>0.12</v>
      </c>
      <c r="T410" s="64">
        <f t="shared" si="242"/>
        <v>0.12</v>
      </c>
      <c r="U410" s="40">
        <f t="shared" si="243"/>
        <v>8222.7909518994766</v>
      </c>
      <c r="V410" s="65">
        <f t="shared" si="244"/>
        <v>986.73491422793711</v>
      </c>
      <c r="W410" s="65">
        <f t="shared" si="245"/>
        <v>676.19335063798655</v>
      </c>
      <c r="X410" s="65">
        <f t="shared" si="246"/>
        <v>226.42862078705792</v>
      </c>
      <c r="Y410" s="40">
        <f t="shared" si="247"/>
        <v>8468.2246804564602</v>
      </c>
      <c r="Z410" s="40">
        <f t="shared" si="248"/>
        <v>5182.1365413476651</v>
      </c>
      <c r="AA410" s="40">
        <f t="shared" si="249"/>
        <v>8468.2246804564602</v>
      </c>
      <c r="AB410" s="40">
        <f t="shared" si="250"/>
        <v>3527.0332022761459</v>
      </c>
      <c r="AC410" s="40">
        <f t="shared" si="251"/>
        <v>8468.2246804564602</v>
      </c>
      <c r="AD410" s="41">
        <f t="shared" si="252"/>
        <v>0.3</v>
      </c>
      <c r="AE410" s="41">
        <f t="shared" si="253"/>
        <v>0.02</v>
      </c>
      <c r="AF410" s="64">
        <f t="shared" si="254"/>
        <v>0</v>
      </c>
      <c r="AG410" s="64">
        <f>APPLICANTS_PER_YEAR*($H410/Segments!$AH$2)*AE410</f>
        <v>0.12</v>
      </c>
      <c r="AH410" s="64">
        <f t="shared" si="255"/>
        <v>0.12</v>
      </c>
      <c r="AI410" s="40">
        <f t="shared" si="256"/>
        <v>8468.2246804564602</v>
      </c>
      <c r="AJ410" s="65">
        <f t="shared" si="257"/>
        <v>1016.1869616547751</v>
      </c>
      <c r="AK410" s="65">
        <f t="shared" si="258"/>
        <v>696.47915115712624</v>
      </c>
      <c r="AL410" s="65">
        <f t="shared" si="259"/>
        <v>233.02587941066963</v>
      </c>
      <c r="AM410" s="40">
        <f t="shared" si="260"/>
        <v>8721.0214208701527</v>
      </c>
      <c r="AN410" s="40">
        <f t="shared" si="261"/>
        <v>5337.6006375880943</v>
      </c>
      <c r="AO410" s="40">
        <f t="shared" si="262"/>
        <v>8721.0214208701527</v>
      </c>
      <c r="AP410" s="40">
        <f t="shared" si="263"/>
        <v>3632.5838752166242</v>
      </c>
      <c r="AQ410" s="40">
        <f t="shared" si="264"/>
        <v>8721.0214208701527</v>
      </c>
      <c r="AR410" s="41">
        <f t="shared" si="265"/>
        <v>0.3</v>
      </c>
      <c r="AS410" s="41">
        <f t="shared" si="266"/>
        <v>0.02</v>
      </c>
      <c r="AT410" s="64">
        <f t="shared" si="267"/>
        <v>0</v>
      </c>
      <c r="AU410" s="64">
        <f>APPLICANTS_PER_YEAR*($H410/Segments!$AH$2)*AS410</f>
        <v>0.12</v>
      </c>
      <c r="AV410" s="64">
        <f t="shared" si="268"/>
        <v>0.12</v>
      </c>
      <c r="AW410" s="40">
        <f t="shared" si="269"/>
        <v>8721.0214208701527</v>
      </c>
      <c r="AX410" s="65">
        <f t="shared" si="270"/>
        <v>1046.5225705044184</v>
      </c>
      <c r="AY410" s="65">
        <f t="shared" si="271"/>
        <v>717.37352569183997</v>
      </c>
      <c r="AZ410" s="65">
        <f t="shared" si="272"/>
        <v>239.82105579298971</v>
      </c>
    </row>
    <row r="411" spans="1:52" ht="15" customHeight="1" x14ac:dyDescent="0.35">
      <c r="A411" s="61" t="str">
        <f>Segments!$A$391</f>
        <v>Greek</v>
      </c>
      <c r="B411" s="61" t="str">
        <f>Segments!$B$391</f>
        <v>Off 6+mi</v>
      </c>
      <c r="C411" s="61" t="str">
        <f>Segments!$C$391</f>
        <v>No</v>
      </c>
      <c r="D411" s="61" t="str">
        <f>Segments!$D$391</f>
        <v>1.0-2.0</v>
      </c>
      <c r="E411" s="61" t="str">
        <f>Segments!$E$391</f>
        <v>Sophomore</v>
      </c>
      <c r="F411" s="61">
        <f>Segments!$F$391</f>
        <v>1</v>
      </c>
      <c r="G411" s="61" t="str">
        <f>Segments!$G$391</f>
        <v>Sophomore</v>
      </c>
      <c r="H411" s="62">
        <f>Segments!$H$391</f>
        <v>0</v>
      </c>
      <c r="I411" s="63">
        <f>Segments!$Y$391</f>
        <v>4980.0143131086261</v>
      </c>
      <c r="J411" s="42">
        <v>1</v>
      </c>
      <c r="K411" s="40">
        <f t="shared" si="234"/>
        <v>1426.2297754450396</v>
      </c>
      <c r="L411" s="40">
        <f t="shared" si="235"/>
        <v>4980.0143131086261</v>
      </c>
      <c r="M411" s="40">
        <f t="shared" si="236"/>
        <v>8139.5581799613219</v>
      </c>
      <c r="N411" s="40">
        <f t="shared" si="237"/>
        <v>3407.1806871999133</v>
      </c>
      <c r="O411" s="40">
        <f t="shared" si="238"/>
        <v>1782.7872193062994</v>
      </c>
      <c r="P411" s="41">
        <f t="shared" si="239"/>
        <v>0.95</v>
      </c>
      <c r="Q411" s="41">
        <f t="shared" si="240"/>
        <v>0.02</v>
      </c>
      <c r="R411" s="64">
        <f t="shared" si="241"/>
        <v>4.75</v>
      </c>
      <c r="S411" s="64">
        <f>APPLICANTS_PER_YEAR*($H411/Segments!$AH$2)*Q411</f>
        <v>0</v>
      </c>
      <c r="T411" s="64">
        <f t="shared" si="242"/>
        <v>4.75</v>
      </c>
      <c r="U411" s="40">
        <f t="shared" si="243"/>
        <v>1782.7872193062994</v>
      </c>
      <c r="V411" s="65">
        <f t="shared" si="244"/>
        <v>8468.2392917049219</v>
      </c>
      <c r="W411" s="65">
        <f t="shared" si="245"/>
        <v>26493.676145737893</v>
      </c>
      <c r="X411" s="65">
        <f t="shared" si="246"/>
        <v>1695.4972261322303</v>
      </c>
      <c r="Y411" s="40">
        <f t="shared" si="247"/>
        <v>8222.7909518994766</v>
      </c>
      <c r="Z411" s="40">
        <f t="shared" si="248"/>
        <v>5129.4147425018846</v>
      </c>
      <c r="AA411" s="40">
        <f t="shared" si="249"/>
        <v>8382.4949253601608</v>
      </c>
      <c r="AB411" s="40">
        <f t="shared" si="250"/>
        <v>3509.1344760093725</v>
      </c>
      <c r="AC411" s="40">
        <f t="shared" si="251"/>
        <v>8382.4949253601608</v>
      </c>
      <c r="AD411" s="41">
        <f t="shared" si="252"/>
        <v>0.3</v>
      </c>
      <c r="AE411" s="41">
        <f t="shared" si="253"/>
        <v>0.02</v>
      </c>
      <c r="AF411" s="64">
        <f t="shared" si="254"/>
        <v>3.5999999999999997E-2</v>
      </c>
      <c r="AG411" s="64">
        <f>APPLICANTS_PER_YEAR*($H411/Segments!$AH$2)*AE411</f>
        <v>0</v>
      </c>
      <c r="AH411" s="64">
        <f t="shared" si="255"/>
        <v>3.5999999999999997E-2</v>
      </c>
      <c r="AI411" s="40">
        <f t="shared" si="256"/>
        <v>8382.4949253601608</v>
      </c>
      <c r="AJ411" s="65">
        <f t="shared" si="257"/>
        <v>301.76981731296576</v>
      </c>
      <c r="AK411" s="65">
        <f t="shared" si="258"/>
        <v>206.81800241767598</v>
      </c>
      <c r="AL411" s="65">
        <f t="shared" si="259"/>
        <v>57.754495472150531</v>
      </c>
      <c r="AM411" s="40">
        <f t="shared" si="260"/>
        <v>8468.2246804564602</v>
      </c>
      <c r="AN411" s="40">
        <f t="shared" si="261"/>
        <v>5283.2971847769413</v>
      </c>
      <c r="AO411" s="40">
        <f t="shared" si="262"/>
        <v>8632.7197731209653</v>
      </c>
      <c r="AP411" s="40">
        <f t="shared" si="263"/>
        <v>3614.1468592592241</v>
      </c>
      <c r="AQ411" s="40">
        <f t="shared" si="264"/>
        <v>8632.7197731209653</v>
      </c>
      <c r="AR411" s="41">
        <f t="shared" si="265"/>
        <v>0.3</v>
      </c>
      <c r="AS411" s="41">
        <f t="shared" si="266"/>
        <v>0.02</v>
      </c>
      <c r="AT411" s="64">
        <f t="shared" si="267"/>
        <v>3.5999999999999997E-2</v>
      </c>
      <c r="AU411" s="64">
        <f>APPLICANTS_PER_YEAR*($H411/Segments!$AH$2)*AS411</f>
        <v>0</v>
      </c>
      <c r="AV411" s="64">
        <f t="shared" si="268"/>
        <v>3.5999999999999997E-2</v>
      </c>
      <c r="AW411" s="40">
        <f t="shared" si="269"/>
        <v>8632.7197731209653</v>
      </c>
      <c r="AX411" s="65">
        <f t="shared" si="270"/>
        <v>310.77791183235473</v>
      </c>
      <c r="AY411" s="65">
        <f t="shared" si="271"/>
        <v>213.02254249020626</v>
      </c>
      <c r="AZ411" s="65">
        <f t="shared" si="272"/>
        <v>59.457025336315041</v>
      </c>
    </row>
    <row r="412" spans="1:52" ht="15" customHeight="1" x14ac:dyDescent="0.35">
      <c r="A412" s="61" t="str">
        <f>Segments!$A$392</f>
        <v>Greek</v>
      </c>
      <c r="B412" s="61" t="str">
        <f>Segments!$B$392</f>
        <v>Off 6+mi</v>
      </c>
      <c r="C412" s="61" t="str">
        <f>Segments!$C$392</f>
        <v>No</v>
      </c>
      <c r="D412" s="61" t="str">
        <f>Segments!$D$392</f>
        <v>1.0-2.0</v>
      </c>
      <c r="E412" s="61" t="str">
        <f>Segments!$E$392</f>
        <v>Junior</v>
      </c>
      <c r="F412" s="61">
        <f>Segments!$F$392</f>
        <v>2</v>
      </c>
      <c r="G412" s="61" t="str">
        <f>Segments!$G$392</f>
        <v>Base</v>
      </c>
      <c r="H412" s="62">
        <f>Segments!$H$392</f>
        <v>4</v>
      </c>
      <c r="I412" s="63">
        <f>Segments!$Y$392</f>
        <v>5953.2367172528511</v>
      </c>
      <c r="J412" s="42">
        <v>2</v>
      </c>
      <c r="K412" s="40">
        <f t="shared" si="234"/>
        <v>1426.2297754450396</v>
      </c>
      <c r="L412" s="40">
        <f t="shared" si="235"/>
        <v>5953.2367172528511</v>
      </c>
      <c r="M412" s="40">
        <f t="shared" si="236"/>
        <v>9722.0936811792344</v>
      </c>
      <c r="N412" s="40">
        <f t="shared" si="237"/>
        <v>3723.6997042946277</v>
      </c>
      <c r="O412" s="40">
        <f t="shared" si="238"/>
        <v>1782.7872193062994</v>
      </c>
      <c r="P412" s="41">
        <f t="shared" si="239"/>
        <v>0.95</v>
      </c>
      <c r="Q412" s="41">
        <f t="shared" si="240"/>
        <v>0.02</v>
      </c>
      <c r="R412" s="64">
        <f t="shared" si="241"/>
        <v>0</v>
      </c>
      <c r="S412" s="64">
        <f>APPLICANTS_PER_YEAR*($H412/Segments!$AH$2)*Q412</f>
        <v>9.6000000000000002E-2</v>
      </c>
      <c r="T412" s="64">
        <f t="shared" si="242"/>
        <v>9.6000000000000002E-2</v>
      </c>
      <c r="U412" s="40">
        <f t="shared" si="243"/>
        <v>9722.0936811792344</v>
      </c>
      <c r="V412" s="65">
        <f t="shared" si="244"/>
        <v>933.32099339320655</v>
      </c>
      <c r="W412" s="65">
        <f t="shared" si="245"/>
        <v>640.09201183902655</v>
      </c>
      <c r="X412" s="65">
        <f t="shared" si="246"/>
        <v>213.38390252007827</v>
      </c>
      <c r="Y412" s="40">
        <f t="shared" si="247"/>
        <v>1782.7872193062994</v>
      </c>
      <c r="Z412" s="40">
        <f t="shared" si="248"/>
        <v>6131.8338187704367</v>
      </c>
      <c r="AA412" s="40">
        <f t="shared" si="249"/>
        <v>10012.506491614611</v>
      </c>
      <c r="AB412" s="40">
        <f t="shared" si="250"/>
        <v>3835.1713040922737</v>
      </c>
      <c r="AC412" s="40">
        <f t="shared" si="251"/>
        <v>2228.4840241328743</v>
      </c>
      <c r="AD412" s="41">
        <f t="shared" si="252"/>
        <v>0.95</v>
      </c>
      <c r="AE412" s="41">
        <f t="shared" si="253"/>
        <v>0.02</v>
      </c>
      <c r="AF412" s="64">
        <f t="shared" si="254"/>
        <v>4.5125000000000002</v>
      </c>
      <c r="AG412" s="64">
        <f>APPLICANTS_PER_YEAR*($H412/Segments!$AH$2)*AE412</f>
        <v>9.6000000000000002E-2</v>
      </c>
      <c r="AH412" s="64">
        <f t="shared" si="255"/>
        <v>4.6085000000000003</v>
      </c>
      <c r="AI412" s="40">
        <f t="shared" si="256"/>
        <v>2390.6335645209065</v>
      </c>
      <c r="AJ412" s="65">
        <f t="shared" si="257"/>
        <v>11017.234782094598</v>
      </c>
      <c r="AK412" s="65">
        <f t="shared" si="258"/>
        <v>31649.582892259987</v>
      </c>
      <c r="AL412" s="65">
        <f t="shared" si="259"/>
        <v>2210.4693956277047</v>
      </c>
      <c r="AM412" s="40">
        <f t="shared" si="260"/>
        <v>8382.4949253601608</v>
      </c>
      <c r="AN412" s="40">
        <f t="shared" si="261"/>
        <v>6315.7888333335495</v>
      </c>
      <c r="AO412" s="40">
        <f t="shared" si="262"/>
        <v>10311.631686363049</v>
      </c>
      <c r="AP412" s="40">
        <f t="shared" si="263"/>
        <v>3949.9870371577676</v>
      </c>
      <c r="AQ412" s="40">
        <f t="shared" si="264"/>
        <v>10311.631686363049</v>
      </c>
      <c r="AR412" s="41">
        <f t="shared" si="265"/>
        <v>0.3</v>
      </c>
      <c r="AS412" s="41">
        <f t="shared" si="266"/>
        <v>0.02</v>
      </c>
      <c r="AT412" s="64">
        <f t="shared" si="267"/>
        <v>1.0799999999999999E-2</v>
      </c>
      <c r="AU412" s="64">
        <f>APPLICANTS_PER_YEAR*($H412/Segments!$AH$2)*AS412</f>
        <v>9.6000000000000002E-2</v>
      </c>
      <c r="AV412" s="64">
        <f t="shared" si="268"/>
        <v>0.10680000000000001</v>
      </c>
      <c r="AW412" s="40">
        <f t="shared" si="269"/>
        <v>10311.631686363049</v>
      </c>
      <c r="AX412" s="65">
        <f t="shared" si="270"/>
        <v>1101.2822641035737</v>
      </c>
      <c r="AY412" s="65">
        <f t="shared" si="271"/>
        <v>755.46939708802608</v>
      </c>
      <c r="AZ412" s="65">
        <f t="shared" si="272"/>
        <v>247.32543038175527</v>
      </c>
    </row>
    <row r="413" spans="1:52" ht="15" customHeight="1" x14ac:dyDescent="0.35">
      <c r="A413" s="61" t="str">
        <f>Segments!$A$393</f>
        <v>Greek</v>
      </c>
      <c r="B413" s="61" t="str">
        <f>Segments!$B$393</f>
        <v>Off 6+mi</v>
      </c>
      <c r="C413" s="61" t="str">
        <f>Segments!$C$393</f>
        <v>No</v>
      </c>
      <c r="D413" s="61" t="str">
        <f>Segments!$D$393</f>
        <v>1.0-2.0</v>
      </c>
      <c r="E413" s="61" t="str">
        <f>Segments!$E$393</f>
        <v>Senior</v>
      </c>
      <c r="F413" s="61">
        <f>Segments!$F$393</f>
        <v>3</v>
      </c>
      <c r="G413" s="61" t="str">
        <f>Segments!$G$393</f>
        <v>Base</v>
      </c>
      <c r="H413" s="62">
        <f>Segments!$H$393</f>
        <v>0</v>
      </c>
      <c r="I413" s="63">
        <f>Segments!$Y$393</f>
        <v>5564.4156848959838</v>
      </c>
      <c r="J413" s="42">
        <v>3</v>
      </c>
      <c r="K413" s="40">
        <f t="shared" si="234"/>
        <v>1426.2297754450396</v>
      </c>
      <c r="L413" s="40">
        <f t="shared" si="235"/>
        <v>5564.4156848959838</v>
      </c>
      <c r="M413" s="40">
        <f t="shared" si="236"/>
        <v>9089.8403702148116</v>
      </c>
      <c r="N413" s="40">
        <f t="shared" si="237"/>
        <v>3600.5834235638431</v>
      </c>
      <c r="O413" s="40">
        <f t="shared" si="238"/>
        <v>1782.7872193062994</v>
      </c>
      <c r="P413" s="41">
        <f t="shared" si="239"/>
        <v>0.95</v>
      </c>
      <c r="Q413" s="41">
        <f t="shared" si="240"/>
        <v>0.02</v>
      </c>
      <c r="R413" s="64">
        <f t="shared" si="241"/>
        <v>3.8</v>
      </c>
      <c r="S413" s="64">
        <f>APPLICANTS_PER_YEAR*($H413/Segments!$AH$2)*Q413</f>
        <v>0</v>
      </c>
      <c r="T413" s="64">
        <f t="shared" si="242"/>
        <v>3.8</v>
      </c>
      <c r="U413" s="40">
        <f t="shared" si="243"/>
        <v>1782.7872193062994</v>
      </c>
      <c r="V413" s="65">
        <f t="shared" si="244"/>
        <v>6774.5914333639375</v>
      </c>
      <c r="W413" s="65">
        <f t="shared" si="245"/>
        <v>23682.153154917305</v>
      </c>
      <c r="X413" s="65">
        <f t="shared" si="246"/>
        <v>1356.3977809057842</v>
      </c>
      <c r="Y413" s="40">
        <f t="shared" si="247"/>
        <v>9722.0936811792344</v>
      </c>
      <c r="Z413" s="40">
        <f t="shared" si="248"/>
        <v>5731.3481554428636</v>
      </c>
      <c r="AA413" s="40">
        <f t="shared" si="249"/>
        <v>9361.2855813212554</v>
      </c>
      <c r="AB413" s="40">
        <f t="shared" si="250"/>
        <v>3708.3533487924856</v>
      </c>
      <c r="AC413" s="40">
        <f t="shared" si="251"/>
        <v>9361.2855813212554</v>
      </c>
      <c r="AD413" s="41">
        <f t="shared" si="252"/>
        <v>0.3</v>
      </c>
      <c r="AE413" s="41">
        <f t="shared" si="253"/>
        <v>0.02</v>
      </c>
      <c r="AF413" s="64">
        <f t="shared" si="254"/>
        <v>2.8799999999999999E-2</v>
      </c>
      <c r="AG413" s="64">
        <f>APPLICANTS_PER_YEAR*($H413/Segments!$AH$2)*AE413</f>
        <v>0</v>
      </c>
      <c r="AH413" s="64">
        <f t="shared" si="255"/>
        <v>2.8799999999999999E-2</v>
      </c>
      <c r="AI413" s="40">
        <f t="shared" si="256"/>
        <v>9361.2855813212554</v>
      </c>
      <c r="AJ413" s="65">
        <f t="shared" si="257"/>
        <v>269.60502474205214</v>
      </c>
      <c r="AK413" s="65">
        <f t="shared" si="258"/>
        <v>184.870366101965</v>
      </c>
      <c r="AL413" s="65">
        <f t="shared" si="259"/>
        <v>51.531349676247856</v>
      </c>
      <c r="AM413" s="40">
        <f t="shared" si="260"/>
        <v>2390.6335645209065</v>
      </c>
      <c r="AN413" s="40">
        <f t="shared" si="261"/>
        <v>5903.2886001061488</v>
      </c>
      <c r="AO413" s="40">
        <f t="shared" si="262"/>
        <v>9640.8741487608931</v>
      </c>
      <c r="AP413" s="40">
        <f t="shared" si="263"/>
        <v>3819.3563554888483</v>
      </c>
      <c r="AQ413" s="40">
        <f t="shared" si="264"/>
        <v>2988.2919556511333</v>
      </c>
      <c r="AR413" s="41">
        <f t="shared" si="265"/>
        <v>0.88379639427247758</v>
      </c>
      <c r="AS413" s="41">
        <f t="shared" si="266"/>
        <v>0.02</v>
      </c>
      <c r="AT413" s="64">
        <f t="shared" si="267"/>
        <v>4.0729756830047128</v>
      </c>
      <c r="AU413" s="64">
        <f>APPLICANTS_PER_YEAR*($H413/Segments!$AH$2)*AS413</f>
        <v>0</v>
      </c>
      <c r="AV413" s="64">
        <f t="shared" si="268"/>
        <v>4.0729756830047128</v>
      </c>
      <c r="AW413" s="40">
        <f t="shared" si="269"/>
        <v>2988.2919556511333</v>
      </c>
      <c r="AX413" s="65">
        <f t="shared" si="270"/>
        <v>12171.240469085664</v>
      </c>
      <c r="AY413" s="65">
        <f t="shared" si="271"/>
        <v>26929.225028150231</v>
      </c>
      <c r="AZ413" s="65">
        <f t="shared" si="272"/>
        <v>2381.8239623172849</v>
      </c>
    </row>
    <row r="414" spans="1:52" ht="15" customHeight="1" x14ac:dyDescent="0.35">
      <c r="A414" s="61" t="str">
        <f>Segments!$A$394</f>
        <v>Greek</v>
      </c>
      <c r="B414" s="61" t="str">
        <f>Segments!$B$394</f>
        <v>Off 6+mi</v>
      </c>
      <c r="C414" s="61" t="str">
        <f>Segments!$C$394</f>
        <v>No</v>
      </c>
      <c r="D414" s="61" t="str">
        <f>Segments!$D$394</f>
        <v>1.0-2.0</v>
      </c>
      <c r="E414" s="61" t="str">
        <f>Segments!$E$394</f>
        <v>Grad student</v>
      </c>
      <c r="F414" s="61">
        <f>Segments!$F$394</f>
        <v>3</v>
      </c>
      <c r="G414" s="61" t="str">
        <f>Segments!$G$394</f>
        <v>Grad</v>
      </c>
      <c r="H414" s="62">
        <f>Segments!$H$394</f>
        <v>4</v>
      </c>
      <c r="I414" s="63">
        <f>Segments!$Y$394</f>
        <v>6625.4408435651258</v>
      </c>
      <c r="J414" s="42">
        <v>4</v>
      </c>
      <c r="K414" s="40">
        <f t="shared" si="234"/>
        <v>1426.2297754450396</v>
      </c>
      <c r="L414" s="40">
        <f t="shared" si="235"/>
        <v>6625.4408435651258</v>
      </c>
      <c r="M414" s="40">
        <f t="shared" si="236"/>
        <v>10815.149995362379</v>
      </c>
      <c r="N414" s="40">
        <f t="shared" si="237"/>
        <v>3927.4532396058016</v>
      </c>
      <c r="O414" s="40">
        <f t="shared" si="238"/>
        <v>1782.7872193062994</v>
      </c>
      <c r="P414" s="41">
        <f t="shared" si="239"/>
        <v>0.95</v>
      </c>
      <c r="Q414" s="41">
        <f t="shared" si="240"/>
        <v>0.02</v>
      </c>
      <c r="R414" s="64">
        <f t="shared" si="241"/>
        <v>1.9</v>
      </c>
      <c r="S414" s="64">
        <f>APPLICANTS_PER_YEAR*($H414/Segments!$AH$2)*Q414</f>
        <v>9.6000000000000002E-2</v>
      </c>
      <c r="T414" s="64">
        <f t="shared" si="242"/>
        <v>1.996</v>
      </c>
      <c r="U414" s="40">
        <f t="shared" si="243"/>
        <v>2217.2094770725239</v>
      </c>
      <c r="V414" s="65">
        <f t="shared" si="244"/>
        <v>4425.5501162367573</v>
      </c>
      <c r="W414" s="65">
        <f t="shared" si="245"/>
        <v>14811.305514606711</v>
      </c>
      <c r="X414" s="65">
        <f t="shared" si="246"/>
        <v>915.0878759531646</v>
      </c>
      <c r="Y414" s="40">
        <f t="shared" si="247"/>
        <v>2217.2094770725239</v>
      </c>
      <c r="Z414" s="40">
        <f t="shared" si="248"/>
        <v>6824.2040688720799</v>
      </c>
      <c r="AA414" s="40">
        <f t="shared" si="249"/>
        <v>11138.35449522325</v>
      </c>
      <c r="AB414" s="40">
        <f t="shared" si="250"/>
        <v>4045.0498656340428</v>
      </c>
      <c r="AC414" s="40">
        <f t="shared" si="251"/>
        <v>2771.5118463406548</v>
      </c>
      <c r="AD414" s="41">
        <f t="shared" si="252"/>
        <v>0.93241932257907623</v>
      </c>
      <c r="AE414" s="41">
        <f t="shared" si="253"/>
        <v>0.02</v>
      </c>
      <c r="AF414" s="64">
        <f t="shared" si="254"/>
        <v>0.93055448393391804</v>
      </c>
      <c r="AG414" s="64">
        <f>APPLICANTS_PER_YEAR*($H414/Segments!$AH$2)*AE414</f>
        <v>9.6000000000000002E-2</v>
      </c>
      <c r="AH414" s="64">
        <f t="shared" si="255"/>
        <v>1.026554483933918</v>
      </c>
      <c r="AI414" s="40">
        <f t="shared" si="256"/>
        <v>3553.9514604707065</v>
      </c>
      <c r="AJ414" s="65">
        <f t="shared" si="257"/>
        <v>3648.3248074297003</v>
      </c>
      <c r="AK414" s="65">
        <f t="shared" si="258"/>
        <v>7846.0673605224092</v>
      </c>
      <c r="AL414" s="65">
        <f t="shared" si="259"/>
        <v>749.88934938684179</v>
      </c>
      <c r="AM414" s="40">
        <f t="shared" si="260"/>
        <v>3553.9514604707065</v>
      </c>
      <c r="AN414" s="40">
        <f t="shared" si="261"/>
        <v>7028.930190938242</v>
      </c>
      <c r="AO414" s="40">
        <f t="shared" si="262"/>
        <v>11471.255130079948</v>
      </c>
      <c r="AP414" s="40">
        <f t="shared" si="263"/>
        <v>4166.1743778923737</v>
      </c>
      <c r="AQ414" s="40">
        <f t="shared" si="264"/>
        <v>4442.4393255883833</v>
      </c>
      <c r="AR414" s="41">
        <f t="shared" si="265"/>
        <v>0.74184428895223431</v>
      </c>
      <c r="AS414" s="41">
        <f t="shared" si="266"/>
        <v>0.02</v>
      </c>
      <c r="AT414" s="64">
        <f t="shared" si="267"/>
        <v>0.38077179060234262</v>
      </c>
      <c r="AU414" s="64">
        <f>APPLICANTS_PER_YEAR*($H414/Segments!$AH$2)*AS414</f>
        <v>9.6000000000000002E-2</v>
      </c>
      <c r="AV414" s="64">
        <f t="shared" si="268"/>
        <v>0.47677179060234265</v>
      </c>
      <c r="AW414" s="40">
        <f t="shared" si="269"/>
        <v>5857.7208722979849</v>
      </c>
      <c r="AX414" s="65">
        <f t="shared" si="270"/>
        <v>2792.7960691342269</v>
      </c>
      <c r="AY414" s="65">
        <f t="shared" si="271"/>
        <v>3753.3391091307913</v>
      </c>
      <c r="AZ414" s="65">
        <f t="shared" si="272"/>
        <v>578.31731011548447</v>
      </c>
    </row>
    <row r="415" spans="1:52" ht="15" customHeight="1" x14ac:dyDescent="0.35">
      <c r="A415" s="59" t="str">
        <f>Segments!$A$395</f>
        <v>Greek</v>
      </c>
      <c r="B415" s="59" t="str">
        <f>Segments!$B$395</f>
        <v>Off 6+mi</v>
      </c>
      <c r="C415" s="59" t="str">
        <f>Segments!$C$395</f>
        <v>No</v>
      </c>
      <c r="D415" s="59" t="str">
        <f>Segments!$D$395</f>
        <v>2.0-3.0</v>
      </c>
      <c r="E415" s="59" t="str">
        <f>Segments!$E$395</f>
        <v>Freshman</v>
      </c>
      <c r="F415" s="59">
        <f>Segments!$F$395</f>
        <v>1</v>
      </c>
      <c r="G415" s="59" t="str">
        <f>Segments!$G$395</f>
        <v>Base</v>
      </c>
      <c r="H415" s="60">
        <f>Segments!$H$395</f>
        <v>4</v>
      </c>
      <c r="I415" s="26">
        <f>Segments!$Y$395</f>
        <v>4944.0587213871131</v>
      </c>
      <c r="J415" s="29">
        <v>0</v>
      </c>
      <c r="K415" s="14">
        <f t="shared" si="234"/>
        <v>8081.0915847367432</v>
      </c>
      <c r="L415" s="14">
        <f t="shared" si="235"/>
        <v>4944.0587213871131</v>
      </c>
      <c r="M415" s="14">
        <f t="shared" si="236"/>
        <v>8081.0915847367432</v>
      </c>
      <c r="N415" s="14">
        <f t="shared" si="237"/>
        <v>3394.9217128307814</v>
      </c>
      <c r="O415" s="14">
        <f t="shared" si="238"/>
        <v>8081.0915847367432</v>
      </c>
      <c r="P415" s="33">
        <f t="shared" si="239"/>
        <v>0.3</v>
      </c>
      <c r="Q415" s="33">
        <f t="shared" si="240"/>
        <v>0.02</v>
      </c>
      <c r="R415" s="51">
        <f t="shared" si="241"/>
        <v>0</v>
      </c>
      <c r="S415" s="51">
        <f>APPLICANTS_PER_YEAR*($H415/Segments!$AH$2)*Q415</f>
        <v>9.6000000000000002E-2</v>
      </c>
      <c r="T415" s="51">
        <f t="shared" si="242"/>
        <v>9.6000000000000002E-2</v>
      </c>
      <c r="U415" s="14">
        <f t="shared" si="243"/>
        <v>8081.0915847367432</v>
      </c>
      <c r="V415" s="44">
        <f t="shared" si="244"/>
        <v>775.78479213472735</v>
      </c>
      <c r="W415" s="44">
        <f t="shared" si="245"/>
        <v>531.58519372354249</v>
      </c>
      <c r="X415" s="44">
        <f t="shared" si="246"/>
        <v>178.09579343817893</v>
      </c>
      <c r="Y415" s="14">
        <f t="shared" si="247"/>
        <v>8322.2743322788447</v>
      </c>
      <c r="Z415" s="14">
        <f t="shared" si="248"/>
        <v>5092.3804830287263</v>
      </c>
      <c r="AA415" s="14">
        <f t="shared" si="249"/>
        <v>8322.2743322788447</v>
      </c>
      <c r="AB415" s="14">
        <f t="shared" si="250"/>
        <v>3496.5067875926702</v>
      </c>
      <c r="AC415" s="14">
        <f t="shared" si="251"/>
        <v>8322.2743322788447</v>
      </c>
      <c r="AD415" s="33">
        <f t="shared" si="252"/>
        <v>0.3</v>
      </c>
      <c r="AE415" s="33">
        <f t="shared" si="253"/>
        <v>0.02</v>
      </c>
      <c r="AF415" s="51">
        <f t="shared" si="254"/>
        <v>0</v>
      </c>
      <c r="AG415" s="51">
        <f>APPLICANTS_PER_YEAR*($H415/Segments!$AH$2)*AE415</f>
        <v>9.6000000000000002E-2</v>
      </c>
      <c r="AH415" s="51">
        <f t="shared" si="255"/>
        <v>9.6000000000000002E-2</v>
      </c>
      <c r="AI415" s="14">
        <f t="shared" si="256"/>
        <v>8322.2743322788447</v>
      </c>
      <c r="AJ415" s="44">
        <f t="shared" si="257"/>
        <v>798.93833589876908</v>
      </c>
      <c r="AK415" s="44">
        <f t="shared" si="258"/>
        <v>547.53274953524874</v>
      </c>
      <c r="AL415" s="44">
        <f t="shared" si="259"/>
        <v>183.28218724132427</v>
      </c>
      <c r="AM415" s="14">
        <f t="shared" si="260"/>
        <v>8570.6925622472099</v>
      </c>
      <c r="AN415" s="14">
        <f t="shared" si="261"/>
        <v>5245.1518975195877</v>
      </c>
      <c r="AO415" s="14">
        <f t="shared" si="262"/>
        <v>8570.6925622472099</v>
      </c>
      <c r="AP415" s="14">
        <f t="shared" si="263"/>
        <v>3601.1393951644891</v>
      </c>
      <c r="AQ415" s="14">
        <f t="shared" si="264"/>
        <v>8570.6925622472099</v>
      </c>
      <c r="AR415" s="33">
        <f t="shared" si="265"/>
        <v>0.3</v>
      </c>
      <c r="AS415" s="33">
        <f t="shared" si="266"/>
        <v>0.02</v>
      </c>
      <c r="AT415" s="51">
        <f t="shared" si="267"/>
        <v>0</v>
      </c>
      <c r="AU415" s="51">
        <f>APPLICANTS_PER_YEAR*($H415/Segments!$AH$2)*AS415</f>
        <v>9.6000000000000002E-2</v>
      </c>
      <c r="AV415" s="51">
        <f t="shared" si="268"/>
        <v>9.6000000000000002E-2</v>
      </c>
      <c r="AW415" s="14">
        <f t="shared" si="269"/>
        <v>8570.6925622472099</v>
      </c>
      <c r="AX415" s="44">
        <f t="shared" si="270"/>
        <v>822.78648597573215</v>
      </c>
      <c r="AY415" s="44">
        <f t="shared" si="271"/>
        <v>563.9587320213061</v>
      </c>
      <c r="AZ415" s="44">
        <f t="shared" si="272"/>
        <v>188.62417285856401</v>
      </c>
    </row>
    <row r="416" spans="1:52" ht="15" customHeight="1" x14ac:dyDescent="0.35">
      <c r="A416" s="59" t="str">
        <f>Segments!$A$396</f>
        <v>Greek</v>
      </c>
      <c r="B416" s="59" t="str">
        <f>Segments!$B$396</f>
        <v>Off 6+mi</v>
      </c>
      <c r="C416" s="59" t="str">
        <f>Segments!$C$396</f>
        <v>No</v>
      </c>
      <c r="D416" s="59" t="str">
        <f>Segments!$D$396</f>
        <v>2.0-3.0</v>
      </c>
      <c r="E416" s="59" t="str">
        <f>Segments!$E$396</f>
        <v>Sophomore</v>
      </c>
      <c r="F416" s="59">
        <f>Segments!$F$396</f>
        <v>1</v>
      </c>
      <c r="G416" s="59" t="str">
        <f>Segments!$G$396</f>
        <v>Sophomore</v>
      </c>
      <c r="H416" s="60">
        <f>Segments!$H$396</f>
        <v>5</v>
      </c>
      <c r="I416" s="26">
        <f>Segments!$Y$396</f>
        <v>4893.7590684715797</v>
      </c>
      <c r="J416" s="29">
        <v>1</v>
      </c>
      <c r="K416" s="14">
        <f t="shared" si="234"/>
        <v>1426.2297754450396</v>
      </c>
      <c r="L416" s="14">
        <f t="shared" si="235"/>
        <v>4893.7590684715797</v>
      </c>
      <c r="M416" s="14">
        <f t="shared" si="236"/>
        <v>7999.300427752677</v>
      </c>
      <c r="N416" s="14">
        <f t="shared" si="237"/>
        <v>3377.6975075916894</v>
      </c>
      <c r="O416" s="14">
        <f t="shared" si="238"/>
        <v>1782.7872193062994</v>
      </c>
      <c r="P416" s="33">
        <f t="shared" si="239"/>
        <v>0.95</v>
      </c>
      <c r="Q416" s="33">
        <f t="shared" si="240"/>
        <v>0.02</v>
      </c>
      <c r="R416" s="51">
        <f t="shared" si="241"/>
        <v>3.8</v>
      </c>
      <c r="S416" s="51">
        <f>APPLICANTS_PER_YEAR*($H416/Segments!$AH$2)*Q416</f>
        <v>0.12</v>
      </c>
      <c r="T416" s="51">
        <f t="shared" si="242"/>
        <v>3.92</v>
      </c>
      <c r="U416" s="14">
        <f t="shared" si="243"/>
        <v>1973.0886440546578</v>
      </c>
      <c r="V416" s="44">
        <f t="shared" si="244"/>
        <v>7734.5074846942589</v>
      </c>
      <c r="W416" s="44">
        <f t="shared" si="245"/>
        <v>21485.559814217624</v>
      </c>
      <c r="X416" s="44">
        <f t="shared" si="246"/>
        <v>1576.8189764037763</v>
      </c>
      <c r="Y416" s="14">
        <f t="shared" si="247"/>
        <v>8081.0915847367432</v>
      </c>
      <c r="Z416" s="14">
        <f t="shared" si="248"/>
        <v>5040.5718405257276</v>
      </c>
      <c r="AA416" s="14">
        <f t="shared" si="249"/>
        <v>8238.0294405852583</v>
      </c>
      <c r="AB416" s="14">
        <f t="shared" si="250"/>
        <v>3478.7645171138279</v>
      </c>
      <c r="AC416" s="14">
        <f t="shared" si="251"/>
        <v>8238.0294405852583</v>
      </c>
      <c r="AD416" s="33">
        <f t="shared" si="252"/>
        <v>0.3</v>
      </c>
      <c r="AE416" s="33">
        <f t="shared" si="253"/>
        <v>0.02</v>
      </c>
      <c r="AF416" s="51">
        <f t="shared" si="254"/>
        <v>2.8799999999999999E-2</v>
      </c>
      <c r="AG416" s="51">
        <f>APPLICANTS_PER_YEAR*($H416/Segments!$AH$2)*AE416</f>
        <v>0.12</v>
      </c>
      <c r="AH416" s="51">
        <f t="shared" si="255"/>
        <v>0.14879999999999999</v>
      </c>
      <c r="AI416" s="14">
        <f t="shared" si="256"/>
        <v>8238.0294405852583</v>
      </c>
      <c r="AJ416" s="44">
        <f t="shared" si="257"/>
        <v>1225.8187807590864</v>
      </c>
      <c r="AK416" s="44">
        <f t="shared" si="258"/>
        <v>840.04154065465571</v>
      </c>
      <c r="AL416" s="44">
        <f t="shared" si="259"/>
        <v>272.25547321392543</v>
      </c>
      <c r="AM416" s="14">
        <f t="shared" si="260"/>
        <v>8322.2743322788447</v>
      </c>
      <c r="AN416" s="14">
        <f t="shared" si="261"/>
        <v>5191.7889957414991</v>
      </c>
      <c r="AO416" s="14">
        <f t="shared" si="262"/>
        <v>8483.9203238028149</v>
      </c>
      <c r="AP416" s="14">
        <f t="shared" si="263"/>
        <v>3582.8635171898513</v>
      </c>
      <c r="AQ416" s="14">
        <f t="shared" si="264"/>
        <v>8483.9203238028149</v>
      </c>
      <c r="AR416" s="33">
        <f t="shared" si="265"/>
        <v>0.3</v>
      </c>
      <c r="AS416" s="33">
        <f t="shared" si="266"/>
        <v>0.02</v>
      </c>
      <c r="AT416" s="51">
        <f t="shared" si="267"/>
        <v>2.8799999999999999E-2</v>
      </c>
      <c r="AU416" s="51">
        <f>APPLICANTS_PER_YEAR*($H416/Segments!$AH$2)*AS416</f>
        <v>0.12</v>
      </c>
      <c r="AV416" s="51">
        <f t="shared" si="268"/>
        <v>0.14879999999999999</v>
      </c>
      <c r="AW416" s="14">
        <f t="shared" si="269"/>
        <v>8483.9203238028167</v>
      </c>
      <c r="AX416" s="44">
        <f t="shared" si="270"/>
        <v>1262.4073441818589</v>
      </c>
      <c r="AY416" s="44">
        <f t="shared" si="271"/>
        <v>865.24278687429535</v>
      </c>
      <c r="AZ416" s="44">
        <f t="shared" si="272"/>
        <v>280.20345341034312</v>
      </c>
    </row>
    <row r="417" spans="1:52" ht="15" customHeight="1" x14ac:dyDescent="0.35">
      <c r="A417" s="59" t="str">
        <f>Segments!$A$397</f>
        <v>Greek</v>
      </c>
      <c r="B417" s="59" t="str">
        <f>Segments!$B$397</f>
        <v>Off 6+mi</v>
      </c>
      <c r="C417" s="59" t="str">
        <f>Segments!$C$397</f>
        <v>No</v>
      </c>
      <c r="D417" s="59" t="str">
        <f>Segments!$D$397</f>
        <v>2.0-3.0</v>
      </c>
      <c r="E417" s="59" t="str">
        <f>Segments!$E$397</f>
        <v>Junior</v>
      </c>
      <c r="F417" s="59">
        <f>Segments!$F$397</f>
        <v>2</v>
      </c>
      <c r="G417" s="59" t="str">
        <f>Segments!$G$397</f>
        <v>Base</v>
      </c>
      <c r="H417" s="60">
        <f>Segments!$H$397</f>
        <v>8</v>
      </c>
      <c r="I417" s="26">
        <f>Segments!$Y$397</f>
        <v>5850.124987618412</v>
      </c>
      <c r="J417" s="29">
        <v>2</v>
      </c>
      <c r="K417" s="14">
        <f t="shared" si="234"/>
        <v>1426.2297754450396</v>
      </c>
      <c r="L417" s="14">
        <f t="shared" si="235"/>
        <v>5850.124987618412</v>
      </c>
      <c r="M417" s="14">
        <f t="shared" si="236"/>
        <v>9554.4259702391337</v>
      </c>
      <c r="N417" s="14">
        <f t="shared" si="237"/>
        <v>3691.4505016375902</v>
      </c>
      <c r="O417" s="14">
        <f t="shared" si="238"/>
        <v>1782.7872193062994</v>
      </c>
      <c r="P417" s="33">
        <f t="shared" si="239"/>
        <v>0.95</v>
      </c>
      <c r="Q417" s="33">
        <f t="shared" si="240"/>
        <v>0.02</v>
      </c>
      <c r="R417" s="51">
        <f t="shared" si="241"/>
        <v>4.75</v>
      </c>
      <c r="S417" s="51">
        <f>APPLICANTS_PER_YEAR*($H417/Segments!$AH$2)*Q417</f>
        <v>0.192</v>
      </c>
      <c r="T417" s="51">
        <f t="shared" si="242"/>
        <v>4.9420000000000002</v>
      </c>
      <c r="U417" s="14">
        <f t="shared" si="243"/>
        <v>2084.7205742595779</v>
      </c>
      <c r="V417" s="44">
        <f t="shared" si="244"/>
        <v>10302.689077990835</v>
      </c>
      <c r="W417" s="44">
        <f t="shared" si="245"/>
        <v>32380.675811467419</v>
      </c>
      <c r="X417" s="44">
        <f t="shared" si="246"/>
        <v>2115.053978260275</v>
      </c>
      <c r="Y417" s="14">
        <f t="shared" si="247"/>
        <v>1973.0886440546578</v>
      </c>
      <c r="Z417" s="14">
        <f t="shared" si="248"/>
        <v>6025.6287372469642</v>
      </c>
      <c r="AA417" s="14">
        <f t="shared" si="249"/>
        <v>9839.8087493463081</v>
      </c>
      <c r="AB417" s="14">
        <f t="shared" si="250"/>
        <v>3801.9525338557801</v>
      </c>
      <c r="AC417" s="14">
        <f t="shared" si="251"/>
        <v>2466.3608050683224</v>
      </c>
      <c r="AD417" s="33">
        <f t="shared" si="252"/>
        <v>0.95</v>
      </c>
      <c r="AE417" s="33">
        <f t="shared" si="253"/>
        <v>0.02</v>
      </c>
      <c r="AF417" s="51">
        <f t="shared" si="254"/>
        <v>3.7239999999999998</v>
      </c>
      <c r="AG417" s="51">
        <f>APPLICANTS_PER_YEAR*($H417/Segments!$AH$2)*AE417</f>
        <v>0.192</v>
      </c>
      <c r="AH417" s="51">
        <f t="shared" si="255"/>
        <v>3.9159999999999999</v>
      </c>
      <c r="AI417" s="14">
        <f t="shared" si="256"/>
        <v>2827.8781710799085</v>
      </c>
      <c r="AJ417" s="44">
        <f t="shared" si="257"/>
        <v>11073.970917948922</v>
      </c>
      <c r="AK417" s="44">
        <f t="shared" si="258"/>
        <v>26427.925591266208</v>
      </c>
      <c r="AL417" s="44">
        <f t="shared" si="259"/>
        <v>2242.2240182879541</v>
      </c>
      <c r="AM417" s="14">
        <f t="shared" si="260"/>
        <v>8238.0294405852583</v>
      </c>
      <c r="AN417" s="14">
        <f t="shared" si="261"/>
        <v>6206.3975993643726</v>
      </c>
      <c r="AO417" s="14">
        <f t="shared" si="262"/>
        <v>10133.753011826697</v>
      </c>
      <c r="AP417" s="14">
        <f t="shared" si="263"/>
        <v>3915.769611925055</v>
      </c>
      <c r="AQ417" s="14">
        <f t="shared" si="264"/>
        <v>10133.753011826697</v>
      </c>
      <c r="AR417" s="33">
        <f t="shared" si="265"/>
        <v>0.3</v>
      </c>
      <c r="AS417" s="33">
        <f t="shared" si="266"/>
        <v>0.02</v>
      </c>
      <c r="AT417" s="51">
        <f t="shared" si="267"/>
        <v>4.4639999999999992E-2</v>
      </c>
      <c r="AU417" s="51">
        <f>APPLICANTS_PER_YEAR*($H417/Segments!$AH$2)*AS417</f>
        <v>0.192</v>
      </c>
      <c r="AV417" s="51">
        <f t="shared" si="268"/>
        <v>0.23663999999999999</v>
      </c>
      <c r="AW417" s="14">
        <f t="shared" si="269"/>
        <v>10133.753011826697</v>
      </c>
      <c r="AX417" s="44">
        <f t="shared" si="270"/>
        <v>2398.0513127186696</v>
      </c>
      <c r="AY417" s="44">
        <f t="shared" si="271"/>
        <v>1644.9237592632153</v>
      </c>
      <c r="AZ417" s="44">
        <f t="shared" si="272"/>
        <v>530.86331834330394</v>
      </c>
    </row>
    <row r="418" spans="1:52" ht="15" customHeight="1" x14ac:dyDescent="0.35">
      <c r="A418" s="59" t="str">
        <f>Segments!$A$398</f>
        <v>Greek</v>
      </c>
      <c r="B418" s="59" t="str">
        <f>Segments!$B$398</f>
        <v>Off 6+mi</v>
      </c>
      <c r="C418" s="59" t="str">
        <f>Segments!$C$398</f>
        <v>No</v>
      </c>
      <c r="D418" s="59" t="str">
        <f>Segments!$D$398</f>
        <v>2.0-3.0</v>
      </c>
      <c r="E418" s="59" t="str">
        <f>Segments!$E$398</f>
        <v>Senior</v>
      </c>
      <c r="F418" s="59">
        <f>Segments!$F$398</f>
        <v>3</v>
      </c>
      <c r="G418" s="59" t="str">
        <f>Segments!$G$398</f>
        <v>Base</v>
      </c>
      <c r="H418" s="60">
        <f>Segments!$H$398</f>
        <v>2</v>
      </c>
      <c r="I418" s="26">
        <f>Segments!$Y$398</f>
        <v>5468.0384445937725</v>
      </c>
      <c r="J418" s="29">
        <v>3</v>
      </c>
      <c r="K418" s="14">
        <f t="shared" si="234"/>
        <v>1426.2297754450396</v>
      </c>
      <c r="L418" s="14">
        <f t="shared" si="235"/>
        <v>5468.0384445937725</v>
      </c>
      <c r="M418" s="14">
        <f t="shared" si="236"/>
        <v>8933.123463947355</v>
      </c>
      <c r="N418" s="14">
        <f t="shared" si="237"/>
        <v>3569.4098492619828</v>
      </c>
      <c r="O418" s="14">
        <f t="shared" si="238"/>
        <v>1782.7872193062994</v>
      </c>
      <c r="P418" s="33">
        <f t="shared" si="239"/>
        <v>0.95</v>
      </c>
      <c r="Q418" s="33">
        <f t="shared" si="240"/>
        <v>0.02</v>
      </c>
      <c r="R418" s="51">
        <f t="shared" si="241"/>
        <v>7.6</v>
      </c>
      <c r="S418" s="51">
        <f>APPLICANTS_PER_YEAR*($H418/Segments!$AH$2)*Q418</f>
        <v>4.8000000000000001E-2</v>
      </c>
      <c r="T418" s="51">
        <f t="shared" si="242"/>
        <v>7.6479999999999997</v>
      </c>
      <c r="U418" s="14">
        <f t="shared" si="243"/>
        <v>1827.6638066157623</v>
      </c>
      <c r="V418" s="44">
        <f t="shared" si="244"/>
        <v>13977.972792997349</v>
      </c>
      <c r="W418" s="44">
        <f t="shared" si="245"/>
        <v>46837.904987163558</v>
      </c>
      <c r="X418" s="44">
        <f t="shared" si="246"/>
        <v>2811.0045052959304</v>
      </c>
      <c r="Y418" s="14">
        <f t="shared" si="247"/>
        <v>2084.7205742595779</v>
      </c>
      <c r="Z418" s="14">
        <f t="shared" si="248"/>
        <v>5632.0795979315862</v>
      </c>
      <c r="AA418" s="14">
        <f t="shared" si="249"/>
        <v>9199.8671678657774</v>
      </c>
      <c r="AB418" s="14">
        <f t="shared" si="250"/>
        <v>3676.2424048881599</v>
      </c>
      <c r="AC418" s="14">
        <f t="shared" si="251"/>
        <v>2605.9007178244724</v>
      </c>
      <c r="AD418" s="33">
        <f t="shared" si="252"/>
        <v>0.9205755047110733</v>
      </c>
      <c r="AE418" s="33">
        <f t="shared" si="253"/>
        <v>0.02</v>
      </c>
      <c r="AF418" s="51">
        <f t="shared" si="254"/>
        <v>4.5494841442821246</v>
      </c>
      <c r="AG418" s="51">
        <f>APPLICANTS_PER_YEAR*($H418/Segments!$AH$2)*AE418</f>
        <v>4.8000000000000001E-2</v>
      </c>
      <c r="AH418" s="51">
        <f t="shared" si="255"/>
        <v>4.5974841442821246</v>
      </c>
      <c r="AI418" s="14">
        <f t="shared" si="256"/>
        <v>2674.7449769168338</v>
      </c>
      <c r="AJ418" s="44">
        <f t="shared" si="257"/>
        <v>12297.097621373401</v>
      </c>
      <c r="AK418" s="44">
        <f t="shared" si="258"/>
        <v>29000.604248924352</v>
      </c>
      <c r="AL418" s="44">
        <f t="shared" si="259"/>
        <v>2432.7569101672298</v>
      </c>
      <c r="AM418" s="14">
        <f t="shared" si="260"/>
        <v>2827.8781710799085</v>
      </c>
      <c r="AN418" s="14">
        <f t="shared" si="261"/>
        <v>5801.0419858695332</v>
      </c>
      <c r="AO418" s="14">
        <f t="shared" si="262"/>
        <v>9474.6131829017486</v>
      </c>
      <c r="AP418" s="14">
        <f t="shared" si="263"/>
        <v>3786.2799204634011</v>
      </c>
      <c r="AQ418" s="14">
        <f t="shared" si="264"/>
        <v>3534.8477138498856</v>
      </c>
      <c r="AR418" s="33">
        <f t="shared" si="265"/>
        <v>0.8082030663204034</v>
      </c>
      <c r="AS418" s="33">
        <f t="shared" si="266"/>
        <v>0.02</v>
      </c>
      <c r="AT418" s="51">
        <f t="shared" si="267"/>
        <v>3.1649232077106997</v>
      </c>
      <c r="AU418" s="51">
        <f>APPLICANTS_PER_YEAR*($H418/Segments!$AH$2)*AS418</f>
        <v>4.8000000000000001E-2</v>
      </c>
      <c r="AV418" s="51">
        <f t="shared" si="268"/>
        <v>3.2129232077106997</v>
      </c>
      <c r="AW418" s="14">
        <f t="shared" si="269"/>
        <v>3623.5858268026809</v>
      </c>
      <c r="AX418" s="44">
        <f t="shared" si="270"/>
        <v>11642.302998065898</v>
      </c>
      <c r="AY418" s="44">
        <f t="shared" si="271"/>
        <v>20874.898716340915</v>
      </c>
      <c r="AZ418" s="44">
        <f t="shared" si="272"/>
        <v>2281.7710809359437</v>
      </c>
    </row>
    <row r="419" spans="1:52" ht="15" customHeight="1" x14ac:dyDescent="0.35">
      <c r="A419" s="59" t="str">
        <f>Segments!$A$399</f>
        <v>Greek</v>
      </c>
      <c r="B419" s="59" t="str">
        <f>Segments!$B$399</f>
        <v>Off 6+mi</v>
      </c>
      <c r="C419" s="59" t="str">
        <f>Segments!$C$399</f>
        <v>No</v>
      </c>
      <c r="D419" s="59" t="str">
        <f>Segments!$D$399</f>
        <v>2.0-3.0</v>
      </c>
      <c r="E419" s="59" t="str">
        <f>Segments!$E$399</f>
        <v>Grad student</v>
      </c>
      <c r="F419" s="59">
        <f>Segments!$F$399</f>
        <v>3</v>
      </c>
      <c r="G419" s="59" t="str">
        <f>Segments!$G$399</f>
        <v>Grad</v>
      </c>
      <c r="H419" s="60">
        <f>Segments!$H$399</f>
        <v>6</v>
      </c>
      <c r="I419" s="26">
        <f>Segments!$Y$399</f>
        <v>6510.6863499312985</v>
      </c>
      <c r="J419" s="29">
        <v>4</v>
      </c>
      <c r="K419" s="14">
        <f t="shared" si="234"/>
        <v>1426.2297754450396</v>
      </c>
      <c r="L419" s="14">
        <f t="shared" si="235"/>
        <v>6510.6863499312985</v>
      </c>
      <c r="M419" s="14">
        <f t="shared" si="236"/>
        <v>10628.550242493449</v>
      </c>
      <c r="N419" s="14">
        <f t="shared" si="237"/>
        <v>3893.4245627285186</v>
      </c>
      <c r="O419" s="14">
        <f t="shared" si="238"/>
        <v>1782.7872193062994</v>
      </c>
      <c r="P419" s="33">
        <f t="shared" si="239"/>
        <v>0.95</v>
      </c>
      <c r="Q419" s="33">
        <f t="shared" si="240"/>
        <v>0.02</v>
      </c>
      <c r="R419" s="51">
        <f t="shared" si="241"/>
        <v>2.8499999999999996</v>
      </c>
      <c r="S419" s="51">
        <f>APPLICANTS_PER_YEAR*($H419/Segments!$AH$2)*Q419</f>
        <v>0.14399999999999999</v>
      </c>
      <c r="T419" s="51">
        <f t="shared" si="242"/>
        <v>2.9939999999999998</v>
      </c>
      <c r="U419" s="14">
        <f t="shared" si="243"/>
        <v>2208.2347394595895</v>
      </c>
      <c r="V419" s="44">
        <f t="shared" si="244"/>
        <v>6611.4548099420099</v>
      </c>
      <c r="W419" s="44">
        <f t="shared" si="245"/>
        <v>21832.154323497623</v>
      </c>
      <c r="X419" s="44">
        <f t="shared" si="246"/>
        <v>1366.6128523012067</v>
      </c>
      <c r="Y419" s="14">
        <f t="shared" si="247"/>
        <v>2208.2347394595895</v>
      </c>
      <c r="Z419" s="14">
        <f t="shared" si="248"/>
        <v>6706.0069404292381</v>
      </c>
      <c r="AA419" s="14">
        <f t="shared" si="249"/>
        <v>10946.156749768254</v>
      </c>
      <c r="AB419" s="14">
        <f t="shared" si="250"/>
        <v>4009.9983446012075</v>
      </c>
      <c r="AC419" s="14">
        <f t="shared" si="251"/>
        <v>2760.2934243244868</v>
      </c>
      <c r="AD419" s="33">
        <f t="shared" si="252"/>
        <v>0.930823620470971</v>
      </c>
      <c r="AE419" s="33">
        <f t="shared" si="253"/>
        <v>0.02</v>
      </c>
      <c r="AF419" s="51">
        <f t="shared" si="254"/>
        <v>1.3934429598450435</v>
      </c>
      <c r="AG419" s="51">
        <f>APPLICANTS_PER_YEAR*($H419/Segments!$AH$2)*AE419</f>
        <v>0.14399999999999999</v>
      </c>
      <c r="AH419" s="51">
        <f t="shared" si="255"/>
        <v>1.5374429598450434</v>
      </c>
      <c r="AI419" s="14">
        <f t="shared" si="256"/>
        <v>3526.9978482614297</v>
      </c>
      <c r="AJ419" s="44">
        <f t="shared" si="257"/>
        <v>5422.5580111981517</v>
      </c>
      <c r="AK419" s="44">
        <f t="shared" si="258"/>
        <v>11547.315538343124</v>
      </c>
      <c r="AL419" s="44">
        <f t="shared" si="259"/>
        <v>1114.3809533321835</v>
      </c>
      <c r="AM419" s="14">
        <f t="shared" si="260"/>
        <v>3526.9978482614297</v>
      </c>
      <c r="AN419" s="14">
        <f t="shared" si="261"/>
        <v>6907.1871486421142</v>
      </c>
      <c r="AO419" s="14">
        <f t="shared" si="262"/>
        <v>11273.291452261301</v>
      </c>
      <c r="AP419" s="14">
        <f t="shared" si="263"/>
        <v>4130.0693270473157</v>
      </c>
      <c r="AQ419" s="14">
        <f t="shared" si="264"/>
        <v>4408.7473103267876</v>
      </c>
      <c r="AR419" s="33">
        <f t="shared" si="265"/>
        <v>0.74126231169360224</v>
      </c>
      <c r="AS419" s="33">
        <f t="shared" si="266"/>
        <v>0.02</v>
      </c>
      <c r="AT419" s="51">
        <f t="shared" si="267"/>
        <v>0.56982426125589547</v>
      </c>
      <c r="AU419" s="51">
        <f>APPLICANTS_PER_YEAR*($H419/Segments!$AH$2)*AS419</f>
        <v>0.14399999999999999</v>
      </c>
      <c r="AV419" s="51">
        <f t="shared" si="268"/>
        <v>0.71382426125589549</v>
      </c>
      <c r="AW419" s="14">
        <f t="shared" si="269"/>
        <v>5793.5340289785499</v>
      </c>
      <c r="AX419" s="44">
        <f t="shared" si="270"/>
        <v>4135.565148296505</v>
      </c>
      <c r="AY419" s="44">
        <f t="shared" si="271"/>
        <v>5522.1798953839534</v>
      </c>
      <c r="AZ419" s="44">
        <f t="shared" si="272"/>
        <v>856.31568717255436</v>
      </c>
    </row>
    <row r="420" spans="1:52" ht="15" customHeight="1" x14ac:dyDescent="0.35">
      <c r="A420" s="61" t="str">
        <f>Segments!$A$400</f>
        <v>Greek</v>
      </c>
      <c r="B420" s="61" t="str">
        <f>Segments!$B$400</f>
        <v>Off 6+mi</v>
      </c>
      <c r="C420" s="61" t="str">
        <f>Segments!$C$400</f>
        <v>No</v>
      </c>
      <c r="D420" s="61" t="str">
        <f>Segments!$D$400</f>
        <v>3.0+</v>
      </c>
      <c r="E420" s="61" t="str">
        <f>Segments!$E$400</f>
        <v>Freshman</v>
      </c>
      <c r="F420" s="61">
        <f>Segments!$F$400</f>
        <v>1</v>
      </c>
      <c r="G420" s="61" t="str">
        <f>Segments!$G$400</f>
        <v>Base</v>
      </c>
      <c r="H420" s="62">
        <f>Segments!$H$400</f>
        <v>3</v>
      </c>
      <c r="I420" s="63">
        <f>Segments!$Y$400</f>
        <v>4333.7028938134563</v>
      </c>
      <c r="J420" s="42">
        <v>0</v>
      </c>
      <c r="K420" s="40">
        <f t="shared" si="234"/>
        <v>7088.6054259744042</v>
      </c>
      <c r="L420" s="40">
        <f t="shared" si="235"/>
        <v>4333.7028938134563</v>
      </c>
      <c r="M420" s="40">
        <f t="shared" si="236"/>
        <v>7088.6054259744042</v>
      </c>
      <c r="N420" s="40">
        <f t="shared" si="237"/>
        <v>3179.6194937297078</v>
      </c>
      <c r="O420" s="40">
        <f t="shared" si="238"/>
        <v>7088.6054259744042</v>
      </c>
      <c r="P420" s="41">
        <f t="shared" si="239"/>
        <v>0.3</v>
      </c>
      <c r="Q420" s="41">
        <f t="shared" si="240"/>
        <v>0.02</v>
      </c>
      <c r="R420" s="64">
        <f t="shared" si="241"/>
        <v>0</v>
      </c>
      <c r="S420" s="64">
        <f>APPLICANTS_PER_YEAR*($H420/Segments!$AH$2)*Q420</f>
        <v>7.1999999999999995E-2</v>
      </c>
      <c r="T420" s="64">
        <f t="shared" si="242"/>
        <v>7.1999999999999995E-2</v>
      </c>
      <c r="U420" s="40">
        <f t="shared" si="243"/>
        <v>7088.6054259744042</v>
      </c>
      <c r="V420" s="65">
        <f t="shared" si="244"/>
        <v>510.37959067015709</v>
      </c>
      <c r="W420" s="65">
        <f t="shared" si="245"/>
        <v>349.46980135711715</v>
      </c>
      <c r="X420" s="65">
        <f t="shared" si="246"/>
        <v>117.56502831011518</v>
      </c>
      <c r="Y420" s="40">
        <f t="shared" si="247"/>
        <v>7300.0135887536362</v>
      </c>
      <c r="Z420" s="40">
        <f t="shared" si="248"/>
        <v>4463.7139806278601</v>
      </c>
      <c r="AA420" s="40">
        <f t="shared" si="249"/>
        <v>7300.0135887536362</v>
      </c>
      <c r="AB420" s="40">
        <f t="shared" si="250"/>
        <v>3274.7277205405721</v>
      </c>
      <c r="AC420" s="40">
        <f t="shared" si="251"/>
        <v>7300.0135887536362</v>
      </c>
      <c r="AD420" s="41">
        <f t="shared" si="252"/>
        <v>0.3</v>
      </c>
      <c r="AE420" s="41">
        <f t="shared" si="253"/>
        <v>0.02</v>
      </c>
      <c r="AF420" s="64">
        <f t="shared" si="254"/>
        <v>0</v>
      </c>
      <c r="AG420" s="64">
        <f>APPLICANTS_PER_YEAR*($H420/Segments!$AH$2)*AE420</f>
        <v>7.1999999999999995E-2</v>
      </c>
      <c r="AH420" s="64">
        <f t="shared" si="255"/>
        <v>7.1999999999999995E-2</v>
      </c>
      <c r="AI420" s="40">
        <f t="shared" si="256"/>
        <v>7300.0135887536353</v>
      </c>
      <c r="AJ420" s="65">
        <f t="shared" si="257"/>
        <v>525.60097839026173</v>
      </c>
      <c r="AK420" s="65">
        <f t="shared" si="258"/>
        <v>359.95389539783065</v>
      </c>
      <c r="AL420" s="65">
        <f t="shared" si="259"/>
        <v>120.97461915941862</v>
      </c>
      <c r="AM420" s="40">
        <f t="shared" si="260"/>
        <v>7517.7639964162445</v>
      </c>
      <c r="AN420" s="40">
        <f t="shared" si="261"/>
        <v>4597.6254000466952</v>
      </c>
      <c r="AO420" s="40">
        <f t="shared" si="262"/>
        <v>7517.7639964162445</v>
      </c>
      <c r="AP420" s="40">
        <f t="shared" si="263"/>
        <v>3372.6891705011612</v>
      </c>
      <c r="AQ420" s="40">
        <f t="shared" si="264"/>
        <v>7517.7639964162445</v>
      </c>
      <c r="AR420" s="41">
        <f t="shared" si="265"/>
        <v>0.3</v>
      </c>
      <c r="AS420" s="41">
        <f t="shared" si="266"/>
        <v>0.02</v>
      </c>
      <c r="AT420" s="64">
        <f t="shared" si="267"/>
        <v>0</v>
      </c>
      <c r="AU420" s="64">
        <f>APPLICANTS_PER_YEAR*($H420/Segments!$AH$2)*AS420</f>
        <v>7.1999999999999995E-2</v>
      </c>
      <c r="AV420" s="64">
        <f t="shared" si="268"/>
        <v>7.1999999999999995E-2</v>
      </c>
      <c r="AW420" s="40">
        <f t="shared" si="269"/>
        <v>7517.7639964162436</v>
      </c>
      <c r="AX420" s="65">
        <f t="shared" si="270"/>
        <v>541.27900774196951</v>
      </c>
      <c r="AY420" s="65">
        <f t="shared" si="271"/>
        <v>370.75251225976552</v>
      </c>
      <c r="AZ420" s="65">
        <f t="shared" si="272"/>
        <v>124.48649773420117</v>
      </c>
    </row>
    <row r="421" spans="1:52" ht="15" customHeight="1" x14ac:dyDescent="0.35">
      <c r="A421" s="61" t="str">
        <f>Segments!$A$401</f>
        <v>Greek</v>
      </c>
      <c r="B421" s="61" t="str">
        <f>Segments!$B$401</f>
        <v>Off 6+mi</v>
      </c>
      <c r="C421" s="61" t="str">
        <f>Segments!$C$401</f>
        <v>No</v>
      </c>
      <c r="D421" s="61" t="str">
        <f>Segments!$D$401</f>
        <v>3.0+</v>
      </c>
      <c r="E421" s="61" t="str">
        <f>Segments!$E$401</f>
        <v>Sophomore</v>
      </c>
      <c r="F421" s="61">
        <f>Segments!$F$401</f>
        <v>1</v>
      </c>
      <c r="G421" s="61" t="str">
        <f>Segments!$G$401</f>
        <v>Sophomore</v>
      </c>
      <c r="H421" s="62">
        <f>Segments!$H$401</f>
        <v>1</v>
      </c>
      <c r="I421" s="63">
        <f>Segments!$Y$401</f>
        <v>4289.612852881115</v>
      </c>
      <c r="J421" s="42">
        <v>1</v>
      </c>
      <c r="K421" s="40">
        <f t="shared" si="234"/>
        <v>1426.2297754450396</v>
      </c>
      <c r="L421" s="40">
        <f t="shared" si="235"/>
        <v>4289.612852881115</v>
      </c>
      <c r="M421" s="40">
        <f t="shared" si="236"/>
        <v>7016.9115821741943</v>
      </c>
      <c r="N421" s="40">
        <f t="shared" si="237"/>
        <v>3163.4993646533262</v>
      </c>
      <c r="O421" s="40">
        <f t="shared" si="238"/>
        <v>1782.7872193062994</v>
      </c>
      <c r="P421" s="41">
        <f t="shared" si="239"/>
        <v>0.95</v>
      </c>
      <c r="Q421" s="41">
        <f t="shared" si="240"/>
        <v>0.02</v>
      </c>
      <c r="R421" s="64">
        <f t="shared" si="241"/>
        <v>2.8499999999999996</v>
      </c>
      <c r="S421" s="64">
        <f>APPLICANTS_PER_YEAR*($H421/Segments!$AH$2)*Q421</f>
        <v>2.4E-2</v>
      </c>
      <c r="T421" s="64">
        <f t="shared" si="242"/>
        <v>2.8739999999999997</v>
      </c>
      <c r="U421" s="40">
        <f t="shared" si="243"/>
        <v>1826.4959822530043</v>
      </c>
      <c r="V421" s="65">
        <f t="shared" si="244"/>
        <v>5249.349452995134</v>
      </c>
      <c r="W421" s="65">
        <f t="shared" si="245"/>
        <v>13807.749019881963</v>
      </c>
      <c r="X421" s="65">
        <f t="shared" si="246"/>
        <v>1056.1012523451066</v>
      </c>
      <c r="Y421" s="40">
        <f t="shared" si="247"/>
        <v>7088.6054259744042</v>
      </c>
      <c r="Z421" s="40">
        <f t="shared" si="248"/>
        <v>4418.3012384675485</v>
      </c>
      <c r="AA421" s="40">
        <f t="shared" si="249"/>
        <v>7226.1689296394197</v>
      </c>
      <c r="AB421" s="40">
        <f t="shared" si="250"/>
        <v>3258.1225588585485</v>
      </c>
      <c r="AC421" s="40">
        <f t="shared" si="251"/>
        <v>7226.1689296394197</v>
      </c>
      <c r="AD421" s="41">
        <f t="shared" si="252"/>
        <v>0.3</v>
      </c>
      <c r="AE421" s="41">
        <f t="shared" si="253"/>
        <v>0.02</v>
      </c>
      <c r="AF421" s="64">
        <f t="shared" si="254"/>
        <v>2.1599999999999998E-2</v>
      </c>
      <c r="AG421" s="64">
        <f>APPLICANTS_PER_YEAR*($H421/Segments!$AH$2)*AE421</f>
        <v>2.4E-2</v>
      </c>
      <c r="AH421" s="64">
        <f t="shared" si="255"/>
        <v>4.5600000000000002E-2</v>
      </c>
      <c r="AI421" s="40">
        <f t="shared" si="256"/>
        <v>7226.1689296394188</v>
      </c>
      <c r="AJ421" s="65">
        <f t="shared" si="257"/>
        <v>329.5133031915575</v>
      </c>
      <c r="AK421" s="65">
        <f t="shared" si="258"/>
        <v>225.65148085101467</v>
      </c>
      <c r="AL421" s="65">
        <f t="shared" si="259"/>
        <v>69.859996204101492</v>
      </c>
      <c r="AM421" s="40">
        <f t="shared" si="260"/>
        <v>7300.0135887536353</v>
      </c>
      <c r="AN421" s="40">
        <f t="shared" si="261"/>
        <v>4550.8502756215748</v>
      </c>
      <c r="AO421" s="40">
        <f t="shared" si="262"/>
        <v>7441.7039975286025</v>
      </c>
      <c r="AP421" s="40">
        <f t="shared" si="263"/>
        <v>3355.5844248718117</v>
      </c>
      <c r="AQ421" s="40">
        <f t="shared" si="264"/>
        <v>7441.7039975286025</v>
      </c>
      <c r="AR421" s="41">
        <f t="shared" si="265"/>
        <v>0.3</v>
      </c>
      <c r="AS421" s="41">
        <f t="shared" si="266"/>
        <v>0.02</v>
      </c>
      <c r="AT421" s="64">
        <f t="shared" si="267"/>
        <v>2.1599999999999998E-2</v>
      </c>
      <c r="AU421" s="64">
        <f>APPLICANTS_PER_YEAR*($H421/Segments!$AH$2)*AS421</f>
        <v>2.4E-2</v>
      </c>
      <c r="AV421" s="64">
        <f t="shared" si="268"/>
        <v>4.5600000000000002E-2</v>
      </c>
      <c r="AW421" s="40">
        <f t="shared" si="269"/>
        <v>7441.7039975286016</v>
      </c>
      <c r="AX421" s="65">
        <f t="shared" si="270"/>
        <v>339.34170228730426</v>
      </c>
      <c r="AY421" s="65">
        <f t="shared" si="271"/>
        <v>232.42102527654509</v>
      </c>
      <c r="AZ421" s="65">
        <f t="shared" si="272"/>
        <v>71.898613090224529</v>
      </c>
    </row>
    <row r="422" spans="1:52" ht="15" customHeight="1" x14ac:dyDescent="0.35">
      <c r="A422" s="61" t="str">
        <f>Segments!$A$402</f>
        <v>Greek</v>
      </c>
      <c r="B422" s="61" t="str">
        <f>Segments!$B$402</f>
        <v>Off 6+mi</v>
      </c>
      <c r="C422" s="61" t="str">
        <f>Segments!$C$402</f>
        <v>No</v>
      </c>
      <c r="D422" s="61" t="str">
        <f>Segments!$D$402</f>
        <v>3.0+</v>
      </c>
      <c r="E422" s="61" t="str">
        <f>Segments!$E$402</f>
        <v>Junior</v>
      </c>
      <c r="F422" s="61">
        <f>Segments!$F$402</f>
        <v>2</v>
      </c>
      <c r="G422" s="61" t="str">
        <f>Segments!$G$402</f>
        <v>Base</v>
      </c>
      <c r="H422" s="62">
        <f>Segments!$H$402</f>
        <v>1</v>
      </c>
      <c r="I422" s="63">
        <f>Segments!$Y$402</f>
        <v>5127.9131209225052</v>
      </c>
      <c r="J422" s="42">
        <v>2</v>
      </c>
      <c r="K422" s="40">
        <f t="shared" si="234"/>
        <v>1426.2297754450396</v>
      </c>
      <c r="L422" s="40">
        <f t="shared" si="235"/>
        <v>5127.9131209225052</v>
      </c>
      <c r="M422" s="40">
        <f t="shared" si="236"/>
        <v>8380.0531716061942</v>
      </c>
      <c r="N422" s="40">
        <f t="shared" si="237"/>
        <v>3457.1493102204008</v>
      </c>
      <c r="O422" s="40">
        <f t="shared" si="238"/>
        <v>1782.7872193062994</v>
      </c>
      <c r="P422" s="41">
        <f t="shared" si="239"/>
        <v>0.95</v>
      </c>
      <c r="Q422" s="41">
        <f t="shared" si="240"/>
        <v>0.02</v>
      </c>
      <c r="R422" s="64">
        <f t="shared" si="241"/>
        <v>0.95</v>
      </c>
      <c r="S422" s="64">
        <f>APPLICANTS_PER_YEAR*($H422/Segments!$AH$2)*Q422</f>
        <v>2.4E-2</v>
      </c>
      <c r="T422" s="64">
        <f t="shared" si="242"/>
        <v>0.97399999999999998</v>
      </c>
      <c r="U422" s="40">
        <f t="shared" si="243"/>
        <v>1945.3481873301162</v>
      </c>
      <c r="V422" s="65">
        <f t="shared" si="244"/>
        <v>1894.769134459533</v>
      </c>
      <c r="W422" s="65">
        <f t="shared" si="245"/>
        <v>5593.9378653519425</v>
      </c>
      <c r="X422" s="65">
        <f t="shared" si="246"/>
        <v>385.23061107700096</v>
      </c>
      <c r="Y422" s="40">
        <f t="shared" si="247"/>
        <v>1826.4959822530043</v>
      </c>
      <c r="Z422" s="40">
        <f t="shared" si="248"/>
        <v>5281.7505145501809</v>
      </c>
      <c r="AA422" s="40">
        <f t="shared" si="249"/>
        <v>8630.2047667543811</v>
      </c>
      <c r="AB422" s="40">
        <f t="shared" si="250"/>
        <v>3560.6059395457951</v>
      </c>
      <c r="AC422" s="40">
        <f t="shared" si="251"/>
        <v>2283.1199778162554</v>
      </c>
      <c r="AD422" s="41">
        <f t="shared" si="252"/>
        <v>0.95</v>
      </c>
      <c r="AE422" s="41">
        <f t="shared" si="253"/>
        <v>0.02</v>
      </c>
      <c r="AF422" s="64">
        <f t="shared" si="254"/>
        <v>2.7302999999999997</v>
      </c>
      <c r="AG422" s="64">
        <f>APPLICANTS_PER_YEAR*($H422/Segments!$AH$2)*AE422</f>
        <v>2.4E-2</v>
      </c>
      <c r="AH422" s="64">
        <f t="shared" si="255"/>
        <v>2.7542999999999997</v>
      </c>
      <c r="AI422" s="40">
        <f t="shared" si="256"/>
        <v>2338.4262389114574</v>
      </c>
      <c r="AJ422" s="65">
        <f t="shared" si="257"/>
        <v>6440.7273898338262</v>
      </c>
      <c r="AK422" s="65">
        <f t="shared" si="258"/>
        <v>16293.228495292631</v>
      </c>
      <c r="AL422" s="65">
        <f t="shared" si="259"/>
        <v>1280.2328486826668</v>
      </c>
      <c r="AM422" s="40">
        <f t="shared" si="260"/>
        <v>7226.1689296394188</v>
      </c>
      <c r="AN422" s="40">
        <f t="shared" si="261"/>
        <v>5440.2030299866856</v>
      </c>
      <c r="AO422" s="40">
        <f t="shared" si="262"/>
        <v>8887.8609097570115</v>
      </c>
      <c r="AP422" s="40">
        <f t="shared" si="263"/>
        <v>3667.1662493487552</v>
      </c>
      <c r="AQ422" s="40">
        <f t="shared" si="264"/>
        <v>8887.8609097570115</v>
      </c>
      <c r="AR422" s="41">
        <f t="shared" si="265"/>
        <v>0.3</v>
      </c>
      <c r="AS422" s="41">
        <f t="shared" si="266"/>
        <v>0.02</v>
      </c>
      <c r="AT422" s="64">
        <f t="shared" si="267"/>
        <v>1.3679999999999999E-2</v>
      </c>
      <c r="AU422" s="64">
        <f>APPLICANTS_PER_YEAR*($H422/Segments!$AH$2)*AS422</f>
        <v>2.4E-2</v>
      </c>
      <c r="AV422" s="64">
        <f t="shared" si="268"/>
        <v>3.7679999999999998E-2</v>
      </c>
      <c r="AW422" s="40">
        <f t="shared" si="269"/>
        <v>8887.8609097570115</v>
      </c>
      <c r="AX422" s="65">
        <f t="shared" si="270"/>
        <v>334.89459907964419</v>
      </c>
      <c r="AY422" s="65">
        <f t="shared" si="271"/>
        <v>229.58527219028613</v>
      </c>
      <c r="AZ422" s="65">
        <f t="shared" si="272"/>
        <v>72.114482390248639</v>
      </c>
    </row>
    <row r="423" spans="1:52" ht="15" customHeight="1" x14ac:dyDescent="0.35">
      <c r="A423" s="61" t="str">
        <f>Segments!$A$403</f>
        <v>Greek</v>
      </c>
      <c r="B423" s="61" t="str">
        <f>Segments!$B$403</f>
        <v>Off 6+mi</v>
      </c>
      <c r="C423" s="61" t="str">
        <f>Segments!$C$403</f>
        <v>No</v>
      </c>
      <c r="D423" s="61" t="str">
        <f>Segments!$D$403</f>
        <v>3.0+</v>
      </c>
      <c r="E423" s="61" t="str">
        <f>Segments!$E$403</f>
        <v>Senior</v>
      </c>
      <c r="F423" s="61">
        <f>Segments!$F$403</f>
        <v>3</v>
      </c>
      <c r="G423" s="61" t="str">
        <f>Segments!$G$403</f>
        <v>Base</v>
      </c>
      <c r="H423" s="62">
        <f>Segments!$H$403</f>
        <v>1</v>
      </c>
      <c r="I423" s="63">
        <f>Segments!$Y$403</f>
        <v>4792.9960718935063</v>
      </c>
      <c r="J423" s="42">
        <v>3</v>
      </c>
      <c r="K423" s="40">
        <f t="shared" si="234"/>
        <v>1426.2297754450396</v>
      </c>
      <c r="L423" s="40">
        <f t="shared" si="235"/>
        <v>4792.9960718935063</v>
      </c>
      <c r="M423" s="40">
        <f t="shared" si="236"/>
        <v>7835.451939868638</v>
      </c>
      <c r="N423" s="40">
        <f t="shared" si="237"/>
        <v>3342.9260926184484</v>
      </c>
      <c r="O423" s="40">
        <f t="shared" si="238"/>
        <v>1782.7872193062994</v>
      </c>
      <c r="P423" s="41">
        <f t="shared" si="239"/>
        <v>0.95</v>
      </c>
      <c r="Q423" s="41">
        <f t="shared" si="240"/>
        <v>0.02</v>
      </c>
      <c r="R423" s="64">
        <f t="shared" si="241"/>
        <v>0.95</v>
      </c>
      <c r="S423" s="64">
        <f>APPLICANTS_PER_YEAR*($H423/Segments!$AH$2)*Q423</f>
        <v>2.4E-2</v>
      </c>
      <c r="T423" s="64">
        <f t="shared" si="242"/>
        <v>0.97399999999999998</v>
      </c>
      <c r="U423" s="40">
        <f t="shared" si="243"/>
        <v>1931.9288551312441</v>
      </c>
      <c r="V423" s="65">
        <f t="shared" si="244"/>
        <v>1881.6987048978317</v>
      </c>
      <c r="W423" s="65">
        <f t="shared" si="245"/>
        <v>5228.583554907188</v>
      </c>
      <c r="X423" s="65">
        <f t="shared" si="246"/>
        <v>382.30283485517987</v>
      </c>
      <c r="Y423" s="40">
        <f t="shared" si="247"/>
        <v>1945.3481873301162</v>
      </c>
      <c r="Z423" s="40">
        <f t="shared" si="248"/>
        <v>4936.7859540503114</v>
      </c>
      <c r="AA423" s="40">
        <f t="shared" si="249"/>
        <v>8069.2654980646976</v>
      </c>
      <c r="AB423" s="40">
        <f t="shared" si="250"/>
        <v>3442.9472143630887</v>
      </c>
      <c r="AC423" s="40">
        <f t="shared" si="251"/>
        <v>2431.6852341626454</v>
      </c>
      <c r="AD423" s="41">
        <f t="shared" si="252"/>
        <v>0.92185993093093588</v>
      </c>
      <c r="AE423" s="41">
        <f t="shared" si="253"/>
        <v>0.02</v>
      </c>
      <c r="AF423" s="64">
        <f t="shared" si="254"/>
        <v>0.89789157272673148</v>
      </c>
      <c r="AG423" s="64">
        <f>APPLICANTS_PER_YEAR*($H423/Segments!$AH$2)*AE423</f>
        <v>2.4E-2</v>
      </c>
      <c r="AH423" s="64">
        <f t="shared" si="255"/>
        <v>0.9218915727267315</v>
      </c>
      <c r="AI423" s="40">
        <f t="shared" si="256"/>
        <v>2578.4507870068473</v>
      </c>
      <c r="AJ423" s="65">
        <f t="shared" si="257"/>
        <v>2377.0520512322209</v>
      </c>
      <c r="AK423" s="65">
        <f t="shared" si="258"/>
        <v>5097.3231314820414</v>
      </c>
      <c r="AL423" s="65">
        <f t="shared" si="259"/>
        <v>475.0788521557987</v>
      </c>
      <c r="AM423" s="40">
        <f t="shared" si="260"/>
        <v>2338.4262389114574</v>
      </c>
      <c r="AN423" s="40">
        <f t="shared" si="261"/>
        <v>5084.8895326718202</v>
      </c>
      <c r="AO423" s="40">
        <f t="shared" si="262"/>
        <v>8310.0934630066367</v>
      </c>
      <c r="AP423" s="40">
        <f t="shared" si="263"/>
        <v>3545.9689494060472</v>
      </c>
      <c r="AQ423" s="40">
        <f t="shared" si="264"/>
        <v>2923.0327986393218</v>
      </c>
      <c r="AR423" s="41">
        <f t="shared" si="265"/>
        <v>0.86283722582667677</v>
      </c>
      <c r="AS423" s="41">
        <f t="shared" si="266"/>
        <v>0.02</v>
      </c>
      <c r="AT423" s="64">
        <f t="shared" si="267"/>
        <v>2.3765125710944157</v>
      </c>
      <c r="AU423" s="64">
        <f>APPLICANTS_PER_YEAR*($H423/Segments!$AH$2)*AS423</f>
        <v>2.4E-2</v>
      </c>
      <c r="AV423" s="64">
        <f t="shared" si="268"/>
        <v>2.4005125710944157</v>
      </c>
      <c r="AW423" s="40">
        <f t="shared" si="269"/>
        <v>2976.8919025247351</v>
      </c>
      <c r="AX423" s="65">
        <f t="shared" si="270"/>
        <v>7146.066434799799</v>
      </c>
      <c r="AY423" s="65">
        <f t="shared" si="271"/>
        <v>13671.102195301728</v>
      </c>
      <c r="AZ423" s="65">
        <f t="shared" si="272"/>
        <v>1406.1972861079757</v>
      </c>
    </row>
    <row r="424" spans="1:52" ht="15" customHeight="1" x14ac:dyDescent="0.35">
      <c r="A424" s="61" t="str">
        <f>Segments!$A$404</f>
        <v>Greek</v>
      </c>
      <c r="B424" s="61" t="str">
        <f>Segments!$B$404</f>
        <v>Off 6+mi</v>
      </c>
      <c r="C424" s="61" t="str">
        <f>Segments!$C$404</f>
        <v>No</v>
      </c>
      <c r="D424" s="61" t="str">
        <f>Segments!$D$404</f>
        <v>3.0+</v>
      </c>
      <c r="E424" s="61" t="str">
        <f>Segments!$E$404</f>
        <v>Grad student</v>
      </c>
      <c r="F424" s="61">
        <f>Segments!$F$404</f>
        <v>3</v>
      </c>
      <c r="G424" s="61" t="str">
        <f>Segments!$G$404</f>
        <v>Grad</v>
      </c>
      <c r="H424" s="62">
        <f>Segments!$H$404</f>
        <v>0</v>
      </c>
      <c r="I424" s="63">
        <f>Segments!$Y$404</f>
        <v>5706.926609377505</v>
      </c>
      <c r="J424" s="42">
        <v>4</v>
      </c>
      <c r="K424" s="40">
        <f t="shared" si="234"/>
        <v>1426.2297754450396</v>
      </c>
      <c r="L424" s="40">
        <f t="shared" si="235"/>
        <v>5706.926609377505</v>
      </c>
      <c r="M424" s="40">
        <f t="shared" si="236"/>
        <v>9321.5742435237644</v>
      </c>
      <c r="N424" s="40">
        <f t="shared" si="237"/>
        <v>3646.1907163689566</v>
      </c>
      <c r="O424" s="40">
        <f t="shared" si="238"/>
        <v>1782.7872193062994</v>
      </c>
      <c r="P424" s="41">
        <f t="shared" si="239"/>
        <v>0.95</v>
      </c>
      <c r="Q424" s="41">
        <f t="shared" si="240"/>
        <v>0.02</v>
      </c>
      <c r="R424" s="64">
        <f t="shared" si="241"/>
        <v>0</v>
      </c>
      <c r="S424" s="64">
        <f>APPLICANTS_PER_YEAR*($H424/Segments!$AH$2)*Q424</f>
        <v>0</v>
      </c>
      <c r="T424" s="64">
        <f t="shared" si="242"/>
        <v>0</v>
      </c>
      <c r="U424" s="40">
        <f t="shared" si="243"/>
        <v>9321.5742435237644</v>
      </c>
      <c r="V424" s="65">
        <f t="shared" si="244"/>
        <v>0</v>
      </c>
      <c r="W424" s="65">
        <f t="shared" si="245"/>
        <v>0</v>
      </c>
      <c r="X424" s="65">
        <f t="shared" si="246"/>
        <v>0</v>
      </c>
      <c r="Y424" s="40">
        <f t="shared" si="247"/>
        <v>9321.5742435237644</v>
      </c>
      <c r="Z424" s="40">
        <f t="shared" si="248"/>
        <v>5878.1344076588302</v>
      </c>
      <c r="AA424" s="40">
        <f t="shared" si="249"/>
        <v>9599.9714708294778</v>
      </c>
      <c r="AB424" s="40">
        <f t="shared" si="250"/>
        <v>3755.3319573339331</v>
      </c>
      <c r="AC424" s="40">
        <f t="shared" si="251"/>
        <v>9599.9714708294778</v>
      </c>
      <c r="AD424" s="41">
        <f t="shared" si="252"/>
        <v>0.3</v>
      </c>
      <c r="AE424" s="41">
        <f t="shared" si="253"/>
        <v>0.02</v>
      </c>
      <c r="AF424" s="64">
        <f t="shared" si="254"/>
        <v>0</v>
      </c>
      <c r="AG424" s="64">
        <f>APPLICANTS_PER_YEAR*($H424/Segments!$AH$2)*AE424</f>
        <v>0</v>
      </c>
      <c r="AH424" s="64">
        <f t="shared" si="255"/>
        <v>0</v>
      </c>
      <c r="AI424" s="40">
        <f t="shared" si="256"/>
        <v>9599.9714708294778</v>
      </c>
      <c r="AJ424" s="65">
        <f t="shared" si="257"/>
        <v>0</v>
      </c>
      <c r="AK424" s="65">
        <f t="shared" si="258"/>
        <v>0</v>
      </c>
      <c r="AL424" s="65">
        <f t="shared" si="259"/>
        <v>0</v>
      </c>
      <c r="AM424" s="40">
        <f t="shared" si="260"/>
        <v>9599.9714708294778</v>
      </c>
      <c r="AN424" s="40">
        <f t="shared" si="261"/>
        <v>6054.4784398885949</v>
      </c>
      <c r="AO424" s="40">
        <f t="shared" si="262"/>
        <v>9886.7206149543617</v>
      </c>
      <c r="AP424" s="40">
        <f t="shared" si="263"/>
        <v>3867.7474198424275</v>
      </c>
      <c r="AQ424" s="40">
        <f t="shared" si="264"/>
        <v>9886.7206149543617</v>
      </c>
      <c r="AR424" s="41">
        <f t="shared" si="265"/>
        <v>0.3</v>
      </c>
      <c r="AS424" s="41">
        <f t="shared" si="266"/>
        <v>0.02</v>
      </c>
      <c r="AT424" s="64">
        <f t="shared" si="267"/>
        <v>0</v>
      </c>
      <c r="AU424" s="64">
        <f>APPLICANTS_PER_YEAR*($H424/Segments!$AH$2)*AS424</f>
        <v>0</v>
      </c>
      <c r="AV424" s="64">
        <f t="shared" si="268"/>
        <v>0</v>
      </c>
      <c r="AW424" s="40">
        <f t="shared" si="269"/>
        <v>9886.7206149543617</v>
      </c>
      <c r="AX424" s="65">
        <f t="shared" si="270"/>
        <v>0</v>
      </c>
      <c r="AY424" s="65">
        <f t="shared" si="271"/>
        <v>0</v>
      </c>
      <c r="AZ424" s="65">
        <f t="shared" si="27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8B57"/>
  </sheetPr>
  <dimension ref="B2:F33"/>
  <sheetViews>
    <sheetView showGridLines="0" tabSelected="1" zoomScaleNormal="100" workbookViewId="0">
      <selection activeCell="B27" sqref="B27"/>
    </sheetView>
  </sheetViews>
  <sheetFormatPr defaultColWidth="8.6328125" defaultRowHeight="14.5" x14ac:dyDescent="0.35"/>
  <cols>
    <col min="1" max="1" width="3" customWidth="1"/>
    <col min="2" max="2" width="36" customWidth="1"/>
    <col min="3" max="5" width="20" customWidth="1"/>
    <col min="6" max="6" width="46" customWidth="1"/>
  </cols>
  <sheetData>
    <row r="2" spans="2:6" ht="18" x14ac:dyDescent="0.4">
      <c r="B2" s="1" t="s">
        <v>285</v>
      </c>
    </row>
    <row r="3" spans="2:6" x14ac:dyDescent="0.35">
      <c r="B3" s="2" t="s">
        <v>286</v>
      </c>
    </row>
    <row r="5" spans="2:6" x14ac:dyDescent="0.35">
      <c r="B5" s="6" t="s">
        <v>287</v>
      </c>
      <c r="C5" s="7"/>
      <c r="D5" s="7"/>
      <c r="E5" s="7"/>
      <c r="F5" s="7"/>
    </row>
    <row r="6" spans="2:6" ht="27.75" customHeight="1" x14ac:dyDescent="0.35">
      <c r="B6" s="17" t="s">
        <v>288</v>
      </c>
      <c r="C6" s="17" t="s">
        <v>289</v>
      </c>
      <c r="D6" s="17" t="s">
        <v>290</v>
      </c>
      <c r="E6" s="17" t="s">
        <v>291</v>
      </c>
      <c r="F6" s="17" t="s">
        <v>292</v>
      </c>
    </row>
    <row r="7" spans="2:6" x14ac:dyDescent="0.35">
      <c r="B7" s="3" t="s">
        <v>258</v>
      </c>
      <c r="C7" s="66">
        <f>SUM(ProFormaA!C11:E11)</f>
        <v>32089926.736697458</v>
      </c>
      <c r="D7" s="66">
        <f>SUM(ProFormaB!C11:E11)</f>
        <v>34493982.099485002</v>
      </c>
      <c r="E7" s="66">
        <f>SUM(ProFormaC!C11:E11)</f>
        <v>33865500.813664548</v>
      </c>
      <c r="F7" s="2" t="s">
        <v>293</v>
      </c>
    </row>
    <row r="8" spans="2:6" x14ac:dyDescent="0.35">
      <c r="B8" s="3" t="s">
        <v>259</v>
      </c>
      <c r="C8" s="66">
        <f>SUM(ProFormaA!C12:E12)</f>
        <v>33618891.276620924</v>
      </c>
      <c r="D8" s="66">
        <f>SUM(ProFormaB!C12:E12)</f>
        <v>24925993.241127305</v>
      </c>
      <c r="E8" s="66">
        <f>SUM(ProFormaC!C12:E12)</f>
        <v>25400073.974666521</v>
      </c>
      <c r="F8" s="2" t="s">
        <v>294</v>
      </c>
    </row>
    <row r="9" spans="2:6" x14ac:dyDescent="0.35">
      <c r="B9" s="3" t="s">
        <v>260</v>
      </c>
      <c r="C9" s="66">
        <f>SUM(ProFormaA!C13:E13)</f>
        <v>7158059.3560957341</v>
      </c>
      <c r="D9" s="66">
        <f>SUM(ProFormaB!C13:E13)</f>
        <v>8019242.1202386413</v>
      </c>
      <c r="E9" s="66">
        <f>SUM(ProFormaC!C13:E13)</f>
        <v>7925297.7228468247</v>
      </c>
      <c r="F9" s="2" t="s">
        <v>295</v>
      </c>
    </row>
    <row r="10" spans="2:6" x14ac:dyDescent="0.35">
      <c r="B10" s="3" t="s">
        <v>261</v>
      </c>
      <c r="C10" s="67">
        <f>SUM(ProFormaA!C14:E14)</f>
        <v>-8687023.8960192017</v>
      </c>
      <c r="D10" s="67">
        <f>SUM(ProFormaB!C14:E14)</f>
        <v>1548746.7381190555</v>
      </c>
      <c r="E10" s="67">
        <f>SUM(ProFormaC!C14:E14)</f>
        <v>540129.11615120387</v>
      </c>
      <c r="F10" s="2" t="s">
        <v>296</v>
      </c>
    </row>
    <row r="11" spans="2:6" x14ac:dyDescent="0.35">
      <c r="B11" s="82" t="s">
        <v>345</v>
      </c>
      <c r="C11" s="68">
        <f>(SUM(ProFormaA!C12:E12)+SUM(ProFormaA!C13:E13))/SUM(ProFormaA!C11:E11)</f>
        <v>1.2707087481781276</v>
      </c>
      <c r="D11" s="68">
        <f>(SUM(ProFormaB!C12:E12)+SUM(ProFormaB!C13:E13))/SUM(ProFormaB!C11:E11)</f>
        <v>0.95510095837435416</v>
      </c>
      <c r="E11" s="68">
        <f>(SUM(ProFormaC!C12:E12)+SUM(ProFormaC!C13:E13))/SUM(ProFormaC!C11:E11)</f>
        <v>0.98405075657604735</v>
      </c>
      <c r="F11" s="2" t="s">
        <v>297</v>
      </c>
    </row>
    <row r="12" spans="2:6" x14ac:dyDescent="0.35">
      <c r="B12" s="82" t="s">
        <v>316</v>
      </c>
      <c r="C12" s="69">
        <f>SUM(ProFormaA!C8:E8)</f>
        <v>21884.097788710489</v>
      </c>
      <c r="D12" s="69">
        <f>SUM(ProFormaB!C8:E8)</f>
        <v>33357.047036699456</v>
      </c>
      <c r="E12" s="69">
        <f>SUM(ProFormaC!C8:E8)</f>
        <v>34598.975318111872</v>
      </c>
      <c r="F12" s="2" t="s">
        <v>298</v>
      </c>
    </row>
    <row r="13" spans="2:6" x14ac:dyDescent="0.35">
      <c r="B13" s="82" t="s">
        <v>317</v>
      </c>
      <c r="C13" s="26">
        <f>SUM(ProFormaA!C14:E14)/SUM(ProFormaA!C8:E8)</f>
        <v>-396.95599882123724</v>
      </c>
      <c r="D13" s="26">
        <f>SUM(ProFormaB!C14:E14)/SUM(ProFormaB!C8:E8)</f>
        <v>46.429371773080597</v>
      </c>
      <c r="E13" s="26">
        <f>SUM(ProFormaC!C14:E14)/SUM(ProFormaC!C8:E8)</f>
        <v>15.611130421786134</v>
      </c>
      <c r="F13" s="2" t="s">
        <v>299</v>
      </c>
    </row>
    <row r="15" spans="2:6" x14ac:dyDescent="0.35">
      <c r="B15" s="83" t="s">
        <v>346</v>
      </c>
      <c r="C15" s="7"/>
      <c r="D15" s="7"/>
      <c r="E15" s="7"/>
      <c r="F15" s="7"/>
    </row>
    <row r="16" spans="2:6" ht="27.75" customHeight="1" x14ac:dyDescent="0.35">
      <c r="B16" s="17" t="s">
        <v>300</v>
      </c>
      <c r="C16" s="17" t="s">
        <v>289</v>
      </c>
      <c r="D16" s="17" t="s">
        <v>290</v>
      </c>
      <c r="E16" s="17" t="s">
        <v>291</v>
      </c>
    </row>
    <row r="17" spans="2:6" x14ac:dyDescent="0.35">
      <c r="B17" s="18" t="s">
        <v>251</v>
      </c>
      <c r="C17" s="70">
        <f>ProFormaA!C17</f>
        <v>1.1272936750233886</v>
      </c>
      <c r="D17" s="70">
        <f>ProFormaB!C17</f>
        <v>0.96956612717235136</v>
      </c>
      <c r="E17" s="70">
        <f>ProFormaC!C17</f>
        <v>1.0559576291238142</v>
      </c>
    </row>
    <row r="18" spans="2:6" x14ac:dyDescent="0.35">
      <c r="B18" s="18" t="s">
        <v>252</v>
      </c>
      <c r="C18" s="70">
        <f>ProFormaA!D17</f>
        <v>1.3051221837798015</v>
      </c>
      <c r="D18" s="70">
        <f>ProFormaB!D17</f>
        <v>0.97168385505848276</v>
      </c>
      <c r="E18" s="70">
        <f>ProFormaC!D17</f>
        <v>0.97542580731900796</v>
      </c>
    </row>
    <row r="19" spans="2:6" x14ac:dyDescent="0.35">
      <c r="B19" s="18" t="s">
        <v>253</v>
      </c>
      <c r="C19" s="70">
        <f>ProFormaA!E17</f>
        <v>1.4011656364901159</v>
      </c>
      <c r="D19" s="70">
        <f>ProFormaB!E17</f>
        <v>0.92225089733317245</v>
      </c>
      <c r="E19" s="70">
        <f>ProFormaC!E17</f>
        <v>0.92164643397304447</v>
      </c>
    </row>
    <row r="21" spans="2:6" x14ac:dyDescent="0.35">
      <c r="B21" s="6" t="s">
        <v>301</v>
      </c>
      <c r="C21" s="7"/>
      <c r="D21" s="7"/>
      <c r="E21" s="7"/>
      <c r="F21" s="7"/>
    </row>
    <row r="22" spans="2:6" ht="27.75" customHeight="1" x14ac:dyDescent="0.35">
      <c r="B22" s="17" t="s">
        <v>300</v>
      </c>
      <c r="C22" s="17" t="s">
        <v>289</v>
      </c>
      <c r="D22" s="17" t="s">
        <v>290</v>
      </c>
      <c r="E22" s="17" t="s">
        <v>291</v>
      </c>
    </row>
    <row r="23" spans="2:6" x14ac:dyDescent="0.35">
      <c r="B23" s="18" t="s">
        <v>251</v>
      </c>
      <c r="C23" s="70">
        <f>ProFormaA!C18</f>
        <v>0.17654516189534883</v>
      </c>
      <c r="D23" s="70">
        <f>ProFormaB!C18</f>
        <v>7.0310501639964301E-2</v>
      </c>
      <c r="E23" s="70">
        <f>ProFormaC!C18</f>
        <v>6.6184109115843492E-2</v>
      </c>
    </row>
    <row r="24" spans="2:6" x14ac:dyDescent="0.35">
      <c r="B24" s="18" t="s">
        <v>252</v>
      </c>
      <c r="C24" s="70">
        <f>ProFormaA!D18</f>
        <v>0.24486047478110129</v>
      </c>
      <c r="D24" s="70">
        <f>ProFormaB!D18</f>
        <v>4.5553887132974591E-2</v>
      </c>
      <c r="E24" s="70">
        <f>ProFormaC!D18</f>
        <v>4.4063627983978414E-2</v>
      </c>
    </row>
    <row r="25" spans="2:6" x14ac:dyDescent="0.35">
      <c r="B25" s="18" t="s">
        <v>253</v>
      </c>
      <c r="C25" s="70">
        <f>ProFormaA!E18</f>
        <v>0.28696251978167447</v>
      </c>
      <c r="D25" s="70">
        <f>ProFormaB!E18</f>
        <v>2.3692283686721195E-2</v>
      </c>
      <c r="E25" s="70">
        <f>ProFormaC!E18</f>
        <v>2.3296730583540835E-2</v>
      </c>
    </row>
    <row r="26" spans="2:6" ht="42" customHeight="1" x14ac:dyDescent="0.35">
      <c r="B26" s="94" t="s">
        <v>363</v>
      </c>
      <c r="C26" s="84"/>
      <c r="D26" s="84"/>
    </row>
    <row r="29" spans="2:6" x14ac:dyDescent="0.35">
      <c r="B29" s="6" t="s">
        <v>302</v>
      </c>
      <c r="C29" s="7"/>
      <c r="D29" s="7"/>
      <c r="E29" s="7"/>
      <c r="F29" s="7"/>
    </row>
    <row r="30" spans="2:6" ht="27.75" customHeight="1" x14ac:dyDescent="0.35">
      <c r="B30" s="17" t="s">
        <v>300</v>
      </c>
      <c r="C30" s="17" t="s">
        <v>289</v>
      </c>
      <c r="D30" s="17" t="s">
        <v>290</v>
      </c>
      <c r="E30" s="17" t="s">
        <v>291</v>
      </c>
    </row>
    <row r="31" spans="2:6" x14ac:dyDescent="0.35">
      <c r="B31" s="18" t="s">
        <v>251</v>
      </c>
      <c r="C31" s="69">
        <f>ProFormaA!C8</f>
        <v>8108.456174703746</v>
      </c>
      <c r="D31" s="69">
        <f>ProFormaB!C8</f>
        <v>10672.8484374367</v>
      </c>
      <c r="E31" s="69">
        <f>ProFormaC!C8</f>
        <v>11338.27043361751</v>
      </c>
    </row>
    <row r="32" spans="2:6" x14ac:dyDescent="0.35">
      <c r="B32" s="18" t="s">
        <v>252</v>
      </c>
      <c r="C32" s="69">
        <f>ProFormaA!D8</f>
        <v>7223.459226387301</v>
      </c>
      <c r="D32" s="69">
        <f>ProFormaB!D8</f>
        <v>11361.870680313192</v>
      </c>
      <c r="E32" s="69">
        <f>ProFormaC!D8</f>
        <v>11746.136173322635</v>
      </c>
    </row>
    <row r="33" spans="2:5" x14ac:dyDescent="0.35">
      <c r="B33" s="18" t="s">
        <v>253</v>
      </c>
      <c r="C33" s="69">
        <f>ProFormaA!E8</f>
        <v>6552.1823876194421</v>
      </c>
      <c r="D33" s="69">
        <f>ProFormaB!E8</f>
        <v>11322.32791894957</v>
      </c>
      <c r="E33" s="69">
        <f>ProFormaC!E8</f>
        <v>11514.568711171731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31</vt:i4>
      </vt:variant>
    </vt:vector>
  </HeadingPairs>
  <TitlesOfParts>
    <vt:vector size="42" baseType="lpstr">
      <vt:lpstr>README</vt:lpstr>
      <vt:lpstr>Assumptions</vt:lpstr>
      <vt:lpstr>ModelOutput</vt:lpstr>
      <vt:lpstr>RateBuildup</vt:lpstr>
      <vt:lpstr>QuoteCalc</vt:lpstr>
      <vt:lpstr>Segments</vt:lpstr>
      <vt:lpstr>Dislocation</vt:lpstr>
      <vt:lpstr>ProFormaA</vt:lpstr>
      <vt:lpstr>ProFormaB</vt:lpstr>
      <vt:lpstr>ProFormaC</vt:lpstr>
      <vt:lpstr>PlanCompare</vt:lpstr>
      <vt:lpstr>APPLICANTS_PER_YEAR</vt:lpstr>
      <vt:lpstr>BASE_CONVERSION</vt:lpstr>
      <vt:lpstr>BASE_RETENTION</vt:lpstr>
      <vt:lpstr>CAP_DOWN</vt:lpstr>
      <vt:lpstr>CAP_UP</vt:lpstr>
      <vt:lpstr>COMMISSION_NB</vt:lpstr>
      <vt:lpstr>COMMISSION_RN</vt:lpstr>
      <vt:lpstr>CONV_CEIL</vt:lpstr>
      <vt:lpstr>CONV_FLOOR</vt:lpstr>
      <vt:lpstr>CURRENT_FLAT</vt:lpstr>
      <vt:lpstr>ELAST_INCREASE</vt:lpstr>
      <vt:lpstr>ELAST_MARKET</vt:lpstr>
      <vt:lpstr>EXPECTED_NB_SHARE</vt:lpstr>
      <vt:lpstr>FIXED_BLENDED</vt:lpstr>
      <vt:lpstr>FIXED_PER_POLICY</vt:lpstr>
      <vt:lpstr>GRAD_CONTINUE</vt:lpstr>
      <vt:lpstr>GROSS_MULT</vt:lpstr>
      <vt:lpstr>LAE_RATIO</vt:lpstr>
      <vt:lpstr>LOSS_TREND</vt:lpstr>
      <vt:lpstr>MARKET_RISK_WEIGHT</vt:lpstr>
      <vt:lpstr>NB_ACQUISITION</vt:lpstr>
      <vt:lpstr>OTHER_VARIABLE</vt:lpstr>
      <vt:lpstr>PERMISSIBLE</vt:lpstr>
      <vt:lpstr>POLICY_FEE</vt:lpstr>
      <vt:lpstr>PREMIUM_TAX</vt:lpstr>
      <vt:lpstr>PROFIT_LOAD</vt:lpstr>
      <vt:lpstr>RET_CEIL</vt:lpstr>
      <vt:lpstr>RET_FLOOR</vt:lpstr>
      <vt:lpstr>TREND_FACTOR</vt:lpstr>
      <vt:lpstr>TREND_YEARS</vt:lpstr>
      <vt:lpstr>VAR_EXPENSE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Laryea, Edward</cp:lastModifiedBy>
  <cp:revision>1</cp:revision>
  <dcterms:created xsi:type="dcterms:W3CDTF">2026-09-24T22:54:19Z</dcterms:created>
  <dcterms:modified xsi:type="dcterms:W3CDTF">2026-10-01T05:38:58Z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2026-09-25T19:13:43Z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2e5115a9-dd2c-4bd6-af8e-41945407c060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